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codeName="ThisWorkbook"/>
  <mc:AlternateContent xmlns:mc="http://schemas.openxmlformats.org/markup-compatibility/2006">
    <mc:Choice Requires="x15">
      <x15ac:absPath xmlns:x15ac="http://schemas.microsoft.com/office/spreadsheetml/2010/11/ac" url="/Users/home/Files/UoT-PhD/Research/00-CODERS/210818-Update/"/>
    </mc:Choice>
  </mc:AlternateContent>
  <xr:revisionPtr revIDLastSave="0" documentId="13_ncr:1_{DAD57B99-7559-3343-932C-16B691F54C17}" xr6:coauthVersionLast="47" xr6:coauthVersionMax="47" xr10:uidLastSave="{00000000-0000-0000-0000-000000000000}"/>
  <bookViews>
    <workbookView xWindow="28800" yWindow="500" windowWidth="50680" windowHeight="19720" activeTab="3" xr2:uid="{00000000-000D-0000-FFFF-FFFF00000000}"/>
  </bookViews>
  <sheets>
    <sheet name="README" sheetId="40" r:id="rId1"/>
    <sheet name="AB-Sources" sheetId="44" r:id="rId2"/>
    <sheet name="Generation" sheetId="36" r:id="rId3"/>
    <sheet name="Storage" sheetId="48" r:id="rId4"/>
    <sheet name="Transmission" sheetId="45" r:id="rId5"/>
    <sheet name="Nodes" sheetId="47" r:id="rId6"/>
    <sheet name="BLANK" sheetId="52" r:id="rId7"/>
    <sheet name="Distribution" sheetId="50" r:id="rId8"/>
    <sheet name="HydroExisting" sheetId="26" r:id="rId9"/>
    <sheet name="HydroRenewals" sheetId="37" r:id="rId10"/>
    <sheet name="HydroGreenfield" sheetId="38" r:id="rId11"/>
    <sheet name="HydroPS" sheetId="51" r:id="rId12"/>
    <sheet name="System" sheetId="30" r:id="rId13"/>
    <sheet name="HGWh" sheetId="33" r:id="rId14"/>
    <sheet name="HMW" sheetId="35" r:id="rId15"/>
    <sheet name="FGWh" sheetId="28" r:id="rId16"/>
    <sheet name="FMW" sheetId="53" r:id="rId17"/>
    <sheet name="Hourly" sheetId="41" r:id="rId18"/>
    <sheet name="Inputs" sheetId="49" r:id="rId19"/>
  </sheets>
  <externalReferences>
    <externalReference r:id="rId20"/>
    <externalReference r:id="rId21"/>
  </externalReferences>
  <definedNames>
    <definedName name="_xlnm._FilterDatabase" localSheetId="1" hidden="1">'AB-Sources'!$B$3:$H$3</definedName>
    <definedName name="_xlnm._FilterDatabase" localSheetId="7" hidden="1">Distribution!$B$3:$R$3</definedName>
    <definedName name="_xlnm._FilterDatabase" localSheetId="2" hidden="1">Generation!$B$3:$Z$3</definedName>
    <definedName name="_xlnm._FilterDatabase" localSheetId="8" hidden="1">HydroExisting!$B$3:$AW$3</definedName>
    <definedName name="_xlnm._FilterDatabase" localSheetId="10" hidden="1">HydroGreenfield!$B$3:$AL$3</definedName>
    <definedName name="_xlnm._FilterDatabase" localSheetId="11">HydroPS!$B$3:$BJ$3</definedName>
    <definedName name="_xlnm._FilterDatabase" localSheetId="9" hidden="1">HydroRenewals!$B$3:$AU$3</definedName>
    <definedName name="_xlnm._FilterDatabase" localSheetId="5" hidden="1">Nodes!$A$3:$I$3</definedName>
    <definedName name="_xlnm._FilterDatabase" localSheetId="3" hidden="1">Storage!$B$3:$Y$3</definedName>
    <definedName name="_xlnm._FilterDatabase" localSheetId="4" hidden="1">Transmission!$A$3:$AA$3</definedName>
    <definedName name="code" localSheetId="7">#REF!</definedName>
    <definedName name="code" localSheetId="11">#REF!</definedName>
    <definedName name="code" localSheetId="5">#REF!</definedName>
    <definedName name="code">#REF!</definedName>
    <definedName name="Keywords">[1]Selection!$I$2:$I$59</definedName>
    <definedName name="Organization">[1]Selection!$A$9:$A$31</definedName>
    <definedName name="Process">[1]Selection!$A$2:$A$3</definedName>
    <definedName name="renumber" localSheetId="7">#REF!</definedName>
    <definedName name="renumber" localSheetId="11">#REF!</definedName>
    <definedName name="renumber" localSheetId="5">#REF!</definedName>
    <definedName name="renumber">#REF!</definedName>
    <definedName name="rerank" localSheetId="7">#REF!</definedName>
    <definedName name="rerank" localSheetId="11">#REF!</definedName>
    <definedName name="rerank" localSheetId="5">#REF!</definedName>
    <definedName name="rerank">#REF!</definedName>
    <definedName name="total" localSheetId="7">#REF!</definedName>
    <definedName name="total" localSheetId="11">#REF!</definedName>
    <definedName name="total" localSheetId="5">#REF!</definedName>
    <definedName name="total">#REF!</definedName>
    <definedName name="user" localSheetId="7">#REF!</definedName>
    <definedName name="user" localSheetId="11">#REF!</definedName>
    <definedName name="user" localSheetId="5">#REF!</definedName>
    <definedName name="user">#REF!</definedName>
    <definedName name="VRE">[2]lists!$B$3:$C$3</definedName>
    <definedName name="Yes_No">[1]Selection!$F$2:$F$3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12" i="53" l="1"/>
  <c r="L12" i="53"/>
  <c r="D12" i="53"/>
  <c r="V10" i="53"/>
  <c r="U10" i="53"/>
  <c r="R10" i="53"/>
  <c r="Q10" i="53"/>
  <c r="N10" i="53"/>
  <c r="M10" i="53"/>
  <c r="L10" i="53"/>
  <c r="J10" i="53"/>
  <c r="I10" i="53"/>
  <c r="F10" i="53"/>
  <c r="E10" i="53"/>
  <c r="X7" i="53"/>
  <c r="T7" i="53"/>
  <c r="P7" i="53"/>
  <c r="L7" i="53"/>
  <c r="H7" i="53"/>
  <c r="E7" i="53"/>
  <c r="T4" i="53"/>
  <c r="Y12" i="53"/>
  <c r="X12" i="53"/>
  <c r="W12" i="53"/>
  <c r="V12" i="53"/>
  <c r="U12" i="53"/>
  <c r="S12" i="53"/>
  <c r="R12" i="53"/>
  <c r="Q12" i="53"/>
  <c r="P4" i="53"/>
  <c r="O12" i="53"/>
  <c r="N12" i="53"/>
  <c r="M12" i="53"/>
  <c r="L4" i="53"/>
  <c r="K12" i="53"/>
  <c r="J12" i="53"/>
  <c r="I12" i="53"/>
  <c r="H12" i="53"/>
  <c r="G12" i="53"/>
  <c r="F12" i="53"/>
  <c r="E12" i="53"/>
  <c r="X2" i="53"/>
  <c r="Y2" i="53" s="1"/>
  <c r="Z2" i="53" s="1"/>
  <c r="AA2" i="53" s="1"/>
  <c r="AB2" i="53" s="1"/>
  <c r="AC2" i="53" s="1"/>
  <c r="AD2" i="53" s="1"/>
  <c r="AE2" i="53" s="1"/>
  <c r="AF2" i="53" s="1"/>
  <c r="AG2" i="53" s="1"/>
  <c r="AH2" i="53" s="1"/>
  <c r="E15" i="28"/>
  <c r="F15" i="28"/>
  <c r="G15" i="28"/>
  <c r="H15" i="28"/>
  <c r="I15" i="28"/>
  <c r="J15" i="28"/>
  <c r="K15" i="28"/>
  <c r="L15" i="28"/>
  <c r="M15" i="28"/>
  <c r="N15" i="28"/>
  <c r="O15" i="28"/>
  <c r="P15" i="28"/>
  <c r="Q15" i="28"/>
  <c r="R15" i="28"/>
  <c r="S15" i="28"/>
  <c r="T15" i="28"/>
  <c r="U15" i="28"/>
  <c r="V15" i="28"/>
  <c r="W15" i="28"/>
  <c r="X15" i="28"/>
  <c r="Y15" i="28"/>
  <c r="Z15" i="28"/>
  <c r="AA15" i="28"/>
  <c r="AB15" i="28"/>
  <c r="AC15" i="28"/>
  <c r="AD15" i="28"/>
  <c r="AE15" i="28"/>
  <c r="AF15" i="28"/>
  <c r="AG15" i="28"/>
  <c r="AH15" i="28"/>
  <c r="D15" i="28"/>
  <c r="X2" i="28"/>
  <c r="Y2" i="28" s="1"/>
  <c r="Z2" i="28" s="1"/>
  <c r="AA2" i="28" s="1"/>
  <c r="AB2" i="28" s="1"/>
  <c r="AC2" i="28" s="1"/>
  <c r="AD2" i="28" s="1"/>
  <c r="AE2" i="28" s="1"/>
  <c r="AF2" i="28" s="1"/>
  <c r="AG2" i="28" s="1"/>
  <c r="AH2" i="28" s="1"/>
  <c r="Y12" i="28"/>
  <c r="X12" i="28"/>
  <c r="W12" i="28"/>
  <c r="V12" i="28"/>
  <c r="V13" i="28" s="1"/>
  <c r="U12" i="28"/>
  <c r="T12" i="28"/>
  <c r="S12" i="28"/>
  <c r="R12" i="28"/>
  <c r="Q12" i="28"/>
  <c r="P12" i="28"/>
  <c r="O12" i="28"/>
  <c r="N12" i="28"/>
  <c r="M12" i="28"/>
  <c r="L12" i="28"/>
  <c r="K12" i="28"/>
  <c r="J12" i="28"/>
  <c r="I12" i="28"/>
  <c r="H12" i="28"/>
  <c r="G12" i="28"/>
  <c r="F12" i="28"/>
  <c r="E12" i="28"/>
  <c r="D12" i="28"/>
  <c r="Y8" i="28"/>
  <c r="X8" i="28"/>
  <c r="W8" i="28"/>
  <c r="V8" i="28"/>
  <c r="U8" i="28"/>
  <c r="T8" i="28"/>
  <c r="S8" i="28"/>
  <c r="R8" i="28"/>
  <c r="Q8" i="28"/>
  <c r="P8" i="28"/>
  <c r="O8" i="28"/>
  <c r="N8" i="28"/>
  <c r="M8" i="28"/>
  <c r="L8" i="28"/>
  <c r="K8" i="28"/>
  <c r="J8" i="28"/>
  <c r="I8" i="28"/>
  <c r="H8" i="28"/>
  <c r="G8" i="28"/>
  <c r="F8" i="28"/>
  <c r="E8" i="28"/>
  <c r="D8" i="28"/>
  <c r="T5" i="28"/>
  <c r="Y4" i="28"/>
  <c r="Y5" i="28" s="1"/>
  <c r="X4" i="28"/>
  <c r="W4" i="28"/>
  <c r="V4" i="28"/>
  <c r="V5" i="28" s="1"/>
  <c r="U4" i="28"/>
  <c r="U5" i="28" s="1"/>
  <c r="T4" i="28"/>
  <c r="S4" i="28"/>
  <c r="R4" i="28"/>
  <c r="R5" i="28" s="1"/>
  <c r="Q4" i="28"/>
  <c r="Q5" i="28" s="1"/>
  <c r="P4" i="28"/>
  <c r="O4" i="28"/>
  <c r="N4" i="28"/>
  <c r="N5" i="28" s="1"/>
  <c r="M4" i="28"/>
  <c r="M5" i="28" s="1"/>
  <c r="L4" i="28"/>
  <c r="L5" i="28" s="1"/>
  <c r="K4" i="28"/>
  <c r="J4" i="28"/>
  <c r="J5" i="28" s="1"/>
  <c r="I4" i="28"/>
  <c r="I5" i="28" s="1"/>
  <c r="H4" i="28"/>
  <c r="F4" i="28"/>
  <c r="F5" i="28" s="1"/>
  <c r="G4" i="28"/>
  <c r="G5" i="28" s="1"/>
  <c r="E4" i="28"/>
  <c r="E5" i="28" s="1"/>
  <c r="D4" i="28"/>
  <c r="N226" i="36"/>
  <c r="N110" i="36"/>
  <c r="N225" i="36"/>
  <c r="N169" i="36"/>
  <c r="N159" i="36"/>
  <c r="N118" i="36"/>
  <c r="N41" i="36"/>
  <c r="N4" i="36"/>
  <c r="N109" i="36"/>
  <c r="N20" i="36"/>
  <c r="N9" i="36"/>
  <c r="N62" i="36"/>
  <c r="N61" i="36"/>
  <c r="N60" i="36"/>
  <c r="N57" i="36"/>
  <c r="N216" i="36"/>
  <c r="N154" i="36"/>
  <c r="N56" i="36"/>
  <c r="N55" i="36"/>
  <c r="N215" i="36"/>
  <c r="N168" i="36"/>
  <c r="N134" i="36"/>
  <c r="N133" i="36"/>
  <c r="N132" i="36"/>
  <c r="N131" i="36"/>
  <c r="N122" i="36"/>
  <c r="N195" i="36"/>
  <c r="N58" i="36"/>
  <c r="N24" i="36"/>
  <c r="N176" i="36"/>
  <c r="N166" i="36"/>
  <c r="N69" i="36"/>
  <c r="N70" i="36"/>
  <c r="N71" i="36"/>
  <c r="N117" i="36"/>
  <c r="N5" i="36"/>
  <c r="N53" i="36"/>
  <c r="N211" i="36"/>
  <c r="N31" i="36"/>
  <c r="N39" i="36"/>
  <c r="N40" i="36"/>
  <c r="N145" i="36"/>
  <c r="N146" i="36"/>
  <c r="N167" i="36"/>
  <c r="N172" i="36"/>
  <c r="N17" i="36"/>
  <c r="N18" i="36"/>
  <c r="N139" i="36"/>
  <c r="N140" i="36"/>
  <c r="N83" i="36"/>
  <c r="N84" i="36"/>
  <c r="N177" i="36"/>
  <c r="N75" i="36"/>
  <c r="N136" i="36"/>
  <c r="N80" i="36"/>
  <c r="N104" i="36"/>
  <c r="N150" i="36"/>
  <c r="N151" i="36"/>
  <c r="N152" i="36"/>
  <c r="N153" i="36"/>
  <c r="N183" i="36"/>
  <c r="N76" i="36"/>
  <c r="N213" i="36"/>
  <c r="N77" i="36"/>
  <c r="N78" i="36"/>
  <c r="N79" i="36"/>
  <c r="N143" i="36"/>
  <c r="N147" i="36"/>
  <c r="N148" i="36"/>
  <c r="N37" i="36"/>
  <c r="N135" i="36"/>
  <c r="N144" i="36"/>
  <c r="N212" i="36"/>
  <c r="N149" i="36"/>
  <c r="N36" i="36"/>
  <c r="N142" i="36"/>
  <c r="N184" i="36"/>
  <c r="N42" i="36"/>
  <c r="N43" i="36"/>
  <c r="N49" i="36"/>
  <c r="N227" i="36"/>
  <c r="N96" i="36"/>
  <c r="N38" i="36"/>
  <c r="N214" i="36"/>
  <c r="N97" i="36"/>
  <c r="N219" i="36"/>
  <c r="N63" i="36"/>
  <c r="N228" i="36"/>
  <c r="N7" i="36"/>
  <c r="N155" i="36"/>
  <c r="N187" i="36"/>
  <c r="N217" i="36"/>
  <c r="N231" i="36"/>
  <c r="N224" i="36"/>
  <c r="N221" i="36"/>
  <c r="N220" i="36"/>
  <c r="N185" i="36"/>
  <c r="N161" i="36"/>
  <c r="N103" i="36"/>
  <c r="N102" i="36"/>
  <c r="N205" i="36"/>
  <c r="N123" i="36"/>
  <c r="N100" i="36"/>
  <c r="N116" i="36"/>
  <c r="N65" i="36"/>
  <c r="N12" i="36"/>
  <c r="H1091" i="45"/>
  <c r="H1090" i="45"/>
  <c r="H1089" i="45"/>
  <c r="H1088" i="45"/>
  <c r="H1087" i="45"/>
  <c r="H1086" i="45"/>
  <c r="H1085" i="45"/>
  <c r="H1084" i="45"/>
  <c r="H1083" i="45"/>
  <c r="H1082" i="45"/>
  <c r="H1081" i="45"/>
  <c r="H1080" i="45"/>
  <c r="H1079" i="45"/>
  <c r="H1078" i="45"/>
  <c r="H1077" i="45"/>
  <c r="H1076" i="45"/>
  <c r="H1075" i="45"/>
  <c r="H1074" i="45"/>
  <c r="H1073" i="45"/>
  <c r="H1072" i="45"/>
  <c r="H1071" i="45"/>
  <c r="H1070" i="45"/>
  <c r="H1069" i="45"/>
  <c r="H1068" i="45"/>
  <c r="H1067" i="45"/>
  <c r="H1066" i="45"/>
  <c r="H1065" i="45"/>
  <c r="H1064" i="45"/>
  <c r="H1063" i="45"/>
  <c r="H1062" i="45"/>
  <c r="H1061" i="45"/>
  <c r="H1060" i="45"/>
  <c r="H1059" i="45"/>
  <c r="H1058" i="45"/>
  <c r="H1057" i="45"/>
  <c r="H1056" i="45"/>
  <c r="H1055" i="45"/>
  <c r="H1054" i="45"/>
  <c r="H1053" i="45"/>
  <c r="H1052" i="45"/>
  <c r="H1051" i="45"/>
  <c r="H1050" i="45"/>
  <c r="H1049" i="45"/>
  <c r="H1048" i="45"/>
  <c r="H1047" i="45"/>
  <c r="H1046" i="45"/>
  <c r="H1045" i="45"/>
  <c r="H1044" i="45"/>
  <c r="H1043" i="45"/>
  <c r="H1042" i="45"/>
  <c r="H1041" i="45"/>
  <c r="H1040" i="45"/>
  <c r="H1039" i="45"/>
  <c r="H1038" i="45"/>
  <c r="H1037" i="45"/>
  <c r="H1036" i="45"/>
  <c r="H1035" i="45"/>
  <c r="H1034" i="45"/>
  <c r="H1033" i="45"/>
  <c r="H1032" i="45"/>
  <c r="H1031" i="45"/>
  <c r="H1030" i="45"/>
  <c r="H1029" i="45"/>
  <c r="H1028" i="45"/>
  <c r="H1027" i="45"/>
  <c r="H1026" i="45"/>
  <c r="H1025" i="45"/>
  <c r="H1024" i="45"/>
  <c r="H1023" i="45"/>
  <c r="H1022" i="45"/>
  <c r="H1021" i="45"/>
  <c r="H1020" i="45"/>
  <c r="H1019" i="45"/>
  <c r="H1018" i="45"/>
  <c r="H1017" i="45"/>
  <c r="H1016" i="45"/>
  <c r="H1015" i="45"/>
  <c r="H1014" i="45"/>
  <c r="H1013" i="45"/>
  <c r="H1012" i="45"/>
  <c r="H1011" i="45"/>
  <c r="H1010" i="45"/>
  <c r="H1009" i="45"/>
  <c r="H1008" i="45"/>
  <c r="H1007" i="45"/>
  <c r="H1006" i="45"/>
  <c r="H1005" i="45"/>
  <c r="H1004" i="45"/>
  <c r="H1003" i="45"/>
  <c r="H1002" i="45"/>
  <c r="H1001" i="45"/>
  <c r="H1000" i="45"/>
  <c r="H999" i="45"/>
  <c r="H998" i="45"/>
  <c r="H997" i="45"/>
  <c r="H996" i="45"/>
  <c r="H995" i="45"/>
  <c r="H994" i="45"/>
  <c r="H993" i="45"/>
  <c r="H992" i="45"/>
  <c r="H991" i="45"/>
  <c r="H990" i="45"/>
  <c r="H989" i="45"/>
  <c r="H988" i="45"/>
  <c r="H987" i="45"/>
  <c r="H986" i="45"/>
  <c r="H985" i="45"/>
  <c r="H984" i="45"/>
  <c r="H983" i="45"/>
  <c r="H982" i="45"/>
  <c r="H981" i="45"/>
  <c r="H980" i="45"/>
  <c r="H979" i="45"/>
  <c r="H978" i="45"/>
  <c r="H977" i="45"/>
  <c r="H976" i="45"/>
  <c r="H975" i="45"/>
  <c r="H974" i="45"/>
  <c r="H973" i="45"/>
  <c r="H972" i="45"/>
  <c r="H971" i="45"/>
  <c r="H970" i="45"/>
  <c r="H969" i="45"/>
  <c r="H968" i="45"/>
  <c r="H967" i="45"/>
  <c r="H966" i="45"/>
  <c r="H965" i="45"/>
  <c r="H964" i="45"/>
  <c r="H963" i="45"/>
  <c r="H962" i="45"/>
  <c r="H961" i="45"/>
  <c r="H960" i="45"/>
  <c r="H959" i="45"/>
  <c r="H958" i="45"/>
  <c r="H957" i="45"/>
  <c r="H956" i="45"/>
  <c r="H955" i="45"/>
  <c r="H954" i="45"/>
  <c r="H953" i="45"/>
  <c r="H952" i="45"/>
  <c r="H951" i="45"/>
  <c r="H950" i="45"/>
  <c r="H949" i="45"/>
  <c r="H948" i="45"/>
  <c r="H947" i="45"/>
  <c r="H946" i="45"/>
  <c r="H945" i="45"/>
  <c r="H944" i="45"/>
  <c r="H943" i="45"/>
  <c r="H942" i="45"/>
  <c r="H941" i="45"/>
  <c r="H940" i="45"/>
  <c r="H939" i="45"/>
  <c r="H938" i="45"/>
  <c r="H937" i="45"/>
  <c r="H936" i="45"/>
  <c r="H935" i="45"/>
  <c r="H934" i="45"/>
  <c r="H933" i="45"/>
  <c r="H932" i="45"/>
  <c r="H931" i="45"/>
  <c r="H930" i="45"/>
  <c r="H929" i="45"/>
  <c r="H928" i="45"/>
  <c r="H927" i="45"/>
  <c r="H926" i="45"/>
  <c r="H925" i="45"/>
  <c r="H924" i="45"/>
  <c r="H923" i="45"/>
  <c r="H922" i="45"/>
  <c r="H921" i="45"/>
  <c r="H920" i="45"/>
  <c r="H919" i="45"/>
  <c r="H918" i="45"/>
  <c r="H917" i="45"/>
  <c r="H916" i="45"/>
  <c r="H915" i="45"/>
  <c r="H914" i="45"/>
  <c r="H913" i="45"/>
  <c r="H912" i="45"/>
  <c r="H911" i="45"/>
  <c r="H910" i="45"/>
  <c r="H909" i="45"/>
  <c r="H908" i="45"/>
  <c r="H907" i="45"/>
  <c r="H906" i="45"/>
  <c r="H905" i="45"/>
  <c r="H904" i="45"/>
  <c r="H903" i="45"/>
  <c r="H902" i="45"/>
  <c r="H901" i="45"/>
  <c r="H900" i="45"/>
  <c r="H899" i="45"/>
  <c r="H898" i="45"/>
  <c r="H897" i="45"/>
  <c r="H896" i="45"/>
  <c r="H895" i="45"/>
  <c r="H894" i="45"/>
  <c r="H893" i="45"/>
  <c r="H892" i="45"/>
  <c r="H891" i="45"/>
  <c r="H890" i="45"/>
  <c r="H889" i="45"/>
  <c r="H888" i="45"/>
  <c r="H887" i="45"/>
  <c r="H886" i="45"/>
  <c r="H885" i="45"/>
  <c r="H884" i="45"/>
  <c r="H883" i="45"/>
  <c r="H882" i="45"/>
  <c r="H881" i="45"/>
  <c r="H880" i="45"/>
  <c r="H879" i="45"/>
  <c r="H878" i="45"/>
  <c r="H877" i="45"/>
  <c r="H876" i="45"/>
  <c r="H875" i="45"/>
  <c r="H874" i="45"/>
  <c r="H873" i="45"/>
  <c r="H872" i="45"/>
  <c r="H871" i="45"/>
  <c r="H870" i="45"/>
  <c r="H869" i="45"/>
  <c r="H868" i="45"/>
  <c r="H867" i="45"/>
  <c r="H866" i="45"/>
  <c r="H865" i="45"/>
  <c r="H864" i="45"/>
  <c r="H863" i="45"/>
  <c r="H862" i="45"/>
  <c r="H861" i="45"/>
  <c r="H860" i="45"/>
  <c r="H859" i="45"/>
  <c r="H858" i="45"/>
  <c r="H857" i="45"/>
  <c r="H856" i="45"/>
  <c r="H855" i="45"/>
  <c r="H854" i="45"/>
  <c r="H853" i="45"/>
  <c r="H852" i="45"/>
  <c r="H851" i="45"/>
  <c r="H850" i="45"/>
  <c r="H849" i="45"/>
  <c r="H848" i="45"/>
  <c r="H847" i="45"/>
  <c r="H846" i="45"/>
  <c r="H845" i="45"/>
  <c r="H844" i="45"/>
  <c r="H843" i="45"/>
  <c r="H842" i="45"/>
  <c r="H841" i="45"/>
  <c r="H840" i="45"/>
  <c r="H839" i="45"/>
  <c r="H838" i="45"/>
  <c r="H837" i="45"/>
  <c r="H836" i="45"/>
  <c r="H835" i="45"/>
  <c r="H834" i="45"/>
  <c r="H833" i="45"/>
  <c r="H832" i="45"/>
  <c r="H831" i="45"/>
  <c r="H830" i="45"/>
  <c r="H829" i="45"/>
  <c r="H828" i="45"/>
  <c r="H827" i="45"/>
  <c r="H826" i="45"/>
  <c r="H825" i="45"/>
  <c r="H824" i="45"/>
  <c r="H823" i="45"/>
  <c r="H822" i="45"/>
  <c r="H821" i="45"/>
  <c r="H820" i="45"/>
  <c r="H819" i="45"/>
  <c r="H818" i="45"/>
  <c r="H817" i="45"/>
  <c r="H816" i="45"/>
  <c r="H815" i="45"/>
  <c r="H814" i="45"/>
  <c r="H813" i="45"/>
  <c r="H812" i="45"/>
  <c r="H811" i="45"/>
  <c r="H810" i="45"/>
  <c r="H809" i="45"/>
  <c r="H808" i="45"/>
  <c r="H807" i="45"/>
  <c r="H806" i="45"/>
  <c r="H805" i="45"/>
  <c r="H804" i="45"/>
  <c r="H803" i="45"/>
  <c r="H802" i="45"/>
  <c r="H801" i="45"/>
  <c r="H800" i="45"/>
  <c r="H799" i="45"/>
  <c r="H798" i="45"/>
  <c r="H797" i="45"/>
  <c r="H796" i="45"/>
  <c r="H795" i="45"/>
  <c r="H794" i="45"/>
  <c r="H793" i="45"/>
  <c r="H792" i="45"/>
  <c r="H791" i="45"/>
  <c r="H790" i="45"/>
  <c r="H789" i="45"/>
  <c r="H788" i="45"/>
  <c r="H787" i="45"/>
  <c r="H786" i="45"/>
  <c r="H785" i="45"/>
  <c r="H784" i="45"/>
  <c r="H783" i="45"/>
  <c r="H782" i="45"/>
  <c r="H781" i="45"/>
  <c r="H780" i="45"/>
  <c r="H779" i="45"/>
  <c r="H778" i="45"/>
  <c r="H777" i="45"/>
  <c r="H776" i="45"/>
  <c r="H775" i="45"/>
  <c r="H774" i="45"/>
  <c r="H773" i="45"/>
  <c r="H772" i="45"/>
  <c r="H771" i="45"/>
  <c r="H770" i="45"/>
  <c r="H769" i="45"/>
  <c r="H768" i="45"/>
  <c r="H767" i="45"/>
  <c r="H766" i="45"/>
  <c r="H765" i="45"/>
  <c r="H764" i="45"/>
  <c r="H763" i="45"/>
  <c r="H762" i="45"/>
  <c r="H761" i="45"/>
  <c r="H760" i="45"/>
  <c r="H759" i="45"/>
  <c r="H758" i="45"/>
  <c r="H757" i="45"/>
  <c r="H756" i="45"/>
  <c r="H755" i="45"/>
  <c r="H754" i="45"/>
  <c r="H753" i="45"/>
  <c r="H752" i="45"/>
  <c r="H751" i="45"/>
  <c r="H750" i="45"/>
  <c r="H749" i="45"/>
  <c r="H748" i="45"/>
  <c r="H747" i="45"/>
  <c r="H746" i="45"/>
  <c r="H745" i="45"/>
  <c r="H744" i="45"/>
  <c r="H743" i="45"/>
  <c r="H742" i="45"/>
  <c r="H741" i="45"/>
  <c r="H740" i="45"/>
  <c r="H739" i="45"/>
  <c r="H738" i="45"/>
  <c r="H737" i="45"/>
  <c r="H736" i="45"/>
  <c r="H735" i="45"/>
  <c r="H734" i="45"/>
  <c r="H733" i="45"/>
  <c r="H732" i="45"/>
  <c r="H731" i="45"/>
  <c r="H730" i="45"/>
  <c r="H729" i="45"/>
  <c r="H728" i="45"/>
  <c r="H727" i="45"/>
  <c r="H726" i="45"/>
  <c r="H725" i="45"/>
  <c r="H724" i="45"/>
  <c r="H723" i="45"/>
  <c r="H722" i="45"/>
  <c r="H721" i="45"/>
  <c r="H720" i="45"/>
  <c r="H719" i="45"/>
  <c r="H718" i="45"/>
  <c r="H717" i="45"/>
  <c r="H716" i="45"/>
  <c r="H715" i="45"/>
  <c r="H714" i="45"/>
  <c r="H713" i="45"/>
  <c r="H712" i="45"/>
  <c r="H711" i="45"/>
  <c r="H710" i="45"/>
  <c r="H709" i="45"/>
  <c r="H708" i="45"/>
  <c r="H707" i="45"/>
  <c r="H706" i="45"/>
  <c r="H705" i="45"/>
  <c r="H704" i="45"/>
  <c r="H703" i="45"/>
  <c r="H702" i="45"/>
  <c r="H701" i="45"/>
  <c r="H700" i="45"/>
  <c r="H699" i="45"/>
  <c r="H698" i="45"/>
  <c r="H697" i="45"/>
  <c r="H696" i="45"/>
  <c r="H695" i="45"/>
  <c r="H694" i="45"/>
  <c r="H693" i="45"/>
  <c r="H692" i="45"/>
  <c r="H691" i="45"/>
  <c r="H690" i="45"/>
  <c r="H689" i="45"/>
  <c r="H688" i="45"/>
  <c r="H687" i="45"/>
  <c r="H686" i="45"/>
  <c r="H685" i="45"/>
  <c r="H684" i="45"/>
  <c r="H683" i="45"/>
  <c r="H682" i="45"/>
  <c r="H681" i="45"/>
  <c r="H680" i="45"/>
  <c r="H679" i="45"/>
  <c r="H678" i="45"/>
  <c r="H677" i="45"/>
  <c r="H676" i="45"/>
  <c r="H675" i="45"/>
  <c r="H674" i="45"/>
  <c r="H673" i="45"/>
  <c r="H672" i="45"/>
  <c r="H671" i="45"/>
  <c r="H670" i="45"/>
  <c r="H669" i="45"/>
  <c r="H668" i="45"/>
  <c r="H667" i="45"/>
  <c r="H666" i="45"/>
  <c r="H665" i="45"/>
  <c r="H664" i="45"/>
  <c r="H663" i="45"/>
  <c r="H662" i="45"/>
  <c r="H661" i="45"/>
  <c r="H660" i="45"/>
  <c r="H659" i="45"/>
  <c r="H658" i="45"/>
  <c r="H657" i="45"/>
  <c r="H656" i="45"/>
  <c r="H655" i="45"/>
  <c r="H654" i="45"/>
  <c r="H653" i="45"/>
  <c r="H652" i="45"/>
  <c r="H651" i="45"/>
  <c r="H650" i="45"/>
  <c r="H649" i="45"/>
  <c r="H648" i="45"/>
  <c r="H647" i="45"/>
  <c r="H646" i="45"/>
  <c r="H645" i="45"/>
  <c r="H644" i="45"/>
  <c r="H643" i="45"/>
  <c r="H642" i="45"/>
  <c r="H641" i="45"/>
  <c r="H640" i="45"/>
  <c r="H639" i="45"/>
  <c r="H638" i="45"/>
  <c r="H637" i="45"/>
  <c r="H636" i="45"/>
  <c r="H635" i="45"/>
  <c r="H634" i="45"/>
  <c r="H633" i="45"/>
  <c r="H632" i="45"/>
  <c r="H631" i="45"/>
  <c r="H630" i="45"/>
  <c r="H629" i="45"/>
  <c r="H628" i="45"/>
  <c r="H627" i="45"/>
  <c r="H626" i="45"/>
  <c r="H625" i="45"/>
  <c r="H624" i="45"/>
  <c r="H623" i="45"/>
  <c r="H622" i="45"/>
  <c r="H621" i="45"/>
  <c r="H620" i="45"/>
  <c r="H619" i="45"/>
  <c r="H618" i="45"/>
  <c r="H617" i="45"/>
  <c r="H616" i="45"/>
  <c r="H615" i="45"/>
  <c r="H614" i="45"/>
  <c r="H613" i="45"/>
  <c r="H612" i="45"/>
  <c r="H611" i="45"/>
  <c r="H610" i="45"/>
  <c r="H609" i="45"/>
  <c r="H608" i="45"/>
  <c r="H607" i="45"/>
  <c r="H606" i="45"/>
  <c r="H605" i="45"/>
  <c r="H604" i="45"/>
  <c r="H603" i="45"/>
  <c r="H602" i="45"/>
  <c r="H601" i="45"/>
  <c r="H600" i="45"/>
  <c r="H599" i="45"/>
  <c r="H598" i="45"/>
  <c r="H597" i="45"/>
  <c r="H596" i="45"/>
  <c r="H595" i="45"/>
  <c r="H594" i="45"/>
  <c r="H593" i="45"/>
  <c r="H592" i="45"/>
  <c r="H591" i="45"/>
  <c r="H590" i="45"/>
  <c r="H589" i="45"/>
  <c r="H588" i="45"/>
  <c r="H587" i="45"/>
  <c r="H586" i="45"/>
  <c r="H585" i="45"/>
  <c r="H584" i="45"/>
  <c r="H583" i="45"/>
  <c r="H582" i="45"/>
  <c r="H581" i="45"/>
  <c r="H580" i="45"/>
  <c r="H579" i="45"/>
  <c r="H578" i="45"/>
  <c r="H577" i="45"/>
  <c r="H576" i="45"/>
  <c r="H575" i="45"/>
  <c r="H574" i="45"/>
  <c r="H573" i="45"/>
  <c r="H572" i="45"/>
  <c r="H571" i="45"/>
  <c r="H570" i="45"/>
  <c r="H569" i="45"/>
  <c r="H568" i="45"/>
  <c r="H567" i="45"/>
  <c r="H566" i="45"/>
  <c r="H565" i="45"/>
  <c r="H564" i="45"/>
  <c r="H563" i="45"/>
  <c r="H562" i="45"/>
  <c r="H561" i="45"/>
  <c r="H560" i="45"/>
  <c r="H559" i="45"/>
  <c r="H558" i="45"/>
  <c r="H557" i="45"/>
  <c r="H556" i="45"/>
  <c r="H555" i="45"/>
  <c r="H554" i="45"/>
  <c r="H553" i="45"/>
  <c r="H552" i="45"/>
  <c r="H551" i="45"/>
  <c r="H550" i="45"/>
  <c r="H549" i="45"/>
  <c r="H548" i="45"/>
  <c r="H547" i="45"/>
  <c r="H546" i="45"/>
  <c r="H545" i="45"/>
  <c r="H544" i="45"/>
  <c r="H543" i="45"/>
  <c r="H542" i="45"/>
  <c r="H541" i="45"/>
  <c r="H540" i="45"/>
  <c r="H539" i="45"/>
  <c r="H538" i="45"/>
  <c r="H537" i="45"/>
  <c r="H536" i="45"/>
  <c r="H535" i="45"/>
  <c r="H534" i="45"/>
  <c r="H533" i="45"/>
  <c r="H532" i="45"/>
  <c r="H531" i="45"/>
  <c r="H530" i="45"/>
  <c r="H529" i="45"/>
  <c r="H528" i="45"/>
  <c r="H527" i="45"/>
  <c r="H526" i="45"/>
  <c r="H525" i="45"/>
  <c r="H524" i="45"/>
  <c r="H523" i="45"/>
  <c r="H522" i="45"/>
  <c r="H521" i="45"/>
  <c r="H520" i="45"/>
  <c r="H519" i="45"/>
  <c r="H518" i="45"/>
  <c r="H517" i="45"/>
  <c r="H516" i="45"/>
  <c r="H515" i="45"/>
  <c r="H514" i="45"/>
  <c r="H513" i="45"/>
  <c r="H512" i="45"/>
  <c r="H511" i="45"/>
  <c r="H510" i="45"/>
  <c r="H509" i="45"/>
  <c r="H508" i="45"/>
  <c r="H507" i="45"/>
  <c r="H506" i="45"/>
  <c r="H505" i="45"/>
  <c r="H504" i="45"/>
  <c r="H503" i="45"/>
  <c r="H502" i="45"/>
  <c r="H501" i="45"/>
  <c r="H500" i="45"/>
  <c r="H499" i="45"/>
  <c r="H498" i="45"/>
  <c r="H497" i="45"/>
  <c r="H496" i="45"/>
  <c r="H495" i="45"/>
  <c r="H494" i="45"/>
  <c r="H493" i="45"/>
  <c r="H492" i="45"/>
  <c r="H491" i="45"/>
  <c r="H490" i="45"/>
  <c r="H489" i="45"/>
  <c r="H488" i="45"/>
  <c r="H487" i="45"/>
  <c r="H486" i="45"/>
  <c r="H485" i="45"/>
  <c r="H484" i="45"/>
  <c r="H483" i="45"/>
  <c r="H482" i="45"/>
  <c r="H481" i="45"/>
  <c r="H480" i="45"/>
  <c r="H479" i="45"/>
  <c r="H478" i="45"/>
  <c r="H477" i="45"/>
  <c r="H476" i="45"/>
  <c r="H475" i="45"/>
  <c r="H474" i="45"/>
  <c r="H473" i="45"/>
  <c r="H472" i="45"/>
  <c r="H471" i="45"/>
  <c r="H470" i="45"/>
  <c r="H469" i="45"/>
  <c r="H468" i="45"/>
  <c r="H467" i="45"/>
  <c r="H466" i="45"/>
  <c r="H465" i="45"/>
  <c r="H464" i="45"/>
  <c r="H463" i="45"/>
  <c r="H462" i="45"/>
  <c r="H461" i="45"/>
  <c r="H460" i="45"/>
  <c r="H459" i="45"/>
  <c r="H458" i="45"/>
  <c r="H457" i="45"/>
  <c r="H456" i="45"/>
  <c r="H455" i="45"/>
  <c r="H454" i="45"/>
  <c r="H453" i="45"/>
  <c r="H452" i="45"/>
  <c r="H451" i="45"/>
  <c r="H450" i="45"/>
  <c r="H449" i="45"/>
  <c r="H448" i="45"/>
  <c r="H447" i="45"/>
  <c r="H446" i="45"/>
  <c r="H445" i="45"/>
  <c r="H444" i="45"/>
  <c r="H443" i="45"/>
  <c r="H442" i="45"/>
  <c r="H441" i="45"/>
  <c r="H440" i="45"/>
  <c r="H439" i="45"/>
  <c r="H438" i="45"/>
  <c r="H437" i="45"/>
  <c r="H436" i="45"/>
  <c r="H435" i="45"/>
  <c r="H434" i="45"/>
  <c r="H433" i="45"/>
  <c r="H432" i="45"/>
  <c r="H431" i="45"/>
  <c r="H430" i="45"/>
  <c r="H429" i="45"/>
  <c r="H428" i="45"/>
  <c r="H427" i="45"/>
  <c r="H426" i="45"/>
  <c r="H425" i="45"/>
  <c r="H424" i="45"/>
  <c r="H423" i="45"/>
  <c r="H422" i="45"/>
  <c r="H421" i="45"/>
  <c r="H420" i="45"/>
  <c r="H419" i="45"/>
  <c r="H418" i="45"/>
  <c r="H417" i="45"/>
  <c r="H416" i="45"/>
  <c r="H415" i="45"/>
  <c r="H414" i="45"/>
  <c r="H413" i="45"/>
  <c r="H412" i="45"/>
  <c r="H411" i="45"/>
  <c r="H410" i="45"/>
  <c r="H409" i="45"/>
  <c r="H408" i="45"/>
  <c r="H407" i="45"/>
  <c r="H406" i="45"/>
  <c r="H405" i="45"/>
  <c r="H404" i="45"/>
  <c r="H403" i="45"/>
  <c r="H402" i="45"/>
  <c r="H401" i="45"/>
  <c r="H400" i="45"/>
  <c r="H399" i="45"/>
  <c r="H398" i="45"/>
  <c r="H397" i="45"/>
  <c r="H396" i="45"/>
  <c r="H395" i="45"/>
  <c r="H394" i="45"/>
  <c r="H393" i="45"/>
  <c r="H392" i="45"/>
  <c r="H391" i="45"/>
  <c r="H390" i="45"/>
  <c r="H389" i="45"/>
  <c r="H388" i="45"/>
  <c r="H387" i="45"/>
  <c r="H386" i="45"/>
  <c r="H385" i="45"/>
  <c r="H384" i="45"/>
  <c r="H383" i="45"/>
  <c r="H382" i="45"/>
  <c r="H381" i="45"/>
  <c r="H380" i="45"/>
  <c r="H379" i="45"/>
  <c r="H378" i="45"/>
  <c r="H377" i="45"/>
  <c r="H376" i="45"/>
  <c r="H375" i="45"/>
  <c r="H374" i="45"/>
  <c r="H373" i="45"/>
  <c r="H372" i="45"/>
  <c r="H371" i="45"/>
  <c r="H370" i="45"/>
  <c r="H369" i="45"/>
  <c r="H368" i="45"/>
  <c r="H367" i="45"/>
  <c r="H366" i="45"/>
  <c r="H365" i="45"/>
  <c r="H364" i="45"/>
  <c r="H363" i="45"/>
  <c r="H362" i="45"/>
  <c r="H361" i="45"/>
  <c r="H360" i="45"/>
  <c r="H359" i="45"/>
  <c r="H358" i="45"/>
  <c r="H357" i="45"/>
  <c r="H356" i="45"/>
  <c r="H355" i="45"/>
  <c r="H354" i="45"/>
  <c r="H353" i="45"/>
  <c r="H352" i="45"/>
  <c r="H351" i="45"/>
  <c r="H350" i="45"/>
  <c r="H349" i="45"/>
  <c r="H348" i="45"/>
  <c r="H347" i="45"/>
  <c r="H346" i="45"/>
  <c r="H345" i="45"/>
  <c r="H344" i="45"/>
  <c r="H343" i="45"/>
  <c r="H342" i="45"/>
  <c r="H341" i="45"/>
  <c r="H340" i="45"/>
  <c r="H339" i="45"/>
  <c r="H338" i="45"/>
  <c r="H337" i="45"/>
  <c r="H336" i="45"/>
  <c r="H335" i="45"/>
  <c r="H334" i="45"/>
  <c r="H333" i="45"/>
  <c r="H332" i="45"/>
  <c r="H331" i="45"/>
  <c r="H330" i="45"/>
  <c r="H329" i="45"/>
  <c r="H328" i="45"/>
  <c r="H327" i="45"/>
  <c r="H326" i="45"/>
  <c r="H325" i="45"/>
  <c r="H324" i="45"/>
  <c r="H323" i="45"/>
  <c r="H322" i="45"/>
  <c r="H321" i="45"/>
  <c r="H320" i="45"/>
  <c r="H319" i="45"/>
  <c r="H318" i="45"/>
  <c r="H317" i="45"/>
  <c r="H316" i="45"/>
  <c r="H315" i="45"/>
  <c r="H314" i="45"/>
  <c r="H313" i="45"/>
  <c r="H312" i="45"/>
  <c r="H311" i="45"/>
  <c r="H310" i="45"/>
  <c r="H309" i="45"/>
  <c r="H308" i="45"/>
  <c r="H307" i="45"/>
  <c r="H306" i="45"/>
  <c r="H305" i="45"/>
  <c r="H304" i="45"/>
  <c r="H303" i="45"/>
  <c r="H302" i="45"/>
  <c r="H301" i="45"/>
  <c r="H300" i="45"/>
  <c r="H299" i="45"/>
  <c r="H298" i="45"/>
  <c r="H297" i="45"/>
  <c r="H296" i="45"/>
  <c r="H295" i="45"/>
  <c r="H294" i="45"/>
  <c r="H293" i="45"/>
  <c r="H292" i="45"/>
  <c r="H291" i="45"/>
  <c r="H290" i="45"/>
  <c r="H289" i="45"/>
  <c r="H288" i="45"/>
  <c r="H287" i="45"/>
  <c r="H286" i="45"/>
  <c r="H285" i="45"/>
  <c r="H284" i="45"/>
  <c r="H283" i="45"/>
  <c r="H282" i="45"/>
  <c r="H281" i="45"/>
  <c r="H280" i="45"/>
  <c r="H279" i="45"/>
  <c r="H278" i="45"/>
  <c r="H277" i="45"/>
  <c r="H276" i="45"/>
  <c r="H275" i="45"/>
  <c r="H274" i="45"/>
  <c r="H273" i="45"/>
  <c r="H272" i="45"/>
  <c r="H271" i="45"/>
  <c r="H270" i="45"/>
  <c r="H269" i="45"/>
  <c r="H268" i="45"/>
  <c r="H267" i="45"/>
  <c r="H266" i="45"/>
  <c r="H265" i="45"/>
  <c r="H264" i="45"/>
  <c r="H263" i="45"/>
  <c r="H262" i="45"/>
  <c r="H261" i="45"/>
  <c r="H260" i="45"/>
  <c r="H259" i="45"/>
  <c r="H258" i="45"/>
  <c r="H257" i="45"/>
  <c r="H256" i="45"/>
  <c r="H255" i="45"/>
  <c r="H254" i="45"/>
  <c r="H253" i="45"/>
  <c r="H252" i="45"/>
  <c r="H251" i="45"/>
  <c r="H250" i="45"/>
  <c r="H249" i="45"/>
  <c r="H248" i="45"/>
  <c r="H247" i="45"/>
  <c r="H246" i="45"/>
  <c r="H245" i="45"/>
  <c r="H244" i="45"/>
  <c r="H243" i="45"/>
  <c r="H242" i="45"/>
  <c r="H241" i="45"/>
  <c r="H240" i="45"/>
  <c r="H239" i="45"/>
  <c r="H238" i="45"/>
  <c r="H237" i="45"/>
  <c r="H236" i="45"/>
  <c r="H235" i="45"/>
  <c r="H234" i="45"/>
  <c r="H233" i="45"/>
  <c r="H232" i="45"/>
  <c r="H231" i="45"/>
  <c r="H230" i="45"/>
  <c r="H229" i="45"/>
  <c r="H228" i="45"/>
  <c r="H227" i="45"/>
  <c r="H226" i="45"/>
  <c r="H225" i="45"/>
  <c r="H224" i="45"/>
  <c r="H223" i="45"/>
  <c r="H222" i="45"/>
  <c r="H221" i="45"/>
  <c r="H220" i="45"/>
  <c r="H219" i="45"/>
  <c r="H218" i="45"/>
  <c r="H217" i="45"/>
  <c r="H216" i="45"/>
  <c r="H215" i="45"/>
  <c r="H214" i="45"/>
  <c r="H213" i="45"/>
  <c r="H212" i="45"/>
  <c r="H211" i="45"/>
  <c r="H210" i="45"/>
  <c r="H209" i="45"/>
  <c r="H208" i="45"/>
  <c r="H207" i="45"/>
  <c r="H206" i="45"/>
  <c r="H205" i="45"/>
  <c r="H204" i="45"/>
  <c r="H203" i="45"/>
  <c r="H202" i="45"/>
  <c r="H201" i="45"/>
  <c r="H200" i="45"/>
  <c r="H199" i="45"/>
  <c r="H198" i="45"/>
  <c r="H197" i="45"/>
  <c r="H196" i="45"/>
  <c r="H195" i="45"/>
  <c r="H194" i="45"/>
  <c r="H193" i="45"/>
  <c r="H192" i="45"/>
  <c r="H191" i="45"/>
  <c r="H190" i="45"/>
  <c r="H189" i="45"/>
  <c r="H188" i="45"/>
  <c r="H187" i="45"/>
  <c r="H186" i="45"/>
  <c r="H185" i="45"/>
  <c r="H184" i="45"/>
  <c r="H183" i="45"/>
  <c r="H182" i="45"/>
  <c r="H181" i="45"/>
  <c r="H180" i="45"/>
  <c r="H179" i="45"/>
  <c r="H178" i="45"/>
  <c r="H177" i="45"/>
  <c r="H176" i="45"/>
  <c r="H175" i="45"/>
  <c r="H174" i="45"/>
  <c r="H173" i="45"/>
  <c r="H172" i="45"/>
  <c r="H171" i="45"/>
  <c r="H170" i="45"/>
  <c r="H169" i="45"/>
  <c r="H168" i="45"/>
  <c r="H167" i="45"/>
  <c r="H166" i="45"/>
  <c r="H165" i="45"/>
  <c r="H164" i="45"/>
  <c r="H163" i="45"/>
  <c r="H162" i="45"/>
  <c r="H161" i="45"/>
  <c r="H160" i="45"/>
  <c r="H159" i="45"/>
  <c r="H158" i="45"/>
  <c r="H157" i="45"/>
  <c r="H156" i="45"/>
  <c r="H155" i="45"/>
  <c r="H154" i="45"/>
  <c r="H153" i="45"/>
  <c r="H152" i="45"/>
  <c r="H151" i="45"/>
  <c r="H150" i="45"/>
  <c r="H149" i="45"/>
  <c r="H148" i="45"/>
  <c r="H147" i="45"/>
  <c r="H146" i="45"/>
  <c r="H145" i="45"/>
  <c r="H144" i="45"/>
  <c r="H143" i="45"/>
  <c r="H142" i="45"/>
  <c r="H141" i="45"/>
  <c r="H140" i="45"/>
  <c r="H139" i="45"/>
  <c r="H138" i="45"/>
  <c r="H137" i="45"/>
  <c r="H136" i="45"/>
  <c r="H135" i="45"/>
  <c r="H134" i="45"/>
  <c r="H133" i="45"/>
  <c r="H132" i="45"/>
  <c r="H131" i="45"/>
  <c r="H130" i="45"/>
  <c r="H129" i="45"/>
  <c r="H128" i="45"/>
  <c r="H127" i="45"/>
  <c r="H126" i="45"/>
  <c r="H125" i="45"/>
  <c r="H124" i="45"/>
  <c r="H123" i="45"/>
  <c r="H122" i="45"/>
  <c r="H121" i="45"/>
  <c r="H120" i="45"/>
  <c r="H119" i="45"/>
  <c r="H118" i="45"/>
  <c r="H117" i="45"/>
  <c r="H116" i="45"/>
  <c r="H115" i="45"/>
  <c r="H114" i="45"/>
  <c r="H113" i="45"/>
  <c r="H112" i="45"/>
  <c r="H111" i="45"/>
  <c r="H110" i="45"/>
  <c r="H109" i="45"/>
  <c r="H108" i="45"/>
  <c r="H107" i="45"/>
  <c r="H106" i="45"/>
  <c r="H105" i="45"/>
  <c r="H104" i="45"/>
  <c r="H103" i="45"/>
  <c r="H102" i="45"/>
  <c r="H101" i="45"/>
  <c r="H100" i="45"/>
  <c r="H99" i="45"/>
  <c r="H98" i="45"/>
  <c r="H97" i="45"/>
  <c r="H96" i="45"/>
  <c r="H95" i="45"/>
  <c r="H94" i="45"/>
  <c r="H93" i="45"/>
  <c r="H92" i="45"/>
  <c r="H91" i="45"/>
  <c r="H90" i="45"/>
  <c r="H89" i="45"/>
  <c r="H88" i="45"/>
  <c r="H87" i="45"/>
  <c r="H86" i="45"/>
  <c r="H85" i="45"/>
  <c r="H84" i="45"/>
  <c r="H83" i="45"/>
  <c r="H82" i="45"/>
  <c r="H81" i="45"/>
  <c r="H80" i="45"/>
  <c r="H79" i="45"/>
  <c r="H78" i="45"/>
  <c r="H77" i="45"/>
  <c r="H76" i="45"/>
  <c r="H75" i="45"/>
  <c r="H74" i="45"/>
  <c r="H73" i="45"/>
  <c r="H72" i="45"/>
  <c r="H71" i="45"/>
  <c r="H70" i="45"/>
  <c r="H69" i="45"/>
  <c r="H68" i="45"/>
  <c r="H67" i="45"/>
  <c r="H66" i="45"/>
  <c r="H65" i="45"/>
  <c r="H64" i="45"/>
  <c r="H63" i="45"/>
  <c r="H62" i="45"/>
  <c r="H61" i="45"/>
  <c r="H60" i="45"/>
  <c r="H59" i="45"/>
  <c r="H58" i="45"/>
  <c r="H57" i="45"/>
  <c r="H56" i="45"/>
  <c r="H55" i="45"/>
  <c r="H54" i="45"/>
  <c r="H53" i="45"/>
  <c r="H52" i="45"/>
  <c r="H51" i="45"/>
  <c r="H50" i="45"/>
  <c r="H49" i="45"/>
  <c r="H48" i="45"/>
  <c r="H47" i="45"/>
  <c r="H46" i="45"/>
  <c r="H45" i="45"/>
  <c r="H44" i="45"/>
  <c r="H43" i="45"/>
  <c r="H42" i="45"/>
  <c r="H41" i="45"/>
  <c r="H40" i="45"/>
  <c r="H39" i="45"/>
  <c r="H38" i="45"/>
  <c r="H37" i="45"/>
  <c r="H36" i="45"/>
  <c r="H35" i="45"/>
  <c r="H34" i="45"/>
  <c r="H33" i="45"/>
  <c r="H32" i="45"/>
  <c r="H31" i="45"/>
  <c r="H30" i="45"/>
  <c r="H29" i="45"/>
  <c r="H28" i="45"/>
  <c r="H27" i="45"/>
  <c r="H26" i="45"/>
  <c r="H25" i="45"/>
  <c r="H24" i="45"/>
  <c r="H23" i="45"/>
  <c r="H22" i="45"/>
  <c r="H21" i="45"/>
  <c r="H20" i="45"/>
  <c r="H19" i="45"/>
  <c r="H18" i="45"/>
  <c r="H17" i="45"/>
  <c r="H16" i="45"/>
  <c r="H15" i="45"/>
  <c r="H14" i="45"/>
  <c r="H13" i="45"/>
  <c r="H12" i="45"/>
  <c r="H11" i="45"/>
  <c r="H10" i="45"/>
  <c r="H9" i="45"/>
  <c r="H8" i="45"/>
  <c r="H7" i="45"/>
  <c r="H6" i="45"/>
  <c r="H5" i="45"/>
  <c r="H4" i="45"/>
  <c r="F7" i="53" l="1"/>
  <c r="J7" i="53"/>
  <c r="N7" i="53"/>
  <c r="R7" i="53"/>
  <c r="V7" i="53"/>
  <c r="H10" i="53"/>
  <c r="P10" i="53"/>
  <c r="T10" i="53"/>
  <c r="X10" i="53"/>
  <c r="Y10" i="53"/>
  <c r="H4" i="53"/>
  <c r="X4" i="53"/>
  <c r="G7" i="53"/>
  <c r="K7" i="53"/>
  <c r="O7" i="53"/>
  <c r="S7" i="53"/>
  <c r="W7" i="53"/>
  <c r="P12" i="53"/>
  <c r="G4" i="53"/>
  <c r="K4" i="53"/>
  <c r="O4" i="53"/>
  <c r="S4" i="53"/>
  <c r="W4" i="53"/>
  <c r="AI4" i="53"/>
  <c r="I7" i="53"/>
  <c r="M7" i="53"/>
  <c r="Q7" i="53"/>
  <c r="U7" i="53"/>
  <c r="Y7" i="53"/>
  <c r="G10" i="53"/>
  <c r="K10" i="53"/>
  <c r="O10" i="53"/>
  <c r="S10" i="53"/>
  <c r="W10" i="53"/>
  <c r="AI10" i="53"/>
  <c r="E4" i="53"/>
  <c r="I4" i="53"/>
  <c r="M4" i="53"/>
  <c r="Q4" i="53"/>
  <c r="U4" i="53"/>
  <c r="Y4" i="53"/>
  <c r="AI7" i="53"/>
  <c r="F4" i="53"/>
  <c r="J4" i="53"/>
  <c r="N4" i="53"/>
  <c r="R4" i="53"/>
  <c r="V4" i="53"/>
  <c r="H9" i="28"/>
  <c r="L9" i="28"/>
  <c r="P9" i="28"/>
  <c r="T9" i="28"/>
  <c r="X9" i="28"/>
  <c r="E13" i="28"/>
  <c r="I13" i="28"/>
  <c r="M13" i="28"/>
  <c r="Q13" i="28"/>
  <c r="U13" i="28"/>
  <c r="F13" i="28"/>
  <c r="J13" i="28"/>
  <c r="N13" i="28"/>
  <c r="R13" i="28"/>
  <c r="K5" i="28"/>
  <c r="O5" i="28"/>
  <c r="S5" i="28"/>
  <c r="W5" i="28"/>
  <c r="P5" i="28"/>
  <c r="E9" i="28"/>
  <c r="I9" i="28"/>
  <c r="M9" i="28"/>
  <c r="Q9" i="28"/>
  <c r="U9" i="28"/>
  <c r="AI9" i="28"/>
  <c r="G13" i="28"/>
  <c r="K13" i="28"/>
  <c r="O13" i="28"/>
  <c r="S13" i="28"/>
  <c r="W13" i="28"/>
  <c r="X5" i="28"/>
  <c r="H5" i="28"/>
  <c r="F9" i="28"/>
  <c r="J9" i="28"/>
  <c r="N9" i="28"/>
  <c r="R9" i="28"/>
  <c r="V9" i="28"/>
  <c r="AI5" i="28"/>
  <c r="G9" i="28"/>
  <c r="K9" i="28"/>
  <c r="O9" i="28"/>
  <c r="S9" i="28"/>
  <c r="W9" i="28"/>
  <c r="H13" i="28"/>
  <c r="L13" i="28"/>
  <c r="P13" i="28"/>
  <c r="T13" i="28"/>
  <c r="X13" i="28"/>
  <c r="AI13" i="28"/>
  <c r="Y13" i="28"/>
  <c r="Y9" i="28"/>
  <c r="T596" i="45"/>
  <c r="S596" i="45"/>
  <c r="L596" i="45"/>
  <c r="J596" i="45"/>
  <c r="J5" i="45"/>
  <c r="J6" i="45"/>
  <c r="J7" i="45"/>
  <c r="J8" i="45"/>
  <c r="J9" i="45"/>
  <c r="J10" i="45"/>
  <c r="J11" i="45"/>
  <c r="J12" i="45"/>
  <c r="J13" i="45"/>
  <c r="J14" i="45"/>
  <c r="J15" i="45"/>
  <c r="J16" i="45"/>
  <c r="J17" i="45"/>
  <c r="J18" i="45"/>
  <c r="J19" i="45"/>
  <c r="J20" i="45"/>
  <c r="J21" i="45"/>
  <c r="J22" i="45"/>
  <c r="J23" i="45"/>
  <c r="J24" i="45"/>
  <c r="J25" i="45"/>
  <c r="J26" i="45"/>
  <c r="J27" i="45"/>
  <c r="J28" i="45"/>
  <c r="J29" i="45"/>
  <c r="J30" i="45"/>
  <c r="J31" i="45"/>
  <c r="J32" i="45"/>
  <c r="J33" i="45"/>
  <c r="J34" i="45"/>
  <c r="J35" i="45"/>
  <c r="J36" i="45"/>
  <c r="J37" i="45"/>
  <c r="J38" i="45"/>
  <c r="J39" i="45"/>
  <c r="J40" i="45"/>
  <c r="J41" i="45"/>
  <c r="J42" i="45"/>
  <c r="J43" i="45"/>
  <c r="J44" i="45"/>
  <c r="J45" i="45"/>
  <c r="J46" i="45"/>
  <c r="J47" i="45"/>
  <c r="J48" i="45"/>
  <c r="J49" i="45"/>
  <c r="J50" i="45"/>
  <c r="J51" i="45"/>
  <c r="J52" i="45"/>
  <c r="J53" i="45"/>
  <c r="J54" i="45"/>
  <c r="J55" i="45"/>
  <c r="J56" i="45"/>
  <c r="J57" i="45"/>
  <c r="J58" i="45"/>
  <c r="J59" i="45"/>
  <c r="J60" i="45"/>
  <c r="J61" i="45"/>
  <c r="J62" i="45"/>
  <c r="J63" i="45"/>
  <c r="J64" i="45"/>
  <c r="J65" i="45"/>
  <c r="J66" i="45"/>
  <c r="J67" i="45"/>
  <c r="J68" i="45"/>
  <c r="J69" i="45"/>
  <c r="J70" i="45"/>
  <c r="J71" i="45"/>
  <c r="J72" i="45"/>
  <c r="J73" i="45"/>
  <c r="J74" i="45"/>
  <c r="J75" i="45"/>
  <c r="J76" i="45"/>
  <c r="J77" i="45"/>
  <c r="J78" i="45"/>
  <c r="J79" i="45"/>
  <c r="J80" i="45"/>
  <c r="J81" i="45"/>
  <c r="J82" i="45"/>
  <c r="J83" i="45"/>
  <c r="J84" i="45"/>
  <c r="J85" i="45"/>
  <c r="J86" i="45"/>
  <c r="J87" i="45"/>
  <c r="J88" i="45"/>
  <c r="J89" i="45"/>
  <c r="J90" i="45"/>
  <c r="J91" i="45"/>
  <c r="J92" i="45"/>
  <c r="J93" i="45"/>
  <c r="J94" i="45"/>
  <c r="J95" i="45"/>
  <c r="J96" i="45"/>
  <c r="J97" i="45"/>
  <c r="J98" i="45"/>
  <c r="J99" i="45"/>
  <c r="J100" i="45"/>
  <c r="J101" i="45"/>
  <c r="J102" i="45"/>
  <c r="J103" i="45"/>
  <c r="J104" i="45"/>
  <c r="J105" i="45"/>
  <c r="J106" i="45"/>
  <c r="J107" i="45"/>
  <c r="J108" i="45"/>
  <c r="J109" i="45"/>
  <c r="J110" i="45"/>
  <c r="J111" i="45"/>
  <c r="J112" i="45"/>
  <c r="J113" i="45"/>
  <c r="J114" i="45"/>
  <c r="J115" i="45"/>
  <c r="J116" i="45"/>
  <c r="J117" i="45"/>
  <c r="J118" i="45"/>
  <c r="J119" i="45"/>
  <c r="J120" i="45"/>
  <c r="J121" i="45"/>
  <c r="J122" i="45"/>
  <c r="J123" i="45"/>
  <c r="J124" i="45"/>
  <c r="J125" i="45"/>
  <c r="J126" i="45"/>
  <c r="J127" i="45"/>
  <c r="J128" i="45"/>
  <c r="J129" i="45"/>
  <c r="J130" i="45"/>
  <c r="J131" i="45"/>
  <c r="J132" i="45"/>
  <c r="J133" i="45"/>
  <c r="J134" i="45"/>
  <c r="J135" i="45"/>
  <c r="J136" i="45"/>
  <c r="J137" i="45"/>
  <c r="J138" i="45"/>
  <c r="J139" i="45"/>
  <c r="J140" i="45"/>
  <c r="J141" i="45"/>
  <c r="J142" i="45"/>
  <c r="J143" i="45"/>
  <c r="J144" i="45"/>
  <c r="J145" i="45"/>
  <c r="J146" i="45"/>
  <c r="J147" i="45"/>
  <c r="J148" i="45"/>
  <c r="J149" i="45"/>
  <c r="J150" i="45"/>
  <c r="J151" i="45"/>
  <c r="J152" i="45"/>
  <c r="J153" i="45"/>
  <c r="J154" i="45"/>
  <c r="J155" i="45"/>
  <c r="J156" i="45"/>
  <c r="J157" i="45"/>
  <c r="J158" i="45"/>
  <c r="J159" i="45"/>
  <c r="J160" i="45"/>
  <c r="J161" i="45"/>
  <c r="J162" i="45"/>
  <c r="J163" i="45"/>
  <c r="J164" i="45"/>
  <c r="J165" i="45"/>
  <c r="J166" i="45"/>
  <c r="J167" i="45"/>
  <c r="J168" i="45"/>
  <c r="J169" i="45"/>
  <c r="J170" i="45"/>
  <c r="J171" i="45"/>
  <c r="J172" i="45"/>
  <c r="J173" i="45"/>
  <c r="J174" i="45"/>
  <c r="J175" i="45"/>
  <c r="J176" i="45"/>
  <c r="J177" i="45"/>
  <c r="J178" i="45"/>
  <c r="J179" i="45"/>
  <c r="J180" i="45"/>
  <c r="J181" i="45"/>
  <c r="J182" i="45"/>
  <c r="J183" i="45"/>
  <c r="J184" i="45"/>
  <c r="J185" i="45"/>
  <c r="J186" i="45"/>
  <c r="J187" i="45"/>
  <c r="J188" i="45"/>
  <c r="J189" i="45"/>
  <c r="J190" i="45"/>
  <c r="J191" i="45"/>
  <c r="J192" i="45"/>
  <c r="J193" i="45"/>
  <c r="J194" i="45"/>
  <c r="J195" i="45"/>
  <c r="J196" i="45"/>
  <c r="J197" i="45"/>
  <c r="J198" i="45"/>
  <c r="J199" i="45"/>
  <c r="J200" i="45"/>
  <c r="J201" i="45"/>
  <c r="J202" i="45"/>
  <c r="J203" i="45"/>
  <c r="J204" i="45"/>
  <c r="J205" i="45"/>
  <c r="J206" i="45"/>
  <c r="J207" i="45"/>
  <c r="J208" i="45"/>
  <c r="J209" i="45"/>
  <c r="J210" i="45"/>
  <c r="J211" i="45"/>
  <c r="J212" i="45"/>
  <c r="J213" i="45"/>
  <c r="J214" i="45"/>
  <c r="J215" i="45"/>
  <c r="J216" i="45"/>
  <c r="J217" i="45"/>
  <c r="J218" i="45"/>
  <c r="J219" i="45"/>
  <c r="J220" i="45"/>
  <c r="J221" i="45"/>
  <c r="J222" i="45"/>
  <c r="J223" i="45"/>
  <c r="J224" i="45"/>
  <c r="J225" i="45"/>
  <c r="J226" i="45"/>
  <c r="J227" i="45"/>
  <c r="J228" i="45"/>
  <c r="J229" i="45"/>
  <c r="J230" i="45"/>
  <c r="J231" i="45"/>
  <c r="J232" i="45"/>
  <c r="J233" i="45"/>
  <c r="J234" i="45"/>
  <c r="J235" i="45"/>
  <c r="J236" i="45"/>
  <c r="J237" i="45"/>
  <c r="J238" i="45"/>
  <c r="J239" i="45"/>
  <c r="J240" i="45"/>
  <c r="J241" i="45"/>
  <c r="J242" i="45"/>
  <c r="J243" i="45"/>
  <c r="J244" i="45"/>
  <c r="J245" i="45"/>
  <c r="J246" i="45"/>
  <c r="J247" i="45"/>
  <c r="J248" i="45"/>
  <c r="J249" i="45"/>
  <c r="J250" i="45"/>
  <c r="J251" i="45"/>
  <c r="J252" i="45"/>
  <c r="J253" i="45"/>
  <c r="J254" i="45"/>
  <c r="J255" i="45"/>
  <c r="J256" i="45"/>
  <c r="J257" i="45"/>
  <c r="J258" i="45"/>
  <c r="J259" i="45"/>
  <c r="J260" i="45"/>
  <c r="J261" i="45"/>
  <c r="J262" i="45"/>
  <c r="J263" i="45"/>
  <c r="J264" i="45"/>
  <c r="J265" i="45"/>
  <c r="J266" i="45"/>
  <c r="J267" i="45"/>
  <c r="J268" i="45"/>
  <c r="J269" i="45"/>
  <c r="J270" i="45"/>
  <c r="J271" i="45"/>
  <c r="J272" i="45"/>
  <c r="J273" i="45"/>
  <c r="J274" i="45"/>
  <c r="J275" i="45"/>
  <c r="J276" i="45"/>
  <c r="R276" i="45" s="1"/>
  <c r="T276" i="45" s="1"/>
  <c r="J277" i="45"/>
  <c r="J278" i="45"/>
  <c r="J279" i="45"/>
  <c r="J280" i="45"/>
  <c r="J281" i="45"/>
  <c r="J282" i="45"/>
  <c r="J283" i="45"/>
  <c r="J284" i="45"/>
  <c r="J285" i="45"/>
  <c r="J286" i="45"/>
  <c r="J287" i="45"/>
  <c r="J288" i="45"/>
  <c r="J289" i="45"/>
  <c r="J290" i="45"/>
  <c r="J291" i="45"/>
  <c r="J292" i="45"/>
  <c r="J293" i="45"/>
  <c r="J294" i="45"/>
  <c r="J295" i="45"/>
  <c r="J296" i="45"/>
  <c r="J297" i="45"/>
  <c r="J298" i="45"/>
  <c r="J299" i="45"/>
  <c r="J300" i="45"/>
  <c r="J301" i="45"/>
  <c r="J302" i="45"/>
  <c r="J303" i="45"/>
  <c r="J304" i="45"/>
  <c r="J305" i="45"/>
  <c r="J306" i="45"/>
  <c r="J307" i="45"/>
  <c r="J308" i="45"/>
  <c r="J309" i="45"/>
  <c r="J310" i="45"/>
  <c r="J311" i="45"/>
  <c r="J312" i="45"/>
  <c r="J313" i="45"/>
  <c r="J314" i="45"/>
  <c r="J315" i="45"/>
  <c r="J316" i="45"/>
  <c r="J317" i="45"/>
  <c r="J318" i="45"/>
  <c r="J319" i="45"/>
  <c r="J320" i="45"/>
  <c r="J321" i="45"/>
  <c r="J322" i="45"/>
  <c r="J323" i="45"/>
  <c r="J324" i="45"/>
  <c r="J325" i="45"/>
  <c r="J326" i="45"/>
  <c r="J327" i="45"/>
  <c r="J328" i="45"/>
  <c r="J329" i="45"/>
  <c r="J330" i="45"/>
  <c r="J331" i="45"/>
  <c r="J332" i="45"/>
  <c r="J333" i="45"/>
  <c r="J334" i="45"/>
  <c r="J335" i="45"/>
  <c r="J336" i="45"/>
  <c r="J337" i="45"/>
  <c r="J338" i="45"/>
  <c r="J339" i="45"/>
  <c r="J340" i="45"/>
  <c r="J341" i="45"/>
  <c r="J342" i="45"/>
  <c r="J343" i="45"/>
  <c r="J344" i="45"/>
  <c r="J345" i="45"/>
  <c r="J346" i="45"/>
  <c r="J347" i="45"/>
  <c r="J348" i="45"/>
  <c r="J349" i="45"/>
  <c r="J350" i="45"/>
  <c r="J351" i="45"/>
  <c r="J352" i="45"/>
  <c r="J353" i="45"/>
  <c r="J354" i="45"/>
  <c r="J355" i="45"/>
  <c r="J356" i="45"/>
  <c r="J357" i="45"/>
  <c r="J358" i="45"/>
  <c r="J359" i="45"/>
  <c r="J360" i="45"/>
  <c r="J361" i="45"/>
  <c r="J362" i="45"/>
  <c r="J363" i="45"/>
  <c r="J364" i="45"/>
  <c r="J365" i="45"/>
  <c r="J366" i="45"/>
  <c r="J367" i="45"/>
  <c r="J368" i="45"/>
  <c r="J369" i="45"/>
  <c r="J370" i="45"/>
  <c r="J371" i="45"/>
  <c r="J372" i="45"/>
  <c r="J373" i="45"/>
  <c r="J374" i="45"/>
  <c r="J375" i="45"/>
  <c r="J376" i="45"/>
  <c r="J377" i="45"/>
  <c r="J378" i="45"/>
  <c r="J379" i="45"/>
  <c r="J380" i="45"/>
  <c r="J381" i="45"/>
  <c r="J382" i="45"/>
  <c r="J383" i="45"/>
  <c r="J384" i="45"/>
  <c r="J385" i="45"/>
  <c r="J386" i="45"/>
  <c r="J387" i="45"/>
  <c r="J388" i="45"/>
  <c r="J389" i="45"/>
  <c r="J390" i="45"/>
  <c r="J391" i="45"/>
  <c r="J392" i="45"/>
  <c r="J393" i="45"/>
  <c r="J394" i="45"/>
  <c r="J395" i="45"/>
  <c r="J396" i="45"/>
  <c r="J397" i="45"/>
  <c r="J398" i="45"/>
  <c r="J399" i="45"/>
  <c r="J400" i="45"/>
  <c r="J401" i="45"/>
  <c r="J402" i="45"/>
  <c r="J403" i="45"/>
  <c r="J404" i="45"/>
  <c r="J405" i="45"/>
  <c r="J406" i="45"/>
  <c r="J407" i="45"/>
  <c r="J408" i="45"/>
  <c r="J409" i="45"/>
  <c r="J410" i="45"/>
  <c r="J411" i="45"/>
  <c r="J412" i="45"/>
  <c r="J413" i="45"/>
  <c r="J414" i="45"/>
  <c r="J415" i="45"/>
  <c r="J416" i="45"/>
  <c r="J417" i="45"/>
  <c r="J418" i="45"/>
  <c r="J419" i="45"/>
  <c r="J420" i="45"/>
  <c r="J421" i="45"/>
  <c r="J422" i="45"/>
  <c r="J423" i="45"/>
  <c r="J424" i="45"/>
  <c r="J425" i="45"/>
  <c r="J426" i="45"/>
  <c r="J427" i="45"/>
  <c r="J428" i="45"/>
  <c r="J429" i="45"/>
  <c r="J430" i="45"/>
  <c r="J431" i="45"/>
  <c r="J432" i="45"/>
  <c r="J433" i="45"/>
  <c r="J434" i="45"/>
  <c r="J435" i="45"/>
  <c r="J436" i="45"/>
  <c r="J437" i="45"/>
  <c r="J438" i="45"/>
  <c r="J439" i="45"/>
  <c r="J440" i="45"/>
  <c r="J441" i="45"/>
  <c r="J442" i="45"/>
  <c r="J443" i="45"/>
  <c r="J444" i="45"/>
  <c r="J445" i="45"/>
  <c r="J446" i="45"/>
  <c r="J447" i="45"/>
  <c r="J448" i="45"/>
  <c r="J449" i="45"/>
  <c r="J450" i="45"/>
  <c r="J451" i="45"/>
  <c r="J452" i="45"/>
  <c r="J453" i="45"/>
  <c r="J454" i="45"/>
  <c r="J455" i="45"/>
  <c r="J456" i="45"/>
  <c r="J457" i="45"/>
  <c r="J458" i="45"/>
  <c r="J459" i="45"/>
  <c r="J460" i="45"/>
  <c r="J461" i="45"/>
  <c r="J462" i="45"/>
  <c r="J463" i="45"/>
  <c r="J464" i="45"/>
  <c r="J465" i="45"/>
  <c r="J466" i="45"/>
  <c r="J467" i="45"/>
  <c r="J468" i="45"/>
  <c r="J469" i="45"/>
  <c r="J470" i="45"/>
  <c r="J471" i="45"/>
  <c r="J472" i="45"/>
  <c r="J473" i="45"/>
  <c r="J474" i="45"/>
  <c r="J475" i="45"/>
  <c r="J476" i="45"/>
  <c r="J477" i="45"/>
  <c r="J478" i="45"/>
  <c r="J479" i="45"/>
  <c r="J480" i="45"/>
  <c r="J481" i="45"/>
  <c r="J482" i="45"/>
  <c r="J483" i="45"/>
  <c r="J484" i="45"/>
  <c r="J485" i="45"/>
  <c r="J486" i="45"/>
  <c r="J487" i="45"/>
  <c r="J488" i="45"/>
  <c r="J489" i="45"/>
  <c r="J490" i="45"/>
  <c r="J491" i="45"/>
  <c r="J492" i="45"/>
  <c r="J493" i="45"/>
  <c r="J494" i="45"/>
  <c r="J495" i="45"/>
  <c r="J496" i="45"/>
  <c r="J497" i="45"/>
  <c r="J498" i="45"/>
  <c r="J499" i="45"/>
  <c r="J500" i="45"/>
  <c r="J501" i="45"/>
  <c r="J502" i="45"/>
  <c r="J503" i="45"/>
  <c r="J504" i="45"/>
  <c r="J505" i="45"/>
  <c r="J506" i="45"/>
  <c r="J507" i="45"/>
  <c r="J508" i="45"/>
  <c r="J509" i="45"/>
  <c r="J510" i="45"/>
  <c r="J511" i="45"/>
  <c r="J512" i="45"/>
  <c r="J513" i="45"/>
  <c r="J514" i="45"/>
  <c r="J515" i="45"/>
  <c r="J516" i="45"/>
  <c r="J517" i="45"/>
  <c r="J518" i="45"/>
  <c r="J519" i="45"/>
  <c r="J520" i="45"/>
  <c r="J521" i="45"/>
  <c r="J522" i="45"/>
  <c r="J523" i="45"/>
  <c r="J524" i="45"/>
  <c r="J525" i="45"/>
  <c r="J526" i="45"/>
  <c r="J527" i="45"/>
  <c r="J528" i="45"/>
  <c r="J529" i="45"/>
  <c r="J530" i="45"/>
  <c r="J531" i="45"/>
  <c r="J532" i="45"/>
  <c r="J533" i="45"/>
  <c r="J534" i="45"/>
  <c r="J535" i="45"/>
  <c r="J536" i="45"/>
  <c r="J537" i="45"/>
  <c r="J538" i="45"/>
  <c r="J539" i="45"/>
  <c r="J540" i="45"/>
  <c r="J541" i="45"/>
  <c r="J542" i="45"/>
  <c r="J543" i="45"/>
  <c r="J544" i="45"/>
  <c r="J545" i="45"/>
  <c r="J546" i="45"/>
  <c r="J547" i="45"/>
  <c r="J548" i="45"/>
  <c r="J549" i="45"/>
  <c r="J550" i="45"/>
  <c r="J551" i="45"/>
  <c r="J552" i="45"/>
  <c r="J553" i="45"/>
  <c r="J554" i="45"/>
  <c r="J555" i="45"/>
  <c r="J556" i="45"/>
  <c r="J557" i="45"/>
  <c r="J558" i="45"/>
  <c r="J559" i="45"/>
  <c r="J560" i="45"/>
  <c r="J561" i="45"/>
  <c r="J562" i="45"/>
  <c r="J563" i="45"/>
  <c r="J564" i="45"/>
  <c r="J565" i="45"/>
  <c r="J566" i="45"/>
  <c r="J567" i="45"/>
  <c r="J568" i="45"/>
  <c r="J569" i="45"/>
  <c r="J570" i="45"/>
  <c r="J571" i="45"/>
  <c r="J572" i="45"/>
  <c r="J573" i="45"/>
  <c r="J574" i="45"/>
  <c r="J575" i="45"/>
  <c r="J576" i="45"/>
  <c r="J577" i="45"/>
  <c r="J578" i="45"/>
  <c r="J579" i="45"/>
  <c r="J580" i="45"/>
  <c r="R580" i="45" s="1"/>
  <c r="T580" i="45" s="1"/>
  <c r="J581" i="45"/>
  <c r="J582" i="45"/>
  <c r="J583" i="45"/>
  <c r="J584" i="45"/>
  <c r="J585" i="45"/>
  <c r="J586" i="45"/>
  <c r="J587" i="45"/>
  <c r="J588" i="45"/>
  <c r="J589" i="45"/>
  <c r="J590" i="45"/>
  <c r="J591" i="45"/>
  <c r="J592" i="45"/>
  <c r="J593" i="45"/>
  <c r="J594" i="45"/>
  <c r="J595" i="45"/>
  <c r="J597" i="45"/>
  <c r="J598" i="45"/>
  <c r="J599" i="45"/>
  <c r="J600" i="45"/>
  <c r="J601" i="45"/>
  <c r="J602" i="45"/>
  <c r="J603" i="45"/>
  <c r="J604" i="45"/>
  <c r="J605" i="45"/>
  <c r="J606" i="45"/>
  <c r="J607" i="45"/>
  <c r="J608" i="45"/>
  <c r="J609" i="45"/>
  <c r="J610" i="45"/>
  <c r="J611" i="45"/>
  <c r="J612" i="45"/>
  <c r="J613" i="45"/>
  <c r="J614" i="45"/>
  <c r="J615" i="45"/>
  <c r="J616" i="45"/>
  <c r="J617" i="45"/>
  <c r="J618" i="45"/>
  <c r="J619" i="45"/>
  <c r="J620" i="45"/>
  <c r="J621" i="45"/>
  <c r="J622" i="45"/>
  <c r="J623" i="45"/>
  <c r="J624" i="45"/>
  <c r="J625" i="45"/>
  <c r="J626" i="45"/>
  <c r="J627" i="45"/>
  <c r="J628" i="45"/>
  <c r="J629" i="45"/>
  <c r="J630" i="45"/>
  <c r="J631" i="45"/>
  <c r="J632" i="45"/>
  <c r="J633" i="45"/>
  <c r="J634" i="45"/>
  <c r="J635" i="45"/>
  <c r="J636" i="45"/>
  <c r="J637" i="45"/>
  <c r="J638" i="45"/>
  <c r="J639" i="45"/>
  <c r="J640" i="45"/>
  <c r="J641" i="45"/>
  <c r="J642" i="45"/>
  <c r="J643" i="45"/>
  <c r="J644" i="45"/>
  <c r="J645" i="45"/>
  <c r="J646" i="45"/>
  <c r="J647" i="45"/>
  <c r="J648" i="45"/>
  <c r="J649" i="45"/>
  <c r="J650" i="45"/>
  <c r="J651" i="45"/>
  <c r="J652" i="45"/>
  <c r="J653" i="45"/>
  <c r="J654" i="45"/>
  <c r="J655" i="45"/>
  <c r="J656" i="45"/>
  <c r="J657" i="45"/>
  <c r="J658" i="45"/>
  <c r="J659" i="45"/>
  <c r="J660" i="45"/>
  <c r="J661" i="45"/>
  <c r="J662" i="45"/>
  <c r="J663" i="45"/>
  <c r="J664" i="45"/>
  <c r="J665" i="45"/>
  <c r="J666" i="45"/>
  <c r="J667" i="45"/>
  <c r="J668" i="45"/>
  <c r="J669" i="45"/>
  <c r="J670" i="45"/>
  <c r="J671" i="45"/>
  <c r="J672" i="45"/>
  <c r="J673" i="45"/>
  <c r="J674" i="45"/>
  <c r="J675" i="45"/>
  <c r="J676" i="45"/>
  <c r="J677" i="45"/>
  <c r="J678" i="45"/>
  <c r="J679" i="45"/>
  <c r="J680" i="45"/>
  <c r="J681" i="45"/>
  <c r="J682" i="45"/>
  <c r="J683" i="45"/>
  <c r="J684" i="45"/>
  <c r="J685" i="45"/>
  <c r="J686" i="45"/>
  <c r="J687" i="45"/>
  <c r="J688" i="45"/>
  <c r="J689" i="45"/>
  <c r="J690" i="45"/>
  <c r="J691" i="45"/>
  <c r="J692" i="45"/>
  <c r="J693" i="45"/>
  <c r="J694" i="45"/>
  <c r="J695" i="45"/>
  <c r="J696" i="45"/>
  <c r="J697" i="45"/>
  <c r="J698" i="45"/>
  <c r="J699" i="45"/>
  <c r="J700" i="45"/>
  <c r="J701" i="45"/>
  <c r="J702" i="45"/>
  <c r="J703" i="45"/>
  <c r="J704" i="45"/>
  <c r="J705" i="45"/>
  <c r="J706" i="45"/>
  <c r="J707" i="45"/>
  <c r="J708" i="45"/>
  <c r="J709" i="45"/>
  <c r="J710" i="45"/>
  <c r="J711" i="45"/>
  <c r="J712" i="45"/>
  <c r="J713" i="45"/>
  <c r="J714" i="45"/>
  <c r="J715" i="45"/>
  <c r="J716" i="45"/>
  <c r="J717" i="45"/>
  <c r="J718" i="45"/>
  <c r="J719" i="45"/>
  <c r="J720" i="45"/>
  <c r="J721" i="45"/>
  <c r="J722" i="45"/>
  <c r="J723" i="45"/>
  <c r="J724" i="45"/>
  <c r="J725" i="45"/>
  <c r="J726" i="45"/>
  <c r="J727" i="45"/>
  <c r="J728" i="45"/>
  <c r="J729" i="45"/>
  <c r="J730" i="45"/>
  <c r="J731" i="45"/>
  <c r="J732" i="45"/>
  <c r="J733" i="45"/>
  <c r="J734" i="45"/>
  <c r="J735" i="45"/>
  <c r="J736" i="45"/>
  <c r="J737" i="45"/>
  <c r="J738" i="45"/>
  <c r="J739" i="45"/>
  <c r="J740" i="45"/>
  <c r="J741" i="45"/>
  <c r="J742" i="45"/>
  <c r="J743" i="45"/>
  <c r="J744" i="45"/>
  <c r="J745" i="45"/>
  <c r="J746" i="45"/>
  <c r="J747" i="45"/>
  <c r="J748" i="45"/>
  <c r="J749" i="45"/>
  <c r="J750" i="45"/>
  <c r="J751" i="45"/>
  <c r="J752" i="45"/>
  <c r="J753" i="45"/>
  <c r="J754" i="45"/>
  <c r="J755" i="45"/>
  <c r="J756" i="45"/>
  <c r="J757" i="45"/>
  <c r="J758" i="45"/>
  <c r="J759" i="45"/>
  <c r="J760" i="45"/>
  <c r="J761" i="45"/>
  <c r="J762" i="45"/>
  <c r="J763" i="45"/>
  <c r="J764" i="45"/>
  <c r="J765" i="45"/>
  <c r="J766" i="45"/>
  <c r="J767" i="45"/>
  <c r="J768" i="45"/>
  <c r="J769" i="45"/>
  <c r="J770" i="45"/>
  <c r="J771" i="45"/>
  <c r="J772" i="45"/>
  <c r="J773" i="45"/>
  <c r="J774" i="45"/>
  <c r="J775" i="45"/>
  <c r="J776" i="45"/>
  <c r="J777" i="45"/>
  <c r="J778" i="45"/>
  <c r="J779" i="45"/>
  <c r="J780" i="45"/>
  <c r="J781" i="45"/>
  <c r="J782" i="45"/>
  <c r="J783" i="45"/>
  <c r="J784" i="45"/>
  <c r="J785" i="45"/>
  <c r="J786" i="45"/>
  <c r="J787" i="45"/>
  <c r="J788" i="45"/>
  <c r="J789" i="45"/>
  <c r="J790" i="45"/>
  <c r="J791" i="45"/>
  <c r="J792" i="45"/>
  <c r="J793" i="45"/>
  <c r="J794" i="45"/>
  <c r="J795" i="45"/>
  <c r="J796" i="45"/>
  <c r="J797" i="45"/>
  <c r="J798" i="45"/>
  <c r="J799" i="45"/>
  <c r="J800" i="45"/>
  <c r="J801" i="45"/>
  <c r="J802" i="45"/>
  <c r="J803" i="45"/>
  <c r="J804" i="45"/>
  <c r="J805" i="45"/>
  <c r="J806" i="45"/>
  <c r="J807" i="45"/>
  <c r="J808" i="45"/>
  <c r="J809" i="45"/>
  <c r="J810" i="45"/>
  <c r="J811" i="45"/>
  <c r="J812" i="45"/>
  <c r="J813" i="45"/>
  <c r="J814" i="45"/>
  <c r="J815" i="45"/>
  <c r="J816" i="45"/>
  <c r="J817" i="45"/>
  <c r="J818" i="45"/>
  <c r="J819" i="45"/>
  <c r="J820" i="45"/>
  <c r="J821" i="45"/>
  <c r="J822" i="45"/>
  <c r="J823" i="45"/>
  <c r="J824" i="45"/>
  <c r="J825" i="45"/>
  <c r="J826" i="45"/>
  <c r="J827" i="45"/>
  <c r="J828" i="45"/>
  <c r="J829" i="45"/>
  <c r="J830" i="45"/>
  <c r="J831" i="45"/>
  <c r="J832" i="45"/>
  <c r="J833" i="45"/>
  <c r="J834" i="45"/>
  <c r="J835" i="45"/>
  <c r="J836" i="45"/>
  <c r="J837" i="45"/>
  <c r="J838" i="45"/>
  <c r="J839" i="45"/>
  <c r="J840" i="45"/>
  <c r="J841" i="45"/>
  <c r="J842" i="45"/>
  <c r="J843" i="45"/>
  <c r="J844" i="45"/>
  <c r="J845" i="45"/>
  <c r="J846" i="45"/>
  <c r="J847" i="45"/>
  <c r="J848" i="45"/>
  <c r="J849" i="45"/>
  <c r="J850" i="45"/>
  <c r="J851" i="45"/>
  <c r="J852" i="45"/>
  <c r="J853" i="45"/>
  <c r="J854" i="45"/>
  <c r="J855" i="45"/>
  <c r="J856" i="45"/>
  <c r="J857" i="45"/>
  <c r="J858" i="45"/>
  <c r="J859" i="45"/>
  <c r="J860" i="45"/>
  <c r="J861" i="45"/>
  <c r="J862" i="45"/>
  <c r="J863" i="45"/>
  <c r="J864" i="45"/>
  <c r="J865" i="45"/>
  <c r="J866" i="45"/>
  <c r="J867" i="45"/>
  <c r="J868" i="45"/>
  <c r="J869" i="45"/>
  <c r="J870" i="45"/>
  <c r="J871" i="45"/>
  <c r="J872" i="45"/>
  <c r="J873" i="45"/>
  <c r="J874" i="45"/>
  <c r="J875" i="45"/>
  <c r="J876" i="45"/>
  <c r="J877" i="45"/>
  <c r="J878" i="45"/>
  <c r="J879" i="45"/>
  <c r="J880" i="45"/>
  <c r="J881" i="45"/>
  <c r="J882" i="45"/>
  <c r="J883" i="45"/>
  <c r="J884" i="45"/>
  <c r="J885" i="45"/>
  <c r="J886" i="45"/>
  <c r="J887" i="45"/>
  <c r="J888" i="45"/>
  <c r="J889" i="45"/>
  <c r="J890" i="45"/>
  <c r="J891" i="45"/>
  <c r="J892" i="45"/>
  <c r="J893" i="45"/>
  <c r="J894" i="45"/>
  <c r="J895" i="45"/>
  <c r="J896" i="45"/>
  <c r="J897" i="45"/>
  <c r="J898" i="45"/>
  <c r="J899" i="45"/>
  <c r="J900" i="45"/>
  <c r="J901" i="45"/>
  <c r="J902" i="45"/>
  <c r="J903" i="45"/>
  <c r="J904" i="45"/>
  <c r="J905" i="45"/>
  <c r="J906" i="45"/>
  <c r="J907" i="45"/>
  <c r="J908" i="45"/>
  <c r="J909" i="45"/>
  <c r="J910" i="45"/>
  <c r="J911" i="45"/>
  <c r="J912" i="45"/>
  <c r="J913" i="45"/>
  <c r="J914" i="45"/>
  <c r="J915" i="45"/>
  <c r="J916" i="45"/>
  <c r="J917" i="45"/>
  <c r="J918" i="45"/>
  <c r="J919" i="45"/>
  <c r="J920" i="45"/>
  <c r="J921" i="45"/>
  <c r="J922" i="45"/>
  <c r="J923" i="45"/>
  <c r="J924" i="45"/>
  <c r="J925" i="45"/>
  <c r="J926" i="45"/>
  <c r="J927" i="45"/>
  <c r="J928" i="45"/>
  <c r="J929" i="45"/>
  <c r="J930" i="45"/>
  <c r="J931" i="45"/>
  <c r="J932" i="45"/>
  <c r="J933" i="45"/>
  <c r="J934" i="45"/>
  <c r="J935" i="45"/>
  <c r="J936" i="45"/>
  <c r="J937" i="45"/>
  <c r="J938" i="45"/>
  <c r="J939" i="45"/>
  <c r="J940" i="45"/>
  <c r="J941" i="45"/>
  <c r="J942" i="45"/>
  <c r="J943" i="45"/>
  <c r="J944" i="45"/>
  <c r="J945" i="45"/>
  <c r="J946" i="45"/>
  <c r="J947" i="45"/>
  <c r="J948" i="45"/>
  <c r="J949" i="45"/>
  <c r="J950" i="45"/>
  <c r="J951" i="45"/>
  <c r="J952" i="45"/>
  <c r="J953" i="45"/>
  <c r="J954" i="45"/>
  <c r="J955" i="45"/>
  <c r="J956" i="45"/>
  <c r="J957" i="45"/>
  <c r="J958" i="45"/>
  <c r="J959" i="45"/>
  <c r="J960" i="45"/>
  <c r="J961" i="45"/>
  <c r="J962" i="45"/>
  <c r="J963" i="45"/>
  <c r="J964" i="45"/>
  <c r="J965" i="45"/>
  <c r="J966" i="45"/>
  <c r="J967" i="45"/>
  <c r="J968" i="45"/>
  <c r="J969" i="45"/>
  <c r="J970" i="45"/>
  <c r="J971" i="45"/>
  <c r="J972" i="45"/>
  <c r="J973" i="45"/>
  <c r="J974" i="45"/>
  <c r="J975" i="45"/>
  <c r="J976" i="45"/>
  <c r="J977" i="45"/>
  <c r="J978" i="45"/>
  <c r="J979" i="45"/>
  <c r="J980" i="45"/>
  <c r="J981" i="45"/>
  <c r="J982" i="45"/>
  <c r="J983" i="45"/>
  <c r="J984" i="45"/>
  <c r="J985" i="45"/>
  <c r="J986" i="45"/>
  <c r="J987" i="45"/>
  <c r="J988" i="45"/>
  <c r="J989" i="45"/>
  <c r="J990" i="45"/>
  <c r="J991" i="45"/>
  <c r="J992" i="45"/>
  <c r="J993" i="45"/>
  <c r="J994" i="45"/>
  <c r="J995" i="45"/>
  <c r="J996" i="45"/>
  <c r="J997" i="45"/>
  <c r="J998" i="45"/>
  <c r="J999" i="45"/>
  <c r="J1000" i="45"/>
  <c r="J1001" i="45"/>
  <c r="J1002" i="45"/>
  <c r="J1003" i="45"/>
  <c r="J1004" i="45"/>
  <c r="J1005" i="45"/>
  <c r="J1006" i="45"/>
  <c r="J1007" i="45"/>
  <c r="J1008" i="45"/>
  <c r="J1009" i="45"/>
  <c r="J1010" i="45"/>
  <c r="J1011" i="45"/>
  <c r="J1012" i="45"/>
  <c r="J1013" i="45"/>
  <c r="J1014" i="45"/>
  <c r="J1015" i="45"/>
  <c r="J1016" i="45"/>
  <c r="J1017" i="45"/>
  <c r="J1018" i="45"/>
  <c r="J1019" i="45"/>
  <c r="J1020" i="45"/>
  <c r="J1021" i="45"/>
  <c r="J1022" i="45"/>
  <c r="J1023" i="45"/>
  <c r="J1024" i="45"/>
  <c r="J1025" i="45"/>
  <c r="J1026" i="45"/>
  <c r="J1027" i="45"/>
  <c r="J1028" i="45"/>
  <c r="J1029" i="45"/>
  <c r="J1030" i="45"/>
  <c r="J1031" i="45"/>
  <c r="J1032" i="45"/>
  <c r="J1033" i="45"/>
  <c r="J1034" i="45"/>
  <c r="J1035" i="45"/>
  <c r="J1036" i="45"/>
  <c r="J1037" i="45"/>
  <c r="J1038" i="45"/>
  <c r="J1039" i="45"/>
  <c r="J1040" i="45"/>
  <c r="J1041" i="45"/>
  <c r="J1042" i="45"/>
  <c r="J1043" i="45"/>
  <c r="J1044" i="45"/>
  <c r="J1045" i="45"/>
  <c r="J1046" i="45"/>
  <c r="J1047" i="45"/>
  <c r="J1048" i="45"/>
  <c r="J1049" i="45"/>
  <c r="J1050" i="45"/>
  <c r="J1051" i="45"/>
  <c r="J1052" i="45"/>
  <c r="J1053" i="45"/>
  <c r="J1054" i="45"/>
  <c r="J1055" i="45"/>
  <c r="J1056" i="45"/>
  <c r="J1057" i="45"/>
  <c r="J1058" i="45"/>
  <c r="J1059" i="45"/>
  <c r="J1060" i="45"/>
  <c r="J1061" i="45"/>
  <c r="J1062" i="45"/>
  <c r="J1063" i="45"/>
  <c r="J1064" i="45"/>
  <c r="J1065" i="45"/>
  <c r="J1066" i="45"/>
  <c r="J1067" i="45"/>
  <c r="J1068" i="45"/>
  <c r="J1069" i="45"/>
  <c r="J1070" i="45"/>
  <c r="J1071" i="45"/>
  <c r="J1072" i="45"/>
  <c r="J1073" i="45"/>
  <c r="J1074" i="45"/>
  <c r="J1075" i="45"/>
  <c r="J1076" i="45"/>
  <c r="J1077" i="45"/>
  <c r="J1078" i="45"/>
  <c r="J1079" i="45"/>
  <c r="J1080" i="45"/>
  <c r="J1081" i="45"/>
  <c r="J1082" i="45"/>
  <c r="J1083" i="45"/>
  <c r="J1084" i="45"/>
  <c r="J1085" i="45"/>
  <c r="J1086" i="45"/>
  <c r="J1087" i="45"/>
  <c r="J1088" i="45"/>
  <c r="J1089" i="45"/>
  <c r="J1090" i="45"/>
  <c r="J1091" i="45"/>
  <c r="J4" i="45"/>
  <c r="T595" i="45"/>
  <c r="S595" i="45"/>
  <c r="L595" i="45"/>
  <c r="R281" i="45"/>
  <c r="T281" i="45" s="1"/>
  <c r="L281" i="45"/>
  <c r="T583" i="45"/>
  <c r="S583" i="45"/>
  <c r="L583" i="45"/>
  <c r="T393" i="45"/>
  <c r="S393" i="45"/>
  <c r="L393" i="45"/>
  <c r="L276" i="45"/>
  <c r="R579" i="45"/>
  <c r="T579" i="45" s="1"/>
  <c r="L580" i="45"/>
  <c r="L579" i="45"/>
  <c r="R566" i="45"/>
  <c r="T566" i="45" s="1"/>
  <c r="L566" i="45"/>
  <c r="T569" i="45"/>
  <c r="S569" i="45"/>
  <c r="L569" i="45"/>
  <c r="R1080" i="45"/>
  <c r="T1080" i="45" s="1"/>
  <c r="L1080" i="45"/>
  <c r="AH10" i="53" l="1"/>
  <c r="AD10" i="53"/>
  <c r="Z10" i="53"/>
  <c r="Z9" i="53" s="1"/>
  <c r="AG10" i="53"/>
  <c r="AC10" i="53"/>
  <c r="AF10" i="53"/>
  <c r="AB10" i="53"/>
  <c r="AE10" i="53"/>
  <c r="AA10" i="53"/>
  <c r="AH4" i="53"/>
  <c r="AD4" i="53"/>
  <c r="Z4" i="53"/>
  <c r="Z3" i="53" s="1"/>
  <c r="AG4" i="53"/>
  <c r="AC4" i="53"/>
  <c r="AF4" i="53"/>
  <c r="AB4" i="53"/>
  <c r="AE4" i="53"/>
  <c r="AA4" i="53"/>
  <c r="AF7" i="53"/>
  <c r="AB7" i="53"/>
  <c r="AE7" i="53"/>
  <c r="AA7" i="53"/>
  <c r="AH7" i="53"/>
  <c r="AD7" i="53"/>
  <c r="Z7" i="53"/>
  <c r="Z6" i="53" s="1"/>
  <c r="AG7" i="53"/>
  <c r="AC7" i="53"/>
  <c r="AF9" i="28"/>
  <c r="AB9" i="28"/>
  <c r="AG9" i="28"/>
  <c r="AE9" i="28"/>
  <c r="AA9" i="28"/>
  <c r="AH9" i="28"/>
  <c r="AD9" i="28"/>
  <c r="Z9" i="28"/>
  <c r="Z8" i="28" s="1"/>
  <c r="AA8" i="28" s="1"/>
  <c r="AC9" i="28"/>
  <c r="AC5" i="28"/>
  <c r="AG5" i="28"/>
  <c r="AD5" i="28"/>
  <c r="AH5" i="28"/>
  <c r="AF5" i="28"/>
  <c r="AA5" i="28"/>
  <c r="AE5" i="28"/>
  <c r="Z5" i="28"/>
  <c r="Z4" i="28" s="1"/>
  <c r="AB5" i="28"/>
  <c r="AH13" i="28"/>
  <c r="AD13" i="28"/>
  <c r="Z13" i="28"/>
  <c r="Z12" i="28" s="1"/>
  <c r="AG13" i="28"/>
  <c r="AC13" i="28"/>
  <c r="AA13" i="28"/>
  <c r="AF13" i="28"/>
  <c r="AB13" i="28"/>
  <c r="AE13" i="28"/>
  <c r="S281" i="45"/>
  <c r="S276" i="45"/>
  <c r="S580" i="45"/>
  <c r="S579" i="45"/>
  <c r="S566" i="45"/>
  <c r="S1080" i="45"/>
  <c r="AA6" i="53" l="1"/>
  <c r="AA9" i="53"/>
  <c r="Z12" i="53"/>
  <c r="AA3" i="53"/>
  <c r="AB9" i="53"/>
  <c r="AC9" i="53" s="1"/>
  <c r="AD9" i="53" s="1"/>
  <c r="AE9" i="53" s="1"/>
  <c r="AF9" i="53" s="1"/>
  <c r="AG9" i="53" s="1"/>
  <c r="AH9" i="53" s="1"/>
  <c r="AB6" i="53"/>
  <c r="AC6" i="53" s="1"/>
  <c r="AD6" i="53" s="1"/>
  <c r="AE6" i="53" s="1"/>
  <c r="AF6" i="53" s="1"/>
  <c r="AG6" i="53" s="1"/>
  <c r="AH6" i="53" s="1"/>
  <c r="AB8" i="28"/>
  <c r="AC8" i="28" s="1"/>
  <c r="AD8" i="28" s="1"/>
  <c r="AE8" i="28" s="1"/>
  <c r="AF8" i="28" s="1"/>
  <c r="AG8" i="28" s="1"/>
  <c r="AH8" i="28" s="1"/>
  <c r="AA12" i="28"/>
  <c r="AB12" i="28" s="1"/>
  <c r="AC12" i="28" s="1"/>
  <c r="AD12" i="28" s="1"/>
  <c r="AE12" i="28" s="1"/>
  <c r="AF12" i="28" s="1"/>
  <c r="AG12" i="28" s="1"/>
  <c r="AH12" i="28" s="1"/>
  <c r="AA4" i="28"/>
  <c r="AB4" i="28" s="1"/>
  <c r="AC4" i="28" s="1"/>
  <c r="AD4" i="28" s="1"/>
  <c r="AE4" i="28" s="1"/>
  <c r="AF4" i="28" s="1"/>
  <c r="AG4" i="28" s="1"/>
  <c r="AH4" i="28" s="1"/>
  <c r="N741" i="50"/>
  <c r="L741" i="50"/>
  <c r="O741" i="50" s="1"/>
  <c r="N740" i="50"/>
  <c r="L740" i="50"/>
  <c r="O740" i="50" s="1"/>
  <c r="N726" i="50"/>
  <c r="L726" i="50"/>
  <c r="O726" i="50" s="1"/>
  <c r="N721" i="50"/>
  <c r="L721" i="50"/>
  <c r="O721" i="50" s="1"/>
  <c r="N720" i="50"/>
  <c r="L720" i="50"/>
  <c r="O720" i="50" s="1"/>
  <c r="N719" i="50"/>
  <c r="L719" i="50"/>
  <c r="O719" i="50" s="1"/>
  <c r="N718" i="50"/>
  <c r="L718" i="50"/>
  <c r="O718" i="50" s="1"/>
  <c r="N717" i="50"/>
  <c r="L717" i="50"/>
  <c r="O717" i="50" s="1"/>
  <c r="N716" i="50"/>
  <c r="L716" i="50"/>
  <c r="O716" i="50" s="1"/>
  <c r="N701" i="50"/>
  <c r="L701" i="50"/>
  <c r="O701" i="50" s="1"/>
  <c r="N694" i="50"/>
  <c r="L694" i="50"/>
  <c r="O694" i="50" s="1"/>
  <c r="N693" i="50"/>
  <c r="L693" i="50"/>
  <c r="O693" i="50" s="1"/>
  <c r="N692" i="50"/>
  <c r="L692" i="50"/>
  <c r="O692" i="50" s="1"/>
  <c r="N691" i="50"/>
  <c r="L691" i="50"/>
  <c r="O691" i="50" s="1"/>
  <c r="N690" i="50"/>
  <c r="L690" i="50"/>
  <c r="O690" i="50" s="1"/>
  <c r="N686" i="50"/>
  <c r="L686" i="50"/>
  <c r="O686" i="50" s="1"/>
  <c r="N667" i="50"/>
  <c r="L667" i="50"/>
  <c r="O667" i="50" s="1"/>
  <c r="N665" i="50"/>
  <c r="L665" i="50"/>
  <c r="O665" i="50" s="1"/>
  <c r="N664" i="50"/>
  <c r="L664" i="50"/>
  <c r="O664" i="50" s="1"/>
  <c r="N655" i="50"/>
  <c r="L655" i="50"/>
  <c r="O655" i="50" s="1"/>
  <c r="N654" i="50"/>
  <c r="L654" i="50"/>
  <c r="O654" i="50" s="1"/>
  <c r="N649" i="50"/>
  <c r="L649" i="50"/>
  <c r="O649" i="50" s="1"/>
  <c r="N648" i="50"/>
  <c r="L648" i="50"/>
  <c r="O648" i="50" s="1"/>
  <c r="N645" i="50"/>
  <c r="L645" i="50"/>
  <c r="O645" i="50" s="1"/>
  <c r="N644" i="50"/>
  <c r="L644" i="50"/>
  <c r="O644" i="50" s="1"/>
  <c r="N641" i="50"/>
  <c r="L641" i="50"/>
  <c r="O641" i="50" s="1"/>
  <c r="N640" i="50"/>
  <c r="L640" i="50"/>
  <c r="O640" i="50" s="1"/>
  <c r="N632" i="50"/>
  <c r="L632" i="50"/>
  <c r="O632" i="50" s="1"/>
  <c r="N623" i="50"/>
  <c r="L623" i="50"/>
  <c r="O623" i="50" s="1"/>
  <c r="N622" i="50"/>
  <c r="L622" i="50"/>
  <c r="O622" i="50" s="1"/>
  <c r="N577" i="50"/>
  <c r="L577" i="50"/>
  <c r="O577" i="50" s="1"/>
  <c r="N576" i="50"/>
  <c r="L576" i="50"/>
  <c r="O576" i="50" s="1"/>
  <c r="N568" i="50"/>
  <c r="L568" i="50"/>
  <c r="O568" i="50" s="1"/>
  <c r="N558" i="50"/>
  <c r="L558" i="50"/>
  <c r="O558" i="50" s="1"/>
  <c r="N557" i="50"/>
  <c r="L557" i="50"/>
  <c r="O557" i="50" s="1"/>
  <c r="N553" i="50"/>
  <c r="L553" i="50"/>
  <c r="O553" i="50" s="1"/>
  <c r="N552" i="50"/>
  <c r="L552" i="50"/>
  <c r="O552" i="50" s="1"/>
  <c r="N551" i="50"/>
  <c r="L551" i="50"/>
  <c r="O551" i="50" s="1"/>
  <c r="N548" i="50"/>
  <c r="L548" i="50"/>
  <c r="O548" i="50" s="1"/>
  <c r="N547" i="50"/>
  <c r="L547" i="50"/>
  <c r="O547" i="50" s="1"/>
  <c r="N519" i="50"/>
  <c r="L519" i="50"/>
  <c r="O519" i="50" s="1"/>
  <c r="N516" i="50"/>
  <c r="L516" i="50"/>
  <c r="O516" i="50" s="1"/>
  <c r="N515" i="50"/>
  <c r="L515" i="50"/>
  <c r="O515" i="50" s="1"/>
  <c r="N508" i="50"/>
  <c r="L508" i="50"/>
  <c r="O508" i="50" s="1"/>
  <c r="N507" i="50"/>
  <c r="L507" i="50"/>
  <c r="O507" i="50" s="1"/>
  <c r="N506" i="50"/>
  <c r="L506" i="50"/>
  <c r="O506" i="50" s="1"/>
  <c r="N500" i="50"/>
  <c r="L500" i="50"/>
  <c r="O500" i="50" s="1"/>
  <c r="N499" i="50"/>
  <c r="L499" i="50"/>
  <c r="O499" i="50" s="1"/>
  <c r="N497" i="50"/>
  <c r="L497" i="50"/>
  <c r="O497" i="50" s="1"/>
  <c r="N496" i="50"/>
  <c r="L496" i="50"/>
  <c r="O496" i="50" s="1"/>
  <c r="N480" i="50"/>
  <c r="L480" i="50"/>
  <c r="O480" i="50" s="1"/>
  <c r="N479" i="50"/>
  <c r="L479" i="50"/>
  <c r="O479" i="50" s="1"/>
  <c r="N478" i="50"/>
  <c r="L478" i="50"/>
  <c r="O478" i="50" s="1"/>
  <c r="N476" i="50"/>
  <c r="L476" i="50"/>
  <c r="O476" i="50" s="1"/>
  <c r="N475" i="50"/>
  <c r="L475" i="50"/>
  <c r="O475" i="50" s="1"/>
  <c r="N470" i="50"/>
  <c r="L470" i="50"/>
  <c r="O470" i="50" s="1"/>
  <c r="N469" i="50"/>
  <c r="L469" i="50"/>
  <c r="O469" i="50" s="1"/>
  <c r="N466" i="50"/>
  <c r="L466" i="50"/>
  <c r="O466" i="50" s="1"/>
  <c r="N465" i="50"/>
  <c r="L465" i="50"/>
  <c r="O465" i="50" s="1"/>
  <c r="N455" i="50"/>
  <c r="L455" i="50"/>
  <c r="O455" i="50" s="1"/>
  <c r="N454" i="50"/>
  <c r="L454" i="50"/>
  <c r="O454" i="50" s="1"/>
  <c r="N446" i="50"/>
  <c r="L446" i="50"/>
  <c r="O446" i="50" s="1"/>
  <c r="N445" i="50"/>
  <c r="L445" i="50"/>
  <c r="O445" i="50" s="1"/>
  <c r="N440" i="50"/>
  <c r="L440" i="50"/>
  <c r="O440" i="50" s="1"/>
  <c r="N439" i="50"/>
  <c r="L439" i="50"/>
  <c r="O439" i="50" s="1"/>
  <c r="N438" i="50"/>
  <c r="L438" i="50"/>
  <c r="O438" i="50" s="1"/>
  <c r="N437" i="50"/>
  <c r="L437" i="50"/>
  <c r="O437" i="50" s="1"/>
  <c r="N434" i="50"/>
  <c r="L434" i="50"/>
  <c r="O434" i="50" s="1"/>
  <c r="N433" i="50"/>
  <c r="L433" i="50"/>
  <c r="O433" i="50" s="1"/>
  <c r="N429" i="50"/>
  <c r="L429" i="50"/>
  <c r="O429" i="50" s="1"/>
  <c r="N417" i="50"/>
  <c r="L417" i="50"/>
  <c r="O417" i="50" s="1"/>
  <c r="N408" i="50"/>
  <c r="L408" i="50"/>
  <c r="O408" i="50" s="1"/>
  <c r="N407" i="50"/>
  <c r="L407" i="50"/>
  <c r="O407" i="50" s="1"/>
  <c r="N406" i="50"/>
  <c r="L406" i="50"/>
  <c r="O406" i="50" s="1"/>
  <c r="N405" i="50"/>
  <c r="L405" i="50"/>
  <c r="O405" i="50" s="1"/>
  <c r="N400" i="50"/>
  <c r="L400" i="50"/>
  <c r="O400" i="50" s="1"/>
  <c r="N399" i="50"/>
  <c r="L399" i="50"/>
  <c r="O399" i="50" s="1"/>
  <c r="N398" i="50"/>
  <c r="L398" i="50"/>
  <c r="O398" i="50" s="1"/>
  <c r="N397" i="50"/>
  <c r="L397" i="50"/>
  <c r="O397" i="50" s="1"/>
  <c r="N396" i="50"/>
  <c r="L396" i="50"/>
  <c r="O396" i="50" s="1"/>
  <c r="N392" i="50"/>
  <c r="L392" i="50"/>
  <c r="O392" i="50" s="1"/>
  <c r="N391" i="50"/>
  <c r="L391" i="50"/>
  <c r="O391" i="50" s="1"/>
  <c r="N387" i="50"/>
  <c r="L387" i="50"/>
  <c r="O387" i="50" s="1"/>
  <c r="N386" i="50"/>
  <c r="L386" i="50"/>
  <c r="O386" i="50" s="1"/>
  <c r="N385" i="50"/>
  <c r="L385" i="50"/>
  <c r="O385" i="50" s="1"/>
  <c r="N384" i="50"/>
  <c r="L384" i="50"/>
  <c r="O384" i="50" s="1"/>
  <c r="N378" i="50"/>
  <c r="L378" i="50"/>
  <c r="O378" i="50" s="1"/>
  <c r="N373" i="50"/>
  <c r="L373" i="50"/>
  <c r="O373" i="50" s="1"/>
  <c r="N372" i="50"/>
  <c r="L372" i="50"/>
  <c r="O372" i="50" s="1"/>
  <c r="N370" i="50"/>
  <c r="L370" i="50"/>
  <c r="O370" i="50" s="1"/>
  <c r="N362" i="50"/>
  <c r="L362" i="50"/>
  <c r="O362" i="50" s="1"/>
  <c r="N361" i="50"/>
  <c r="L361" i="50"/>
  <c r="O361" i="50" s="1"/>
  <c r="N360" i="50"/>
  <c r="L360" i="50"/>
  <c r="O360" i="50" s="1"/>
  <c r="N351" i="50"/>
  <c r="L351" i="50"/>
  <c r="O351" i="50" s="1"/>
  <c r="N350" i="50"/>
  <c r="L350" i="50"/>
  <c r="O350" i="50" s="1"/>
  <c r="N346" i="50"/>
  <c r="L346" i="50"/>
  <c r="O346" i="50" s="1"/>
  <c r="N344" i="50"/>
  <c r="L344" i="50"/>
  <c r="O344" i="50" s="1"/>
  <c r="N343" i="50"/>
  <c r="L343" i="50"/>
  <c r="O343" i="50" s="1"/>
  <c r="N338" i="50"/>
  <c r="L338" i="50"/>
  <c r="O338" i="50" s="1"/>
  <c r="N331" i="50"/>
  <c r="L331" i="50"/>
  <c r="O331" i="50" s="1"/>
  <c r="N330" i="50"/>
  <c r="L330" i="50"/>
  <c r="O330" i="50" s="1"/>
  <c r="N318" i="50"/>
  <c r="L318" i="50"/>
  <c r="O318" i="50" s="1"/>
  <c r="N317" i="50"/>
  <c r="L317" i="50"/>
  <c r="O317" i="50" s="1"/>
  <c r="N316" i="50"/>
  <c r="L316" i="50"/>
  <c r="O316" i="50" s="1"/>
  <c r="N310" i="50"/>
  <c r="L310" i="50"/>
  <c r="O310" i="50" s="1"/>
  <c r="N309" i="50"/>
  <c r="L309" i="50"/>
  <c r="O309" i="50" s="1"/>
  <c r="N307" i="50"/>
  <c r="L307" i="50"/>
  <c r="O307" i="50" s="1"/>
  <c r="N303" i="50"/>
  <c r="L303" i="50"/>
  <c r="O303" i="50" s="1"/>
  <c r="N302" i="50"/>
  <c r="L302" i="50"/>
  <c r="O302" i="50" s="1"/>
  <c r="N298" i="50"/>
  <c r="L298" i="50"/>
  <c r="O298" i="50" s="1"/>
  <c r="N296" i="50"/>
  <c r="L296" i="50"/>
  <c r="O296" i="50" s="1"/>
  <c r="N297" i="50"/>
  <c r="L297" i="50"/>
  <c r="O297" i="50" s="1"/>
  <c r="N281" i="50"/>
  <c r="L281" i="50"/>
  <c r="O281" i="50" s="1"/>
  <c r="N280" i="50"/>
  <c r="L280" i="50"/>
  <c r="O280" i="50" s="1"/>
  <c r="N274" i="50"/>
  <c r="L274" i="50"/>
  <c r="O274" i="50" s="1"/>
  <c r="N273" i="50"/>
  <c r="L273" i="50"/>
  <c r="O273" i="50" s="1"/>
  <c r="N266" i="50"/>
  <c r="L266" i="50"/>
  <c r="O266" i="50" s="1"/>
  <c r="N265" i="50"/>
  <c r="L265" i="50"/>
  <c r="O265" i="50" s="1"/>
  <c r="N262" i="50"/>
  <c r="L262" i="50"/>
  <c r="O262" i="50" s="1"/>
  <c r="N261" i="50"/>
  <c r="L261" i="50"/>
  <c r="O261" i="50" s="1"/>
  <c r="N257" i="50"/>
  <c r="L257" i="50"/>
  <c r="O257" i="50" s="1"/>
  <c r="N256" i="50"/>
  <c r="L256" i="50"/>
  <c r="O256" i="50" s="1"/>
  <c r="N255" i="50"/>
  <c r="L255" i="50"/>
  <c r="O255" i="50" s="1"/>
  <c r="N254" i="50"/>
  <c r="L254" i="50"/>
  <c r="O254" i="50" s="1"/>
  <c r="N251" i="50"/>
  <c r="L251" i="50"/>
  <c r="O251" i="50" s="1"/>
  <c r="N249" i="50"/>
  <c r="L249" i="50"/>
  <c r="O249" i="50" s="1"/>
  <c r="N233" i="50"/>
  <c r="L233" i="50"/>
  <c r="O233" i="50" s="1"/>
  <c r="N231" i="50"/>
  <c r="L231" i="50"/>
  <c r="O231" i="50" s="1"/>
  <c r="N230" i="50"/>
  <c r="L230" i="50"/>
  <c r="O230" i="50" s="1"/>
  <c r="N228" i="50"/>
  <c r="L228" i="50"/>
  <c r="O228" i="50" s="1"/>
  <c r="N227" i="50"/>
  <c r="L227" i="50"/>
  <c r="O227" i="50" s="1"/>
  <c r="N225" i="50"/>
  <c r="L225" i="50"/>
  <c r="O225" i="50" s="1"/>
  <c r="N222" i="50"/>
  <c r="L222" i="50"/>
  <c r="O222" i="50" s="1"/>
  <c r="N221" i="50"/>
  <c r="L221" i="50"/>
  <c r="O221" i="50" s="1"/>
  <c r="N218" i="50"/>
  <c r="L218" i="50"/>
  <c r="O218" i="50" s="1"/>
  <c r="N217" i="50"/>
  <c r="L217" i="50"/>
  <c r="O217" i="50" s="1"/>
  <c r="N220" i="50"/>
  <c r="L220" i="50"/>
  <c r="O220" i="50" s="1"/>
  <c r="N219" i="50"/>
  <c r="L219" i="50"/>
  <c r="O219" i="50" s="1"/>
  <c r="N216" i="50"/>
  <c r="L216" i="50"/>
  <c r="O216" i="50" s="1"/>
  <c r="N214" i="50"/>
  <c r="L214" i="50"/>
  <c r="O214" i="50" s="1"/>
  <c r="N213" i="50"/>
  <c r="L213" i="50"/>
  <c r="O213" i="50" s="1"/>
  <c r="N212" i="50"/>
  <c r="L212" i="50"/>
  <c r="O212" i="50" s="1"/>
  <c r="N211" i="50"/>
  <c r="L211" i="50"/>
  <c r="O211" i="50" s="1"/>
  <c r="N208" i="50"/>
  <c r="L208" i="50"/>
  <c r="O208" i="50" s="1"/>
  <c r="N207" i="50"/>
  <c r="L207" i="50"/>
  <c r="O207" i="50" s="1"/>
  <c r="N206" i="50"/>
  <c r="L206" i="50"/>
  <c r="O206" i="50" s="1"/>
  <c r="N197" i="50"/>
  <c r="L197" i="50"/>
  <c r="O197" i="50" s="1"/>
  <c r="N195" i="50"/>
  <c r="L195" i="50"/>
  <c r="O195" i="50" s="1"/>
  <c r="N192" i="50"/>
  <c r="L192" i="50"/>
  <c r="O192" i="50" s="1"/>
  <c r="N191" i="50"/>
  <c r="L191" i="50"/>
  <c r="O191" i="50" s="1"/>
  <c r="N184" i="50"/>
  <c r="L184" i="50"/>
  <c r="O184" i="50" s="1"/>
  <c r="N168" i="50"/>
  <c r="L168" i="50"/>
  <c r="O168" i="50" s="1"/>
  <c r="N167" i="50"/>
  <c r="L167" i="50"/>
  <c r="O167" i="50" s="1"/>
  <c r="N153" i="50"/>
  <c r="L153" i="50"/>
  <c r="O153" i="50" s="1"/>
  <c r="N131" i="50"/>
  <c r="L131" i="50"/>
  <c r="O131" i="50" s="1"/>
  <c r="N130" i="50"/>
  <c r="L130" i="50"/>
  <c r="O130" i="50" s="1"/>
  <c r="N129" i="50"/>
  <c r="L129" i="50"/>
  <c r="O129" i="50" s="1"/>
  <c r="N128" i="50"/>
  <c r="L128" i="50"/>
  <c r="O128" i="50" s="1"/>
  <c r="N122" i="50"/>
  <c r="L122" i="50"/>
  <c r="O122" i="50" s="1"/>
  <c r="N121" i="50"/>
  <c r="L121" i="50"/>
  <c r="O121" i="50" s="1"/>
  <c r="N118" i="50"/>
  <c r="L118" i="50"/>
  <c r="O118" i="50" s="1"/>
  <c r="N113" i="50"/>
  <c r="L113" i="50"/>
  <c r="O113" i="50" s="1"/>
  <c r="N107" i="50"/>
  <c r="L107" i="50"/>
  <c r="O107" i="50" s="1"/>
  <c r="N106" i="50"/>
  <c r="L106" i="50"/>
  <c r="O106" i="50" s="1"/>
  <c r="N86" i="50"/>
  <c r="L86" i="50"/>
  <c r="O86" i="50" s="1"/>
  <c r="N81" i="50"/>
  <c r="L81" i="50"/>
  <c r="O81" i="50" s="1"/>
  <c r="N80" i="50"/>
  <c r="L80" i="50"/>
  <c r="O80" i="50" s="1"/>
  <c r="N75" i="50"/>
  <c r="L75" i="50"/>
  <c r="O75" i="50" s="1"/>
  <c r="N74" i="50"/>
  <c r="L74" i="50"/>
  <c r="O74" i="50" s="1"/>
  <c r="N73" i="50"/>
  <c r="L73" i="50"/>
  <c r="O73" i="50" s="1"/>
  <c r="N72" i="50"/>
  <c r="L72" i="50"/>
  <c r="O72" i="50" s="1"/>
  <c r="N65" i="50"/>
  <c r="L65" i="50"/>
  <c r="O65" i="50" s="1"/>
  <c r="N64" i="50"/>
  <c r="L64" i="50"/>
  <c r="O64" i="50" s="1"/>
  <c r="N47" i="50"/>
  <c r="L47" i="50"/>
  <c r="O47" i="50" s="1"/>
  <c r="N45" i="50"/>
  <c r="L45" i="50"/>
  <c r="O45" i="50" s="1"/>
  <c r="N40" i="50"/>
  <c r="L40" i="50"/>
  <c r="O40" i="50" s="1"/>
  <c r="AB3" i="53" l="1"/>
  <c r="AA12" i="53"/>
  <c r="V193" i="36"/>
  <c r="S193" i="36"/>
  <c r="T193" i="36" s="1"/>
  <c r="AB12" i="53" l="1"/>
  <c r="AC3" i="53"/>
  <c r="H4" i="37"/>
  <c r="I4" i="37" s="1"/>
  <c r="F4" i="37"/>
  <c r="G8" i="26"/>
  <c r="G9" i="26"/>
  <c r="G10" i="26"/>
  <c r="G11" i="26"/>
  <c r="G5" i="26"/>
  <c r="G6" i="26"/>
  <c r="G7" i="26"/>
  <c r="G4" i="26"/>
  <c r="AC12" i="53" l="1"/>
  <c r="AD3" i="53"/>
  <c r="P17" i="49"/>
  <c r="S17" i="49" s="1"/>
  <c r="O17" i="49"/>
  <c r="Q17" i="49" s="1"/>
  <c r="T17" i="49" s="1"/>
  <c r="Q16" i="49"/>
  <c r="T16" i="49" s="1"/>
  <c r="P16" i="49"/>
  <c r="S16" i="49" s="1"/>
  <c r="O16" i="49"/>
  <c r="Q15" i="49"/>
  <c r="T15" i="49" s="1"/>
  <c r="P15" i="49"/>
  <c r="S15" i="49" s="1"/>
  <c r="O15" i="49"/>
  <c r="P14" i="49"/>
  <c r="S14" i="49" s="1"/>
  <c r="O14" i="49"/>
  <c r="Q14" i="49" s="1"/>
  <c r="T14" i="49" s="1"/>
  <c r="P13" i="49"/>
  <c r="S13" i="49" s="1"/>
  <c r="O13" i="49"/>
  <c r="Q13" i="49" s="1"/>
  <c r="T13" i="49" s="1"/>
  <c r="Q12" i="49"/>
  <c r="T12" i="49" s="1"/>
  <c r="P12" i="49"/>
  <c r="S12" i="49" s="1"/>
  <c r="O12" i="49"/>
  <c r="S11" i="49"/>
  <c r="Q11" i="49"/>
  <c r="T11" i="49" s="1"/>
  <c r="P11" i="49"/>
  <c r="O11" i="49"/>
  <c r="S10" i="49"/>
  <c r="P10" i="49"/>
  <c r="O10" i="49"/>
  <c r="Q10" i="49" s="1"/>
  <c r="T10" i="49" s="1"/>
  <c r="P9" i="49"/>
  <c r="S9" i="49" s="1"/>
  <c r="O9" i="49"/>
  <c r="Q9" i="49" s="1"/>
  <c r="T9" i="49" s="1"/>
  <c r="Q8" i="49"/>
  <c r="T8" i="49" s="1"/>
  <c r="P8" i="49"/>
  <c r="S8" i="49" s="1"/>
  <c r="O8" i="49"/>
  <c r="S7" i="49"/>
  <c r="Q7" i="49"/>
  <c r="T7" i="49" s="1"/>
  <c r="P7" i="49"/>
  <c r="O7" i="49"/>
  <c r="S6" i="49"/>
  <c r="P6" i="49"/>
  <c r="O6" i="49"/>
  <c r="Q6" i="49" s="1"/>
  <c r="T6" i="49" s="1"/>
  <c r="N4" i="35"/>
  <c r="N4" i="33"/>
  <c r="AD12" i="53" l="1"/>
  <c r="AE3" i="53"/>
  <c r="H5" i="26"/>
  <c r="H6" i="26"/>
  <c r="H7" i="26"/>
  <c r="H8" i="26"/>
  <c r="H9" i="26"/>
  <c r="H10" i="26"/>
  <c r="H11" i="26"/>
  <c r="H4" i="26"/>
  <c r="E4" i="26"/>
  <c r="E7" i="26"/>
  <c r="E8" i="26"/>
  <c r="E9" i="26"/>
  <c r="E10" i="26"/>
  <c r="E11" i="26"/>
  <c r="E6" i="26"/>
  <c r="E5" i="26"/>
  <c r="S19" i="36"/>
  <c r="AF3" i="53" l="1"/>
  <c r="AE12" i="53"/>
  <c r="R133" i="45"/>
  <c r="R161" i="45"/>
  <c r="R163" i="45"/>
  <c r="R174" i="45"/>
  <c r="R175" i="45"/>
  <c r="R176" i="45"/>
  <c r="R177" i="45"/>
  <c r="R178" i="45"/>
  <c r="R179" i="45"/>
  <c r="R180" i="45"/>
  <c r="R181" i="45"/>
  <c r="R182" i="45"/>
  <c r="R183" i="45"/>
  <c r="R184" i="45"/>
  <c r="R185" i="45"/>
  <c r="R186" i="45"/>
  <c r="R187" i="45"/>
  <c r="R188" i="45"/>
  <c r="R189" i="45"/>
  <c r="R190" i="45"/>
  <c r="R191" i="45"/>
  <c r="R192" i="45"/>
  <c r="R193" i="45"/>
  <c r="R194" i="45"/>
  <c r="R195" i="45"/>
  <c r="R196" i="45"/>
  <c r="R197" i="45"/>
  <c r="R198" i="45"/>
  <c r="R199" i="45"/>
  <c r="R200" i="45"/>
  <c r="R201" i="45"/>
  <c r="R202" i="45"/>
  <c r="R203" i="45"/>
  <c r="R204" i="45"/>
  <c r="R215" i="45"/>
  <c r="R216" i="45"/>
  <c r="R282" i="45"/>
  <c r="R283" i="45"/>
  <c r="R284" i="45"/>
  <c r="R285" i="45"/>
  <c r="R286" i="45"/>
  <c r="R288" i="45"/>
  <c r="R291" i="45"/>
  <c r="R292" i="45"/>
  <c r="R293" i="45"/>
  <c r="R294" i="45"/>
  <c r="R295" i="45"/>
  <c r="R296" i="45"/>
  <c r="R297" i="45"/>
  <c r="R298" i="45"/>
  <c r="R299" i="45"/>
  <c r="R300" i="45"/>
  <c r="R301" i="45"/>
  <c r="R302" i="45"/>
  <c r="R303" i="45"/>
  <c r="R304" i="45"/>
  <c r="R305" i="45"/>
  <c r="R306" i="45"/>
  <c r="R313" i="45"/>
  <c r="R314" i="45"/>
  <c r="R318" i="45"/>
  <c r="R373" i="45"/>
  <c r="R375" i="45"/>
  <c r="R380" i="45"/>
  <c r="R381" i="45"/>
  <c r="R385" i="45"/>
  <c r="R386" i="45"/>
  <c r="R387" i="45"/>
  <c r="R389" i="45"/>
  <c r="R390" i="45"/>
  <c r="R394" i="45"/>
  <c r="R395" i="45"/>
  <c r="R398" i="45"/>
  <c r="R399" i="45"/>
  <c r="R400" i="45"/>
  <c r="R401" i="45"/>
  <c r="R402" i="45"/>
  <c r="R403" i="45"/>
  <c r="R404" i="45"/>
  <c r="R478" i="45"/>
  <c r="R480" i="45"/>
  <c r="R1079" i="45"/>
  <c r="R1081" i="45"/>
  <c r="R116" i="45"/>
  <c r="R117" i="45"/>
  <c r="R118" i="45"/>
  <c r="R134" i="45"/>
  <c r="R136" i="45"/>
  <c r="R138" i="45"/>
  <c r="R139" i="45"/>
  <c r="R149" i="45"/>
  <c r="R150" i="45"/>
  <c r="R205" i="45"/>
  <c r="R206" i="45"/>
  <c r="R207" i="45"/>
  <c r="R208" i="45"/>
  <c r="R209" i="45"/>
  <c r="R230" i="45"/>
  <c r="R241" i="45"/>
  <c r="R243" i="45"/>
  <c r="R245" i="45"/>
  <c r="R246" i="45"/>
  <c r="R247" i="45"/>
  <c r="R248" i="45"/>
  <c r="R249" i="45"/>
  <c r="R250" i="45"/>
  <c r="R251" i="45"/>
  <c r="R252" i="45"/>
  <c r="R253" i="45"/>
  <c r="R254" i="45"/>
  <c r="R255" i="45"/>
  <c r="R256" i="45"/>
  <c r="R257" i="45"/>
  <c r="R259" i="45"/>
  <c r="R262" i="45"/>
  <c r="R263" i="45"/>
  <c r="R264" i="45"/>
  <c r="R265" i="45"/>
  <c r="R266" i="45"/>
  <c r="R267" i="45"/>
  <c r="R268" i="45"/>
  <c r="R269" i="45"/>
  <c r="R270" i="45"/>
  <c r="R272" i="45"/>
  <c r="R275" i="45"/>
  <c r="R279" i="45"/>
  <c r="R280" i="45"/>
  <c r="R289" i="45"/>
  <c r="R307" i="45"/>
  <c r="R316" i="45"/>
  <c r="R322" i="45"/>
  <c r="R323" i="45"/>
  <c r="R329" i="45"/>
  <c r="R330" i="45"/>
  <c r="R331" i="45"/>
  <c r="R332" i="45"/>
  <c r="R340" i="45"/>
  <c r="R341" i="45"/>
  <c r="R343" i="45"/>
  <c r="R348" i="45"/>
  <c r="R350" i="45"/>
  <c r="R358" i="45"/>
  <c r="R369" i="45"/>
  <c r="R371" i="45"/>
  <c r="R411" i="45"/>
  <c r="R423" i="45"/>
  <c r="R424" i="45"/>
  <c r="R425" i="45"/>
  <c r="R426" i="45"/>
  <c r="R427" i="45"/>
  <c r="R429" i="45"/>
  <c r="R432" i="45"/>
  <c r="R433" i="45"/>
  <c r="R434" i="45"/>
  <c r="R435" i="45"/>
  <c r="R436" i="45"/>
  <c r="R437" i="45"/>
  <c r="R438" i="45"/>
  <c r="R439" i="45"/>
  <c r="R440" i="45"/>
  <c r="R441" i="45"/>
  <c r="R443" i="45"/>
  <c r="R447" i="45"/>
  <c r="R448" i="45"/>
  <c r="R454" i="45"/>
  <c r="R464" i="45"/>
  <c r="R490" i="45"/>
  <c r="R491" i="45"/>
  <c r="R492" i="45"/>
  <c r="R501" i="45"/>
  <c r="R502" i="45"/>
  <c r="R504" i="45"/>
  <c r="R512" i="45"/>
  <c r="R519" i="45"/>
  <c r="R520" i="45"/>
  <c r="R521" i="45"/>
  <c r="R522" i="45"/>
  <c r="R523" i="45"/>
  <c r="R524" i="45"/>
  <c r="R525" i="45"/>
  <c r="R526" i="45"/>
  <c r="R542" i="45"/>
  <c r="R543" i="45"/>
  <c r="R544" i="45"/>
  <c r="R545" i="45"/>
  <c r="R546" i="45"/>
  <c r="R547" i="45"/>
  <c r="R548" i="45"/>
  <c r="R550" i="45"/>
  <c r="R551" i="45"/>
  <c r="R552" i="45"/>
  <c r="R554" i="45"/>
  <c r="R559" i="45"/>
  <c r="R565" i="45"/>
  <c r="R572" i="45"/>
  <c r="R574" i="45"/>
  <c r="R575" i="45"/>
  <c r="R578" i="45"/>
  <c r="R584" i="45"/>
  <c r="R585" i="45"/>
  <c r="R586" i="45"/>
  <c r="R588" i="45"/>
  <c r="R589" i="45"/>
  <c r="R590" i="45"/>
  <c r="R593" i="45"/>
  <c r="R602" i="45"/>
  <c r="R605" i="45"/>
  <c r="R606" i="45"/>
  <c r="R607" i="45"/>
  <c r="R608" i="45"/>
  <c r="R609" i="45"/>
  <c r="R612" i="45"/>
  <c r="R613" i="45"/>
  <c r="R616" i="45"/>
  <c r="R617" i="45"/>
  <c r="R621" i="45"/>
  <c r="R622" i="45"/>
  <c r="R627" i="45"/>
  <c r="R633" i="45"/>
  <c r="R634" i="45"/>
  <c r="R635" i="45"/>
  <c r="R640" i="45"/>
  <c r="R642" i="45"/>
  <c r="R643" i="45"/>
  <c r="R644" i="45"/>
  <c r="R647" i="45"/>
  <c r="R654" i="45"/>
  <c r="R655" i="45"/>
  <c r="R656" i="45"/>
  <c r="R666" i="45"/>
  <c r="R668" i="45"/>
  <c r="R671" i="45"/>
  <c r="R672" i="45"/>
  <c r="R673" i="45"/>
  <c r="R674" i="45"/>
  <c r="R676" i="45"/>
  <c r="R683" i="45"/>
  <c r="R684" i="45"/>
  <c r="R686" i="45"/>
  <c r="R687" i="45"/>
  <c r="R689" i="45"/>
  <c r="R690" i="45"/>
  <c r="R691" i="45"/>
  <c r="R692" i="45"/>
  <c r="R693" i="45"/>
  <c r="R694" i="45"/>
  <c r="R695" i="45"/>
  <c r="R709" i="45"/>
  <c r="R713" i="45"/>
  <c r="R714" i="45"/>
  <c r="R715" i="45"/>
  <c r="R722" i="45"/>
  <c r="R723" i="45"/>
  <c r="R726" i="45"/>
  <c r="R729" i="45"/>
  <c r="R730" i="45"/>
  <c r="R734" i="45"/>
  <c r="R739" i="45"/>
  <c r="R740" i="45"/>
  <c r="R747" i="45"/>
  <c r="R748" i="45"/>
  <c r="R750" i="45"/>
  <c r="R751" i="45"/>
  <c r="R752" i="45"/>
  <c r="R753" i="45"/>
  <c r="R760" i="45"/>
  <c r="R761" i="45"/>
  <c r="R774" i="45"/>
  <c r="R775" i="45"/>
  <c r="R778" i="45"/>
  <c r="R782" i="45"/>
  <c r="R785" i="45"/>
  <c r="R792" i="45"/>
  <c r="R794" i="45"/>
  <c r="R796" i="45"/>
  <c r="R808" i="45"/>
  <c r="R813" i="45"/>
  <c r="R818" i="45"/>
  <c r="R820" i="45"/>
  <c r="R824" i="45"/>
  <c r="R825" i="45"/>
  <c r="R826" i="45"/>
  <c r="R827" i="45"/>
  <c r="R828" i="45"/>
  <c r="R829" i="45"/>
  <c r="R830" i="45"/>
  <c r="R831" i="45"/>
  <c r="R832" i="45"/>
  <c r="R838" i="45"/>
  <c r="R839" i="45"/>
  <c r="R842" i="45"/>
  <c r="R843" i="45"/>
  <c r="R844" i="45"/>
  <c r="R854" i="45"/>
  <c r="R855" i="45"/>
  <c r="R856" i="45"/>
  <c r="R857" i="45"/>
  <c r="R858" i="45"/>
  <c r="R859" i="45"/>
  <c r="R860" i="45"/>
  <c r="R861" i="45"/>
  <c r="R862" i="45"/>
  <c r="R863" i="45"/>
  <c r="R864" i="45"/>
  <c r="R865" i="45"/>
  <c r="R867" i="45"/>
  <c r="R868" i="45"/>
  <c r="R869" i="45"/>
  <c r="R871" i="45"/>
  <c r="R872" i="45"/>
  <c r="R873" i="45"/>
  <c r="R874" i="45"/>
  <c r="R879" i="45"/>
  <c r="R880" i="45"/>
  <c r="R881" i="45"/>
  <c r="R887" i="45"/>
  <c r="R890" i="45"/>
  <c r="R898" i="45"/>
  <c r="R900" i="45"/>
  <c r="R909" i="45"/>
  <c r="R910" i="45"/>
  <c r="R911" i="45"/>
  <c r="R918" i="45"/>
  <c r="R923" i="45"/>
  <c r="R927" i="45"/>
  <c r="R928" i="45"/>
  <c r="R929" i="45"/>
  <c r="R930" i="45"/>
  <c r="R934" i="45"/>
  <c r="R953" i="45"/>
  <c r="R1076" i="45"/>
  <c r="R1078" i="45"/>
  <c r="R1087" i="45"/>
  <c r="R1088" i="45"/>
  <c r="R1091" i="45"/>
  <c r="R14" i="45"/>
  <c r="R25" i="45"/>
  <c r="R32" i="45"/>
  <c r="R33" i="45"/>
  <c r="R34" i="45"/>
  <c r="R43" i="45"/>
  <c r="R48" i="45"/>
  <c r="R50" i="45"/>
  <c r="R51" i="45"/>
  <c r="R52" i="45"/>
  <c r="R53" i="45"/>
  <c r="R58" i="45"/>
  <c r="R65" i="45"/>
  <c r="R66" i="45"/>
  <c r="R73" i="45"/>
  <c r="R75" i="45"/>
  <c r="R76" i="45"/>
  <c r="R210" i="45"/>
  <c r="R211" i="45"/>
  <c r="R212" i="45"/>
  <c r="R213" i="45"/>
  <c r="R214" i="45"/>
  <c r="R217" i="45"/>
  <c r="R218" i="45"/>
  <c r="R219" i="45"/>
  <c r="R220" i="45"/>
  <c r="R221" i="45"/>
  <c r="R222" i="45"/>
  <c r="R223" i="45"/>
  <c r="R345" i="45"/>
  <c r="R346" i="45"/>
  <c r="R531" i="45"/>
  <c r="R532" i="45"/>
  <c r="R533" i="45"/>
  <c r="R534" i="45"/>
  <c r="R899" i="45"/>
  <c r="R937" i="45"/>
  <c r="R938" i="45"/>
  <c r="R939" i="45"/>
  <c r="R940" i="45"/>
  <c r="R944" i="45"/>
  <c r="R945" i="45"/>
  <c r="R954" i="45"/>
  <c r="R957" i="45"/>
  <c r="R958" i="45"/>
  <c r="R959" i="45"/>
  <c r="R960" i="45"/>
  <c r="R963" i="45"/>
  <c r="R964" i="45"/>
  <c r="R966" i="45"/>
  <c r="R967" i="45"/>
  <c r="R972" i="45"/>
  <c r="R975" i="45"/>
  <c r="R976" i="45"/>
  <c r="R977" i="45"/>
  <c r="R979" i="45"/>
  <c r="R1007" i="45"/>
  <c r="R1012" i="45"/>
  <c r="R1028" i="45"/>
  <c r="R1047" i="45"/>
  <c r="R1071" i="45"/>
  <c r="R1072" i="45"/>
  <c r="R1074" i="45"/>
  <c r="R1075" i="45"/>
  <c r="R1083" i="45"/>
  <c r="R1084" i="45"/>
  <c r="R1085" i="45"/>
  <c r="R1086" i="45"/>
  <c r="R1089" i="45"/>
  <c r="R1090" i="45"/>
  <c r="R67" i="45"/>
  <c r="R77" i="45"/>
  <c r="R78" i="45"/>
  <c r="R88" i="45"/>
  <c r="R89" i="45"/>
  <c r="R90" i="45"/>
  <c r="R91" i="45"/>
  <c r="R94" i="45"/>
  <c r="R95" i="45"/>
  <c r="R98" i="45"/>
  <c r="R97" i="45"/>
  <c r="S157" i="45"/>
  <c r="S290" i="45"/>
  <c r="T290" i="45"/>
  <c r="S382" i="45"/>
  <c r="T382" i="45"/>
  <c r="S383" i="45"/>
  <c r="T383" i="45"/>
  <c r="S384" i="45"/>
  <c r="T384" i="45"/>
  <c r="S388" i="45"/>
  <c r="T388" i="45"/>
  <c r="S391" i="45"/>
  <c r="T391" i="45"/>
  <c r="S86" i="45"/>
  <c r="T86" i="45"/>
  <c r="S158" i="45"/>
  <c r="S392" i="45"/>
  <c r="T392" i="45"/>
  <c r="S159" i="45"/>
  <c r="S160" i="45"/>
  <c r="S87" i="45"/>
  <c r="T87" i="45"/>
  <c r="S96" i="45"/>
  <c r="T96" i="45"/>
  <c r="S396" i="45"/>
  <c r="T396" i="45"/>
  <c r="S397" i="45"/>
  <c r="T397" i="45"/>
  <c r="S114" i="45"/>
  <c r="S465" i="45"/>
  <c r="T465" i="45"/>
  <c r="S466" i="45"/>
  <c r="T466" i="45"/>
  <c r="S131" i="45"/>
  <c r="T131" i="45"/>
  <c r="S374" i="45"/>
  <c r="T374" i="45"/>
  <c r="S376" i="45"/>
  <c r="T376" i="45"/>
  <c r="S377" i="45"/>
  <c r="T377" i="45"/>
  <c r="S467" i="45"/>
  <c r="T467" i="45"/>
  <c r="S468" i="45"/>
  <c r="T468" i="45"/>
  <c r="S840" i="45"/>
  <c r="T840" i="45"/>
  <c r="S624" i="45"/>
  <c r="T624" i="45"/>
  <c r="S625" i="45"/>
  <c r="T625" i="45"/>
  <c r="S378" i="45"/>
  <c r="T378" i="45"/>
  <c r="S379" i="45"/>
  <c r="T379" i="45"/>
  <c r="S132" i="45"/>
  <c r="T132" i="45"/>
  <c r="S475" i="45"/>
  <c r="T475" i="45"/>
  <c r="S484" i="45"/>
  <c r="T484" i="45"/>
  <c r="S474" i="45"/>
  <c r="T474" i="45"/>
  <c r="S469" i="45"/>
  <c r="T469" i="45"/>
  <c r="S470" i="45"/>
  <c r="T470" i="45"/>
  <c r="S471" i="45"/>
  <c r="T471" i="45"/>
  <c r="S485" i="45"/>
  <c r="T485" i="45"/>
  <c r="S477" i="45"/>
  <c r="T477" i="45"/>
  <c r="S476" i="45"/>
  <c r="T476" i="45"/>
  <c r="S481" i="45"/>
  <c r="T481" i="45"/>
  <c r="S482" i="45"/>
  <c r="T482" i="45"/>
  <c r="S483" i="45"/>
  <c r="T483" i="45"/>
  <c r="S92" i="45"/>
  <c r="T92" i="45"/>
  <c r="S926" i="45"/>
  <c r="T926" i="45"/>
  <c r="S657" i="45"/>
  <c r="T657" i="45"/>
  <c r="S667" i="45"/>
  <c r="T667" i="45"/>
  <c r="S100" i="45"/>
  <c r="T100" i="45"/>
  <c r="S101" i="45"/>
  <c r="T101" i="45"/>
  <c r="S109" i="45"/>
  <c r="T109" i="45"/>
  <c r="S110" i="45"/>
  <c r="T110" i="45"/>
  <c r="S111" i="45"/>
  <c r="T111" i="45"/>
  <c r="S152" i="45"/>
  <c r="T152" i="45"/>
  <c r="S446" i="45"/>
  <c r="T446" i="45"/>
  <c r="S459" i="45"/>
  <c r="T459" i="45"/>
  <c r="S460" i="45"/>
  <c r="T460" i="45"/>
  <c r="S921" i="45"/>
  <c r="T921" i="45"/>
  <c r="S242" i="45"/>
  <c r="T242" i="45"/>
  <c r="S415" i="45"/>
  <c r="T415" i="45"/>
  <c r="S513" i="45"/>
  <c r="T513" i="45"/>
  <c r="S514" i="45"/>
  <c r="T514" i="45"/>
  <c r="S515" i="45"/>
  <c r="T515" i="45"/>
  <c r="S924" i="45"/>
  <c r="T924" i="45"/>
  <c r="S768" i="45"/>
  <c r="T768" i="45"/>
  <c r="S769" i="45"/>
  <c r="T769" i="45"/>
  <c r="S770" i="45"/>
  <c r="T770" i="45"/>
  <c r="S771" i="45"/>
  <c r="T771" i="45"/>
  <c r="S13" i="45"/>
  <c r="T13" i="45"/>
  <c r="S479" i="45"/>
  <c r="T479" i="45"/>
  <c r="S351" i="45"/>
  <c r="T351" i="45"/>
  <c r="S952" i="45"/>
  <c r="T952" i="45"/>
  <c r="S412" i="45"/>
  <c r="T412" i="45"/>
  <c r="S121" i="45"/>
  <c r="T121" i="45"/>
  <c r="S126" i="45"/>
  <c r="T126" i="45"/>
  <c r="S128" i="45"/>
  <c r="T128" i="45"/>
  <c r="S146" i="45"/>
  <c r="T146" i="45"/>
  <c r="S273" i="45"/>
  <c r="T273" i="45"/>
  <c r="S274" i="45"/>
  <c r="T274" i="45"/>
  <c r="S333" i="45"/>
  <c r="T333" i="45"/>
  <c r="S335" i="45"/>
  <c r="T335" i="45"/>
  <c r="S370" i="45"/>
  <c r="T370" i="45"/>
  <c r="S511" i="45"/>
  <c r="T511" i="45"/>
  <c r="S560" i="45"/>
  <c r="T560" i="45"/>
  <c r="S564" i="45"/>
  <c r="T564" i="45"/>
  <c r="S600" i="45"/>
  <c r="T600" i="45"/>
  <c r="S601" i="45"/>
  <c r="T601" i="45"/>
  <c r="S603" i="45"/>
  <c r="T603" i="45"/>
  <c r="S610" i="45"/>
  <c r="T610" i="45"/>
  <c r="S611" i="45"/>
  <c r="T611" i="45"/>
  <c r="S834" i="45"/>
  <c r="T834" i="45"/>
  <c r="S841" i="45"/>
  <c r="T841" i="45"/>
  <c r="S849" i="45"/>
  <c r="T849" i="45"/>
  <c r="S884" i="45"/>
  <c r="T884" i="45"/>
  <c r="S913" i="45"/>
  <c r="T913" i="45"/>
  <c r="S914" i="45"/>
  <c r="T914" i="45"/>
  <c r="S932" i="45"/>
  <c r="T932" i="45"/>
  <c r="S933" i="45"/>
  <c r="T933" i="45"/>
  <c r="S156" i="45"/>
  <c r="T156" i="45"/>
  <c r="S623" i="45"/>
  <c r="T623" i="45"/>
  <c r="S127" i="45"/>
  <c r="T127" i="45"/>
  <c r="S461" i="45"/>
  <c r="T461" i="45"/>
  <c r="S462" i="45"/>
  <c r="T462" i="45"/>
  <c r="S487" i="45"/>
  <c r="T487" i="45"/>
  <c r="S912" i="45"/>
  <c r="T912" i="45"/>
  <c r="S344" i="45"/>
  <c r="T344" i="45"/>
  <c r="S428" i="45"/>
  <c r="T428" i="45"/>
  <c r="S444" i="45"/>
  <c r="T444" i="45"/>
  <c r="S445" i="45"/>
  <c r="T445" i="45"/>
  <c r="S486" i="45"/>
  <c r="T486" i="45"/>
  <c r="S567" i="45"/>
  <c r="T567" i="45"/>
  <c r="S568" i="45"/>
  <c r="T568" i="45"/>
  <c r="S594" i="45"/>
  <c r="T594" i="45"/>
  <c r="S705" i="45"/>
  <c r="T705" i="45"/>
  <c r="S706" i="45"/>
  <c r="T706" i="45"/>
  <c r="S903" i="45"/>
  <c r="T903" i="45"/>
  <c r="S409" i="45"/>
  <c r="T409" i="45"/>
  <c r="S529" i="45"/>
  <c r="T529" i="45"/>
  <c r="S789" i="45"/>
  <c r="T789" i="45"/>
  <c r="S883" i="45"/>
  <c r="T883" i="45"/>
  <c r="S472" i="45"/>
  <c r="T472" i="45"/>
  <c r="S473" i="45"/>
  <c r="T473" i="45"/>
  <c r="S450" i="45"/>
  <c r="T450" i="45"/>
  <c r="S541" i="45"/>
  <c r="T541" i="45"/>
  <c r="S710" i="45"/>
  <c r="T710" i="45"/>
  <c r="S636" i="45"/>
  <c r="T636" i="45"/>
  <c r="S669" i="45"/>
  <c r="T669" i="45"/>
  <c r="S815" i="45"/>
  <c r="T815" i="45"/>
  <c r="S816" i="45"/>
  <c r="T816" i="45"/>
  <c r="S817" i="45"/>
  <c r="T817" i="45"/>
  <c r="S728" i="45"/>
  <c r="T728" i="45"/>
  <c r="S772" i="45"/>
  <c r="T772" i="45"/>
  <c r="S496" i="45"/>
  <c r="T496" i="45"/>
  <c r="S558" i="45"/>
  <c r="S577" i="45"/>
  <c r="T577" i="45"/>
  <c r="S604" i="45"/>
  <c r="S896" i="45"/>
  <c r="T896" i="45"/>
  <c r="S795" i="45"/>
  <c r="T795" i="45"/>
  <c r="S236" i="45"/>
  <c r="T236" i="45"/>
  <c r="S104" i="45"/>
  <c r="T104" i="45"/>
  <c r="S147" i="45"/>
  <c r="T147" i="45"/>
  <c r="S148" i="45"/>
  <c r="T148" i="45"/>
  <c r="S352" i="45"/>
  <c r="T352" i="45"/>
  <c r="S419" i="45"/>
  <c r="T419" i="45"/>
  <c r="S431" i="45"/>
  <c r="T431" i="45"/>
  <c r="S463" i="45"/>
  <c r="T463" i="45"/>
  <c r="S510" i="45"/>
  <c r="T510" i="45"/>
  <c r="S553" i="45"/>
  <c r="T553" i="45"/>
  <c r="S581" i="45"/>
  <c r="T581" i="45"/>
  <c r="S836" i="45"/>
  <c r="T836" i="45"/>
  <c r="S837" i="45"/>
  <c r="T837" i="45"/>
  <c r="S882" i="45"/>
  <c r="T882" i="45"/>
  <c r="S915" i="45"/>
  <c r="T915" i="45"/>
  <c r="S239" i="45"/>
  <c r="T239" i="45"/>
  <c r="S506" i="45"/>
  <c r="T506" i="45"/>
  <c r="S507" i="45"/>
  <c r="T507" i="45"/>
  <c r="S587" i="45"/>
  <c r="T587" i="45"/>
  <c r="S786" i="45"/>
  <c r="T786" i="45"/>
  <c r="S787" i="45"/>
  <c r="T787" i="45"/>
  <c r="S743" i="45"/>
  <c r="T743" i="45"/>
  <c r="S744" i="45"/>
  <c r="T744" i="45"/>
  <c r="S749" i="45"/>
  <c r="T749" i="45"/>
  <c r="S762" i="45"/>
  <c r="T762" i="45"/>
  <c r="S765" i="45"/>
  <c r="T765" i="45"/>
  <c r="S766" i="45"/>
  <c r="T766" i="45"/>
  <c r="S767" i="45"/>
  <c r="T767" i="45"/>
  <c r="S904" i="45"/>
  <c r="T904" i="45"/>
  <c r="S905" i="45"/>
  <c r="T905" i="45"/>
  <c r="S906" i="45"/>
  <c r="T906" i="45"/>
  <c r="S907" i="45"/>
  <c r="T907" i="45"/>
  <c r="S736" i="45"/>
  <c r="T736" i="45"/>
  <c r="S784" i="45"/>
  <c r="T784" i="45"/>
  <c r="S498" i="45"/>
  <c r="T498" i="45"/>
  <c r="S317" i="45"/>
  <c r="T317" i="45"/>
  <c r="S342" i="45"/>
  <c r="T342" i="45"/>
  <c r="S315" i="45"/>
  <c r="T315" i="45"/>
  <c r="S362" i="45"/>
  <c r="T362" i="45"/>
  <c r="S430" i="45"/>
  <c r="T430" i="45"/>
  <c r="S897" i="45"/>
  <c r="T897" i="45"/>
  <c r="S628" i="45"/>
  <c r="T628" i="45"/>
  <c r="S652" i="45"/>
  <c r="T652" i="45"/>
  <c r="S707" i="45"/>
  <c r="T707" i="45"/>
  <c r="S708" i="45"/>
  <c r="T708" i="45"/>
  <c r="S712" i="45"/>
  <c r="T712" i="45"/>
  <c r="S741" i="45"/>
  <c r="T741" i="45"/>
  <c r="S742" i="45"/>
  <c r="T742" i="45"/>
  <c r="S773" i="45"/>
  <c r="T773" i="45"/>
  <c r="S779" i="45"/>
  <c r="T779" i="45"/>
  <c r="S790" i="45"/>
  <c r="T790" i="45"/>
  <c r="S809" i="45"/>
  <c r="T809" i="45"/>
  <c r="S810" i="45"/>
  <c r="T810" i="45"/>
  <c r="S811" i="45"/>
  <c r="T811" i="45"/>
  <c r="S812" i="45"/>
  <c r="T812" i="45"/>
  <c r="S814" i="45"/>
  <c r="T814" i="45"/>
  <c r="S696" i="45"/>
  <c r="T696" i="45"/>
  <c r="S701" i="45"/>
  <c r="T701" i="45"/>
  <c r="S410" i="45"/>
  <c r="T410" i="45"/>
  <c r="S631" i="45"/>
  <c r="T631" i="45"/>
  <c r="S650" i="45"/>
  <c r="T650" i="45"/>
  <c r="S651" i="45"/>
  <c r="T651" i="45"/>
  <c r="S662" i="45"/>
  <c r="T662" i="45"/>
  <c r="S664" i="45"/>
  <c r="T664" i="45"/>
  <c r="S665" i="45"/>
  <c r="T665" i="45"/>
  <c r="S678" i="45"/>
  <c r="T678" i="45"/>
  <c r="S679" i="45"/>
  <c r="T679" i="45"/>
  <c r="S680" i="45"/>
  <c r="T680" i="45"/>
  <c r="S681" i="45"/>
  <c r="T681" i="45"/>
  <c r="S688" i="45"/>
  <c r="T688" i="45"/>
  <c r="S788" i="45"/>
  <c r="T788" i="45"/>
  <c r="S797" i="45"/>
  <c r="T797" i="45"/>
  <c r="S798" i="45"/>
  <c r="T798" i="45"/>
  <c r="S614" i="45"/>
  <c r="T614" i="45"/>
  <c r="S615" i="45"/>
  <c r="T615" i="45"/>
  <c r="S620" i="45"/>
  <c r="T620" i="45"/>
  <c r="S626" i="45"/>
  <c r="T626" i="45"/>
  <c r="S711" i="45"/>
  <c r="T711" i="45"/>
  <c r="S115" i="45"/>
  <c r="S499" i="45"/>
  <c r="T499" i="45"/>
  <c r="S500" i="45"/>
  <c r="T500" i="45"/>
  <c r="S129" i="45"/>
  <c r="T129" i="45"/>
  <c r="S130" i="45"/>
  <c r="T130" i="45"/>
  <c r="S505" i="45"/>
  <c r="T505" i="45"/>
  <c r="S539" i="45"/>
  <c r="T539" i="45"/>
  <c r="S570" i="45"/>
  <c r="T570" i="45"/>
  <c r="S618" i="45"/>
  <c r="T618" i="45"/>
  <c r="S619" i="45"/>
  <c r="T619" i="45"/>
  <c r="S632" i="45"/>
  <c r="T632" i="45"/>
  <c r="S638" i="45"/>
  <c r="T638" i="45"/>
  <c r="S639" i="45"/>
  <c r="T639" i="45"/>
  <c r="S641" i="45"/>
  <c r="T641" i="45"/>
  <c r="S660" i="45"/>
  <c r="T660" i="45"/>
  <c r="S663" i="45"/>
  <c r="T663" i="45"/>
  <c r="S699" i="45"/>
  <c r="T699" i="45"/>
  <c r="S700" i="45"/>
  <c r="T700" i="45"/>
  <c r="S703" i="45"/>
  <c r="T703" i="45"/>
  <c r="S704" i="45"/>
  <c r="T704" i="45"/>
  <c r="S716" i="45"/>
  <c r="T716" i="45"/>
  <c r="S717" i="45"/>
  <c r="T717" i="45"/>
  <c r="S720" i="45"/>
  <c r="T720" i="45"/>
  <c r="S724" i="45"/>
  <c r="T724" i="45"/>
  <c r="S725" i="45"/>
  <c r="T725" i="45"/>
  <c r="S727" i="45"/>
  <c r="T727" i="45"/>
  <c r="S737" i="45"/>
  <c r="T737" i="45"/>
  <c r="S738" i="45"/>
  <c r="T738" i="45"/>
  <c r="S755" i="45"/>
  <c r="T755" i="45"/>
  <c r="S758" i="45"/>
  <c r="T758" i="45"/>
  <c r="S759" i="45"/>
  <c r="T759" i="45"/>
  <c r="S763" i="45"/>
  <c r="T763" i="45"/>
  <c r="S764" i="45"/>
  <c r="T764" i="45"/>
  <c r="S776" i="45"/>
  <c r="T776" i="45"/>
  <c r="S777" i="45"/>
  <c r="T777" i="45"/>
  <c r="S793" i="45"/>
  <c r="T793" i="45"/>
  <c r="S799" i="45"/>
  <c r="T799" i="45"/>
  <c r="S800" i="45"/>
  <c r="T800" i="45"/>
  <c r="S802" i="45"/>
  <c r="T802" i="45"/>
  <c r="S803" i="45"/>
  <c r="T803" i="45"/>
  <c r="S819" i="45"/>
  <c r="T819" i="45"/>
  <c r="S452" i="45"/>
  <c r="T452" i="45"/>
  <c r="S685" i="45"/>
  <c r="T685" i="45"/>
  <c r="S112" i="45"/>
  <c r="T112" i="45"/>
  <c r="S783" i="45"/>
  <c r="T783" i="45"/>
  <c r="S822" i="45"/>
  <c r="T822" i="45"/>
  <c r="S823" i="45"/>
  <c r="T823" i="45"/>
  <c r="S237" i="45"/>
  <c r="T237" i="45"/>
  <c r="S238" i="45"/>
  <c r="T238" i="45"/>
  <c r="S537" i="45"/>
  <c r="T537" i="45"/>
  <c r="S122" i="45"/>
  <c r="T122" i="45"/>
  <c r="S123" i="45"/>
  <c r="T123" i="45"/>
  <c r="S124" i="45"/>
  <c r="T124" i="45"/>
  <c r="S125" i="45"/>
  <c r="T125" i="45"/>
  <c r="S137" i="45"/>
  <c r="T137" i="45"/>
  <c r="S327" i="45"/>
  <c r="T327" i="45"/>
  <c r="S328" i="45"/>
  <c r="T328" i="45"/>
  <c r="S334" i="45"/>
  <c r="T334" i="45"/>
  <c r="S336" i="45"/>
  <c r="T336" i="45"/>
  <c r="S338" i="45"/>
  <c r="T338" i="45"/>
  <c r="S339" i="45"/>
  <c r="T339" i="45"/>
  <c r="S347" i="45"/>
  <c r="T347" i="45"/>
  <c r="S372" i="45"/>
  <c r="T372" i="45"/>
  <c r="S407" i="45"/>
  <c r="T407" i="45"/>
  <c r="S408" i="45"/>
  <c r="T408" i="45"/>
  <c r="S416" i="45"/>
  <c r="T416" i="45"/>
  <c r="S417" i="45"/>
  <c r="T417" i="45"/>
  <c r="S418" i="45"/>
  <c r="T418" i="45"/>
  <c r="S420" i="45"/>
  <c r="T420" i="45"/>
  <c r="S449" i="45"/>
  <c r="T449" i="45"/>
  <c r="S456" i="45"/>
  <c r="T456" i="45"/>
  <c r="S458" i="45"/>
  <c r="T458" i="45"/>
  <c r="S488" i="45"/>
  <c r="T488" i="45"/>
  <c r="S508" i="45"/>
  <c r="T508" i="45"/>
  <c r="S509" i="45"/>
  <c r="T509" i="45"/>
  <c r="S527" i="45"/>
  <c r="T527" i="45"/>
  <c r="S535" i="45"/>
  <c r="T535" i="45"/>
  <c r="S591" i="45"/>
  <c r="T591" i="45"/>
  <c r="S592" i="45"/>
  <c r="T592" i="45"/>
  <c r="S850" i="45"/>
  <c r="T850" i="45"/>
  <c r="S870" i="45"/>
  <c r="T870" i="45"/>
  <c r="S908" i="45"/>
  <c r="T908" i="45"/>
  <c r="S920" i="45"/>
  <c r="T920" i="45"/>
  <c r="S74" i="45"/>
  <c r="T74" i="45"/>
  <c r="S120" i="45"/>
  <c r="T120" i="45"/>
  <c r="S151" i="45"/>
  <c r="T151" i="45"/>
  <c r="S154" i="45"/>
  <c r="T154" i="45"/>
  <c r="S287" i="45"/>
  <c r="T287" i="45"/>
  <c r="S324" i="45"/>
  <c r="T324" i="45"/>
  <c r="S325" i="45"/>
  <c r="T325" i="45"/>
  <c r="S326" i="45"/>
  <c r="T326" i="45"/>
  <c r="S337" i="45"/>
  <c r="T337" i="45"/>
  <c r="S453" i="45"/>
  <c r="T453" i="45"/>
  <c r="S493" i="45"/>
  <c r="T493" i="45"/>
  <c r="S494" i="45"/>
  <c r="T494" i="45"/>
  <c r="S516" i="45"/>
  <c r="T516" i="45"/>
  <c r="S549" i="45"/>
  <c r="T549" i="45"/>
  <c r="S555" i="45"/>
  <c r="T555" i="45"/>
  <c r="S556" i="45"/>
  <c r="T556" i="45"/>
  <c r="S557" i="45"/>
  <c r="T557" i="45"/>
  <c r="S571" i="45"/>
  <c r="T571" i="45"/>
  <c r="S597" i="45"/>
  <c r="T597" i="45"/>
  <c r="S598" i="45"/>
  <c r="T598" i="45"/>
  <c r="S846" i="45"/>
  <c r="T846" i="45"/>
  <c r="S847" i="45"/>
  <c r="T847" i="45"/>
  <c r="S848" i="45"/>
  <c r="T848" i="45"/>
  <c r="S895" i="45"/>
  <c r="T895" i="45"/>
  <c r="S901" i="45"/>
  <c r="T901" i="45"/>
  <c r="S902" i="45"/>
  <c r="T902" i="45"/>
  <c r="S925" i="45"/>
  <c r="T925" i="45"/>
  <c r="S107" i="45"/>
  <c r="T107" i="45"/>
  <c r="S119" i="45"/>
  <c r="T119" i="45"/>
  <c r="S244" i="45"/>
  <c r="T244" i="45"/>
  <c r="S258" i="45"/>
  <c r="T258" i="45"/>
  <c r="S260" i="45"/>
  <c r="T260" i="45"/>
  <c r="S271" i="45"/>
  <c r="T271" i="45"/>
  <c r="S277" i="45"/>
  <c r="T277" i="45"/>
  <c r="S278" i="45"/>
  <c r="T278" i="45"/>
  <c r="S321" i="45"/>
  <c r="T321" i="45"/>
  <c r="S354" i="45"/>
  <c r="T354" i="45"/>
  <c r="S359" i="45"/>
  <c r="T359" i="45"/>
  <c r="S367" i="45"/>
  <c r="T367" i="45"/>
  <c r="S368" i="45"/>
  <c r="T368" i="45"/>
  <c r="S413" i="45"/>
  <c r="T413" i="45"/>
  <c r="S421" i="45"/>
  <c r="T421" i="45"/>
  <c r="S422" i="45"/>
  <c r="T422" i="45"/>
  <c r="S457" i="45"/>
  <c r="T457" i="45"/>
  <c r="S497" i="45"/>
  <c r="T497" i="45"/>
  <c r="S528" i="45"/>
  <c r="T528" i="45"/>
  <c r="S530" i="45"/>
  <c r="T530" i="45"/>
  <c r="S536" i="45"/>
  <c r="T536" i="45"/>
  <c r="S538" i="45"/>
  <c r="T538" i="45"/>
  <c r="S561" i="45"/>
  <c r="T561" i="45"/>
  <c r="S562" i="45"/>
  <c r="T562" i="45"/>
  <c r="S563" i="45"/>
  <c r="T563" i="45"/>
  <c r="S573" i="45"/>
  <c r="T573" i="45"/>
  <c r="S876" i="45"/>
  <c r="T876" i="45"/>
  <c r="S877" i="45"/>
  <c r="T877" i="45"/>
  <c r="S878" i="45"/>
  <c r="T878" i="45"/>
  <c r="S885" i="45"/>
  <c r="T885" i="45"/>
  <c r="S886" i="45"/>
  <c r="T886" i="45"/>
  <c r="S931" i="45"/>
  <c r="T931" i="45"/>
  <c r="S893" i="45"/>
  <c r="T893" i="45"/>
  <c r="S894" i="45"/>
  <c r="T894" i="45"/>
  <c r="S451" i="45"/>
  <c r="T451" i="45"/>
  <c r="S414" i="45"/>
  <c r="T414" i="45"/>
  <c r="S599" i="45"/>
  <c r="T599" i="45"/>
  <c r="S916" i="45"/>
  <c r="T916" i="45"/>
  <c r="S917" i="45"/>
  <c r="T917" i="45"/>
  <c r="S922" i="45"/>
  <c r="T922" i="45"/>
  <c r="S637" i="45"/>
  <c r="T637" i="45"/>
  <c r="S745" i="45"/>
  <c r="T745" i="45"/>
  <c r="S746" i="45"/>
  <c r="T746" i="45"/>
  <c r="S105" i="45"/>
  <c r="T105" i="45"/>
  <c r="S106" i="45"/>
  <c r="T106" i="45"/>
  <c r="S648" i="45"/>
  <c r="T648" i="45"/>
  <c r="S309" i="45"/>
  <c r="T309" i="45"/>
  <c r="S442" i="45"/>
  <c r="T442" i="45"/>
  <c r="S312" i="45"/>
  <c r="T312" i="45"/>
  <c r="S807" i="45"/>
  <c r="T807" i="45"/>
  <c r="S780" i="45"/>
  <c r="T780" i="45"/>
  <c r="S781" i="45"/>
  <c r="T781" i="45"/>
  <c r="S805" i="45"/>
  <c r="T805" i="45"/>
  <c r="S806" i="45"/>
  <c r="T806" i="45"/>
  <c r="S576" i="45"/>
  <c r="T576" i="45"/>
  <c r="S721" i="45"/>
  <c r="T721" i="45"/>
  <c r="S653" i="45"/>
  <c r="T653" i="45"/>
  <c r="S845" i="45"/>
  <c r="T845" i="45"/>
  <c r="S852" i="45"/>
  <c r="T852" i="45"/>
  <c r="S851" i="45"/>
  <c r="T851" i="45"/>
  <c r="S103" i="45"/>
  <c r="T103" i="45"/>
  <c r="S231" i="45"/>
  <c r="T231" i="45"/>
  <c r="S310" i="45"/>
  <c r="T310" i="45"/>
  <c r="S311" i="45"/>
  <c r="T311" i="45"/>
  <c r="S365" i="45"/>
  <c r="T365" i="45"/>
  <c r="S503" i="45"/>
  <c r="T503" i="45"/>
  <c r="S582" i="45"/>
  <c r="T582" i="45"/>
  <c r="S659" i="45"/>
  <c r="T659" i="45"/>
  <c r="S675" i="45"/>
  <c r="T675" i="45"/>
  <c r="S731" i="45"/>
  <c r="T731" i="45"/>
  <c r="S732" i="45"/>
  <c r="T732" i="45"/>
  <c r="S733" i="45"/>
  <c r="T733" i="45"/>
  <c r="S791" i="45"/>
  <c r="T791" i="45"/>
  <c r="S718" i="45"/>
  <c r="T718" i="45"/>
  <c r="S719" i="45"/>
  <c r="T719" i="45"/>
  <c r="S735" i="45"/>
  <c r="T735" i="45"/>
  <c r="S801" i="45"/>
  <c r="T801" i="45"/>
  <c r="S697" i="45"/>
  <c r="T697" i="45"/>
  <c r="S698" i="45"/>
  <c r="T698" i="45"/>
  <c r="S702" i="45"/>
  <c r="T702" i="45"/>
  <c r="S661" i="45"/>
  <c r="T661" i="45"/>
  <c r="S308" i="45"/>
  <c r="T308" i="45"/>
  <c r="S540" i="45"/>
  <c r="T540" i="45"/>
  <c r="S224" i="45"/>
  <c r="T224" i="45"/>
  <c r="S866" i="45"/>
  <c r="T866" i="45"/>
  <c r="S4" i="45"/>
  <c r="T4" i="45"/>
  <c r="S5" i="45"/>
  <c r="T5" i="45"/>
  <c r="S145" i="45"/>
  <c r="T145" i="45"/>
  <c r="S61" i="45"/>
  <c r="T61" i="45"/>
  <c r="S93" i="45"/>
  <c r="T93" i="45"/>
  <c r="S225" i="45"/>
  <c r="T225" i="45"/>
  <c r="S226" i="45"/>
  <c r="T226" i="45"/>
  <c r="S240" i="45"/>
  <c r="T240" i="45"/>
  <c r="S320" i="45"/>
  <c r="T320" i="45"/>
  <c r="S227" i="45"/>
  <c r="T227" i="45"/>
  <c r="S319" i="45"/>
  <c r="T319" i="45"/>
  <c r="S646" i="45"/>
  <c r="T646" i="45"/>
  <c r="S630" i="45"/>
  <c r="T630" i="45"/>
  <c r="S645" i="45"/>
  <c r="T645" i="45"/>
  <c r="S804" i="45"/>
  <c r="T804" i="45"/>
  <c r="S357" i="45"/>
  <c r="T357" i="45"/>
  <c r="S363" i="45"/>
  <c r="T363" i="45"/>
  <c r="S364" i="45"/>
  <c r="T364" i="45"/>
  <c r="S366" i="45"/>
  <c r="T366" i="45"/>
  <c r="S495" i="45"/>
  <c r="T495" i="45"/>
  <c r="S853" i="45"/>
  <c r="T853" i="45"/>
  <c r="S875" i="45"/>
  <c r="T875" i="45"/>
  <c r="S455" i="45"/>
  <c r="T455" i="45"/>
  <c r="S356" i="45"/>
  <c r="T356" i="45"/>
  <c r="S489" i="45"/>
  <c r="T489" i="45"/>
  <c r="S517" i="45"/>
  <c r="T517" i="45"/>
  <c r="S518" i="45"/>
  <c r="T518" i="45"/>
  <c r="S102" i="45"/>
  <c r="T102" i="45"/>
  <c r="S353" i="45"/>
  <c r="T353" i="45"/>
  <c r="S833" i="45"/>
  <c r="T833" i="45"/>
  <c r="S835" i="45"/>
  <c r="T835" i="45"/>
  <c r="S99" i="45"/>
  <c r="T99" i="45"/>
  <c r="S355" i="45"/>
  <c r="T355" i="45"/>
  <c r="S756" i="45"/>
  <c r="T756" i="45"/>
  <c r="S649" i="45"/>
  <c r="T649" i="45"/>
  <c r="S677" i="45"/>
  <c r="T677" i="45"/>
  <c r="S682" i="45"/>
  <c r="T682" i="45"/>
  <c r="S821" i="45"/>
  <c r="T821" i="45"/>
  <c r="S228" i="45"/>
  <c r="T228" i="45"/>
  <c r="S229" i="45"/>
  <c r="T229" i="45"/>
  <c r="S936" i="45"/>
  <c r="T936" i="45"/>
  <c r="S670" i="45"/>
  <c r="T670" i="45"/>
  <c r="S757" i="45"/>
  <c r="T757" i="45"/>
  <c r="S1082" i="45"/>
  <c r="T1082" i="45"/>
  <c r="S7" i="45"/>
  <c r="T7" i="45"/>
  <c r="S9" i="45"/>
  <c r="T9" i="45"/>
  <c r="S6" i="45"/>
  <c r="T6" i="45"/>
  <c r="S8" i="45"/>
  <c r="T8" i="45"/>
  <c r="S1077" i="45"/>
  <c r="T1077" i="45"/>
  <c r="S891" i="45"/>
  <c r="T891" i="45"/>
  <c r="S349" i="45"/>
  <c r="T349" i="45"/>
  <c r="S153" i="45"/>
  <c r="T153" i="45"/>
  <c r="S892" i="45"/>
  <c r="T892" i="45"/>
  <c r="S754" i="45"/>
  <c r="T754" i="45"/>
  <c r="S1064" i="45"/>
  <c r="T1064" i="45"/>
  <c r="S171" i="45"/>
  <c r="T171" i="45"/>
  <c r="S888" i="45"/>
  <c r="T888" i="45"/>
  <c r="S173" i="45"/>
  <c r="T173" i="45"/>
  <c r="S261" i="45"/>
  <c r="T261" i="45"/>
  <c r="S889" i="45"/>
  <c r="T889" i="45"/>
  <c r="S140" i="45"/>
  <c r="T140" i="45"/>
  <c r="S155" i="45"/>
  <c r="T155" i="45"/>
  <c r="S162" i="45"/>
  <c r="T162" i="45"/>
  <c r="S165" i="45"/>
  <c r="T165" i="45"/>
  <c r="S172" i="45"/>
  <c r="T172" i="45"/>
  <c r="S60" i="45"/>
  <c r="T60" i="45"/>
  <c r="S113" i="45"/>
  <c r="T113" i="45"/>
  <c r="S141" i="45"/>
  <c r="T141" i="45"/>
  <c r="S143" i="45"/>
  <c r="T143" i="45"/>
  <c r="S164" i="45"/>
  <c r="T164" i="45"/>
  <c r="S232" i="45"/>
  <c r="T232" i="45"/>
  <c r="S233" i="45"/>
  <c r="T233" i="45"/>
  <c r="S234" i="45"/>
  <c r="T234" i="45"/>
  <c r="S235" i="45"/>
  <c r="T235" i="45"/>
  <c r="S360" i="45"/>
  <c r="S405" i="45"/>
  <c r="T405" i="45"/>
  <c r="S406" i="45"/>
  <c r="T406" i="45"/>
  <c r="S919" i="45"/>
  <c r="T919" i="45"/>
  <c r="S935" i="45"/>
  <c r="T935" i="45"/>
  <c r="S658" i="45"/>
  <c r="T658" i="45"/>
  <c r="S943" i="45"/>
  <c r="T943" i="45"/>
  <c r="S629" i="45"/>
  <c r="T629" i="45"/>
  <c r="S62" i="45"/>
  <c r="T62" i="45"/>
  <c r="S142" i="45"/>
  <c r="T142" i="45"/>
  <c r="S166" i="45"/>
  <c r="T166" i="45"/>
  <c r="S1000" i="45"/>
  <c r="T1000" i="45"/>
  <c r="S1032" i="45"/>
  <c r="T1032" i="45"/>
  <c r="S1035" i="45"/>
  <c r="T1035" i="45"/>
  <c r="S1042" i="45"/>
  <c r="T1042" i="45"/>
  <c r="S1044" i="45"/>
  <c r="T1044" i="45"/>
  <c r="S1045" i="45"/>
  <c r="T1045" i="45"/>
  <c r="S995" i="45"/>
  <c r="T995" i="45"/>
  <c r="S1004" i="45"/>
  <c r="T1004" i="45"/>
  <c r="S1005" i="45"/>
  <c r="T1005" i="45"/>
  <c r="S1010" i="45"/>
  <c r="T1010" i="45"/>
  <c r="S1011" i="45"/>
  <c r="T1011" i="45"/>
  <c r="S28" i="45"/>
  <c r="T28" i="45"/>
  <c r="S144" i="45"/>
  <c r="T144" i="45"/>
  <c r="S361" i="45"/>
  <c r="S1053" i="45"/>
  <c r="T1053" i="45"/>
  <c r="S1033" i="45"/>
  <c r="T1033" i="45"/>
  <c r="S167" i="45"/>
  <c r="T167" i="45"/>
  <c r="S168" i="45"/>
  <c r="T168" i="45"/>
  <c r="S962" i="45"/>
  <c r="T962" i="45"/>
  <c r="S1059" i="45"/>
  <c r="T1059" i="45"/>
  <c r="S1051" i="45"/>
  <c r="T1051" i="45"/>
  <c r="S968" i="45"/>
  <c r="T968" i="45"/>
  <c r="S36" i="45"/>
  <c r="T36" i="45"/>
  <c r="S37" i="45"/>
  <c r="T37" i="45"/>
  <c r="S1056" i="45"/>
  <c r="T1056" i="45"/>
  <c r="S1055" i="45"/>
  <c r="T1055" i="45"/>
  <c r="S1025" i="45"/>
  <c r="T1025" i="45"/>
  <c r="S1034" i="45"/>
  <c r="T1034" i="45"/>
  <c r="S942" i="45"/>
  <c r="T942" i="45"/>
  <c r="S956" i="45"/>
  <c r="T956" i="45"/>
  <c r="S987" i="45"/>
  <c r="T987" i="45"/>
  <c r="S1018" i="45"/>
  <c r="T1018" i="45"/>
  <c r="S1019" i="45"/>
  <c r="T1019" i="45"/>
  <c r="S1024" i="45"/>
  <c r="T1024" i="45"/>
  <c r="S1030" i="45"/>
  <c r="T1030" i="45"/>
  <c r="S1036" i="45"/>
  <c r="T1036" i="45"/>
  <c r="S1043" i="45"/>
  <c r="T1043" i="45"/>
  <c r="S135" i="45"/>
  <c r="T135" i="45"/>
  <c r="S969" i="45"/>
  <c r="T969" i="45"/>
  <c r="S169" i="45"/>
  <c r="T169" i="45"/>
  <c r="S170" i="45"/>
  <c r="T170" i="45"/>
  <c r="S12" i="45"/>
  <c r="T12" i="45"/>
  <c r="S18" i="45"/>
  <c r="T18" i="45"/>
  <c r="S23" i="45"/>
  <c r="T23" i="45"/>
  <c r="S26" i="45"/>
  <c r="T26" i="45"/>
  <c r="S27" i="45"/>
  <c r="T27" i="45"/>
  <c r="S951" i="45"/>
  <c r="T951" i="45"/>
  <c r="S973" i="45"/>
  <c r="T973" i="45"/>
  <c r="S983" i="45"/>
  <c r="T983" i="45"/>
  <c r="S984" i="45"/>
  <c r="T984" i="45"/>
  <c r="S985" i="45"/>
  <c r="T985" i="45"/>
  <c r="S49" i="45"/>
  <c r="T49" i="45"/>
  <c r="S24" i="45"/>
  <c r="T24" i="45"/>
  <c r="S1029" i="45"/>
  <c r="T1029" i="45"/>
  <c r="S1048" i="45"/>
  <c r="T1048" i="45"/>
  <c r="S1049" i="45"/>
  <c r="T1049" i="45"/>
  <c r="S965" i="45"/>
  <c r="T965" i="45"/>
  <c r="S1020" i="45"/>
  <c r="T1020" i="45"/>
  <c r="S961" i="45"/>
  <c r="T961" i="45"/>
  <c r="S991" i="45"/>
  <c r="T991" i="45"/>
  <c r="S1050" i="45"/>
  <c r="T1050" i="45"/>
  <c r="S990" i="45"/>
  <c r="T990" i="45"/>
  <c r="S1015" i="45"/>
  <c r="T1015" i="45"/>
  <c r="S1016" i="45"/>
  <c r="T1016" i="45"/>
  <c r="S1021" i="45"/>
  <c r="T1021" i="45"/>
  <c r="S1023" i="45"/>
  <c r="T1023" i="45"/>
  <c r="S1039" i="45"/>
  <c r="T1039" i="45"/>
  <c r="S1040" i="45"/>
  <c r="T1040" i="45"/>
  <c r="S1058" i="45"/>
  <c r="T1058" i="45"/>
  <c r="S1060" i="45"/>
  <c r="T1060" i="45"/>
  <c r="S1066" i="45"/>
  <c r="T1066" i="45"/>
  <c r="S1067" i="45"/>
  <c r="T1067" i="45"/>
  <c r="S1069" i="45"/>
  <c r="T1069" i="45"/>
  <c r="S1070" i="45"/>
  <c r="T1070" i="45"/>
  <c r="S29" i="45"/>
  <c r="T29" i="45"/>
  <c r="S39" i="45"/>
  <c r="T39" i="45"/>
  <c r="S40" i="45"/>
  <c r="T40" i="45"/>
  <c r="S41" i="45"/>
  <c r="T41" i="45"/>
  <c r="S42" i="45"/>
  <c r="T42" i="45"/>
  <c r="S941" i="45"/>
  <c r="T941" i="45"/>
  <c r="S948" i="45"/>
  <c r="T948" i="45"/>
  <c r="S949" i="45"/>
  <c r="T949" i="45"/>
  <c r="S950" i="45"/>
  <c r="T950" i="45"/>
  <c r="S986" i="45"/>
  <c r="T986" i="45"/>
  <c r="S1001" i="45"/>
  <c r="T1001" i="45"/>
  <c r="S1002" i="45"/>
  <c r="T1002" i="45"/>
  <c r="S1008" i="45"/>
  <c r="T1008" i="45"/>
  <c r="S1013" i="45"/>
  <c r="T1013" i="45"/>
  <c r="S1063" i="45"/>
  <c r="T1063" i="45"/>
  <c r="S946" i="45"/>
  <c r="T946" i="45"/>
  <c r="S947" i="45"/>
  <c r="T947" i="45"/>
  <c r="S955" i="45"/>
  <c r="T955" i="45"/>
  <c r="S992" i="45"/>
  <c r="T992" i="45"/>
  <c r="S980" i="45"/>
  <c r="T980" i="45"/>
  <c r="S981" i="45"/>
  <c r="T981" i="45"/>
  <c r="S1068" i="45"/>
  <c r="T1068" i="45"/>
  <c r="S994" i="45"/>
  <c r="T994" i="45"/>
  <c r="S1065" i="45"/>
  <c r="T1065" i="45"/>
  <c r="S55" i="45"/>
  <c r="S970" i="45"/>
  <c r="T970" i="45"/>
  <c r="S971" i="45"/>
  <c r="T971" i="45"/>
  <c r="S982" i="45"/>
  <c r="T982" i="45"/>
  <c r="S59" i="45"/>
  <c r="T59" i="45"/>
  <c r="S1003" i="45"/>
  <c r="T1003" i="45"/>
  <c r="S1026" i="45"/>
  <c r="T1026" i="45"/>
  <c r="S1027" i="45"/>
  <c r="T1027" i="45"/>
  <c r="S1052" i="45"/>
  <c r="T1052" i="45"/>
  <c r="S10" i="45"/>
  <c r="T10" i="45"/>
  <c r="S988" i="45"/>
  <c r="T988" i="45"/>
  <c r="S989" i="45"/>
  <c r="T989" i="45"/>
  <c r="S993" i="45"/>
  <c r="T993" i="45"/>
  <c r="S1046" i="45"/>
  <c r="T1046" i="45"/>
  <c r="S1031" i="45"/>
  <c r="T1031" i="45"/>
  <c r="S1073" i="45"/>
  <c r="T1073" i="45"/>
  <c r="S1062" i="45"/>
  <c r="T1062" i="45"/>
  <c r="S1041" i="45"/>
  <c r="T1041" i="45"/>
  <c r="S1057" i="45"/>
  <c r="T1057" i="45"/>
  <c r="S974" i="45"/>
  <c r="T974" i="45"/>
  <c r="S978" i="45"/>
  <c r="T978" i="45"/>
  <c r="S35" i="45"/>
  <c r="T35" i="45"/>
  <c r="S38" i="45"/>
  <c r="T38" i="45"/>
  <c r="S57" i="45"/>
  <c r="T57" i="45"/>
  <c r="S72" i="45"/>
  <c r="T72" i="45"/>
  <c r="S998" i="45"/>
  <c r="T998" i="45"/>
  <c r="S54" i="45"/>
  <c r="T54" i="45"/>
  <c r="S30" i="45"/>
  <c r="T30" i="45"/>
  <c r="S31" i="45"/>
  <c r="T31" i="45"/>
  <c r="S996" i="45"/>
  <c r="T996" i="45"/>
  <c r="S997" i="45"/>
  <c r="T997" i="45"/>
  <c r="S1017" i="45"/>
  <c r="T1017" i="45"/>
  <c r="S1014" i="45"/>
  <c r="T1014" i="45"/>
  <c r="S71" i="45"/>
  <c r="T71" i="45"/>
  <c r="S1022" i="45"/>
  <c r="T1022" i="45"/>
  <c r="S1037" i="45"/>
  <c r="T1037" i="45"/>
  <c r="S1038" i="45"/>
  <c r="T1038" i="45"/>
  <c r="S1061" i="45"/>
  <c r="T1061" i="45"/>
  <c r="S1054" i="45"/>
  <c r="T1054" i="45"/>
  <c r="S1009" i="45"/>
  <c r="S68" i="45"/>
  <c r="T68" i="45"/>
  <c r="S69" i="45"/>
  <c r="T69" i="45"/>
  <c r="S70" i="45"/>
  <c r="T70" i="45"/>
  <c r="S15" i="45"/>
  <c r="T15" i="45"/>
  <c r="S16" i="45"/>
  <c r="T16" i="45"/>
  <c r="S56" i="45"/>
  <c r="S17" i="45"/>
  <c r="T17" i="45"/>
  <c r="S46" i="45"/>
  <c r="T46" i="45"/>
  <c r="S999" i="45"/>
  <c r="T999" i="45"/>
  <c r="S1006" i="45"/>
  <c r="T1006" i="45"/>
  <c r="S47" i="45"/>
  <c r="T47" i="45"/>
  <c r="S63" i="45"/>
  <c r="T63" i="45"/>
  <c r="S64" i="45"/>
  <c r="T64" i="45"/>
  <c r="S11" i="45"/>
  <c r="T11" i="45"/>
  <c r="S19" i="45"/>
  <c r="T19" i="45"/>
  <c r="S20" i="45"/>
  <c r="T20" i="45"/>
  <c r="S21" i="45"/>
  <c r="T21" i="45"/>
  <c r="S22" i="45"/>
  <c r="T22" i="45"/>
  <c r="S44" i="45"/>
  <c r="T44" i="45"/>
  <c r="S45" i="45"/>
  <c r="T45" i="45"/>
  <c r="S80" i="45"/>
  <c r="T80" i="45"/>
  <c r="S82" i="45"/>
  <c r="T82" i="45"/>
  <c r="S79" i="45"/>
  <c r="T79" i="45"/>
  <c r="S81" i="45"/>
  <c r="T81" i="45"/>
  <c r="S83" i="45"/>
  <c r="T83" i="45"/>
  <c r="S84" i="45"/>
  <c r="T84" i="45"/>
  <c r="S85" i="45"/>
  <c r="T85" i="45"/>
  <c r="T108" i="45"/>
  <c r="S108" i="45"/>
  <c r="AF12" i="53" l="1"/>
  <c r="AG3" i="53"/>
  <c r="G23" i="49"/>
  <c r="C23" i="49"/>
  <c r="D23" i="49" s="1"/>
  <c r="K22" i="49"/>
  <c r="J22" i="49"/>
  <c r="G22" i="49"/>
  <c r="C22" i="49"/>
  <c r="G21" i="49"/>
  <c r="C21" i="49"/>
  <c r="K20" i="49"/>
  <c r="J20" i="49"/>
  <c r="G20" i="49"/>
  <c r="C20" i="49"/>
  <c r="G19" i="49"/>
  <c r="D19" i="49"/>
  <c r="C19" i="49"/>
  <c r="K18" i="49"/>
  <c r="J18" i="49"/>
  <c r="G18" i="49"/>
  <c r="C18" i="49"/>
  <c r="K17" i="49"/>
  <c r="J17" i="49"/>
  <c r="G17" i="49"/>
  <c r="C17" i="49"/>
  <c r="K16" i="49"/>
  <c r="J16" i="49"/>
  <c r="G16" i="49"/>
  <c r="C16" i="49"/>
  <c r="G15" i="49"/>
  <c r="C15" i="49"/>
  <c r="K14" i="49"/>
  <c r="J14" i="49"/>
  <c r="G14" i="49"/>
  <c r="C14" i="49"/>
  <c r="K13" i="49"/>
  <c r="J13" i="49"/>
  <c r="G13" i="49"/>
  <c r="C13" i="49"/>
  <c r="D13" i="49" s="1"/>
  <c r="G12" i="49"/>
  <c r="C12" i="49"/>
  <c r="K11" i="49"/>
  <c r="J11" i="49"/>
  <c r="G11" i="49"/>
  <c r="C11" i="49"/>
  <c r="K10" i="49"/>
  <c r="J10" i="49"/>
  <c r="G10" i="49"/>
  <c r="C10" i="49"/>
  <c r="K9" i="49"/>
  <c r="J9" i="49"/>
  <c r="G9" i="49"/>
  <c r="C9" i="49"/>
  <c r="D9" i="49" s="1"/>
  <c r="G8" i="49"/>
  <c r="C8" i="49"/>
  <c r="D8" i="49" s="1"/>
  <c r="K7" i="49"/>
  <c r="J7" i="49"/>
  <c r="G7" i="49"/>
  <c r="D7" i="49"/>
  <c r="C7" i="49"/>
  <c r="K6" i="49"/>
  <c r="J6" i="49"/>
  <c r="G6" i="49"/>
  <c r="C6" i="49"/>
  <c r="L723" i="45" s="1"/>
  <c r="AG12" i="53" l="1"/>
  <c r="AH3" i="53"/>
  <c r="AH12" i="53" s="1"/>
  <c r="S97" i="45"/>
  <c r="T1083" i="45"/>
  <c r="T964" i="45"/>
  <c r="T532" i="45"/>
  <c r="T76" i="45"/>
  <c r="T14" i="45"/>
  <c r="S909" i="45"/>
  <c r="S90" i="45"/>
  <c r="S1047" i="45"/>
  <c r="S957" i="45"/>
  <c r="S222" i="45"/>
  <c r="S58" i="45"/>
  <c r="S1076" i="45"/>
  <c r="T881" i="45"/>
  <c r="T67" i="45"/>
  <c r="T977" i="45"/>
  <c r="T939" i="45"/>
  <c r="T217" i="45"/>
  <c r="T48" i="45"/>
  <c r="S928" i="45"/>
  <c r="S872" i="45"/>
  <c r="S1084" i="45"/>
  <c r="S966" i="45"/>
  <c r="S533" i="45"/>
  <c r="S210" i="45"/>
  <c r="S25" i="45"/>
  <c r="T910" i="45"/>
  <c r="T868" i="45"/>
  <c r="T859" i="45"/>
  <c r="T842" i="45"/>
  <c r="T827" i="45"/>
  <c r="T796" i="45"/>
  <c r="T761" i="45"/>
  <c r="T740" i="45"/>
  <c r="T715" i="45"/>
  <c r="T691" i="45"/>
  <c r="T674" i="45"/>
  <c r="T654" i="45"/>
  <c r="T633" i="45"/>
  <c r="T609" i="45"/>
  <c r="T589" i="45"/>
  <c r="T572" i="45"/>
  <c r="T547" i="45"/>
  <c r="T524" i="45"/>
  <c r="T502" i="45"/>
  <c r="T447" i="45"/>
  <c r="T435" i="45"/>
  <c r="T424" i="45"/>
  <c r="T343" i="45"/>
  <c r="T322" i="45"/>
  <c r="T270" i="45"/>
  <c r="T262" i="45"/>
  <c r="T251" i="45"/>
  <c r="T241" i="45"/>
  <c r="T149" i="45"/>
  <c r="T1081" i="45"/>
  <c r="T400" i="45"/>
  <c r="T386" i="45"/>
  <c r="T313" i="45"/>
  <c r="T299" i="45"/>
  <c r="T291" i="45"/>
  <c r="T215" i="45"/>
  <c r="T197" i="45"/>
  <c r="T189" i="45"/>
  <c r="T181" i="45"/>
  <c r="T163" i="45"/>
  <c r="S89" i="45"/>
  <c r="S1085" i="45"/>
  <c r="S1028" i="45"/>
  <c r="S967" i="45"/>
  <c r="S954" i="45"/>
  <c r="S534" i="45"/>
  <c r="S221" i="45"/>
  <c r="S211" i="45"/>
  <c r="S53" i="45"/>
  <c r="S32" i="45"/>
  <c r="S934" i="45"/>
  <c r="S879" i="45"/>
  <c r="T862" i="45"/>
  <c r="T854" i="45"/>
  <c r="T830" i="45"/>
  <c r="T818" i="45"/>
  <c r="T778" i="45"/>
  <c r="T91" i="45"/>
  <c r="T1071" i="45"/>
  <c r="T958" i="45"/>
  <c r="T223" i="45"/>
  <c r="T65" i="45"/>
  <c r="T1078" i="45"/>
  <c r="S887" i="45"/>
  <c r="S77" i="45"/>
  <c r="S979" i="45"/>
  <c r="S940" i="45"/>
  <c r="S218" i="45"/>
  <c r="S50" i="45"/>
  <c r="T929" i="45"/>
  <c r="T873" i="45"/>
  <c r="T1085" i="45"/>
  <c r="T967" i="45"/>
  <c r="T534" i="45"/>
  <c r="T211" i="45"/>
  <c r="T32" i="45"/>
  <c r="S911" i="45"/>
  <c r="S94" i="45"/>
  <c r="S1072" i="45"/>
  <c r="S959" i="45"/>
  <c r="S345" i="45"/>
  <c r="S66" i="45"/>
  <c r="S1087" i="45"/>
  <c r="T890" i="45"/>
  <c r="S863" i="45"/>
  <c r="S855" i="45"/>
  <c r="S831" i="45"/>
  <c r="S820" i="45"/>
  <c r="S782" i="45"/>
  <c r="S751" i="45"/>
  <c r="S729" i="45"/>
  <c r="S695" i="45"/>
  <c r="S686" i="45"/>
  <c r="S668" i="45"/>
  <c r="S642" i="45"/>
  <c r="S617" i="45"/>
  <c r="S605" i="45"/>
  <c r="S584" i="45"/>
  <c r="S552" i="45"/>
  <c r="S543" i="45"/>
  <c r="S520" i="45"/>
  <c r="S490" i="45"/>
  <c r="S439" i="45"/>
  <c r="S429" i="45"/>
  <c r="S369" i="45"/>
  <c r="S331" i="45"/>
  <c r="S280" i="45"/>
  <c r="S266" i="45"/>
  <c r="S255" i="45"/>
  <c r="S247" i="45"/>
  <c r="S207" i="45"/>
  <c r="S134" i="45"/>
  <c r="S404" i="45"/>
  <c r="S394" i="45"/>
  <c r="S375" i="45"/>
  <c r="S303" i="45"/>
  <c r="S295" i="45"/>
  <c r="S284" i="45"/>
  <c r="S201" i="45"/>
  <c r="S193" i="45"/>
  <c r="S185" i="45"/>
  <c r="S177" i="45"/>
  <c r="T97" i="45"/>
  <c r="S78" i="45"/>
  <c r="S1083" i="45"/>
  <c r="S1007" i="45"/>
  <c r="S964" i="45"/>
  <c r="S944" i="45"/>
  <c r="S532" i="45"/>
  <c r="S219" i="45"/>
  <c r="S76" i="45"/>
  <c r="S51" i="45"/>
  <c r="S14" i="45"/>
  <c r="S927" i="45"/>
  <c r="S867" i="45"/>
  <c r="S858" i="45"/>
  <c r="S839" i="45"/>
  <c r="S826" i="45"/>
  <c r="S794" i="45"/>
  <c r="S760" i="45"/>
  <c r="S739" i="45"/>
  <c r="S714" i="45"/>
  <c r="T78" i="45"/>
  <c r="T1007" i="45"/>
  <c r="T944" i="45"/>
  <c r="T219" i="45"/>
  <c r="T51" i="45"/>
  <c r="S930" i="45"/>
  <c r="S874" i="45"/>
  <c r="S972" i="45"/>
  <c r="S899" i="45"/>
  <c r="S212" i="45"/>
  <c r="S33" i="45"/>
  <c r="T918" i="45"/>
  <c r="T95" i="45"/>
  <c r="T1074" i="45"/>
  <c r="T960" i="45"/>
  <c r="T346" i="45"/>
  <c r="T73" i="45"/>
  <c r="T1088" i="45"/>
  <c r="S898" i="45"/>
  <c r="S88" i="45"/>
  <c r="S1012" i="45"/>
  <c r="S945" i="45"/>
  <c r="S220" i="45"/>
  <c r="S52" i="45"/>
  <c r="T934" i="45"/>
  <c r="T879" i="45"/>
  <c r="T863" i="45"/>
  <c r="T855" i="45"/>
  <c r="T831" i="45"/>
  <c r="T820" i="45"/>
  <c r="T782" i="45"/>
  <c r="T751" i="45"/>
  <c r="T729" i="45"/>
  <c r="T695" i="45"/>
  <c r="T686" i="45"/>
  <c r="T668" i="45"/>
  <c r="T642" i="45"/>
  <c r="T617" i="45"/>
  <c r="T605" i="45"/>
  <c r="T584" i="45"/>
  <c r="T552" i="45"/>
  <c r="T543" i="45"/>
  <c r="T520" i="45"/>
  <c r="T490" i="45"/>
  <c r="T439" i="45"/>
  <c r="T429" i="45"/>
  <c r="T369" i="45"/>
  <c r="T331" i="45"/>
  <c r="T280" i="45"/>
  <c r="T266" i="45"/>
  <c r="T255" i="45"/>
  <c r="T247" i="45"/>
  <c r="T207" i="45"/>
  <c r="T134" i="45"/>
  <c r="T404" i="45"/>
  <c r="T394" i="45"/>
  <c r="T375" i="45"/>
  <c r="T303" i="45"/>
  <c r="T295" i="45"/>
  <c r="T284" i="45"/>
  <c r="T201" i="45"/>
  <c r="T193" i="45"/>
  <c r="T185" i="45"/>
  <c r="T177" i="45"/>
  <c r="S95" i="45"/>
  <c r="S67" i="45"/>
  <c r="S1074" i="45"/>
  <c r="S977" i="45"/>
  <c r="S960" i="45"/>
  <c r="S939" i="45"/>
  <c r="S346" i="45"/>
  <c r="S217" i="45"/>
  <c r="S73" i="45"/>
  <c r="S48" i="45"/>
  <c r="S1088" i="45"/>
  <c r="S910" i="45"/>
  <c r="T1089" i="45"/>
  <c r="T975" i="45"/>
  <c r="T937" i="45"/>
  <c r="T213" i="45"/>
  <c r="T34" i="45"/>
  <c r="S923" i="45"/>
  <c r="S98" i="45"/>
  <c r="S1075" i="45"/>
  <c r="S963" i="45"/>
  <c r="S531" i="45"/>
  <c r="S75" i="45"/>
  <c r="S1091" i="45"/>
  <c r="T900" i="45"/>
  <c r="T89" i="45"/>
  <c r="T1028" i="45"/>
  <c r="T954" i="45"/>
  <c r="T221" i="45"/>
  <c r="T53" i="45"/>
  <c r="S953" i="45"/>
  <c r="S880" i="45"/>
  <c r="S1090" i="45"/>
  <c r="S976" i="45"/>
  <c r="S938" i="45"/>
  <c r="S214" i="45"/>
  <c r="S43" i="45"/>
  <c r="T927" i="45"/>
  <c r="S868" i="45"/>
  <c r="S859" i="45"/>
  <c r="S842" i="45"/>
  <c r="S827" i="45"/>
  <c r="S796" i="45"/>
  <c r="S761" i="45"/>
  <c r="S740" i="45"/>
  <c r="S715" i="45"/>
  <c r="S691" i="45"/>
  <c r="S674" i="45"/>
  <c r="S654" i="45"/>
  <c r="S633" i="45"/>
  <c r="S609" i="45"/>
  <c r="S589" i="45"/>
  <c r="S572" i="45"/>
  <c r="S547" i="45"/>
  <c r="S524" i="45"/>
  <c r="S502" i="45"/>
  <c r="S447" i="45"/>
  <c r="S435" i="45"/>
  <c r="S424" i="45"/>
  <c r="S343" i="45"/>
  <c r="S322" i="45"/>
  <c r="S270" i="45"/>
  <c r="S262" i="45"/>
  <c r="S251" i="45"/>
  <c r="S241" i="45"/>
  <c r="S149" i="45"/>
  <c r="S1081" i="45"/>
  <c r="S400" i="45"/>
  <c r="S386" i="45"/>
  <c r="S313" i="45"/>
  <c r="S299" i="45"/>
  <c r="S291" i="45"/>
  <c r="S215" i="45"/>
  <c r="S197" i="45"/>
  <c r="S189" i="45"/>
  <c r="S181" i="45"/>
  <c r="S163" i="45"/>
  <c r="S91" i="45"/>
  <c r="S1089" i="45"/>
  <c r="S1071" i="45"/>
  <c r="S975" i="45"/>
  <c r="S958" i="45"/>
  <c r="S937" i="45"/>
  <c r="S223" i="45"/>
  <c r="S213" i="45"/>
  <c r="S65" i="45"/>
  <c r="S34" i="45"/>
  <c r="S1078" i="45"/>
  <c r="S890" i="45"/>
  <c r="S862" i="45"/>
  <c r="S854" i="45"/>
  <c r="S830" i="45"/>
  <c r="S818" i="45"/>
  <c r="S778" i="45"/>
  <c r="T867" i="45"/>
  <c r="T794" i="45"/>
  <c r="T739" i="45"/>
  <c r="S694" i="45"/>
  <c r="S684" i="45"/>
  <c r="S666" i="45"/>
  <c r="S640" i="45"/>
  <c r="S616" i="45"/>
  <c r="S602" i="45"/>
  <c r="S578" i="45"/>
  <c r="S551" i="45"/>
  <c r="S542" i="45"/>
  <c r="S519" i="45"/>
  <c r="S464" i="45"/>
  <c r="S438" i="45"/>
  <c r="S427" i="45"/>
  <c r="S358" i="45"/>
  <c r="S330" i="45"/>
  <c r="S279" i="45"/>
  <c r="S265" i="45"/>
  <c r="S254" i="45"/>
  <c r="S246" i="45"/>
  <c r="S206" i="45"/>
  <c r="S118" i="45"/>
  <c r="S403" i="45"/>
  <c r="S390" i="45"/>
  <c r="S373" i="45"/>
  <c r="S302" i="45"/>
  <c r="S294" i="45"/>
  <c r="S283" i="45"/>
  <c r="S200" i="45"/>
  <c r="S192" i="45"/>
  <c r="S184" i="45"/>
  <c r="S176" i="45"/>
  <c r="T98" i="45"/>
  <c r="T77" i="45"/>
  <c r="T1075" i="45"/>
  <c r="T979" i="45"/>
  <c r="T963" i="45"/>
  <c r="T940" i="45"/>
  <c r="T531" i="45"/>
  <c r="T218" i="45"/>
  <c r="T75" i="45"/>
  <c r="T50" i="45"/>
  <c r="T1091" i="45"/>
  <c r="T923" i="45"/>
  <c r="S871" i="45"/>
  <c r="S861" i="45"/>
  <c r="S844" i="45"/>
  <c r="S829" i="45"/>
  <c r="S813" i="45"/>
  <c r="S775" i="45"/>
  <c r="S748" i="45"/>
  <c r="S723" i="45"/>
  <c r="S693" i="45"/>
  <c r="S683" i="45"/>
  <c r="S656" i="45"/>
  <c r="S635" i="45"/>
  <c r="S613" i="45"/>
  <c r="S593" i="45"/>
  <c r="S575" i="45"/>
  <c r="S550" i="45"/>
  <c r="S526" i="45"/>
  <c r="S512" i="45"/>
  <c r="S454" i="45"/>
  <c r="S437" i="45"/>
  <c r="S426" i="45"/>
  <c r="S350" i="45"/>
  <c r="S329" i="45"/>
  <c r="S275" i="45"/>
  <c r="S264" i="45"/>
  <c r="S253" i="45"/>
  <c r="T858" i="45"/>
  <c r="T760" i="45"/>
  <c r="S726" i="45"/>
  <c r="T694" i="45"/>
  <c r="T684" i="45"/>
  <c r="T666" i="45"/>
  <c r="T640" i="45"/>
  <c r="T616" i="45"/>
  <c r="T602" i="45"/>
  <c r="T578" i="45"/>
  <c r="T551" i="45"/>
  <c r="T542" i="45"/>
  <c r="T519" i="45"/>
  <c r="T464" i="45"/>
  <c r="T438" i="45"/>
  <c r="T427" i="45"/>
  <c r="T358" i="45"/>
  <c r="T330" i="45"/>
  <c r="T279" i="45"/>
  <c r="T265" i="45"/>
  <c r="T254" i="45"/>
  <c r="T246" i="45"/>
  <c r="T206" i="45"/>
  <c r="T118" i="45"/>
  <c r="T403" i="45"/>
  <c r="T390" i="45"/>
  <c r="T373" i="45"/>
  <c r="T302" i="45"/>
  <c r="T294" i="45"/>
  <c r="T283" i="45"/>
  <c r="T200" i="45"/>
  <c r="T192" i="45"/>
  <c r="T184" i="45"/>
  <c r="T176" i="45"/>
  <c r="T94" i="45"/>
  <c r="T1090" i="45"/>
  <c r="T1072" i="45"/>
  <c r="T976" i="45"/>
  <c r="T959" i="45"/>
  <c r="T938" i="45"/>
  <c r="T345" i="45"/>
  <c r="T214" i="45"/>
  <c r="T66" i="45"/>
  <c r="T43" i="45"/>
  <c r="T1087" i="45"/>
  <c r="T909" i="45"/>
  <c r="T871" i="45"/>
  <c r="T861" i="45"/>
  <c r="T844" i="45"/>
  <c r="T829" i="45"/>
  <c r="T813" i="45"/>
  <c r="T775" i="45"/>
  <c r="T748" i="45"/>
  <c r="T723" i="45"/>
  <c r="T693" i="45"/>
  <c r="T683" i="45"/>
  <c r="T656" i="45"/>
  <c r="T635" i="45"/>
  <c r="T613" i="45"/>
  <c r="T593" i="45"/>
  <c r="T575" i="45"/>
  <c r="T550" i="45"/>
  <c r="T526" i="45"/>
  <c r="T512" i="45"/>
  <c r="T454" i="45"/>
  <c r="T437" i="45"/>
  <c r="T426" i="45"/>
  <c r="T350" i="45"/>
  <c r="T329" i="45"/>
  <c r="T275" i="45"/>
  <c r="T264" i="45"/>
  <c r="T253" i="45"/>
  <c r="T245" i="45"/>
  <c r="T205" i="45"/>
  <c r="T117" i="45"/>
  <c r="T402" i="45"/>
  <c r="T389" i="45"/>
  <c r="T318" i="45"/>
  <c r="T301" i="45"/>
  <c r="T293" i="45"/>
  <c r="T282" i="45"/>
  <c r="T199" i="45"/>
  <c r="T191" i="45"/>
  <c r="T183" i="45"/>
  <c r="T175" i="45"/>
  <c r="S918" i="45"/>
  <c r="T839" i="45"/>
  <c r="S750" i="45"/>
  <c r="T726" i="45"/>
  <c r="S690" i="45"/>
  <c r="S673" i="45"/>
  <c r="S647" i="45"/>
  <c r="S627" i="45"/>
  <c r="S608" i="45"/>
  <c r="S588" i="45"/>
  <c r="S565" i="45"/>
  <c r="S546" i="45"/>
  <c r="S523" i="45"/>
  <c r="S501" i="45"/>
  <c r="S443" i="45"/>
  <c r="S434" i="45"/>
  <c r="S423" i="45"/>
  <c r="S341" i="45"/>
  <c r="S316" i="45"/>
  <c r="S269" i="45"/>
  <c r="S259" i="45"/>
  <c r="S250" i="45"/>
  <c r="S230" i="45"/>
  <c r="S139" i="45"/>
  <c r="S1079" i="45"/>
  <c r="S399" i="45"/>
  <c r="S385" i="45"/>
  <c r="S306" i="45"/>
  <c r="S298" i="45"/>
  <c r="S288" i="45"/>
  <c r="S204" i="45"/>
  <c r="S196" i="45"/>
  <c r="S188" i="45"/>
  <c r="S180" i="45"/>
  <c r="S161" i="45"/>
  <c r="T90" i="45"/>
  <c r="T1047" i="45"/>
  <c r="T972" i="45"/>
  <c r="T957" i="45"/>
  <c r="T899" i="45"/>
  <c r="T222" i="45"/>
  <c r="T212" i="45"/>
  <c r="T58" i="45"/>
  <c r="T33" i="45"/>
  <c r="T1076" i="45"/>
  <c r="T887" i="45"/>
  <c r="S865" i="45"/>
  <c r="S857" i="45"/>
  <c r="S838" i="45"/>
  <c r="S825" i="45"/>
  <c r="S792" i="45"/>
  <c r="S753" i="45"/>
  <c r="S734" i="45"/>
  <c r="S713" i="45"/>
  <c r="S689" i="45"/>
  <c r="S672" i="45"/>
  <c r="S644" i="45"/>
  <c r="S622" i="45"/>
  <c r="S607" i="45"/>
  <c r="S586" i="45"/>
  <c r="S559" i="45"/>
  <c r="S545" i="45"/>
  <c r="S522" i="45"/>
  <c r="S492" i="45"/>
  <c r="S441" i="45"/>
  <c r="S433" i="45"/>
  <c r="S411" i="45"/>
  <c r="S340" i="45"/>
  <c r="S307" i="45"/>
  <c r="S268" i="45"/>
  <c r="S257" i="45"/>
  <c r="S249" i="45"/>
  <c r="S209" i="45"/>
  <c r="S138" i="45"/>
  <c r="S480" i="45"/>
  <c r="S398" i="45"/>
  <c r="S381" i="45"/>
  <c r="S305" i="45"/>
  <c r="S297" i="45"/>
  <c r="S286" i="45"/>
  <c r="S203" i="45"/>
  <c r="S195" i="45"/>
  <c r="S187" i="45"/>
  <c r="S179" i="45"/>
  <c r="S133" i="45"/>
  <c r="T826" i="45"/>
  <c r="T750" i="45"/>
  <c r="T714" i="45"/>
  <c r="T690" i="45"/>
  <c r="T673" i="45"/>
  <c r="T647" i="45"/>
  <c r="T627" i="45"/>
  <c r="T608" i="45"/>
  <c r="T588" i="45"/>
  <c r="T565" i="45"/>
  <c r="T546" i="45"/>
  <c r="T523" i="45"/>
  <c r="T501" i="45"/>
  <c r="T443" i="45"/>
  <c r="T434" i="45"/>
  <c r="T423" i="45"/>
  <c r="T341" i="45"/>
  <c r="T316" i="45"/>
  <c r="T269" i="45"/>
  <c r="T259" i="45"/>
  <c r="T250" i="45"/>
  <c r="T230" i="45"/>
  <c r="T139" i="45"/>
  <c r="T1079" i="45"/>
  <c r="T399" i="45"/>
  <c r="T385" i="45"/>
  <c r="T306" i="45"/>
  <c r="T298" i="45"/>
  <c r="T288" i="45"/>
  <c r="T204" i="45"/>
  <c r="T196" i="45"/>
  <c r="T188" i="45"/>
  <c r="T180" i="45"/>
  <c r="T161" i="45"/>
  <c r="T88" i="45"/>
  <c r="T1084" i="45"/>
  <c r="T1012" i="45"/>
  <c r="T966" i="45"/>
  <c r="T945" i="45"/>
  <c r="T533" i="45"/>
  <c r="T220" i="45"/>
  <c r="T210" i="45"/>
  <c r="T52" i="45"/>
  <c r="T25" i="45"/>
  <c r="T930" i="45"/>
  <c r="T874" i="45"/>
  <c r="T865" i="45"/>
  <c r="T857" i="45"/>
  <c r="T838" i="45"/>
  <c r="T825" i="45"/>
  <c r="T792" i="45"/>
  <c r="T753" i="45"/>
  <c r="T734" i="45"/>
  <c r="T713" i="45"/>
  <c r="T689" i="45"/>
  <c r="T672" i="45"/>
  <c r="T644" i="45"/>
  <c r="T622" i="45"/>
  <c r="T607" i="45"/>
  <c r="T586" i="45"/>
  <c r="T559" i="45"/>
  <c r="T545" i="45"/>
  <c r="T522" i="45"/>
  <c r="T492" i="45"/>
  <c r="T441" i="45"/>
  <c r="T433" i="45"/>
  <c r="T411" i="45"/>
  <c r="T340" i="45"/>
  <c r="T307" i="45"/>
  <c r="T268" i="45"/>
  <c r="T257" i="45"/>
  <c r="T249" i="45"/>
  <c r="T138" i="45"/>
  <c r="T398" i="45"/>
  <c r="T305" i="45"/>
  <c r="T286" i="45"/>
  <c r="T195" i="45"/>
  <c r="T179" i="45"/>
  <c r="S900" i="45"/>
  <c r="T869" i="45"/>
  <c r="T860" i="45"/>
  <c r="T843" i="45"/>
  <c r="T828" i="45"/>
  <c r="T808" i="45"/>
  <c r="T774" i="45"/>
  <c r="T747" i="45"/>
  <c r="T722" i="45"/>
  <c r="T692" i="45"/>
  <c r="T676" i="45"/>
  <c r="T655" i="45"/>
  <c r="T634" i="45"/>
  <c r="T612" i="45"/>
  <c r="T590" i="45"/>
  <c r="T574" i="45"/>
  <c r="T548" i="45"/>
  <c r="T525" i="45"/>
  <c r="T504" i="45"/>
  <c r="T448" i="45"/>
  <c r="T436" i="45"/>
  <c r="T425" i="45"/>
  <c r="T348" i="45"/>
  <c r="T323" i="45"/>
  <c r="T272" i="45"/>
  <c r="T263" i="45"/>
  <c r="T252" i="45"/>
  <c r="T243" i="45"/>
  <c r="T150" i="45"/>
  <c r="T116" i="45"/>
  <c r="T401" i="45"/>
  <c r="T387" i="45"/>
  <c r="T300" i="45"/>
  <c r="T190" i="45"/>
  <c r="S245" i="45"/>
  <c r="S117" i="45"/>
  <c r="S389" i="45"/>
  <c r="S301" i="45"/>
  <c r="S282" i="45"/>
  <c r="S191" i="45"/>
  <c r="S175" i="45"/>
  <c r="S881" i="45"/>
  <c r="S864" i="45"/>
  <c r="S856" i="45"/>
  <c r="S832" i="45"/>
  <c r="S824" i="45"/>
  <c r="S785" i="45"/>
  <c r="S752" i="45"/>
  <c r="S730" i="45"/>
  <c r="S709" i="45"/>
  <c r="S687" i="45"/>
  <c r="S671" i="45"/>
  <c r="S643" i="45"/>
  <c r="S621" i="45"/>
  <c r="S606" i="45"/>
  <c r="S585" i="45"/>
  <c r="S554" i="45"/>
  <c r="S544" i="45"/>
  <c r="S521" i="45"/>
  <c r="S491" i="45"/>
  <c r="S440" i="45"/>
  <c r="S432" i="45"/>
  <c r="S371" i="45"/>
  <c r="S332" i="45"/>
  <c r="S289" i="45"/>
  <c r="S267" i="45"/>
  <c r="S256" i="45"/>
  <c r="S248" i="45"/>
  <c r="S208" i="45"/>
  <c r="S136" i="45"/>
  <c r="S478" i="45"/>
  <c r="S395" i="45"/>
  <c r="S380" i="45"/>
  <c r="S304" i="45"/>
  <c r="S296" i="45"/>
  <c r="S285" i="45"/>
  <c r="S202" i="45"/>
  <c r="S194" i="45"/>
  <c r="S186" i="45"/>
  <c r="S178" i="45"/>
  <c r="T953" i="45"/>
  <c r="T880" i="45"/>
  <c r="S252" i="45"/>
  <c r="S401" i="45"/>
  <c r="S300" i="45"/>
  <c r="S216" i="45"/>
  <c r="S190" i="45"/>
  <c r="T314" i="45"/>
  <c r="T216" i="45"/>
  <c r="T174" i="45"/>
  <c r="T209" i="45"/>
  <c r="T480" i="45"/>
  <c r="T381" i="45"/>
  <c r="T297" i="45"/>
  <c r="T203" i="45"/>
  <c r="T187" i="45"/>
  <c r="T133" i="45"/>
  <c r="S873" i="45"/>
  <c r="T864" i="45"/>
  <c r="T856" i="45"/>
  <c r="T832" i="45"/>
  <c r="T824" i="45"/>
  <c r="T785" i="45"/>
  <c r="T752" i="45"/>
  <c r="T730" i="45"/>
  <c r="T709" i="45"/>
  <c r="T687" i="45"/>
  <c r="T671" i="45"/>
  <c r="T643" i="45"/>
  <c r="T621" i="45"/>
  <c r="T606" i="45"/>
  <c r="T585" i="45"/>
  <c r="T554" i="45"/>
  <c r="T544" i="45"/>
  <c r="T521" i="45"/>
  <c r="T491" i="45"/>
  <c r="T440" i="45"/>
  <c r="T432" i="45"/>
  <c r="T371" i="45"/>
  <c r="T332" i="45"/>
  <c r="T289" i="45"/>
  <c r="T267" i="45"/>
  <c r="T256" i="45"/>
  <c r="T248" i="45"/>
  <c r="T208" i="45"/>
  <c r="T136" i="45"/>
  <c r="T478" i="45"/>
  <c r="T395" i="45"/>
  <c r="T380" i="45"/>
  <c r="T304" i="45"/>
  <c r="T296" i="45"/>
  <c r="T285" i="45"/>
  <c r="T202" i="45"/>
  <c r="T194" i="45"/>
  <c r="T186" i="45"/>
  <c r="T178" i="45"/>
  <c r="T928" i="45"/>
  <c r="T872" i="45"/>
  <c r="S243" i="45"/>
  <c r="S116" i="45"/>
  <c r="S314" i="45"/>
  <c r="S198" i="45"/>
  <c r="S182" i="45"/>
  <c r="T911" i="45"/>
  <c r="T292" i="45"/>
  <c r="T182" i="45"/>
  <c r="S205" i="45"/>
  <c r="S402" i="45"/>
  <c r="S318" i="45"/>
  <c r="S293" i="45"/>
  <c r="S199" i="45"/>
  <c r="S183" i="45"/>
  <c r="S929" i="45"/>
  <c r="S869" i="45"/>
  <c r="S860" i="45"/>
  <c r="S843" i="45"/>
  <c r="S828" i="45"/>
  <c r="S808" i="45"/>
  <c r="S774" i="45"/>
  <c r="S747" i="45"/>
  <c r="S722" i="45"/>
  <c r="S692" i="45"/>
  <c r="S676" i="45"/>
  <c r="S655" i="45"/>
  <c r="S634" i="45"/>
  <c r="S612" i="45"/>
  <c r="S590" i="45"/>
  <c r="S574" i="45"/>
  <c r="S548" i="45"/>
  <c r="S525" i="45"/>
  <c r="S504" i="45"/>
  <c r="S448" i="45"/>
  <c r="S436" i="45"/>
  <c r="S425" i="45"/>
  <c r="S348" i="45"/>
  <c r="S323" i="45"/>
  <c r="S272" i="45"/>
  <c r="S263" i="45"/>
  <c r="S150" i="45"/>
  <c r="S387" i="45"/>
  <c r="S292" i="45"/>
  <c r="S174" i="45"/>
  <c r="T198" i="45"/>
  <c r="T898" i="45"/>
  <c r="L1079" i="45"/>
  <c r="L927" i="45"/>
  <c r="L923" i="45"/>
  <c r="L911" i="45"/>
  <c r="L907" i="45"/>
  <c r="L903" i="45"/>
  <c r="L887" i="45"/>
  <c r="L879" i="45"/>
  <c r="L871" i="45"/>
  <c r="L867" i="45"/>
  <c r="L863" i="45"/>
  <c r="L859" i="45"/>
  <c r="L855" i="45"/>
  <c r="L843" i="45"/>
  <c r="L839" i="45"/>
  <c r="L831" i="45"/>
  <c r="L827" i="45"/>
  <c r="L823" i="45"/>
  <c r="L819" i="45"/>
  <c r="L811" i="45"/>
  <c r="L807" i="45"/>
  <c r="L803" i="45"/>
  <c r="L799" i="45"/>
  <c r="L795" i="45"/>
  <c r="L791" i="45"/>
  <c r="L783" i="45"/>
  <c r="L779" i="45"/>
  <c r="L771" i="45"/>
  <c r="L763" i="45"/>
  <c r="L755" i="45"/>
  <c r="L747" i="45"/>
  <c r="L739" i="45"/>
  <c r="L731" i="45"/>
  <c r="D20" i="49"/>
  <c r="L1088" i="45"/>
  <c r="L77" i="45"/>
  <c r="L81" i="45"/>
  <c r="L85" i="45"/>
  <c r="L89" i="45"/>
  <c r="L97" i="45"/>
  <c r="L101" i="45"/>
  <c r="L109" i="45"/>
  <c r="L117" i="45"/>
  <c r="L133" i="45"/>
  <c r="L152" i="45"/>
  <c r="L156" i="45"/>
  <c r="L160" i="45"/>
  <c r="L176" i="45"/>
  <c r="L180" i="45"/>
  <c r="L184" i="45"/>
  <c r="L188" i="45"/>
  <c r="L192" i="45"/>
  <c r="L196" i="45"/>
  <c r="L200" i="45"/>
  <c r="L204" i="45"/>
  <c r="L208" i="45"/>
  <c r="L216" i="45"/>
  <c r="L248" i="45"/>
  <c r="L252" i="45"/>
  <c r="L256" i="45"/>
  <c r="L264" i="45"/>
  <c r="L268" i="45"/>
  <c r="L272" i="45"/>
  <c r="L282" i="45"/>
  <c r="L286" i="45"/>
  <c r="L290" i="45"/>
  <c r="L294" i="45"/>
  <c r="L298" i="45"/>
  <c r="L302" i="45"/>
  <c r="L306" i="45"/>
  <c r="L313" i="45"/>
  <c r="L329" i="45"/>
  <c r="L341" i="45"/>
  <c r="L78" i="45"/>
  <c r="L82" i="45"/>
  <c r="L86" i="45"/>
  <c r="L90" i="45"/>
  <c r="L94" i="45"/>
  <c r="L98" i="45"/>
  <c r="L110" i="45"/>
  <c r="L114" i="45"/>
  <c r="L118" i="45"/>
  <c r="L134" i="45"/>
  <c r="L138" i="45"/>
  <c r="L149" i="45"/>
  <c r="L157" i="45"/>
  <c r="L161" i="45"/>
  <c r="L177" i="45"/>
  <c r="L181" i="45"/>
  <c r="L185" i="45"/>
  <c r="L189" i="45"/>
  <c r="L193" i="45"/>
  <c r="L197" i="45"/>
  <c r="L201" i="45"/>
  <c r="L205" i="45"/>
  <c r="L209" i="45"/>
  <c r="L241" i="45"/>
  <c r="L245" i="45"/>
  <c r="L249" i="45"/>
  <c r="L253" i="45"/>
  <c r="L257" i="45"/>
  <c r="L265" i="45"/>
  <c r="L269" i="45"/>
  <c r="L283" i="45"/>
  <c r="L291" i="45"/>
  <c r="L295" i="45"/>
  <c r="L299" i="45"/>
  <c r="L303" i="45"/>
  <c r="L307" i="45"/>
  <c r="L314" i="45"/>
  <c r="L318" i="45"/>
  <c r="L322" i="45"/>
  <c r="L330" i="45"/>
  <c r="L350" i="45"/>
  <c r="L358" i="45"/>
  <c r="L374" i="45"/>
  <c r="L378" i="45"/>
  <c r="L382" i="45"/>
  <c r="L386" i="45"/>
  <c r="L67" i="45"/>
  <c r="L79" i="45"/>
  <c r="L83" i="45"/>
  <c r="L87" i="45"/>
  <c r="L91" i="45"/>
  <c r="L95" i="45"/>
  <c r="L111" i="45"/>
  <c r="L131" i="45"/>
  <c r="L139" i="45"/>
  <c r="L150" i="45"/>
  <c r="L158" i="45"/>
  <c r="L174" i="45"/>
  <c r="L178" i="45"/>
  <c r="L182" i="45"/>
  <c r="L186" i="45"/>
  <c r="L190" i="45"/>
  <c r="L194" i="45"/>
  <c r="L198" i="45"/>
  <c r="L202" i="45"/>
  <c r="L206" i="45"/>
  <c r="L230" i="45"/>
  <c r="L246" i="45"/>
  <c r="L250" i="45"/>
  <c r="L254" i="45"/>
  <c r="L262" i="45"/>
  <c r="L266" i="45"/>
  <c r="L270" i="45"/>
  <c r="L279" i="45"/>
  <c r="L284" i="45"/>
  <c r="L288" i="45"/>
  <c r="L292" i="45"/>
  <c r="L296" i="45"/>
  <c r="L300" i="45"/>
  <c r="L304" i="45"/>
  <c r="L323" i="45"/>
  <c r="L331" i="45"/>
  <c r="L343" i="45"/>
  <c r="L371" i="45"/>
  <c r="L375" i="45"/>
  <c r="L379" i="45"/>
  <c r="L383" i="45"/>
  <c r="L387" i="45"/>
  <c r="L80" i="45"/>
  <c r="L84" i="45"/>
  <c r="L88" i="45"/>
  <c r="L92" i="45"/>
  <c r="L96" i="45"/>
  <c r="L100" i="45"/>
  <c r="L108" i="45"/>
  <c r="L116" i="45"/>
  <c r="L132" i="45"/>
  <c r="L136" i="45"/>
  <c r="L159" i="45"/>
  <c r="L163" i="45"/>
  <c r="L175" i="45"/>
  <c r="L179" i="45"/>
  <c r="L183" i="45"/>
  <c r="L187" i="45"/>
  <c r="L191" i="45"/>
  <c r="L195" i="45"/>
  <c r="L199" i="45"/>
  <c r="L203" i="45"/>
  <c r="L207" i="45"/>
  <c r="L215" i="45"/>
  <c r="L243" i="45"/>
  <c r="L247" i="45"/>
  <c r="L251" i="45"/>
  <c r="L255" i="45"/>
  <c r="L259" i="45"/>
  <c r="L263" i="45"/>
  <c r="L267" i="45"/>
  <c r="L275" i="45"/>
  <c r="L280" i="45"/>
  <c r="L285" i="45"/>
  <c r="L289" i="45"/>
  <c r="L293" i="45"/>
  <c r="L297" i="45"/>
  <c r="L301" i="45"/>
  <c r="L305" i="45"/>
  <c r="L316" i="45"/>
  <c r="L332" i="45"/>
  <c r="L340" i="45"/>
  <c r="L369" i="45"/>
  <c r="L377" i="45"/>
  <c r="L385" i="45"/>
  <c r="L391" i="45"/>
  <c r="L396" i="45"/>
  <c r="L400" i="45"/>
  <c r="L404" i="45"/>
  <c r="L424" i="45"/>
  <c r="L432" i="45"/>
  <c r="L436" i="45"/>
  <c r="L440" i="45"/>
  <c r="L448" i="45"/>
  <c r="L464" i="45"/>
  <c r="L468" i="45"/>
  <c r="L472" i="45"/>
  <c r="L476" i="45"/>
  <c r="L480" i="45"/>
  <c r="L484" i="45"/>
  <c r="L492" i="45"/>
  <c r="L504" i="45"/>
  <c r="L512" i="45"/>
  <c r="L520" i="45"/>
  <c r="L524" i="45"/>
  <c r="L544" i="45"/>
  <c r="L548" i="45"/>
  <c r="L552" i="45"/>
  <c r="L574" i="45"/>
  <c r="L578" i="45"/>
  <c r="L585" i="45"/>
  <c r="L589" i="45"/>
  <c r="L593" i="45"/>
  <c r="L607" i="45"/>
  <c r="L615" i="45"/>
  <c r="L619" i="45"/>
  <c r="L623" i="45"/>
  <c r="L627" i="45"/>
  <c r="L635" i="45"/>
  <c r="L639" i="45"/>
  <c r="L643" i="45"/>
  <c r="L647" i="45"/>
  <c r="L655" i="45"/>
  <c r="L663" i="45"/>
  <c r="L671" i="45"/>
  <c r="L683" i="45"/>
  <c r="L687" i="45"/>
  <c r="L691" i="45"/>
  <c r="L695" i="45"/>
  <c r="L699" i="45"/>
  <c r="L703" i="45"/>
  <c r="L707" i="45"/>
  <c r="L711" i="45"/>
  <c r="L715" i="45"/>
  <c r="L348" i="45"/>
  <c r="L380" i="45"/>
  <c r="L388" i="45"/>
  <c r="L392" i="45"/>
  <c r="L397" i="45"/>
  <c r="L401" i="45"/>
  <c r="L425" i="45"/>
  <c r="L429" i="45"/>
  <c r="L433" i="45"/>
  <c r="L437" i="45"/>
  <c r="L441" i="45"/>
  <c r="L465" i="45"/>
  <c r="L469" i="45"/>
  <c r="L473" i="45"/>
  <c r="L477" i="45"/>
  <c r="L481" i="45"/>
  <c r="L485" i="45"/>
  <c r="L501" i="45"/>
  <c r="L521" i="45"/>
  <c r="L525" i="45"/>
  <c r="L545" i="45"/>
  <c r="L565" i="45"/>
  <c r="L575" i="45"/>
  <c r="L586" i="45"/>
  <c r="L590" i="45"/>
  <c r="L608" i="45"/>
  <c r="L612" i="45"/>
  <c r="L616" i="45"/>
  <c r="L620" i="45"/>
  <c r="L624" i="45"/>
  <c r="L628" i="45"/>
  <c r="L632" i="45"/>
  <c r="L640" i="45"/>
  <c r="L644" i="45"/>
  <c r="L652" i="45"/>
  <c r="L656" i="45"/>
  <c r="L660" i="45"/>
  <c r="L668" i="45"/>
  <c r="L672" i="45"/>
  <c r="L676" i="45"/>
  <c r="L684" i="45"/>
  <c r="L692" i="45"/>
  <c r="L696" i="45"/>
  <c r="L700" i="45"/>
  <c r="L704" i="45"/>
  <c r="L708" i="45"/>
  <c r="L712" i="45"/>
  <c r="L716" i="45"/>
  <c r="L720" i="45"/>
  <c r="L724" i="45"/>
  <c r="L728" i="45"/>
  <c r="L732" i="45"/>
  <c r="L736" i="45"/>
  <c r="L740" i="45"/>
  <c r="L744" i="45"/>
  <c r="L748" i="45"/>
  <c r="L752" i="45"/>
  <c r="L756" i="45"/>
  <c r="L760" i="45"/>
  <c r="L764" i="45"/>
  <c r="L768" i="45"/>
  <c r="L772" i="45"/>
  <c r="L776" i="45"/>
  <c r="L373" i="45"/>
  <c r="L381" i="45"/>
  <c r="L389" i="45"/>
  <c r="L394" i="45"/>
  <c r="L398" i="45"/>
  <c r="L402" i="45"/>
  <c r="L426" i="45"/>
  <c r="L434" i="45"/>
  <c r="L438" i="45"/>
  <c r="L442" i="45"/>
  <c r="L454" i="45"/>
  <c r="L466" i="45"/>
  <c r="L470" i="45"/>
  <c r="L474" i="45"/>
  <c r="L478" i="45"/>
  <c r="L482" i="45"/>
  <c r="L490" i="45"/>
  <c r="L502" i="45"/>
  <c r="L522" i="45"/>
  <c r="L526" i="45"/>
  <c r="L542" i="45"/>
  <c r="L546" i="45"/>
  <c r="L550" i="45"/>
  <c r="L554" i="45"/>
  <c r="L572" i="45"/>
  <c r="L605" i="45"/>
  <c r="L609" i="45"/>
  <c r="L613" i="45"/>
  <c r="L617" i="45"/>
  <c r="L621" i="45"/>
  <c r="L625" i="45"/>
  <c r="L629" i="45"/>
  <c r="L633" i="45"/>
  <c r="L641" i="45"/>
  <c r="L645" i="45"/>
  <c r="L653" i="45"/>
  <c r="L661" i="45"/>
  <c r="L673" i="45"/>
  <c r="L677" i="45"/>
  <c r="L685" i="45"/>
  <c r="L689" i="45"/>
  <c r="L693" i="45"/>
  <c r="L697" i="45"/>
  <c r="L705" i="45"/>
  <c r="L709" i="45"/>
  <c r="L713" i="45"/>
  <c r="L717" i="45"/>
  <c r="L721" i="45"/>
  <c r="L725" i="45"/>
  <c r="L729" i="45"/>
  <c r="L733" i="45"/>
  <c r="L737" i="45"/>
  <c r="L741" i="45"/>
  <c r="L749" i="45"/>
  <c r="L753" i="45"/>
  <c r="L757" i="45"/>
  <c r="L761" i="45"/>
  <c r="L765" i="45"/>
  <c r="L769" i="45"/>
  <c r="L773" i="45"/>
  <c r="L777" i="45"/>
  <c r="L376" i="45"/>
  <c r="L384" i="45"/>
  <c r="L390" i="45"/>
  <c r="L395" i="45"/>
  <c r="L399" i="45"/>
  <c r="L403" i="45"/>
  <c r="L411" i="45"/>
  <c r="L423" i="45"/>
  <c r="L427" i="45"/>
  <c r="L435" i="45"/>
  <c r="L439" i="45"/>
  <c r="L443" i="45"/>
  <c r="L447" i="45"/>
  <c r="L467" i="45"/>
  <c r="L471" i="45"/>
  <c r="L475" i="45"/>
  <c r="L479" i="45"/>
  <c r="L483" i="45"/>
  <c r="L491" i="45"/>
  <c r="L519" i="45"/>
  <c r="L523" i="45"/>
  <c r="L543" i="45"/>
  <c r="L547" i="45"/>
  <c r="L551" i="45"/>
  <c r="L559" i="45"/>
  <c r="L584" i="45"/>
  <c r="L588" i="45"/>
  <c r="L602" i="45"/>
  <c r="L606" i="45"/>
  <c r="L614" i="45"/>
  <c r="L618" i="45"/>
  <c r="L622" i="45"/>
  <c r="L626" i="45"/>
  <c r="L630" i="45"/>
  <c r="L634" i="45"/>
  <c r="L638" i="45"/>
  <c r="L642" i="45"/>
  <c r="L646" i="45"/>
  <c r="L654" i="45"/>
  <c r="L658" i="45"/>
  <c r="L666" i="45"/>
  <c r="L670" i="45"/>
  <c r="L674" i="45"/>
  <c r="L682" i="45"/>
  <c r="L686" i="45"/>
  <c r="L690" i="45"/>
  <c r="L694" i="45"/>
  <c r="L698" i="45"/>
  <c r="L702" i="45"/>
  <c r="L706" i="45"/>
  <c r="L714" i="45"/>
  <c r="D10" i="49"/>
  <c r="D11" i="49"/>
  <c r="D12" i="49"/>
  <c r="L1077" i="45" s="1"/>
  <c r="D16" i="49"/>
  <c r="L1075" i="45" s="1"/>
  <c r="D17" i="49"/>
  <c r="D18" i="49"/>
  <c r="L1091" i="45"/>
  <c r="L1087" i="45"/>
  <c r="L1083" i="45"/>
  <c r="L1078" i="45"/>
  <c r="L1074" i="45"/>
  <c r="L1070" i="45"/>
  <c r="L1066" i="45"/>
  <c r="L1058" i="45"/>
  <c r="L1054" i="45"/>
  <c r="L1050" i="45"/>
  <c r="L1042" i="45"/>
  <c r="L1038" i="45"/>
  <c r="L1034" i="45"/>
  <c r="L1026" i="45"/>
  <c r="L1022" i="45"/>
  <c r="L1018" i="45"/>
  <c r="L1010" i="45"/>
  <c r="L1006" i="45"/>
  <c r="L1002" i="45"/>
  <c r="L994" i="45"/>
  <c r="L990" i="45"/>
  <c r="L986" i="45"/>
  <c r="L978" i="45"/>
  <c r="L974" i="45"/>
  <c r="L970" i="45"/>
  <c r="L962" i="45"/>
  <c r="L958" i="45"/>
  <c r="L954" i="45"/>
  <c r="L946" i="45"/>
  <c r="L942" i="45"/>
  <c r="L938" i="45"/>
  <c r="L934" i="45"/>
  <c r="L930" i="45"/>
  <c r="L918" i="45"/>
  <c r="L914" i="45"/>
  <c r="L910" i="45"/>
  <c r="L906" i="45"/>
  <c r="L898" i="45"/>
  <c r="L890" i="45"/>
  <c r="L882" i="45"/>
  <c r="L874" i="45"/>
  <c r="L866" i="45"/>
  <c r="L862" i="45"/>
  <c r="L858" i="45"/>
  <c r="L854" i="45"/>
  <c r="L850" i="45"/>
  <c r="L842" i="45"/>
  <c r="L838" i="45"/>
  <c r="L834" i="45"/>
  <c r="L830" i="45"/>
  <c r="L826" i="45"/>
  <c r="L822" i="45"/>
  <c r="L818" i="45"/>
  <c r="L814" i="45"/>
  <c r="L810" i="45"/>
  <c r="L802" i="45"/>
  <c r="L794" i="45"/>
  <c r="L790" i="45"/>
  <c r="L786" i="45"/>
  <c r="L782" i="45"/>
  <c r="L778" i="45"/>
  <c r="L770" i="45"/>
  <c r="L762" i="45"/>
  <c r="L754" i="45"/>
  <c r="L738" i="45"/>
  <c r="L730" i="45"/>
  <c r="L722" i="45"/>
  <c r="L1073" i="45"/>
  <c r="L1069" i="45"/>
  <c r="L1065" i="45"/>
  <c r="L1061" i="45"/>
  <c r="L1057" i="45"/>
  <c r="L1053" i="45"/>
  <c r="L1049" i="45"/>
  <c r="L1045" i="45"/>
  <c r="L1041" i="45"/>
  <c r="L1037" i="45"/>
  <c r="L1033" i="45"/>
  <c r="L1029" i="45"/>
  <c r="L1025" i="45"/>
  <c r="L1021" i="45"/>
  <c r="L1017" i="45"/>
  <c r="L1013" i="45"/>
  <c r="L1009" i="45"/>
  <c r="L1005" i="45"/>
  <c r="L1001" i="45"/>
  <c r="L997" i="45"/>
  <c r="L993" i="45"/>
  <c r="L989" i="45"/>
  <c r="L985" i="45"/>
  <c r="L981" i="45"/>
  <c r="L977" i="45"/>
  <c r="L973" i="45"/>
  <c r="L969" i="45"/>
  <c r="L965" i="45"/>
  <c r="L961" i="45"/>
  <c r="L957" i="45"/>
  <c r="L953" i="45"/>
  <c r="L949" i="45"/>
  <c r="L945" i="45"/>
  <c r="L941" i="45"/>
  <c r="L937" i="45"/>
  <c r="L929" i="45"/>
  <c r="L921" i="45"/>
  <c r="L909" i="45"/>
  <c r="L905" i="45"/>
  <c r="L889" i="45"/>
  <c r="L881" i="45"/>
  <c r="L873" i="45"/>
  <c r="L869" i="45"/>
  <c r="L865" i="45"/>
  <c r="L861" i="45"/>
  <c r="L857" i="45"/>
  <c r="L853" i="45"/>
  <c r="L849" i="45"/>
  <c r="L841" i="45"/>
  <c r="L837" i="45"/>
  <c r="L833" i="45"/>
  <c r="L829" i="45"/>
  <c r="L825" i="45"/>
  <c r="L821" i="45"/>
  <c r="L817" i="45"/>
  <c r="L813" i="45"/>
  <c r="L809" i="45"/>
  <c r="L805" i="45"/>
  <c r="L801" i="45"/>
  <c r="L793" i="45"/>
  <c r="L789" i="45"/>
  <c r="L785" i="45"/>
  <c r="L775" i="45"/>
  <c r="L767" i="45"/>
  <c r="L759" i="45"/>
  <c r="L751" i="45"/>
  <c r="L743" i="45"/>
  <c r="L735" i="45"/>
  <c r="L727" i="45"/>
  <c r="L719" i="45"/>
  <c r="L1086" i="45"/>
  <c r="L1089" i="45"/>
  <c r="L1085" i="45"/>
  <c r="L1081" i="45"/>
  <c r="L1076" i="45"/>
  <c r="L1072" i="45"/>
  <c r="L1068" i="45"/>
  <c r="L1064" i="45"/>
  <c r="L1060" i="45"/>
  <c r="L1056" i="45"/>
  <c r="L1052" i="45"/>
  <c r="L1048" i="45"/>
  <c r="L1044" i="45"/>
  <c r="L1040" i="45"/>
  <c r="L1036" i="45"/>
  <c r="L1032" i="45"/>
  <c r="L1028" i="45"/>
  <c r="L1024" i="45"/>
  <c r="L1020" i="45"/>
  <c r="L1016" i="45"/>
  <c r="L1012" i="45"/>
  <c r="L1008" i="45"/>
  <c r="L1004" i="45"/>
  <c r="L1000" i="45"/>
  <c r="L996" i="45"/>
  <c r="L992" i="45"/>
  <c r="L988" i="45"/>
  <c r="L984" i="45"/>
  <c r="L980" i="45"/>
  <c r="L976" i="45"/>
  <c r="L972" i="45"/>
  <c r="L968" i="45"/>
  <c r="L964" i="45"/>
  <c r="L960" i="45"/>
  <c r="L956" i="45"/>
  <c r="L952" i="45"/>
  <c r="L948" i="45"/>
  <c r="L944" i="45"/>
  <c r="L940" i="45"/>
  <c r="L936" i="45"/>
  <c r="L932" i="45"/>
  <c r="L928" i="45"/>
  <c r="L924" i="45"/>
  <c r="L920" i="45"/>
  <c r="L916" i="45"/>
  <c r="L912" i="45"/>
  <c r="L908" i="45"/>
  <c r="L904" i="45"/>
  <c r="L900" i="45"/>
  <c r="L896" i="45"/>
  <c r="L892" i="45"/>
  <c r="L888" i="45"/>
  <c r="L884" i="45"/>
  <c r="L880" i="45"/>
  <c r="L876" i="45"/>
  <c r="L872" i="45"/>
  <c r="L868" i="45"/>
  <c r="L864" i="45"/>
  <c r="L860" i="45"/>
  <c r="L856" i="45"/>
  <c r="L851" i="45"/>
  <c r="L848" i="45"/>
  <c r="L844" i="45"/>
  <c r="L840" i="45"/>
  <c r="L836" i="45"/>
  <c r="L832" i="45"/>
  <c r="L828" i="45"/>
  <c r="L824" i="45"/>
  <c r="L820" i="45"/>
  <c r="L816" i="45"/>
  <c r="L812" i="45"/>
  <c r="L808" i="45"/>
  <c r="L804" i="45"/>
  <c r="L800" i="45"/>
  <c r="L796" i="45"/>
  <c r="L792" i="45"/>
  <c r="L788" i="45"/>
  <c r="L784" i="45"/>
  <c r="L780" i="45"/>
  <c r="L774" i="45"/>
  <c r="L766" i="45"/>
  <c r="L758" i="45"/>
  <c r="L750" i="45"/>
  <c r="L742" i="45"/>
  <c r="L734" i="45"/>
  <c r="L726" i="45"/>
  <c r="L718" i="45"/>
  <c r="U226" i="36"/>
  <c r="V226" i="36" s="1"/>
  <c r="S226" i="36"/>
  <c r="T226" i="36" s="1"/>
  <c r="U110" i="36"/>
  <c r="V110" i="36" s="1"/>
  <c r="S110" i="36"/>
  <c r="T110" i="36" s="1"/>
  <c r="U31" i="36"/>
  <c r="V31" i="36" s="1"/>
  <c r="S31" i="36"/>
  <c r="T31" i="36" s="1"/>
  <c r="U122" i="36"/>
  <c r="V122" i="36" s="1"/>
  <c r="S122" i="36"/>
  <c r="T122" i="36" s="1"/>
  <c r="U50" i="36"/>
  <c r="V50" i="36" s="1"/>
  <c r="S50" i="36"/>
  <c r="T50" i="36" s="1"/>
  <c r="S74" i="36"/>
  <c r="T74" i="36" s="1"/>
  <c r="U74" i="36"/>
  <c r="V74" i="36" s="1"/>
  <c r="U43" i="36"/>
  <c r="V43" i="36" s="1"/>
  <c r="S43" i="36"/>
  <c r="T43" i="36" s="1"/>
  <c r="U42" i="36"/>
  <c r="V42" i="36" s="1"/>
  <c r="S42" i="36"/>
  <c r="T42" i="36" s="1"/>
  <c r="U195" i="36"/>
  <c r="V195" i="36" s="1"/>
  <c r="S195" i="36"/>
  <c r="T195" i="36" s="1"/>
  <c r="L897" i="45" l="1"/>
  <c r="L913" i="45"/>
  <c r="L746" i="45"/>
  <c r="L922" i="45"/>
  <c r="L568" i="45"/>
  <c r="L535" i="45"/>
  <c r="L503" i="45"/>
  <c r="L487" i="45"/>
  <c r="L455" i="45"/>
  <c r="L407" i="45"/>
  <c r="L360" i="45"/>
  <c r="L657" i="45"/>
  <c r="L591" i="45"/>
  <c r="L538" i="45"/>
  <c r="L506" i="45"/>
  <c r="L458" i="45"/>
  <c r="L410" i="45"/>
  <c r="L365" i="45"/>
  <c r="L594" i="45"/>
  <c r="L557" i="45"/>
  <c r="L541" i="45"/>
  <c r="L509" i="45"/>
  <c r="L493" i="45"/>
  <c r="L461" i="45"/>
  <c r="L445" i="45"/>
  <c r="L413" i="45"/>
  <c r="L372" i="45"/>
  <c r="L667" i="45"/>
  <c r="L651" i="45"/>
  <c r="L603" i="45"/>
  <c r="L564" i="45"/>
  <c r="L532" i="45"/>
  <c r="L516" i="45"/>
  <c r="L500" i="45"/>
  <c r="L452" i="45"/>
  <c r="L420" i="45"/>
  <c r="L353" i="45"/>
  <c r="L336" i="45"/>
  <c r="L320" i="45"/>
  <c r="L271" i="45"/>
  <c r="L239" i="45"/>
  <c r="L223" i="45"/>
  <c r="L128" i="45"/>
  <c r="L112" i="45"/>
  <c r="L64" i="45"/>
  <c r="L48" i="45"/>
  <c r="L32" i="45"/>
  <c r="L16" i="45"/>
  <c r="L367" i="45"/>
  <c r="L351" i="45"/>
  <c r="L335" i="45"/>
  <c r="L319" i="45"/>
  <c r="L238" i="45"/>
  <c r="L222" i="45"/>
  <c r="L143" i="45"/>
  <c r="L127" i="45"/>
  <c r="L63" i="45"/>
  <c r="L47" i="45"/>
  <c r="L31" i="45"/>
  <c r="L15" i="45"/>
  <c r="L366" i="45"/>
  <c r="L334" i="45"/>
  <c r="L287" i="45"/>
  <c r="L237" i="45"/>
  <c r="L221" i="45"/>
  <c r="L173" i="45"/>
  <c r="L142" i="45"/>
  <c r="L126" i="45"/>
  <c r="L62" i="45"/>
  <c r="L46" i="45"/>
  <c r="L30" i="45"/>
  <c r="L14" i="45"/>
  <c r="L337" i="45"/>
  <c r="L321" i="45"/>
  <c r="L240" i="45"/>
  <c r="L224" i="45"/>
  <c r="L144" i="45"/>
  <c r="L129" i="45"/>
  <c r="L113" i="45"/>
  <c r="L65" i="45"/>
  <c r="L49" i="45"/>
  <c r="L33" i="45"/>
  <c r="L17" i="45"/>
  <c r="L919" i="45"/>
  <c r="L935" i="45"/>
  <c r="L951" i="45"/>
  <c r="L967" i="45"/>
  <c r="L983" i="45"/>
  <c r="L999" i="45"/>
  <c r="L1015" i="45"/>
  <c r="L1031" i="45"/>
  <c r="L1047" i="45"/>
  <c r="L1063" i="45"/>
  <c r="L885" i="45"/>
  <c r="L901" i="45"/>
  <c r="L917" i="45"/>
  <c r="L933" i="45"/>
  <c r="L798" i="45"/>
  <c r="L846" i="45"/>
  <c r="L878" i="45"/>
  <c r="L894" i="45"/>
  <c r="L926" i="45"/>
  <c r="L650" i="45"/>
  <c r="L563" i="45"/>
  <c r="L531" i="45"/>
  <c r="L515" i="45"/>
  <c r="L499" i="45"/>
  <c r="L451" i="45"/>
  <c r="L419" i="45"/>
  <c r="L352" i="45"/>
  <c r="L701" i="45"/>
  <c r="L669" i="45"/>
  <c r="L637" i="45"/>
  <c r="L587" i="45"/>
  <c r="L567" i="45"/>
  <c r="L534" i="45"/>
  <c r="L518" i="45"/>
  <c r="L486" i="45"/>
  <c r="L422" i="45"/>
  <c r="L406" i="45"/>
  <c r="L357" i="45"/>
  <c r="L688" i="45"/>
  <c r="L571" i="45"/>
  <c r="L553" i="45"/>
  <c r="L537" i="45"/>
  <c r="L505" i="45"/>
  <c r="L489" i="45"/>
  <c r="L457" i="45"/>
  <c r="L409" i="45"/>
  <c r="L364" i="45"/>
  <c r="L679" i="45"/>
  <c r="L631" i="45"/>
  <c r="L599" i="45"/>
  <c r="L560" i="45"/>
  <c r="L528" i="45"/>
  <c r="L496" i="45"/>
  <c r="L416" i="45"/>
  <c r="L345" i="45"/>
  <c r="L235" i="45"/>
  <c r="L219" i="45"/>
  <c r="L171" i="45"/>
  <c r="L155" i="45"/>
  <c r="L140" i="45"/>
  <c r="L124" i="45"/>
  <c r="L76" i="45"/>
  <c r="L60" i="45"/>
  <c r="L44" i="45"/>
  <c r="L28" i="45"/>
  <c r="L12" i="45"/>
  <c r="L363" i="45"/>
  <c r="L347" i="45"/>
  <c r="L315" i="45"/>
  <c r="L234" i="45"/>
  <c r="L218" i="45"/>
  <c r="L170" i="45"/>
  <c r="L154" i="45"/>
  <c r="L123" i="45"/>
  <c r="L107" i="45"/>
  <c r="L75" i="45"/>
  <c r="L59" i="45"/>
  <c r="L43" i="45"/>
  <c r="L27" i="45"/>
  <c r="L11" i="45"/>
  <c r="L362" i="45"/>
  <c r="L346" i="45"/>
  <c r="L233" i="45"/>
  <c r="L217" i="45"/>
  <c r="L169" i="45"/>
  <c r="L153" i="45"/>
  <c r="L122" i="45"/>
  <c r="L106" i="45"/>
  <c r="L74" i="45"/>
  <c r="L58" i="45"/>
  <c r="L42" i="45"/>
  <c r="L26" i="45"/>
  <c r="L10" i="45"/>
  <c r="L333" i="45"/>
  <c r="L317" i="45"/>
  <c r="L236" i="45"/>
  <c r="L220" i="45"/>
  <c r="L172" i="45"/>
  <c r="L141" i="45"/>
  <c r="L125" i="45"/>
  <c r="L93" i="45"/>
  <c r="L61" i="45"/>
  <c r="L45" i="45"/>
  <c r="L29" i="45"/>
  <c r="L13" i="45"/>
  <c r="L875" i="45"/>
  <c r="L891" i="45"/>
  <c r="L939" i="45"/>
  <c r="L955" i="45"/>
  <c r="L971" i="45"/>
  <c r="L987" i="45"/>
  <c r="L1003" i="45"/>
  <c r="L1019" i="45"/>
  <c r="L1035" i="45"/>
  <c r="L1051" i="45"/>
  <c r="L1067" i="45"/>
  <c r="L1084" i="45"/>
  <c r="L710" i="45"/>
  <c r="L678" i="45"/>
  <c r="L662" i="45"/>
  <c r="L598" i="45"/>
  <c r="L577" i="45"/>
  <c r="L527" i="45"/>
  <c r="L511" i="45"/>
  <c r="L495" i="45"/>
  <c r="L463" i="45"/>
  <c r="L431" i="45"/>
  <c r="L415" i="45"/>
  <c r="L745" i="45"/>
  <c r="L681" i="45"/>
  <c r="L665" i="45"/>
  <c r="L649" i="45"/>
  <c r="L601" i="45"/>
  <c r="L582" i="45"/>
  <c r="L562" i="45"/>
  <c r="L530" i="45"/>
  <c r="L514" i="45"/>
  <c r="L498" i="45"/>
  <c r="L450" i="45"/>
  <c r="L418" i="45"/>
  <c r="L349" i="45"/>
  <c r="L636" i="45"/>
  <c r="L604" i="45"/>
  <c r="L549" i="45"/>
  <c r="L533" i="45"/>
  <c r="L517" i="45"/>
  <c r="L453" i="45"/>
  <c r="L421" i="45"/>
  <c r="L405" i="45"/>
  <c r="L356" i="45"/>
  <c r="L675" i="45"/>
  <c r="L659" i="45"/>
  <c r="L611" i="45"/>
  <c r="L556" i="45"/>
  <c r="L540" i="45"/>
  <c r="L508" i="45"/>
  <c r="L460" i="45"/>
  <c r="L444" i="45"/>
  <c r="L428" i="45"/>
  <c r="L412" i="45"/>
  <c r="L344" i="45"/>
  <c r="L328" i="45"/>
  <c r="L231" i="45"/>
  <c r="L167" i="45"/>
  <c r="L151" i="45"/>
  <c r="L120" i="45"/>
  <c r="L104" i="45"/>
  <c r="L72" i="45"/>
  <c r="L56" i="45"/>
  <c r="L40" i="45"/>
  <c r="L24" i="45"/>
  <c r="L8" i="45"/>
  <c r="L359" i="45"/>
  <c r="L327" i="45"/>
  <c r="L312" i="45"/>
  <c r="L214" i="45"/>
  <c r="L166" i="45"/>
  <c r="L135" i="45"/>
  <c r="L119" i="45"/>
  <c r="L103" i="45"/>
  <c r="L71" i="45"/>
  <c r="L55" i="45"/>
  <c r="L39" i="45"/>
  <c r="L23" i="45"/>
  <c r="L7" i="45"/>
  <c r="L342" i="45"/>
  <c r="L326" i="45"/>
  <c r="L311" i="45"/>
  <c r="L278" i="45"/>
  <c r="L261" i="45"/>
  <c r="L229" i="45"/>
  <c r="L213" i="45"/>
  <c r="L165" i="45"/>
  <c r="L102" i="45"/>
  <c r="L70" i="45"/>
  <c r="L54" i="45"/>
  <c r="L38" i="45"/>
  <c r="L22" i="45"/>
  <c r="L6" i="45"/>
  <c r="L232" i="45"/>
  <c r="L168" i="45"/>
  <c r="L137" i="45"/>
  <c r="L121" i="45"/>
  <c r="L105" i="45"/>
  <c r="L73" i="45"/>
  <c r="L57" i="45"/>
  <c r="L41" i="45"/>
  <c r="L25" i="45"/>
  <c r="L9" i="45"/>
  <c r="L1090" i="45"/>
  <c r="L815" i="45"/>
  <c r="L847" i="45"/>
  <c r="L895" i="45"/>
  <c r="L943" i="45"/>
  <c r="L959" i="45"/>
  <c r="L975" i="45"/>
  <c r="L991" i="45"/>
  <c r="L1007" i="45"/>
  <c r="L1023" i="45"/>
  <c r="L1039" i="45"/>
  <c r="L1055" i="45"/>
  <c r="L1071" i="45"/>
  <c r="L4" i="45"/>
  <c r="L781" i="45"/>
  <c r="L797" i="45"/>
  <c r="L845" i="45"/>
  <c r="L877" i="45"/>
  <c r="L893" i="45"/>
  <c r="L925" i="45"/>
  <c r="L806" i="45"/>
  <c r="L870" i="45"/>
  <c r="L886" i="45"/>
  <c r="L902" i="45"/>
  <c r="L950" i="45"/>
  <c r="L966" i="45"/>
  <c r="L982" i="45"/>
  <c r="L998" i="45"/>
  <c r="L1014" i="45"/>
  <c r="L1030" i="45"/>
  <c r="L1046" i="45"/>
  <c r="L1062" i="45"/>
  <c r="L610" i="45"/>
  <c r="L592" i="45"/>
  <c r="L573" i="45"/>
  <c r="L555" i="45"/>
  <c r="L539" i="45"/>
  <c r="L507" i="45"/>
  <c r="L459" i="45"/>
  <c r="L368" i="45"/>
  <c r="L597" i="45"/>
  <c r="L576" i="45"/>
  <c r="L558" i="45"/>
  <c r="L510" i="45"/>
  <c r="L494" i="45"/>
  <c r="L462" i="45"/>
  <c r="L446" i="45"/>
  <c r="L430" i="45"/>
  <c r="L414" i="45"/>
  <c r="L680" i="45"/>
  <c r="L664" i="45"/>
  <c r="L648" i="45"/>
  <c r="L600" i="45"/>
  <c r="L581" i="45"/>
  <c r="L561" i="45"/>
  <c r="L529" i="45"/>
  <c r="L513" i="45"/>
  <c r="L497" i="45"/>
  <c r="L449" i="45"/>
  <c r="L417" i="45"/>
  <c r="L570" i="45"/>
  <c r="L536" i="45"/>
  <c r="L488" i="45"/>
  <c r="L456" i="45"/>
  <c r="L408" i="45"/>
  <c r="L361" i="45"/>
  <c r="L324" i="45"/>
  <c r="L309" i="45"/>
  <c r="L227" i="45"/>
  <c r="L211" i="45"/>
  <c r="L147" i="45"/>
  <c r="L68" i="45"/>
  <c r="L52" i="45"/>
  <c r="L36" i="45"/>
  <c r="L20" i="45"/>
  <c r="L355" i="45"/>
  <c r="L339" i="45"/>
  <c r="L308" i="45"/>
  <c r="L274" i="45"/>
  <c r="L258" i="45"/>
  <c r="L242" i="45"/>
  <c r="L226" i="45"/>
  <c r="L210" i="45"/>
  <c r="L162" i="45"/>
  <c r="L146" i="45"/>
  <c r="L115" i="45"/>
  <c r="L99" i="45"/>
  <c r="L51" i="45"/>
  <c r="L35" i="45"/>
  <c r="L19" i="45"/>
  <c r="L370" i="45"/>
  <c r="L354" i="45"/>
  <c r="L338" i="45"/>
  <c r="L273" i="45"/>
  <c r="L225" i="45"/>
  <c r="L145" i="45"/>
  <c r="L130" i="45"/>
  <c r="L66" i="45"/>
  <c r="L50" i="45"/>
  <c r="L34" i="45"/>
  <c r="L18" i="45"/>
  <c r="L325" i="45"/>
  <c r="L310" i="45"/>
  <c r="L277" i="45"/>
  <c r="L260" i="45"/>
  <c r="L244" i="45"/>
  <c r="L228" i="45"/>
  <c r="L212" i="45"/>
  <c r="L164" i="45"/>
  <c r="L148" i="45"/>
  <c r="L69" i="45"/>
  <c r="L53" i="45"/>
  <c r="L37" i="45"/>
  <c r="L21" i="45"/>
  <c r="L5" i="45"/>
  <c r="L787" i="45"/>
  <c r="L835" i="45"/>
  <c r="L852" i="45"/>
  <c r="L883" i="45"/>
  <c r="L899" i="45"/>
  <c r="L915" i="45"/>
  <c r="L931" i="45"/>
  <c r="L947" i="45"/>
  <c r="L963" i="45"/>
  <c r="L979" i="45"/>
  <c r="L995" i="45"/>
  <c r="L1011" i="45"/>
  <c r="L1027" i="45"/>
  <c r="L1043" i="45"/>
  <c r="L1059" i="45"/>
  <c r="L1082" i="45"/>
  <c r="U25" i="36"/>
  <c r="V25" i="36" s="1"/>
  <c r="U26" i="36"/>
  <c r="V26" i="36" s="1"/>
  <c r="U27" i="36"/>
  <c r="V27" i="36" s="1"/>
  <c r="U32" i="36"/>
  <c r="V32" i="36" s="1"/>
  <c r="U33" i="36"/>
  <c r="V33" i="36" s="1"/>
  <c r="U46" i="36"/>
  <c r="V46" i="36" s="1"/>
  <c r="U47" i="36"/>
  <c r="V47" i="36" s="1"/>
  <c r="U48" i="36"/>
  <c r="V48" i="36" s="1"/>
  <c r="U52" i="36"/>
  <c r="V52" i="36" s="1"/>
  <c r="U59" i="36"/>
  <c r="V59" i="36" s="1"/>
  <c r="U91" i="36"/>
  <c r="V91" i="36" s="1"/>
  <c r="U99" i="36"/>
  <c r="V99" i="36" s="1"/>
  <c r="U130" i="36"/>
  <c r="V130" i="36" s="1"/>
  <c r="U137" i="36"/>
  <c r="V137" i="36" s="1"/>
  <c r="U138" i="36"/>
  <c r="V138" i="36" s="1"/>
  <c r="U141" i="36"/>
  <c r="V141" i="36" s="1"/>
  <c r="U156" i="36"/>
  <c r="V156" i="36" s="1"/>
  <c r="U173" i="36"/>
  <c r="V173" i="36" s="1"/>
  <c r="U186" i="36"/>
  <c r="V186" i="36" s="1"/>
  <c r="U188" i="36"/>
  <c r="V188" i="36" s="1"/>
  <c r="U198" i="36"/>
  <c r="V198" i="36" s="1"/>
  <c r="U199" i="36"/>
  <c r="V199" i="36" s="1"/>
  <c r="U206" i="36"/>
  <c r="V206" i="36" s="1"/>
  <c r="U223" i="36"/>
  <c r="V223" i="36" s="1"/>
  <c r="U232" i="36"/>
  <c r="V232" i="36" s="1"/>
  <c r="U238" i="36"/>
  <c r="V238" i="36" s="1"/>
  <c r="U82" i="36"/>
  <c r="V82" i="36" s="1"/>
  <c r="U178" i="36"/>
  <c r="V178" i="36" s="1"/>
  <c r="U233" i="36"/>
  <c r="V233" i="36" s="1"/>
  <c r="U234" i="36"/>
  <c r="V234" i="36" s="1"/>
  <c r="U237" i="36"/>
  <c r="V237" i="36" s="1"/>
  <c r="U34" i="36"/>
  <c r="V34" i="36" s="1"/>
  <c r="U114" i="36"/>
  <c r="V114" i="36" s="1"/>
  <c r="U115" i="36"/>
  <c r="V115" i="36" s="1"/>
  <c r="U194" i="36"/>
  <c r="V194" i="36" s="1"/>
  <c r="U170" i="36"/>
  <c r="V170" i="36" s="1"/>
  <c r="U230" i="36"/>
  <c r="V230" i="36" s="1"/>
  <c r="U235" i="36"/>
  <c r="V235" i="36" s="1"/>
  <c r="U236" i="36"/>
  <c r="V236" i="36" s="1"/>
  <c r="U8" i="36"/>
  <c r="V8" i="36" s="1"/>
  <c r="U10" i="36"/>
  <c r="V10" i="36" s="1"/>
  <c r="U30" i="36"/>
  <c r="V30" i="36" s="1"/>
  <c r="U35" i="36"/>
  <c r="V35" i="36" s="1"/>
  <c r="U54" i="36"/>
  <c r="V54" i="36" s="1"/>
  <c r="U64" i="36"/>
  <c r="V64" i="36" s="1"/>
  <c r="U72" i="36"/>
  <c r="V72" i="36" s="1"/>
  <c r="U98" i="36"/>
  <c r="V98" i="36" s="1"/>
  <c r="U101" i="36"/>
  <c r="V101" i="36" s="1"/>
  <c r="U111" i="36"/>
  <c r="V111" i="36" s="1"/>
  <c r="U113" i="36"/>
  <c r="V113" i="36" s="1"/>
  <c r="U163" i="36"/>
  <c r="V163" i="36" s="1"/>
  <c r="U164" i="36"/>
  <c r="V164" i="36" s="1"/>
  <c r="U165" i="36"/>
  <c r="V165" i="36" s="1"/>
  <c r="U191" i="36"/>
  <c r="V191" i="36" s="1"/>
  <c r="U196" i="36"/>
  <c r="V196" i="36" s="1"/>
  <c r="U197" i="36"/>
  <c r="V197" i="36" s="1"/>
  <c r="U209" i="36"/>
  <c r="V209" i="36" s="1"/>
  <c r="U210" i="36"/>
  <c r="V210" i="36" s="1"/>
  <c r="U218" i="36"/>
  <c r="V218" i="36" s="1"/>
  <c r="U229" i="36"/>
  <c r="V229" i="36" s="1"/>
  <c r="U239" i="36"/>
  <c r="V239" i="36" s="1"/>
  <c r="U240" i="36"/>
  <c r="V240" i="36" s="1"/>
  <c r="U6" i="36"/>
  <c r="V6" i="36" s="1"/>
  <c r="U9" i="36"/>
  <c r="V9" i="36" s="1"/>
  <c r="U20" i="36"/>
  <c r="V20" i="36" s="1"/>
  <c r="U41" i="36"/>
  <c r="V41" i="36" s="1"/>
  <c r="U55" i="36"/>
  <c r="V55" i="36" s="1"/>
  <c r="U56" i="36"/>
  <c r="V56" i="36" s="1"/>
  <c r="U57" i="36"/>
  <c r="V57" i="36" s="1"/>
  <c r="U60" i="36"/>
  <c r="V60" i="36" s="1"/>
  <c r="U61" i="36"/>
  <c r="V61" i="36" s="1"/>
  <c r="U62" i="36"/>
  <c r="V62" i="36" s="1"/>
  <c r="U65" i="36"/>
  <c r="V65" i="36" s="1"/>
  <c r="U73" i="36"/>
  <c r="V73" i="36" s="1"/>
  <c r="U109" i="36"/>
  <c r="V109" i="36" s="1"/>
  <c r="U116" i="36"/>
  <c r="V116" i="36" s="1"/>
  <c r="U118" i="36"/>
  <c r="V118" i="36" s="1"/>
  <c r="U131" i="36"/>
  <c r="V131" i="36" s="1"/>
  <c r="U132" i="36"/>
  <c r="V132" i="36" s="1"/>
  <c r="U133" i="36"/>
  <c r="V133" i="36" s="1"/>
  <c r="U134" i="36"/>
  <c r="V134" i="36" s="1"/>
  <c r="U154" i="36"/>
  <c r="V154" i="36" s="1"/>
  <c r="U159" i="36"/>
  <c r="V159" i="36" s="1"/>
  <c r="U162" i="36"/>
  <c r="V162" i="36" s="1"/>
  <c r="U168" i="36"/>
  <c r="V168" i="36" s="1"/>
  <c r="U169" i="36"/>
  <c r="V169" i="36" s="1"/>
  <c r="U185" i="36"/>
  <c r="V185" i="36" s="1"/>
  <c r="U215" i="36"/>
  <c r="V215" i="36" s="1"/>
  <c r="U216" i="36"/>
  <c r="V216" i="36" s="1"/>
  <c r="U220" i="36"/>
  <c r="V220" i="36" s="1"/>
  <c r="U221" i="36"/>
  <c r="V221" i="36" s="1"/>
  <c r="U225" i="36"/>
  <c r="V225" i="36" s="1"/>
  <c r="U4" i="36"/>
  <c r="V4" i="36" s="1"/>
  <c r="U12" i="36"/>
  <c r="V12" i="36" s="1"/>
  <c r="U17" i="36"/>
  <c r="V17" i="36" s="1"/>
  <c r="U18" i="36"/>
  <c r="V18" i="36" s="1"/>
  <c r="U24" i="36"/>
  <c r="V24" i="36" s="1"/>
  <c r="U37" i="36"/>
  <c r="V37" i="36" s="1"/>
  <c r="U39" i="36"/>
  <c r="V39" i="36" s="1"/>
  <c r="U40" i="36"/>
  <c r="V40" i="36" s="1"/>
  <c r="U53" i="36"/>
  <c r="V53" i="36" s="1"/>
  <c r="U58" i="36"/>
  <c r="V58" i="36" s="1"/>
  <c r="U69" i="36"/>
  <c r="V69" i="36" s="1"/>
  <c r="U70" i="36"/>
  <c r="V70" i="36" s="1"/>
  <c r="U71" i="36"/>
  <c r="V71" i="36" s="1"/>
  <c r="U75" i="36"/>
  <c r="V75" i="36" s="1"/>
  <c r="U80" i="36"/>
  <c r="V80" i="36" s="1"/>
  <c r="U76" i="36"/>
  <c r="V76" i="36" s="1"/>
  <c r="U77" i="36"/>
  <c r="V77" i="36" s="1"/>
  <c r="U78" i="36"/>
  <c r="V78" i="36" s="1"/>
  <c r="U79" i="36"/>
  <c r="V79" i="36" s="1"/>
  <c r="U81" i="36"/>
  <c r="V81" i="36" s="1"/>
  <c r="U83" i="36"/>
  <c r="V83" i="36" s="1"/>
  <c r="U84" i="36"/>
  <c r="V84" i="36" s="1"/>
  <c r="U100" i="36"/>
  <c r="V100" i="36" s="1"/>
  <c r="U104" i="36"/>
  <c r="V104" i="36" s="1"/>
  <c r="U117" i="36"/>
  <c r="V117" i="36" s="1"/>
  <c r="U123" i="36"/>
  <c r="V123" i="36" s="1"/>
  <c r="U135" i="36"/>
  <c r="V135" i="36" s="1"/>
  <c r="U136" i="36"/>
  <c r="V136" i="36" s="1"/>
  <c r="U139" i="36"/>
  <c r="V139" i="36" s="1"/>
  <c r="U140" i="36"/>
  <c r="V140" i="36" s="1"/>
  <c r="U143" i="36"/>
  <c r="V143" i="36" s="1"/>
  <c r="U144" i="36"/>
  <c r="V144" i="36" s="1"/>
  <c r="U145" i="36"/>
  <c r="V145" i="36" s="1"/>
  <c r="U146" i="36"/>
  <c r="V146" i="36" s="1"/>
  <c r="U147" i="36"/>
  <c r="V147" i="36" s="1"/>
  <c r="U148" i="36"/>
  <c r="V148" i="36" s="1"/>
  <c r="U150" i="36"/>
  <c r="V150" i="36" s="1"/>
  <c r="U151" i="36"/>
  <c r="V151" i="36" s="1"/>
  <c r="U152" i="36"/>
  <c r="V152" i="36" s="1"/>
  <c r="U153" i="36"/>
  <c r="V153" i="36" s="1"/>
  <c r="U161" i="36"/>
  <c r="V161" i="36" s="1"/>
  <c r="U166" i="36"/>
  <c r="V166" i="36" s="1"/>
  <c r="U167" i="36"/>
  <c r="V167" i="36" s="1"/>
  <c r="U172" i="36"/>
  <c r="V172" i="36" s="1"/>
  <c r="U176" i="36"/>
  <c r="V176" i="36" s="1"/>
  <c r="U177" i="36"/>
  <c r="V177" i="36" s="1"/>
  <c r="U183" i="36"/>
  <c r="V183" i="36" s="1"/>
  <c r="U205" i="36"/>
  <c r="V205" i="36" s="1"/>
  <c r="U211" i="36"/>
  <c r="V211" i="36" s="1"/>
  <c r="U212" i="36"/>
  <c r="V212" i="36" s="1"/>
  <c r="U213" i="36"/>
  <c r="V213" i="36" s="1"/>
  <c r="U5" i="36"/>
  <c r="V5" i="36" s="1"/>
  <c r="U182" i="36"/>
  <c r="V182" i="36" s="1"/>
  <c r="U15" i="36"/>
  <c r="V15" i="36" s="1"/>
  <c r="U16" i="36"/>
  <c r="V16" i="36" s="1"/>
  <c r="U36" i="36"/>
  <c r="V36" i="36" s="1"/>
  <c r="U49" i="36"/>
  <c r="V49" i="36" s="1"/>
  <c r="U88" i="36"/>
  <c r="V88" i="36" s="1"/>
  <c r="U89" i="36"/>
  <c r="V89" i="36" s="1"/>
  <c r="U90" i="36"/>
  <c r="V90" i="36" s="1"/>
  <c r="U127" i="36"/>
  <c r="V127" i="36" s="1"/>
  <c r="U128" i="36"/>
  <c r="V128" i="36" s="1"/>
  <c r="U129" i="36"/>
  <c r="V129" i="36" s="1"/>
  <c r="U142" i="36"/>
  <c r="V142" i="36" s="1"/>
  <c r="U149" i="36"/>
  <c r="V149" i="36" s="1"/>
  <c r="U184" i="36"/>
  <c r="V184" i="36" s="1"/>
  <c r="U202" i="36"/>
  <c r="V202" i="36" s="1"/>
  <c r="U203" i="36"/>
  <c r="V203" i="36" s="1"/>
  <c r="U204" i="36"/>
  <c r="V204" i="36" s="1"/>
  <c r="U181" i="36"/>
  <c r="V181" i="36" s="1"/>
  <c r="U22" i="36"/>
  <c r="V22" i="36" s="1"/>
  <c r="U23" i="36"/>
  <c r="V23" i="36" s="1"/>
  <c r="U28" i="36"/>
  <c r="V28" i="36" s="1"/>
  <c r="U29" i="36"/>
  <c r="V29" i="36" s="1"/>
  <c r="U44" i="36"/>
  <c r="V44" i="36" s="1"/>
  <c r="U45" i="36"/>
  <c r="V45" i="36" s="1"/>
  <c r="U92" i="36"/>
  <c r="V92" i="36" s="1"/>
  <c r="U93" i="36"/>
  <c r="V93" i="36" s="1"/>
  <c r="U94" i="36"/>
  <c r="V94" i="36" s="1"/>
  <c r="U95" i="36"/>
  <c r="V95" i="36" s="1"/>
  <c r="U157" i="36"/>
  <c r="V157" i="36" s="1"/>
  <c r="U158" i="36"/>
  <c r="V158" i="36" s="1"/>
  <c r="U174" i="36"/>
  <c r="V174" i="36" s="1"/>
  <c r="U175" i="36"/>
  <c r="V175" i="36" s="1"/>
  <c r="U189" i="36"/>
  <c r="V189" i="36" s="1"/>
  <c r="U190" i="36"/>
  <c r="V190" i="36" s="1"/>
  <c r="U11" i="36"/>
  <c r="V11" i="36" s="1"/>
  <c r="U21" i="36"/>
  <c r="V21" i="36" s="1"/>
  <c r="U51" i="36"/>
  <c r="V51" i="36" s="1"/>
  <c r="U66" i="36"/>
  <c r="V66" i="36" s="1"/>
  <c r="U67" i="36"/>
  <c r="V67" i="36" s="1"/>
  <c r="U68" i="36"/>
  <c r="V68" i="36" s="1"/>
  <c r="U105" i="36"/>
  <c r="V105" i="36" s="1"/>
  <c r="U106" i="36"/>
  <c r="V106" i="36" s="1"/>
  <c r="U107" i="36"/>
  <c r="V107" i="36" s="1"/>
  <c r="U108" i="36"/>
  <c r="V108" i="36" s="1"/>
  <c r="U112" i="36"/>
  <c r="V112" i="36" s="1"/>
  <c r="U192" i="36"/>
  <c r="V192" i="36" s="1"/>
  <c r="U119" i="36"/>
  <c r="V119" i="36" s="1"/>
  <c r="U120" i="36"/>
  <c r="V120" i="36" s="1"/>
  <c r="U121" i="36"/>
  <c r="V121" i="36" s="1"/>
  <c r="U160" i="36"/>
  <c r="V160" i="36" s="1"/>
  <c r="U171" i="36"/>
  <c r="V171" i="36" s="1"/>
  <c r="U207" i="36"/>
  <c r="V207" i="36" s="1"/>
  <c r="U208" i="36"/>
  <c r="V208" i="36" s="1"/>
  <c r="U222" i="36"/>
  <c r="V222" i="36" s="1"/>
  <c r="U19" i="36"/>
  <c r="V19" i="36" s="1"/>
  <c r="U14" i="36"/>
  <c r="V14" i="36" s="1"/>
  <c r="U85" i="36"/>
  <c r="V85" i="36" s="1"/>
  <c r="U86" i="36"/>
  <c r="V86" i="36" s="1"/>
  <c r="U87" i="36"/>
  <c r="V87" i="36" s="1"/>
  <c r="U124" i="36"/>
  <c r="V124" i="36" s="1"/>
  <c r="U125" i="36"/>
  <c r="V125" i="36" s="1"/>
  <c r="U126" i="36"/>
  <c r="V126" i="36" s="1"/>
  <c r="U179" i="36"/>
  <c r="V179" i="36" s="1"/>
  <c r="U180" i="36"/>
  <c r="V180" i="36" s="1"/>
  <c r="U200" i="36"/>
  <c r="V200" i="36" s="1"/>
  <c r="U201" i="36"/>
  <c r="V201" i="36" s="1"/>
  <c r="U13" i="36"/>
  <c r="V13" i="36" s="1"/>
  <c r="U38" i="36"/>
  <c r="V38" i="36" s="1"/>
  <c r="U63" i="36"/>
  <c r="V63" i="36" s="1"/>
  <c r="U96" i="36"/>
  <c r="V96" i="36" s="1"/>
  <c r="U97" i="36"/>
  <c r="V97" i="36" s="1"/>
  <c r="U102" i="36"/>
  <c r="V102" i="36" s="1"/>
  <c r="U103" i="36"/>
  <c r="V103" i="36" s="1"/>
  <c r="U155" i="36"/>
  <c r="V155" i="36" s="1"/>
  <c r="U187" i="36"/>
  <c r="V187" i="36" s="1"/>
  <c r="U214" i="36"/>
  <c r="V214" i="36" s="1"/>
  <c r="U217" i="36"/>
  <c r="V217" i="36" s="1"/>
  <c r="U219" i="36"/>
  <c r="V219" i="36" s="1"/>
  <c r="U224" i="36"/>
  <c r="V224" i="36" s="1"/>
  <c r="U227" i="36"/>
  <c r="V227" i="36" s="1"/>
  <c r="U228" i="36"/>
  <c r="V228" i="36" s="1"/>
  <c r="U231" i="36"/>
  <c r="V231" i="36" s="1"/>
  <c r="U7" i="36"/>
  <c r="V7" i="36" s="1"/>
  <c r="S25" i="36"/>
  <c r="T25" i="36" s="1"/>
  <c r="S26" i="36"/>
  <c r="T26" i="36" s="1"/>
  <c r="S27" i="36"/>
  <c r="T27" i="36" s="1"/>
  <c r="S32" i="36"/>
  <c r="T32" i="36" s="1"/>
  <c r="S33" i="36"/>
  <c r="T33" i="36" s="1"/>
  <c r="S46" i="36"/>
  <c r="T46" i="36" s="1"/>
  <c r="S47" i="36"/>
  <c r="T47" i="36" s="1"/>
  <c r="S48" i="36"/>
  <c r="T48" i="36" s="1"/>
  <c r="S52" i="36"/>
  <c r="T52" i="36" s="1"/>
  <c r="S59" i="36"/>
  <c r="T59" i="36" s="1"/>
  <c r="S91" i="36"/>
  <c r="T91" i="36" s="1"/>
  <c r="S99" i="36"/>
  <c r="T99" i="36" s="1"/>
  <c r="S130" i="36"/>
  <c r="T130" i="36" s="1"/>
  <c r="S137" i="36"/>
  <c r="T137" i="36" s="1"/>
  <c r="S138" i="36"/>
  <c r="T138" i="36" s="1"/>
  <c r="S141" i="36"/>
  <c r="T141" i="36" s="1"/>
  <c r="S156" i="36"/>
  <c r="T156" i="36" s="1"/>
  <c r="S173" i="36"/>
  <c r="T173" i="36" s="1"/>
  <c r="S186" i="36"/>
  <c r="T186" i="36" s="1"/>
  <c r="S188" i="36"/>
  <c r="T188" i="36" s="1"/>
  <c r="S198" i="36"/>
  <c r="T198" i="36" s="1"/>
  <c r="S199" i="36"/>
  <c r="T199" i="36" s="1"/>
  <c r="S206" i="36"/>
  <c r="T206" i="36" s="1"/>
  <c r="S223" i="36"/>
  <c r="T223" i="36" s="1"/>
  <c r="S232" i="36"/>
  <c r="T232" i="36" s="1"/>
  <c r="S238" i="36"/>
  <c r="T238" i="36" s="1"/>
  <c r="S82" i="36"/>
  <c r="T82" i="36" s="1"/>
  <c r="S178" i="36"/>
  <c r="T178" i="36" s="1"/>
  <c r="S233" i="36"/>
  <c r="T233" i="36" s="1"/>
  <c r="S234" i="36"/>
  <c r="T234" i="36" s="1"/>
  <c r="S237" i="36"/>
  <c r="T237" i="36" s="1"/>
  <c r="S34" i="36"/>
  <c r="T34" i="36" s="1"/>
  <c r="S114" i="36"/>
  <c r="T114" i="36" s="1"/>
  <c r="S115" i="36"/>
  <c r="T115" i="36" s="1"/>
  <c r="S194" i="36"/>
  <c r="T194" i="36" s="1"/>
  <c r="S170" i="36"/>
  <c r="T170" i="36" s="1"/>
  <c r="S230" i="36"/>
  <c r="T230" i="36" s="1"/>
  <c r="S235" i="36"/>
  <c r="T235" i="36" s="1"/>
  <c r="S236" i="36"/>
  <c r="T236" i="36" s="1"/>
  <c r="S8" i="36"/>
  <c r="T8" i="36" s="1"/>
  <c r="S10" i="36"/>
  <c r="T10" i="36" s="1"/>
  <c r="S30" i="36"/>
  <c r="T30" i="36" s="1"/>
  <c r="S35" i="36"/>
  <c r="T35" i="36" s="1"/>
  <c r="S54" i="36"/>
  <c r="T54" i="36" s="1"/>
  <c r="S64" i="36"/>
  <c r="T64" i="36" s="1"/>
  <c r="S72" i="36"/>
  <c r="T72" i="36" s="1"/>
  <c r="S98" i="36"/>
  <c r="T98" i="36" s="1"/>
  <c r="S101" i="36"/>
  <c r="T101" i="36" s="1"/>
  <c r="S111" i="36"/>
  <c r="T111" i="36" s="1"/>
  <c r="S113" i="36"/>
  <c r="T113" i="36" s="1"/>
  <c r="S163" i="36"/>
  <c r="T163" i="36" s="1"/>
  <c r="S164" i="36"/>
  <c r="T164" i="36" s="1"/>
  <c r="S165" i="36"/>
  <c r="T165" i="36" s="1"/>
  <c r="S191" i="36"/>
  <c r="T191" i="36" s="1"/>
  <c r="S196" i="36"/>
  <c r="T196" i="36" s="1"/>
  <c r="S197" i="36"/>
  <c r="T197" i="36" s="1"/>
  <c r="S209" i="36"/>
  <c r="T209" i="36" s="1"/>
  <c r="S210" i="36"/>
  <c r="T210" i="36" s="1"/>
  <c r="S218" i="36"/>
  <c r="T218" i="36" s="1"/>
  <c r="S229" i="36"/>
  <c r="T229" i="36" s="1"/>
  <c r="S239" i="36"/>
  <c r="T239" i="36" s="1"/>
  <c r="S240" i="36"/>
  <c r="T240" i="36" s="1"/>
  <c r="S6" i="36"/>
  <c r="T6" i="36" s="1"/>
  <c r="S9" i="36"/>
  <c r="T9" i="36" s="1"/>
  <c r="S20" i="36"/>
  <c r="T20" i="36" s="1"/>
  <c r="S41" i="36"/>
  <c r="T41" i="36" s="1"/>
  <c r="S55" i="36"/>
  <c r="T55" i="36" s="1"/>
  <c r="S56" i="36"/>
  <c r="T56" i="36" s="1"/>
  <c r="S57" i="36"/>
  <c r="T57" i="36" s="1"/>
  <c r="S60" i="36"/>
  <c r="T60" i="36" s="1"/>
  <c r="S61" i="36"/>
  <c r="T61" i="36" s="1"/>
  <c r="S62" i="36"/>
  <c r="T62" i="36" s="1"/>
  <c r="S65" i="36"/>
  <c r="T65" i="36" s="1"/>
  <c r="S73" i="36"/>
  <c r="T73" i="36" s="1"/>
  <c r="S109" i="36"/>
  <c r="T109" i="36" s="1"/>
  <c r="S116" i="36"/>
  <c r="T116" i="36" s="1"/>
  <c r="S118" i="36"/>
  <c r="T118" i="36" s="1"/>
  <c r="S131" i="36"/>
  <c r="T131" i="36" s="1"/>
  <c r="S132" i="36"/>
  <c r="T132" i="36" s="1"/>
  <c r="S133" i="36"/>
  <c r="T133" i="36" s="1"/>
  <c r="S134" i="36"/>
  <c r="T134" i="36" s="1"/>
  <c r="S154" i="36"/>
  <c r="T154" i="36" s="1"/>
  <c r="S159" i="36"/>
  <c r="T159" i="36" s="1"/>
  <c r="S162" i="36"/>
  <c r="T162" i="36" s="1"/>
  <c r="S168" i="36"/>
  <c r="T168" i="36" s="1"/>
  <c r="S169" i="36"/>
  <c r="T169" i="36" s="1"/>
  <c r="S185" i="36"/>
  <c r="T185" i="36" s="1"/>
  <c r="S215" i="36"/>
  <c r="T215" i="36" s="1"/>
  <c r="S216" i="36"/>
  <c r="T216" i="36" s="1"/>
  <c r="S220" i="36"/>
  <c r="T220" i="36" s="1"/>
  <c r="S221" i="36"/>
  <c r="T221" i="36" s="1"/>
  <c r="S225" i="36"/>
  <c r="T225" i="36" s="1"/>
  <c r="S4" i="36"/>
  <c r="T4" i="36" s="1"/>
  <c r="S12" i="36"/>
  <c r="T12" i="36" s="1"/>
  <c r="S17" i="36"/>
  <c r="T17" i="36" s="1"/>
  <c r="S18" i="36"/>
  <c r="T18" i="36" s="1"/>
  <c r="S24" i="36"/>
  <c r="T24" i="36" s="1"/>
  <c r="S37" i="36"/>
  <c r="T37" i="36" s="1"/>
  <c r="S39" i="36"/>
  <c r="T39" i="36" s="1"/>
  <c r="S40" i="36"/>
  <c r="T40" i="36" s="1"/>
  <c r="S53" i="36"/>
  <c r="T53" i="36" s="1"/>
  <c r="S58" i="36"/>
  <c r="T58" i="36" s="1"/>
  <c r="S69" i="36"/>
  <c r="T69" i="36" s="1"/>
  <c r="S70" i="36"/>
  <c r="T70" i="36" s="1"/>
  <c r="S71" i="36"/>
  <c r="T71" i="36" s="1"/>
  <c r="S75" i="36"/>
  <c r="T75" i="36" s="1"/>
  <c r="S80" i="36"/>
  <c r="T80" i="36" s="1"/>
  <c r="S76" i="36"/>
  <c r="T76" i="36" s="1"/>
  <c r="S77" i="36"/>
  <c r="T77" i="36" s="1"/>
  <c r="S78" i="36"/>
  <c r="T78" i="36" s="1"/>
  <c r="S79" i="36"/>
  <c r="T79" i="36" s="1"/>
  <c r="S81" i="36"/>
  <c r="T81" i="36" s="1"/>
  <c r="S83" i="36"/>
  <c r="T83" i="36" s="1"/>
  <c r="S84" i="36"/>
  <c r="T84" i="36" s="1"/>
  <c r="S100" i="36"/>
  <c r="T100" i="36" s="1"/>
  <c r="S104" i="36"/>
  <c r="T104" i="36" s="1"/>
  <c r="S117" i="36"/>
  <c r="T117" i="36" s="1"/>
  <c r="S123" i="36"/>
  <c r="T123" i="36" s="1"/>
  <c r="S135" i="36"/>
  <c r="T135" i="36" s="1"/>
  <c r="S136" i="36"/>
  <c r="T136" i="36" s="1"/>
  <c r="S139" i="36"/>
  <c r="T139" i="36" s="1"/>
  <c r="S140" i="36"/>
  <c r="T140" i="36" s="1"/>
  <c r="S143" i="36"/>
  <c r="T143" i="36" s="1"/>
  <c r="S144" i="36"/>
  <c r="T144" i="36" s="1"/>
  <c r="S145" i="36"/>
  <c r="T145" i="36" s="1"/>
  <c r="S146" i="36"/>
  <c r="T146" i="36" s="1"/>
  <c r="S147" i="36"/>
  <c r="T147" i="36" s="1"/>
  <c r="S148" i="36"/>
  <c r="T148" i="36" s="1"/>
  <c r="S150" i="36"/>
  <c r="T150" i="36" s="1"/>
  <c r="S151" i="36"/>
  <c r="T151" i="36" s="1"/>
  <c r="S152" i="36"/>
  <c r="T152" i="36" s="1"/>
  <c r="S153" i="36"/>
  <c r="T153" i="36" s="1"/>
  <c r="S161" i="36"/>
  <c r="T161" i="36" s="1"/>
  <c r="S166" i="36"/>
  <c r="T166" i="36" s="1"/>
  <c r="S167" i="36"/>
  <c r="T167" i="36" s="1"/>
  <c r="S172" i="36"/>
  <c r="T172" i="36" s="1"/>
  <c r="S176" i="36"/>
  <c r="T176" i="36" s="1"/>
  <c r="S177" i="36"/>
  <c r="T177" i="36" s="1"/>
  <c r="S183" i="36"/>
  <c r="T183" i="36" s="1"/>
  <c r="S205" i="36"/>
  <c r="T205" i="36" s="1"/>
  <c r="S211" i="36"/>
  <c r="T211" i="36" s="1"/>
  <c r="S212" i="36"/>
  <c r="T212" i="36" s="1"/>
  <c r="S213" i="36"/>
  <c r="T213" i="36" s="1"/>
  <c r="S5" i="36"/>
  <c r="T5" i="36" s="1"/>
  <c r="S182" i="36"/>
  <c r="T182" i="36" s="1"/>
  <c r="S15" i="36"/>
  <c r="T15" i="36" s="1"/>
  <c r="S16" i="36"/>
  <c r="T16" i="36" s="1"/>
  <c r="S36" i="36"/>
  <c r="T36" i="36" s="1"/>
  <c r="S49" i="36"/>
  <c r="T49" i="36" s="1"/>
  <c r="S88" i="36"/>
  <c r="T88" i="36" s="1"/>
  <c r="S89" i="36"/>
  <c r="T89" i="36" s="1"/>
  <c r="S90" i="36"/>
  <c r="T90" i="36" s="1"/>
  <c r="S127" i="36"/>
  <c r="T127" i="36" s="1"/>
  <c r="S128" i="36"/>
  <c r="T128" i="36" s="1"/>
  <c r="S129" i="36"/>
  <c r="T129" i="36" s="1"/>
  <c r="S142" i="36"/>
  <c r="T142" i="36" s="1"/>
  <c r="S149" i="36"/>
  <c r="T149" i="36" s="1"/>
  <c r="S184" i="36"/>
  <c r="T184" i="36" s="1"/>
  <c r="S202" i="36"/>
  <c r="T202" i="36" s="1"/>
  <c r="S203" i="36"/>
  <c r="T203" i="36" s="1"/>
  <c r="S204" i="36"/>
  <c r="T204" i="36" s="1"/>
  <c r="S181" i="36"/>
  <c r="T181" i="36" s="1"/>
  <c r="S21" i="36"/>
  <c r="T21" i="36" s="1"/>
  <c r="S51" i="36"/>
  <c r="T51" i="36" s="1"/>
  <c r="S66" i="36"/>
  <c r="T66" i="36" s="1"/>
  <c r="S67" i="36"/>
  <c r="T67" i="36" s="1"/>
  <c r="S68" i="36"/>
  <c r="T68" i="36" s="1"/>
  <c r="S105" i="36"/>
  <c r="T105" i="36" s="1"/>
  <c r="S106" i="36"/>
  <c r="T106" i="36" s="1"/>
  <c r="S107" i="36"/>
  <c r="T107" i="36" s="1"/>
  <c r="S108" i="36"/>
  <c r="T108" i="36" s="1"/>
  <c r="S112" i="36"/>
  <c r="T112" i="36" s="1"/>
  <c r="S192" i="36"/>
  <c r="T192" i="36" s="1"/>
  <c r="S119" i="36"/>
  <c r="T119" i="36" s="1"/>
  <c r="S120" i="36"/>
  <c r="T120" i="36" s="1"/>
  <c r="S121" i="36"/>
  <c r="T121" i="36" s="1"/>
  <c r="S160" i="36"/>
  <c r="T160" i="36" s="1"/>
  <c r="S171" i="36"/>
  <c r="T171" i="36" s="1"/>
  <c r="S207" i="36"/>
  <c r="T207" i="36" s="1"/>
  <c r="S208" i="36"/>
  <c r="T208" i="36" s="1"/>
  <c r="S222" i="36"/>
  <c r="T222" i="36" s="1"/>
  <c r="S11" i="36"/>
  <c r="T11" i="36" s="1"/>
  <c r="S22" i="36"/>
  <c r="T22" i="36" s="1"/>
  <c r="S23" i="36"/>
  <c r="T23" i="36" s="1"/>
  <c r="S28" i="36"/>
  <c r="T28" i="36" s="1"/>
  <c r="S29" i="36"/>
  <c r="T29" i="36" s="1"/>
  <c r="S44" i="36"/>
  <c r="T44" i="36" s="1"/>
  <c r="S45" i="36"/>
  <c r="T45" i="36" s="1"/>
  <c r="S92" i="36"/>
  <c r="T92" i="36" s="1"/>
  <c r="S93" i="36"/>
  <c r="T93" i="36" s="1"/>
  <c r="S94" i="36"/>
  <c r="T94" i="36" s="1"/>
  <c r="S95" i="36"/>
  <c r="T95" i="36" s="1"/>
  <c r="S157" i="36"/>
  <c r="T157" i="36" s="1"/>
  <c r="S158" i="36"/>
  <c r="T158" i="36" s="1"/>
  <c r="S174" i="36"/>
  <c r="T174" i="36" s="1"/>
  <c r="S175" i="36"/>
  <c r="T175" i="36" s="1"/>
  <c r="S189" i="36"/>
  <c r="T189" i="36" s="1"/>
  <c r="S190" i="36"/>
  <c r="T190" i="36" s="1"/>
  <c r="T19" i="36"/>
  <c r="S7" i="36"/>
  <c r="T7" i="36" s="1"/>
  <c r="S38" i="36"/>
  <c r="T38" i="36" s="1"/>
  <c r="S63" i="36"/>
  <c r="T63" i="36" s="1"/>
  <c r="S96" i="36"/>
  <c r="T96" i="36" s="1"/>
  <c r="S97" i="36"/>
  <c r="T97" i="36" s="1"/>
  <c r="S102" i="36"/>
  <c r="T102" i="36" s="1"/>
  <c r="S103" i="36"/>
  <c r="T103" i="36" s="1"/>
  <c r="S155" i="36"/>
  <c r="T155" i="36" s="1"/>
  <c r="S187" i="36"/>
  <c r="T187" i="36" s="1"/>
  <c r="S214" i="36"/>
  <c r="T214" i="36" s="1"/>
  <c r="S217" i="36"/>
  <c r="T217" i="36" s="1"/>
  <c r="S219" i="36"/>
  <c r="T219" i="36" s="1"/>
  <c r="S224" i="36"/>
  <c r="T224" i="36" s="1"/>
  <c r="S227" i="36"/>
  <c r="T227" i="36" s="1"/>
  <c r="S228" i="36"/>
  <c r="T228" i="36" s="1"/>
  <c r="S231" i="36"/>
  <c r="T231" i="36" s="1"/>
  <c r="S14" i="36"/>
  <c r="T14" i="36" s="1"/>
  <c r="S85" i="36"/>
  <c r="T85" i="36" s="1"/>
  <c r="S86" i="36"/>
  <c r="T86" i="36" s="1"/>
  <c r="S87" i="36"/>
  <c r="T87" i="36" s="1"/>
  <c r="S124" i="36"/>
  <c r="T124" i="36" s="1"/>
  <c r="S125" i="36"/>
  <c r="T125" i="36" s="1"/>
  <c r="S126" i="36"/>
  <c r="T126" i="36" s="1"/>
  <c r="S179" i="36"/>
  <c r="T179" i="36" s="1"/>
  <c r="S180" i="36"/>
  <c r="T180" i="36" s="1"/>
  <c r="S200" i="36"/>
  <c r="T200" i="36" s="1"/>
  <c r="S201" i="36"/>
  <c r="T201" i="36" s="1"/>
  <c r="S13" i="36"/>
  <c r="T13" i="36" s="1"/>
  <c r="P158" i="45" l="1"/>
  <c r="T158" i="45" s="1"/>
  <c r="P159" i="45"/>
  <c r="T159" i="45" s="1"/>
  <c r="P160" i="45"/>
  <c r="T160" i="45" s="1"/>
  <c r="P114" i="45"/>
  <c r="T114" i="45" s="1"/>
  <c r="P558" i="45"/>
  <c r="T558" i="45" s="1"/>
  <c r="P604" i="45"/>
  <c r="T604" i="45" s="1"/>
  <c r="P115" i="45"/>
  <c r="T115" i="45" s="1"/>
  <c r="P360" i="45"/>
  <c r="T360" i="45" s="1"/>
  <c r="P361" i="45"/>
  <c r="T361" i="45" s="1"/>
  <c r="P55" i="45"/>
  <c r="T55" i="45" s="1"/>
  <c r="P1009" i="45"/>
  <c r="T1009" i="45" s="1"/>
  <c r="P56" i="45"/>
  <c r="T56" i="45" s="1"/>
  <c r="P157" i="45"/>
  <c r="T157" i="45" s="1"/>
  <c r="AL4" i="37" l="1"/>
  <c r="AK4" i="37"/>
  <c r="AD5" i="38"/>
  <c r="AD4" i="38"/>
  <c r="AM4" i="37" l="1"/>
  <c r="AE5" i="38" l="1"/>
  <c r="AG5" i="38" s="1"/>
  <c r="AE4" i="38"/>
  <c r="AG4" i="38" s="1"/>
  <c r="AN4" i="37"/>
  <c r="AP4" i="37" s="1"/>
  <c r="M3" i="35" l="1"/>
  <c r="M4" i="35" s="1"/>
  <c r="L3" i="35"/>
  <c r="L4" i="35" s="1"/>
  <c r="K3" i="35"/>
  <c r="K4" i="35" s="1"/>
  <c r="J3" i="35"/>
  <c r="J4" i="35" s="1"/>
  <c r="AD4" i="37" l="1"/>
  <c r="AE4" i="37" s="1"/>
  <c r="AF4" i="37" s="1"/>
  <c r="AG4" i="37" s="1"/>
  <c r="W4" i="38"/>
  <c r="W5" i="38"/>
  <c r="X5" i="38" s="1"/>
  <c r="AH4" i="37" l="1"/>
  <c r="AI4" i="37" s="1"/>
  <c r="AJ4" i="37" s="1"/>
  <c r="X4" i="38"/>
  <c r="Y4" i="38" s="1"/>
  <c r="Y5" i="38"/>
  <c r="Z4" i="38" l="1"/>
  <c r="AA4" i="38" s="1"/>
  <c r="AB4" i="38" s="1"/>
  <c r="AC4" i="38" s="1"/>
  <c r="Z5" i="38"/>
  <c r="AA5" i="38" s="1"/>
  <c r="AB5" i="38" s="1"/>
  <c r="AC5" i="38" s="1"/>
  <c r="M3" i="33" l="1"/>
  <c r="M4" i="33" s="1"/>
  <c r="L3" i="33"/>
  <c r="L4" i="33" s="1"/>
  <c r="K3" i="33"/>
  <c r="K4" i="33" s="1"/>
  <c r="J3" i="33"/>
  <c r="J4" i="33" s="1"/>
  <c r="I3" i="33"/>
  <c r="I4" i="33" s="1"/>
  <c r="H3" i="33"/>
  <c r="H4" i="33" s="1"/>
  <c r="G3" i="33"/>
  <c r="G4" i="33" s="1"/>
  <c r="F3" i="33"/>
  <c r="F4" i="33" s="1"/>
  <c r="E3" i="33"/>
  <c r="E4" i="33" s="1"/>
</calcChain>
</file>

<file path=xl/sharedStrings.xml><?xml version="1.0" encoding="utf-8"?>
<sst xmlns="http://schemas.openxmlformats.org/spreadsheetml/2006/main" count="19754" uniqueCount="4432">
  <si>
    <t>Initial Level</t>
  </si>
  <si>
    <t>M10</t>
  </si>
  <si>
    <t>M11</t>
  </si>
  <si>
    <t>M12</t>
  </si>
  <si>
    <t>M1</t>
  </si>
  <si>
    <t>M2</t>
  </si>
  <si>
    <t>M3</t>
  </si>
  <si>
    <t>M4</t>
  </si>
  <si>
    <t>M5</t>
  </si>
  <si>
    <t>M6</t>
  </si>
  <si>
    <t>M7</t>
  </si>
  <si>
    <t>M8</t>
  </si>
  <si>
    <t>M9</t>
  </si>
  <si>
    <t>Type</t>
  </si>
  <si>
    <t>Owner</t>
  </si>
  <si>
    <t>Latitude</t>
  </si>
  <si>
    <t>Longitude</t>
  </si>
  <si>
    <t>Installed Capacity</t>
  </si>
  <si>
    <t>Start Year</t>
  </si>
  <si>
    <t>Project Name</t>
  </si>
  <si>
    <t>(MW)</t>
  </si>
  <si>
    <t>(GWh/year)</t>
  </si>
  <si>
    <t>Location</t>
  </si>
  <si>
    <t>Transmission</t>
  </si>
  <si>
    <t>($/MWh)</t>
  </si>
  <si>
    <t>(hours)</t>
  </si>
  <si>
    <t>(%)</t>
  </si>
  <si>
    <t>Characteristics of existing system transmission</t>
  </si>
  <si>
    <t>LEGEND</t>
  </si>
  <si>
    <t>DESIGN</t>
  </si>
  <si>
    <t>Voltage</t>
  </si>
  <si>
    <t># of units</t>
  </si>
  <si>
    <t>Notes</t>
  </si>
  <si>
    <t>Low Volume</t>
  </si>
  <si>
    <t>High Volume</t>
  </si>
  <si>
    <t>(m)</t>
  </si>
  <si>
    <t>Live Storage</t>
  </si>
  <si>
    <t>Notes:</t>
  </si>
  <si>
    <t>Dependable Capacity</t>
  </si>
  <si>
    <t>Station Flow</t>
  </si>
  <si>
    <t>(WSC#)</t>
  </si>
  <si>
    <t>System</t>
  </si>
  <si>
    <t>Miscellaneous provincial system characteristics</t>
  </si>
  <si>
    <t>GWh/year</t>
  </si>
  <si>
    <t>%</t>
  </si>
  <si>
    <t>Reserve Requirements</t>
  </si>
  <si>
    <t>(% installed MW)</t>
  </si>
  <si>
    <t>Number of Circuits</t>
  </si>
  <si>
    <t>Circuit ID</t>
  </si>
  <si>
    <t>(kV)</t>
  </si>
  <si>
    <t>(A)</t>
  </si>
  <si>
    <t>(km)</t>
  </si>
  <si>
    <t>Calculated values (may be overlain by reference shading)</t>
  </si>
  <si>
    <t>(% across system)</t>
  </si>
  <si>
    <t>Upper Storage</t>
  </si>
  <si>
    <t>Upper Storage Level</t>
  </si>
  <si>
    <t>Lower Storage</t>
  </si>
  <si>
    <t>Lower Storage Level</t>
  </si>
  <si>
    <t>UNIT</t>
  </si>
  <si>
    <t>End Year</t>
  </si>
  <si>
    <t>Maximum Level</t>
  </si>
  <si>
    <t>Minimum Level</t>
  </si>
  <si>
    <t>(m3)</t>
  </si>
  <si>
    <t>(m3/s)</t>
  </si>
  <si>
    <t>EXISTING GENERATION</t>
  </si>
  <si>
    <t>ELCC is a dynamic value that changes as the wind penetration level changes, and is unique to each electricity system depending upon the capabilities of the other system generating units and the load shape.</t>
  </si>
  <si>
    <t>(MVA)</t>
  </si>
  <si>
    <t>Annual Energy Demand (after DSM)</t>
  </si>
  <si>
    <t>Annual Change in Energy Demand</t>
  </si>
  <si>
    <t>Percentage Change in Energy Demand</t>
  </si>
  <si>
    <t>Annual Capacity Demand (after DSM)</t>
  </si>
  <si>
    <t>Annual Change in Capacity Demand</t>
  </si>
  <si>
    <t>Percentage Change in Capacity Demand</t>
  </si>
  <si>
    <t>HISTORICAL PEAK CAPACITY</t>
  </si>
  <si>
    <t>HISTORICAL ANNUAL ENERGY DEMAND</t>
  </si>
  <si>
    <t>AB</t>
  </si>
  <si>
    <t>Unit</t>
  </si>
  <si>
    <t>System Characteristics</t>
  </si>
  <si>
    <t>Transmission Losses</t>
  </si>
  <si>
    <t>The transmission losses do not include distribution losses and are therefore not directly comparable to other jurisdictions.</t>
  </si>
  <si>
    <t>Brazeau</t>
  </si>
  <si>
    <t>05DD005</t>
  </si>
  <si>
    <t>Brazeau Reservoir</t>
  </si>
  <si>
    <t>05DD006</t>
  </si>
  <si>
    <t>Bighorn</t>
  </si>
  <si>
    <t>05DC010</t>
  </si>
  <si>
    <t>Bighorn Reservoir</t>
  </si>
  <si>
    <t>05DC009</t>
  </si>
  <si>
    <t>Cascade</t>
  </si>
  <si>
    <t>05BD004</t>
  </si>
  <si>
    <t>Lake Minnewanka</t>
  </si>
  <si>
    <t>05BD003</t>
  </si>
  <si>
    <t>Ghost</t>
  </si>
  <si>
    <t>05BE999</t>
  </si>
  <si>
    <t>Ghost Lake</t>
  </si>
  <si>
    <t>05BE005</t>
  </si>
  <si>
    <t>Oldman</t>
  </si>
  <si>
    <t>05AA024</t>
  </si>
  <si>
    <t>Oldman Reservoir</t>
  </si>
  <si>
    <t>05AA032</t>
  </si>
  <si>
    <t>Spray</t>
  </si>
  <si>
    <t>05BE007</t>
  </si>
  <si>
    <t>Spray Lakes Reservoir</t>
  </si>
  <si>
    <t>05BC006</t>
  </si>
  <si>
    <t>Rundle</t>
  </si>
  <si>
    <t>TAU-009</t>
  </si>
  <si>
    <t>Bearspaw</t>
  </si>
  <si>
    <t>05BH008</t>
  </si>
  <si>
    <t>Barrier</t>
  </si>
  <si>
    <t>Magrath</t>
  </si>
  <si>
    <t>Raymond</t>
  </si>
  <si>
    <t>Substation Name</t>
  </si>
  <si>
    <t>Substation Voltage</t>
  </si>
  <si>
    <t>Generator Type</t>
  </si>
  <si>
    <t>($/year)</t>
  </si>
  <si>
    <t>n/a</t>
  </si>
  <si>
    <t>Wind_Onshore</t>
  </si>
  <si>
    <t>Dam Type</t>
  </si>
  <si>
    <t>Penstock</t>
  </si>
  <si>
    <t>Rated Head</t>
  </si>
  <si>
    <t>Maximum Head</t>
  </si>
  <si>
    <t>Minimum Head</t>
  </si>
  <si>
    <t>Rated Discharge (Unit)</t>
  </si>
  <si>
    <t>Rated Discharge (Facility)</t>
  </si>
  <si>
    <t>Upstream Reservoir Area</t>
  </si>
  <si>
    <t>Upstream Reservoir Storage</t>
  </si>
  <si>
    <t>Turbine Type</t>
  </si>
  <si>
    <t>(km2)</t>
  </si>
  <si>
    <t>Upper Storage Name</t>
  </si>
  <si>
    <t>Low Reference Level</t>
  </si>
  <si>
    <t>High Reference Level</t>
  </si>
  <si>
    <t>HydroExisting</t>
  </si>
  <si>
    <t>Characteristics specific to existing interconnected hydroelectric generators with hourly or monthly storage</t>
  </si>
  <si>
    <t>HydroRenewals</t>
  </si>
  <si>
    <t>Characteristics specific to potential future capacity upgrades and pumped storage additions at existing facilities</t>
  </si>
  <si>
    <t>HydroGreenfield</t>
  </si>
  <si>
    <t>Characteristics specific to potential future greenfield hydroelectric projects</t>
  </si>
  <si>
    <t>HydroPS</t>
  </si>
  <si>
    <t>Characteristics specific to potential future pumped storage hydroelectric projects</t>
  </si>
  <si>
    <t>Hydro_hourly</t>
  </si>
  <si>
    <t>Hydro_run</t>
  </si>
  <si>
    <t>Hydro_monthly</t>
  </si>
  <si>
    <t>Irrigation Canal Cooperative Ltd (Irrican)</t>
  </si>
  <si>
    <t>Algonquin Power</t>
  </si>
  <si>
    <t>Atco Power</t>
  </si>
  <si>
    <t>Average Flow (Facility)</t>
  </si>
  <si>
    <t>HYDROELECTRIC RENEWAL</t>
  </si>
  <si>
    <t>COSTS</t>
  </si>
  <si>
    <t>Existing Project Name</t>
  </si>
  <si>
    <t>Existing #units</t>
  </si>
  <si>
    <t>Renewal Project Name</t>
  </si>
  <si>
    <t>Additional Installed Capacity</t>
  </si>
  <si>
    <t>Additional Dependable Capacity</t>
  </si>
  <si>
    <t>Additional Annual Energy</t>
  </si>
  <si>
    <t>Capital Overhead</t>
  </si>
  <si>
    <t>Interest During Construction</t>
  </si>
  <si>
    <t>Project Definition Costs</t>
  </si>
  <si>
    <t>Fixed O&amp;M</t>
  </si>
  <si>
    <t>Variable O&amp;M</t>
  </si>
  <si>
    <t>Unit Capacity Cost</t>
  </si>
  <si>
    <t>Unit Energy Cost</t>
  </si>
  <si>
    <t>Construction Time</t>
  </si>
  <si>
    <t>Development Time</t>
  </si>
  <si>
    <t>($M)</t>
  </si>
  <si>
    <t>($/kW-year)</t>
  </si>
  <si>
    <t>(years)</t>
  </si>
  <si>
    <t>Peace River</t>
  </si>
  <si>
    <t>Installed Capacity Plant</t>
  </si>
  <si>
    <t>Transalta</t>
  </si>
  <si>
    <t>Brazeau  Pumped Storage</t>
  </si>
  <si>
    <t>($2018M)</t>
  </si>
  <si>
    <t>($2008M)</t>
  </si>
  <si>
    <t>Average Annual Energy</t>
  </si>
  <si>
    <t>HYDROELECTRIC GREENFIELD</t>
  </si>
  <si>
    <t>EXISTING HYDROELECTRIC</t>
  </si>
  <si>
    <t>Slave River Hydro Development</t>
  </si>
  <si>
    <t>Slave River</t>
  </si>
  <si>
    <t>Amisk Hydro Development</t>
  </si>
  <si>
    <t>Brazeau Capacity Addition</t>
  </si>
  <si>
    <t>AHP Development Corporation</t>
  </si>
  <si>
    <t>Requires new 240 kV kV transmission</t>
  </si>
  <si>
    <t>MW</t>
  </si>
  <si>
    <t>Storage Requirement</t>
  </si>
  <si>
    <t>Gross Head</t>
  </si>
  <si>
    <t>H/L Ratio</t>
  </si>
  <si>
    <t>Design Flow (Generation)</t>
  </si>
  <si>
    <t>Total Footprint</t>
  </si>
  <si>
    <t>dd.dddd</t>
  </si>
  <si>
    <t>(MWh)</t>
  </si>
  <si>
    <t>(h)</t>
  </si>
  <si>
    <t>(ha)</t>
  </si>
  <si>
    <t>Canyon Creek</t>
  </si>
  <si>
    <t>Turning Point Generation</t>
  </si>
  <si>
    <t>Hinton</t>
  </si>
  <si>
    <t>Fresh</t>
  </si>
  <si>
    <t>Pelton</t>
  </si>
  <si>
    <t>Design Flow (Pumping)</t>
  </si>
  <si>
    <t>Reservoir Storage</t>
  </si>
  <si>
    <t>Pump Type</t>
  </si>
  <si>
    <t>Staged</t>
  </si>
  <si>
    <t>($M/year)</t>
  </si>
  <si>
    <t>Requires 500 kV transmission to Benalto</t>
  </si>
  <si>
    <t>Project Short Name</t>
  </si>
  <si>
    <t>Annualized Project Cost</t>
  </si>
  <si>
    <t>Generation Type</t>
  </si>
  <si>
    <t>kV</t>
  </si>
  <si>
    <t>Fort Macleod</t>
  </si>
  <si>
    <t>Bighorn_01</t>
  </si>
  <si>
    <t>Bighorn_02</t>
  </si>
  <si>
    <t>Bassano</t>
  </si>
  <si>
    <t>Halkirk</t>
  </si>
  <si>
    <t>Kananaskis</t>
  </si>
  <si>
    <t>Sinnott</t>
  </si>
  <si>
    <t>Slave Lake</t>
  </si>
  <si>
    <t>Taber</t>
  </si>
  <si>
    <t>Vanderwell Contractors (1971)</t>
  </si>
  <si>
    <t>Vegreville Biodigester</t>
  </si>
  <si>
    <t>Whitecourt</t>
  </si>
  <si>
    <t>Cavalier</t>
  </si>
  <si>
    <t>Cloverbar_01</t>
  </si>
  <si>
    <t>Cloverbar_02</t>
  </si>
  <si>
    <t>Cloverbar_03</t>
  </si>
  <si>
    <t>Skyfire Energy</t>
  </si>
  <si>
    <t>Hinton_01</t>
  </si>
  <si>
    <t>Hinton_02</t>
  </si>
  <si>
    <t>West Fraser Timber Co.</t>
  </si>
  <si>
    <t>Pincher Creek</t>
  </si>
  <si>
    <t>St. Isidore</t>
  </si>
  <si>
    <t>Daishowa-Marubeni</t>
  </si>
  <si>
    <t>Slave Lake Pulp</t>
  </si>
  <si>
    <t>Spray_01</t>
  </si>
  <si>
    <t>Spray_02</t>
  </si>
  <si>
    <t>Rocky Rapids</t>
  </si>
  <si>
    <t>Vanderwell</t>
  </si>
  <si>
    <t>Highmark Renewables</t>
  </si>
  <si>
    <t>Vegreville</t>
  </si>
  <si>
    <t>Cardston County</t>
  </si>
  <si>
    <t>Westlock</t>
  </si>
  <si>
    <t>Seebe</t>
  </si>
  <si>
    <t>Calgary</t>
  </si>
  <si>
    <t>Glenwood</t>
  </si>
  <si>
    <t>Nordegg</t>
  </si>
  <si>
    <t>Carmangay</t>
  </si>
  <si>
    <t>Medicine Hat</t>
  </si>
  <si>
    <t>Drayton Valley</t>
  </si>
  <si>
    <t>Banff</t>
  </si>
  <si>
    <t>Lethbridge County</t>
  </si>
  <si>
    <t>Edmonton</t>
  </si>
  <si>
    <t>Red Deer River</t>
  </si>
  <si>
    <t>Three Hills</t>
  </si>
  <si>
    <t>Cochrane</t>
  </si>
  <si>
    <t>Grande Prairie</t>
  </si>
  <si>
    <t>Canmore</t>
  </si>
  <si>
    <t>Drayton Valley Power</t>
  </si>
  <si>
    <t>Dapp</t>
  </si>
  <si>
    <t>Wheatland County</t>
  </si>
  <si>
    <t>EDF/Enbridge</t>
  </si>
  <si>
    <t>Enel</t>
  </si>
  <si>
    <t>Capital Power</t>
  </si>
  <si>
    <t>Finavera</t>
  </si>
  <si>
    <t>Kettles Hill Wind Energy</t>
  </si>
  <si>
    <t>Suncor/EHN/Enbridge</t>
  </si>
  <si>
    <t>Enmax Green Power Inc</t>
  </si>
  <si>
    <t>Weyerhaeuser</t>
  </si>
  <si>
    <t>Boyle</t>
  </si>
  <si>
    <t>Air Liquide</t>
  </si>
  <si>
    <t>AltaGas</t>
  </si>
  <si>
    <t>Alberta Newsprint Co.</t>
  </si>
  <si>
    <t>University of Calgary</t>
  </si>
  <si>
    <t>University of Alberta</t>
  </si>
  <si>
    <t>Swan Hills</t>
  </si>
  <si>
    <t>Alberta-Pacific Forest Industries</t>
  </si>
  <si>
    <t>TransAlta Corporation</t>
  </si>
  <si>
    <t>Alberta Power (2000) Ltd.</t>
  </si>
  <si>
    <t>TransCanada Energy Ltd.</t>
  </si>
  <si>
    <t>Strathmore</t>
  </si>
  <si>
    <t>ENMAX Cavalier LP</t>
  </si>
  <si>
    <t>Fort McMurray</t>
  </si>
  <si>
    <t>Suncor Energy Products Inc.</t>
  </si>
  <si>
    <t>City of Medicine Hat</t>
  </si>
  <si>
    <t>Canadian Natural Resources Ltd.</t>
  </si>
  <si>
    <t>Imperial Oil Resources Ventures Limited</t>
  </si>
  <si>
    <t>Cold Lake</t>
  </si>
  <si>
    <t>ENMAX Generation Portfolio Inc.</t>
  </si>
  <si>
    <t>Airdrie</t>
  </si>
  <si>
    <t>Dow Chemical Canada ULC</t>
  </si>
  <si>
    <t>Fort Saskatchewan</t>
  </si>
  <si>
    <t>BowArk Energy Ltd.</t>
  </si>
  <si>
    <t>Rainbow Lake</t>
  </si>
  <si>
    <t>Lake Wabamun</t>
  </si>
  <si>
    <t>Capital Power (G3) Limited Partnership</t>
  </si>
  <si>
    <t>Canadian Forest Products Ltd.</t>
  </si>
  <si>
    <t>Halkirk I Wind Project LP</t>
  </si>
  <si>
    <t>NOVA Chemicals</t>
  </si>
  <si>
    <t>Red Deer</t>
  </si>
  <si>
    <t>MEG Energy Corp.</t>
  </si>
  <si>
    <t>Shell Canada Energy</t>
  </si>
  <si>
    <t>Grande Prairie Generation Inc.</t>
  </si>
  <si>
    <t>NRGreen</t>
  </si>
  <si>
    <t>NRGreen Power Limited Partnership</t>
  </si>
  <si>
    <t>Oldman 2 Wind Farm Limited</t>
  </si>
  <si>
    <t>ATCO Power Canada Ltd.</t>
  </si>
  <si>
    <t>Shell Canada Limited</t>
  </si>
  <si>
    <t>Shell Caroline</t>
  </si>
  <si>
    <t>Caroline</t>
  </si>
  <si>
    <t>ENMAX Shepard Services Inc.</t>
  </si>
  <si>
    <t>Suncor Energy Inc.</t>
  </si>
  <si>
    <t>Syncrude Canada Ltd.</t>
  </si>
  <si>
    <t>Valleyview</t>
  </si>
  <si>
    <t>P&amp;G Weyerhaeuser</t>
  </si>
  <si>
    <t>Whitecourt Power Ltd.</t>
  </si>
  <si>
    <t>NG_CT</t>
  </si>
  <si>
    <t>ENMAX Balzac LP</t>
  </si>
  <si>
    <t>Horizon</t>
  </si>
  <si>
    <t>Carseland_01</t>
  </si>
  <si>
    <t>Carseland_02</t>
  </si>
  <si>
    <t>Rainbow_05</t>
  </si>
  <si>
    <t>Redwater</t>
  </si>
  <si>
    <t>Valleyview_01</t>
  </si>
  <si>
    <t>Valleyview_02</t>
  </si>
  <si>
    <t>Horseshoe_02</t>
  </si>
  <si>
    <t>Horseshoe_03</t>
  </si>
  <si>
    <t>Horseshoe_04</t>
  </si>
  <si>
    <t>UofA_01</t>
  </si>
  <si>
    <t>UofA_02</t>
  </si>
  <si>
    <t>Scotford</t>
  </si>
  <si>
    <t>Horseshoe_01</t>
  </si>
  <si>
    <t>Implementation Costs</t>
  </si>
  <si>
    <t>Distance to Market Grid</t>
  </si>
  <si>
    <t>Total Capital Costs include contingency and project management costs, but exclude IDC, corporate overhead, future inflation and transmission costs</t>
  </si>
  <si>
    <t>Total Capital Cost</t>
  </si>
  <si>
    <t>Hydro_daily</t>
  </si>
  <si>
    <t>NG_CG</t>
  </si>
  <si>
    <t>NG_CC</t>
  </si>
  <si>
    <t>Solar_PV</t>
  </si>
  <si>
    <t>HGWh</t>
  </si>
  <si>
    <t>Provincial historical energy demand, after DSM</t>
  </si>
  <si>
    <t>HMW</t>
  </si>
  <si>
    <t>Provincial historical capacity demand, after DSM</t>
  </si>
  <si>
    <t>FGWh</t>
  </si>
  <si>
    <t>Provincial mid-load energy forecast, before and after DSM</t>
  </si>
  <si>
    <t>FMW</t>
  </si>
  <si>
    <t>Provincial mid-load capacity forecast, before and after DSM</t>
  </si>
  <si>
    <t>Hourly</t>
  </si>
  <si>
    <t>Provincial hourly generation data</t>
  </si>
  <si>
    <t>Data not yet obtained</t>
  </si>
  <si>
    <t>Data obtained and calculated</t>
  </si>
  <si>
    <t>Capacity Factor</t>
  </si>
  <si>
    <t>Annual Average Energy - Unit</t>
  </si>
  <si>
    <t>Christina Lake</t>
  </si>
  <si>
    <t>Joffre</t>
  </si>
  <si>
    <t>Altagas</t>
  </si>
  <si>
    <t>Didsbury</t>
  </si>
  <si>
    <t>Tokai Carbon Co.</t>
  </si>
  <si>
    <t>Genalta Power</t>
  </si>
  <si>
    <t>Nexen</t>
  </si>
  <si>
    <t>Burdett</t>
  </si>
  <si>
    <t>Coaldale</t>
  </si>
  <si>
    <t>Signalta</t>
  </si>
  <si>
    <t>Keyera</t>
  </si>
  <si>
    <t>Alder Flats</t>
  </si>
  <si>
    <t>Sherritt Gordon</t>
  </si>
  <si>
    <t>Judy Creek</t>
  </si>
  <si>
    <t>Pieridae</t>
  </si>
  <si>
    <t>Waterton</t>
  </si>
  <si>
    <t>Bantry</t>
  </si>
  <si>
    <t>Waste heat recovery facility</t>
  </si>
  <si>
    <t>Elemental Energy</t>
  </si>
  <si>
    <t>Brooks</t>
  </si>
  <si>
    <t>Maxim</t>
  </si>
  <si>
    <t>Bellshill</t>
  </si>
  <si>
    <t>Drywood</t>
  </si>
  <si>
    <t>House Mountain</t>
  </si>
  <si>
    <t>Denis St. Pierre</t>
  </si>
  <si>
    <t>JL Landry</t>
  </si>
  <si>
    <t>Parkland</t>
  </si>
  <si>
    <t>Rainbow_01</t>
  </si>
  <si>
    <t>Ralston</t>
  </si>
  <si>
    <t>West Cadotte</t>
  </si>
  <si>
    <t>Harmattan</t>
  </si>
  <si>
    <t>Base Plant</t>
  </si>
  <si>
    <t>Buck Lake</t>
  </si>
  <si>
    <t>Blackfalds</t>
  </si>
  <si>
    <t>Fort Hills</t>
  </si>
  <si>
    <t>Kearl</t>
  </si>
  <si>
    <t>Lindbergh</t>
  </si>
  <si>
    <t>MacKay</t>
  </si>
  <si>
    <t>Mahkeses_01</t>
  </si>
  <si>
    <t>Mahkeses_02</t>
  </si>
  <si>
    <t>Mulligan</t>
  </si>
  <si>
    <t>Muskeg_01</t>
  </si>
  <si>
    <t>Muskeg_02</t>
  </si>
  <si>
    <t>Nabiye_01</t>
  </si>
  <si>
    <t>Nabiye_02</t>
  </si>
  <si>
    <t>Poplar Creek</t>
  </si>
  <si>
    <t>Saddle Hills</t>
  </si>
  <si>
    <t>Syncrude</t>
  </si>
  <si>
    <t>Calgary Energy Centre</t>
  </si>
  <si>
    <t>Shepard</t>
  </si>
  <si>
    <t>Sherrit</t>
  </si>
  <si>
    <t>Ardenville</t>
  </si>
  <si>
    <t>Ghost Pine</t>
  </si>
  <si>
    <t>Soderglen</t>
  </si>
  <si>
    <t>Whitla</t>
  </si>
  <si>
    <t>Weldwood</t>
  </si>
  <si>
    <t>AB Newsprint</t>
  </si>
  <si>
    <t>ALPAC</t>
  </si>
  <si>
    <t>Sedgewick</t>
  </si>
  <si>
    <t>Horseshoe Power</t>
  </si>
  <si>
    <t>Cargill</t>
  </si>
  <si>
    <t>Camrose</t>
  </si>
  <si>
    <t>Cenovus Energy</t>
  </si>
  <si>
    <t>Northstone Power Corp.</t>
  </si>
  <si>
    <t>Elmworth</t>
  </si>
  <si>
    <t>Repsol Canada Energy</t>
  </si>
  <si>
    <t>Edson</t>
  </si>
  <si>
    <t>Crossfield Energy Centre_01</t>
  </si>
  <si>
    <t>Crossfield Energy Centre_02</t>
  </si>
  <si>
    <t>Crossfield Energy Centre_03</t>
  </si>
  <si>
    <t>Daishowa</t>
  </si>
  <si>
    <t>Dow_01</t>
  </si>
  <si>
    <t>Dow_02</t>
  </si>
  <si>
    <t>Dow_03</t>
  </si>
  <si>
    <t>Milner Power Limited Partnership</t>
  </si>
  <si>
    <t>Grande Cache</t>
  </si>
  <si>
    <t>Pengrowth Energy</t>
  </si>
  <si>
    <t>Tourmaline</t>
  </si>
  <si>
    <t>Spirit River</t>
  </si>
  <si>
    <t>Anzac</t>
  </si>
  <si>
    <t>RL1</t>
  </si>
  <si>
    <t>NAT-1 Limited Partnership</t>
  </si>
  <si>
    <t>Swan Lake</t>
  </si>
  <si>
    <t>West Fraser Mills</t>
  </si>
  <si>
    <t>Etzikom</t>
  </si>
  <si>
    <t>Bull Creek Wind Power Ltd.</t>
  </si>
  <si>
    <t>Chauvin</t>
  </si>
  <si>
    <t>Lethbridge Burdett</t>
  </si>
  <si>
    <t>Lethbridge Taber</t>
  </si>
  <si>
    <t>Lethbridge Coaldale</t>
  </si>
  <si>
    <t>CANCARB</t>
  </si>
  <si>
    <t>Ghost_01</t>
  </si>
  <si>
    <t>Ghost_02</t>
  </si>
  <si>
    <t>Ghost_03</t>
  </si>
  <si>
    <t>Ghost_04</t>
  </si>
  <si>
    <t>Interlakes</t>
  </si>
  <si>
    <t>Kananaskis_01</t>
  </si>
  <si>
    <t>Kananaskis_02</t>
  </si>
  <si>
    <t>Kananaskis_03</t>
  </si>
  <si>
    <t>Pocaterra</t>
  </si>
  <si>
    <t>RESERVOIR</t>
  </si>
  <si>
    <t>Variable Cost</t>
  </si>
  <si>
    <t>Water Rentals</t>
  </si>
  <si>
    <t>Annualized Project Cost per kW</t>
  </si>
  <si>
    <t>Summer Rating</t>
  </si>
  <si>
    <t>Winter Rating</t>
  </si>
  <si>
    <t>Biomass</t>
  </si>
  <si>
    <t>Coal</t>
  </si>
  <si>
    <t>29EDD-71</t>
  </si>
  <si>
    <t>Rainbow Lake 791S</t>
  </si>
  <si>
    <t>P&amp;G A808S</t>
  </si>
  <si>
    <t>29EDD-0063</t>
  </si>
  <si>
    <t>SS-36</t>
  </si>
  <si>
    <t>hydro_daily</t>
  </si>
  <si>
    <t>hydro_pump</t>
  </si>
  <si>
    <t>Missing values for "outage duration", "minimum capacity", maximum capacity", "must run", "minimum up time", "minimum down time" filled in using values for similar types of projects where values are known.</t>
  </si>
  <si>
    <t>General Notes:</t>
  </si>
  <si>
    <t>See calculations sheets for sources of values</t>
  </si>
  <si>
    <t>Start year indicates the year at which the facilitated was commissioned or refurbished to its current type</t>
  </si>
  <si>
    <t>Multi-unit Hydro_run facilities treated as single-unit facilities</t>
  </si>
  <si>
    <t>Fixed O&amp;M and variable costs estimated using regression curves found in the CA-Inventory dataset</t>
  </si>
  <si>
    <t>Specific Notes:</t>
  </si>
  <si>
    <t>Hydroelectric generation type has been estimated based on available information concerning operations, reservoir size and operations, facility location and design flows.</t>
  </si>
  <si>
    <t>The WSC# refers to the Water Survey of Canada Hydrometric station</t>
  </si>
  <si>
    <t>Assume installed capacity of hydroelectric renewals is all dependable capacity, though this should be verified with new studies.</t>
  </si>
  <si>
    <t>Assume a Capital Overhead rate of 1.77% of total capital costs (inclusive of contingencies, as they are above) based on BC Hydro rate</t>
  </si>
  <si>
    <t>Assume IDC rate of 5% each year</t>
  </si>
  <si>
    <t>Assume Project Definition costs using regression curve found in the CA-Inventory dataset</t>
  </si>
  <si>
    <t>Assume hydroelectric, greenfield and pumped storage facilities have an economic life of 70 years</t>
  </si>
  <si>
    <t>Assume a discount rate of 7% each year</t>
  </si>
  <si>
    <t>($/MW-year)</t>
  </si>
  <si>
    <t>RN_BRA</t>
  </si>
  <si>
    <t>GF_SRD</t>
  </si>
  <si>
    <t>GF_AMK</t>
  </si>
  <si>
    <t>Generation Type - CREST EMI</t>
  </si>
  <si>
    <t>Balancing Area</t>
  </si>
  <si>
    <t>Alberta.a</t>
  </si>
  <si>
    <t>Fixed Cost Existing Project</t>
  </si>
  <si>
    <t>Fixed Cost Renewed Project</t>
  </si>
  <si>
    <t>Total Project Cost</t>
  </si>
  <si>
    <t>Other References</t>
  </si>
  <si>
    <t>Nexen #2_01</t>
  </si>
  <si>
    <t>Nexen #2_02</t>
  </si>
  <si>
    <t>Nexen #2_03</t>
  </si>
  <si>
    <t>Nexen #2_04</t>
  </si>
  <si>
    <t>Nexen #1</t>
  </si>
  <si>
    <t>McBride Lake</t>
  </si>
  <si>
    <t>Riverview</t>
  </si>
  <si>
    <t>Annual</t>
  </si>
  <si>
    <t>PRIMARY SOURCES</t>
  </si>
  <si>
    <t>Source</t>
  </si>
  <si>
    <t>Year</t>
  </si>
  <si>
    <t>Name</t>
  </si>
  <si>
    <t>Link</t>
  </si>
  <si>
    <t>Publication</t>
  </si>
  <si>
    <t>Region</t>
  </si>
  <si>
    <t>World Resources Institute</t>
  </si>
  <si>
    <t>Global Power Plant Database</t>
  </si>
  <si>
    <t>http://datasets.wri.org/dataset/globalpowerplantdatabase</t>
  </si>
  <si>
    <t>Google Maps / Google Earth</t>
  </si>
  <si>
    <t>See "Other References" Column of the relevant tab</t>
  </si>
  <si>
    <t>WECC</t>
  </si>
  <si>
    <t>https://www.wecc.org/SystemAdequacyPlanning/Pages/Datasets.aspx</t>
  </si>
  <si>
    <t>On the website, under Production Cost Model see 2024 Common Case sheet 150409_2024CC-V1.5_Resources</t>
  </si>
  <si>
    <t>Environment Canada</t>
  </si>
  <si>
    <t>Historical Hydrometric Data Search</t>
  </si>
  <si>
    <t>https://wateroffice.ec.gc.ca/search/historical_e.html</t>
  </si>
  <si>
    <t>https://www.wecc.org/SystemStabilityPlanning/Pages/AnchorDataSet.aspx</t>
  </si>
  <si>
    <t>On the website, under Production Cost Model see ADS_PCM_V0.3.2_GeneratorList.csv and supporting information</t>
  </si>
  <si>
    <t>https://rivers.alberta.ca</t>
  </si>
  <si>
    <t>Alberta River Basins</t>
  </si>
  <si>
    <t>Government of Alberta</t>
  </si>
  <si>
    <t>Geodiscover Alberta</t>
  </si>
  <si>
    <t>https://geodiscover.alberta.ca/geoportal/catalog/search/browse/browse.page</t>
  </si>
  <si>
    <t>AESO</t>
  </si>
  <si>
    <t>https://www.aeso.ca/grid/forecasting/</t>
  </si>
  <si>
    <t>Facilities in Operation/Development</t>
  </si>
  <si>
    <t>https://www.transaltarenewables.com/facilities/plants-operation/</t>
  </si>
  <si>
    <t>Hatch</t>
  </si>
  <si>
    <t>Update on Alberta's Hydroelectric Energy Resources. Final Report for Alberta Utilities Commission.</t>
  </si>
  <si>
    <t>Brazeau Pumped Storage - Building Alberta's Future</t>
  </si>
  <si>
    <t>See also the Single Line Diagrams</t>
  </si>
  <si>
    <t>The Amisk Hydroelectric Project</t>
  </si>
  <si>
    <t>http://www.amiskhydro.com</t>
  </si>
  <si>
    <t>Hourly Metered Volumes and Pool Price and AIL from 2008 to 2018</t>
  </si>
  <si>
    <t>https://www.aeso.ca/market/market-and-system-reporting/data-requests/hourly-metered-volumes-and-pool-price-and-ail-from-2008-to-2018/</t>
  </si>
  <si>
    <t>Alberta Utilities Commission Power Plant and Hydro Development Application for the Canyon Creek Pumped Storage Hydro Energy Storage Project</t>
  </si>
  <si>
    <t>http://www.auc.ab.ca/Pages/default.aspx</t>
  </si>
  <si>
    <t>Information Document Uniform Capacity Value Determination</t>
  </si>
  <si>
    <t>https://www.aeso.ca/assets/Uploads/206.3-UCAP.pdf</t>
  </si>
  <si>
    <t>Current Supply Demand Report</t>
  </si>
  <si>
    <t>http://ets.aeso.ca/ets_web/ip/Market/Reports/CSDReportServlet</t>
  </si>
  <si>
    <t>Dispatcho</t>
  </si>
  <si>
    <t>https://www.dispatcho.app/assets</t>
  </si>
  <si>
    <t>Current</t>
  </si>
  <si>
    <t>Reactance</t>
  </si>
  <si>
    <t>Power Factor</t>
  </si>
  <si>
    <t>Starting Node Name</t>
  </si>
  <si>
    <t>Ending Node Name</t>
  </si>
  <si>
    <t>Count</t>
  </si>
  <si>
    <t>1002L</t>
  </si>
  <si>
    <t>AMOCO EMPRESS 163S</t>
  </si>
  <si>
    <t>JENNER 275S</t>
  </si>
  <si>
    <t>1003L</t>
  </si>
  <si>
    <t>JANET 74S</t>
  </si>
  <si>
    <t>1005L</t>
  </si>
  <si>
    <t>PICTURE BUTTE 120S</t>
  </si>
  <si>
    <t>MILO 356S</t>
  </si>
  <si>
    <t>1011L</t>
  </si>
  <si>
    <t>CYPRESS 562S</t>
  </si>
  <si>
    <t>1034L</t>
  </si>
  <si>
    <t>BOWMANTON 244S</t>
  </si>
  <si>
    <t>CASSILS 324S</t>
  </si>
  <si>
    <t>1035L</t>
  </si>
  <si>
    <t>NEWELL 2075S</t>
  </si>
  <si>
    <t>1036L</t>
  </si>
  <si>
    <t>TRAVERS 554S</t>
  </si>
  <si>
    <t>1037L</t>
  </si>
  <si>
    <t>FOOTHILLS 237S</t>
  </si>
  <si>
    <t>SC1 266S</t>
  </si>
  <si>
    <t>WINDY FLATS 138S</t>
  </si>
  <si>
    <t>1038L</t>
  </si>
  <si>
    <t>1041L</t>
  </si>
  <si>
    <t>NORTH LETHBRIDGE 370S</t>
  </si>
  <si>
    <t>1042L</t>
  </si>
  <si>
    <t>BLACKSPRING RIDGE 485S</t>
  </si>
  <si>
    <t>1043L</t>
  </si>
  <si>
    <t>KEEPHILLS 320P</t>
  </si>
  <si>
    <t>HARRY SMITH 367S</t>
  </si>
  <si>
    <t>1044L</t>
  </si>
  <si>
    <t>PETROLIA</t>
  </si>
  <si>
    <t>JASPER 805S</t>
  </si>
  <si>
    <t>1045L</t>
  </si>
  <si>
    <t>SUNDANCE 310P</t>
  </si>
  <si>
    <t>1046L</t>
  </si>
  <si>
    <t>CHERHILL 338S</t>
  </si>
  <si>
    <t>WABAMUN 19S</t>
  </si>
  <si>
    <t>1047L</t>
  </si>
  <si>
    <t>NILREM 574S</t>
  </si>
  <si>
    <t>HANSMAN LAKE 650S</t>
  </si>
  <si>
    <t>1048L</t>
  </si>
  <si>
    <t>PEIGAN 59S</t>
  </si>
  <si>
    <t>1049L</t>
  </si>
  <si>
    <t>1051L</t>
  </si>
  <si>
    <t>WEST BROOKS 28S</t>
  </si>
  <si>
    <t>1052L</t>
  </si>
  <si>
    <t>1053L</t>
  </si>
  <si>
    <t>WARE JUNCTION 132S</t>
  </si>
  <si>
    <t>1054L</t>
  </si>
  <si>
    <t>DEERLAND 13S</t>
  </si>
  <si>
    <t>HEARTLAND 12S</t>
  </si>
  <si>
    <t>1055L</t>
  </si>
  <si>
    <t>ARGYLL</t>
  </si>
  <si>
    <t>1056L</t>
  </si>
  <si>
    <t>ELLERSLIE 89S</t>
  </si>
  <si>
    <t>1057L</t>
  </si>
  <si>
    <t>SUMMERSIDE 657S</t>
  </si>
  <si>
    <t>1058L</t>
  </si>
  <si>
    <t>LAMBTON</t>
  </si>
  <si>
    <t>1059L</t>
  </si>
  <si>
    <t>EAST EDMONTON 38S</t>
  </si>
  <si>
    <t>1061L</t>
  </si>
  <si>
    <t>AMELIA 108S</t>
  </si>
  <si>
    <t>BANNERMAN 681S</t>
  </si>
  <si>
    <t>1064L</t>
  </si>
  <si>
    <t>LANGDON 102S</t>
  </si>
  <si>
    <t>1065L</t>
  </si>
  <si>
    <t>1071L</t>
  </si>
  <si>
    <t>CASTLE ROCK RIDGE 205S</t>
  </si>
  <si>
    <t>FIDLER 312S</t>
  </si>
  <si>
    <t>1072L</t>
  </si>
  <si>
    <t>GOOSE LAKE 103S</t>
  </si>
  <si>
    <t>1075L</t>
  </si>
  <si>
    <t>1081L</t>
  </si>
  <si>
    <t>BENALTO 17S</t>
  </si>
  <si>
    <t>JOHNSON 281S</t>
  </si>
  <si>
    <t>1083L</t>
  </si>
  <si>
    <t>WOLF CREEK 288S</t>
  </si>
  <si>
    <t>RED DEER 63S</t>
  </si>
  <si>
    <t>1087L</t>
  </si>
  <si>
    <t>1088L</t>
  </si>
  <si>
    <t>1090L</t>
  </si>
  <si>
    <t>CHRISTINA LAKE 723S</t>
  </si>
  <si>
    <t>JACKFISH 698S</t>
  </si>
  <si>
    <t>1098L</t>
  </si>
  <si>
    <t>POUNDMAKER</t>
  </si>
  <si>
    <t>1099L</t>
  </si>
  <si>
    <t>BLACK SPRUCE 154S</t>
  </si>
  <si>
    <t>SS-65</t>
  </si>
  <si>
    <t>SHEPARD SS-25</t>
  </si>
  <si>
    <t>1112L</t>
  </si>
  <si>
    <t>1114L</t>
  </si>
  <si>
    <t>1115L</t>
  </si>
  <si>
    <t>PIKE 170S</t>
  </si>
  <si>
    <t>1116L</t>
  </si>
  <si>
    <t>IPIATIK 167S</t>
  </si>
  <si>
    <t>1117L</t>
  </si>
  <si>
    <t>HEART LAKE 898S</t>
  </si>
  <si>
    <t>1118L</t>
  </si>
  <si>
    <t>SUNDAY CREEK 539S</t>
  </si>
  <si>
    <t>1120L</t>
  </si>
  <si>
    <t>JOSEPHBURG 410S</t>
  </si>
  <si>
    <t>1139L</t>
  </si>
  <si>
    <t>1140L</t>
  </si>
  <si>
    <t>1148L</t>
  </si>
  <si>
    <t>SHAMROCK 1018S</t>
  </si>
  <si>
    <t>WHITLA 251S</t>
  </si>
  <si>
    <t>1202L</t>
  </si>
  <si>
    <t>1203L</t>
  </si>
  <si>
    <t>1206L</t>
  </si>
  <si>
    <t>1209L</t>
  </si>
  <si>
    <t>GENESEE 330P</t>
  </si>
  <si>
    <t>1212L</t>
  </si>
  <si>
    <t>1238L</t>
  </si>
  <si>
    <t>1239L</t>
  </si>
  <si>
    <t>12L41</t>
  </si>
  <si>
    <t>LIVOCK 939S</t>
  </si>
  <si>
    <t>12L44</t>
  </si>
  <si>
    <t>THICKWOOD HILLS 951S</t>
  </si>
  <si>
    <t>12L70</t>
  </si>
  <si>
    <t>HEATHFIELD 2029S</t>
  </si>
  <si>
    <t>12L85</t>
  </si>
  <si>
    <t>1325L</t>
  </si>
  <si>
    <t>CROSSINGS 511S</t>
  </si>
  <si>
    <t>13L50</t>
  </si>
  <si>
    <t>T.M.P.L. GAINFORD 165S</t>
  </si>
  <si>
    <t>ENTWISTLE 235S</t>
  </si>
  <si>
    <t>190L</t>
  </si>
  <si>
    <t>CHICKADEE CREEK 259S</t>
  </si>
  <si>
    <t>202L</t>
  </si>
  <si>
    <t>EDSON 58S</t>
  </si>
  <si>
    <t>223L</t>
  </si>
  <si>
    <t>COLINTON 159S</t>
  </si>
  <si>
    <t>CLYDE 150S</t>
  </si>
  <si>
    <t>240BA2</t>
  </si>
  <si>
    <t>BELLAMY</t>
  </si>
  <si>
    <t>240BA3</t>
  </si>
  <si>
    <t>240CV5</t>
  </si>
  <si>
    <t>CASTLE DOWNS</t>
  </si>
  <si>
    <t>29PL7-1</t>
  </si>
  <si>
    <t>29EDD-18</t>
  </si>
  <si>
    <t>29EDD-34</t>
  </si>
  <si>
    <t>29PL7-2</t>
  </si>
  <si>
    <t>29PL7-3</t>
  </si>
  <si>
    <t>29EDD-65</t>
  </si>
  <si>
    <t>29PL7-4</t>
  </si>
  <si>
    <t>29PL7-5</t>
  </si>
  <si>
    <t>29PL9-1</t>
  </si>
  <si>
    <t>RUTH LAKE 848S</t>
  </si>
  <si>
    <t>29PL9-12</t>
  </si>
  <si>
    <t>29PL9-13</t>
  </si>
  <si>
    <t>29PL9-14</t>
  </si>
  <si>
    <t>29EDD-0056</t>
  </si>
  <si>
    <t>29PL9-15</t>
  </si>
  <si>
    <t>29PL9-16</t>
  </si>
  <si>
    <t>29PL9-17</t>
  </si>
  <si>
    <t>29PL9-2</t>
  </si>
  <si>
    <t>29PL9-3</t>
  </si>
  <si>
    <t>29EDD-3</t>
  </si>
  <si>
    <t>29PL9-4</t>
  </si>
  <si>
    <t>29PL9-5</t>
  </si>
  <si>
    <t>29PL9-6</t>
  </si>
  <si>
    <t>428L</t>
  </si>
  <si>
    <t>WINEFRED 818S</t>
  </si>
  <si>
    <t>445L</t>
  </si>
  <si>
    <t>UNDERWOOD 183S</t>
  </si>
  <si>
    <t>457L</t>
  </si>
  <si>
    <t>KIRBY 651S</t>
  </si>
  <si>
    <t>503L</t>
  </si>
  <si>
    <t>WHITECOURT 268S</t>
  </si>
  <si>
    <t>WHITECOURT POWER 323S</t>
  </si>
  <si>
    <t>ESSO JUDY CREEK 638S</t>
  </si>
  <si>
    <t>FEDPIPE JUDYCREEK 515S</t>
  </si>
  <si>
    <t>PEGASUS LAKE 659S</t>
  </si>
  <si>
    <t>633L</t>
  </si>
  <si>
    <t>WAUPISOO 405S</t>
  </si>
  <si>
    <t>BOYLE 56S</t>
  </si>
  <si>
    <t>635PL9-1000</t>
  </si>
  <si>
    <t>SECORD 2005S</t>
  </si>
  <si>
    <t>635PL9-1001</t>
  </si>
  <si>
    <t>671L</t>
  </si>
  <si>
    <t>BICKERDIKE 39S</t>
  </si>
  <si>
    <t>672L</t>
  </si>
  <si>
    <t>685L</t>
  </si>
  <si>
    <t>BENBOW 397S</t>
  </si>
  <si>
    <t>DEER HILL 1012S</t>
  </si>
  <si>
    <t>694L</t>
  </si>
  <si>
    <t>FORT SASK. 54S</t>
  </si>
  <si>
    <t>WESTWOOD 422S</t>
  </si>
  <si>
    <t>SWANDIVE 854S</t>
  </si>
  <si>
    <t>FREEMAN LAKE 742S</t>
  </si>
  <si>
    <t>SARAH LAKE 743S</t>
  </si>
  <si>
    <t>6L126</t>
  </si>
  <si>
    <t>6L57</t>
  </si>
  <si>
    <t>SWAN RIVER 735S</t>
  </si>
  <si>
    <t>KINUSO 727S</t>
  </si>
  <si>
    <t>6L73</t>
  </si>
  <si>
    <t>SLAVE LAKE 745S</t>
  </si>
  <si>
    <t>OTAUWAU 729S</t>
  </si>
  <si>
    <t>6L96</t>
  </si>
  <si>
    <t>6L97</t>
  </si>
  <si>
    <t>EDITH LAKE 739S</t>
  </si>
  <si>
    <t>6L99</t>
  </si>
  <si>
    <t>700L</t>
  </si>
  <si>
    <t>B.F.GOODRICH FORT SASK. 452S</t>
  </si>
  <si>
    <t>707L</t>
  </si>
  <si>
    <t>DOW CHEMICAL FORT SASK. 166S</t>
  </si>
  <si>
    <t>709L</t>
  </si>
  <si>
    <t>SHERRITT GORDON 172S</t>
  </si>
  <si>
    <t>710L</t>
  </si>
  <si>
    <t>720L</t>
  </si>
  <si>
    <t>WESTLOCK 438S</t>
  </si>
  <si>
    <t>NORTH BARRHEAD 69S</t>
  </si>
  <si>
    <t>WAP 1S</t>
  </si>
  <si>
    <t>FLATBUSH 500S</t>
  </si>
  <si>
    <t>726L</t>
  </si>
  <si>
    <t>LAMOUREUX 71S</t>
  </si>
  <si>
    <t>728L</t>
  </si>
  <si>
    <t>LAC LA BICHE 157S</t>
  </si>
  <si>
    <t>PLAMONDON 353S</t>
  </si>
  <si>
    <t>735L</t>
  </si>
  <si>
    <t>REDWATER 171S</t>
  </si>
  <si>
    <t>BEAMER 233S</t>
  </si>
  <si>
    <t>740L</t>
  </si>
  <si>
    <t>PINEDALE 207S</t>
  </si>
  <si>
    <t>745L</t>
  </si>
  <si>
    <t>JOSLYN CREEK 849S</t>
  </si>
  <si>
    <t>HORIZON MINING 838S</t>
  </si>
  <si>
    <t>75-PLH-3</t>
  </si>
  <si>
    <t>HORIZON UPGRADING 842S</t>
  </si>
  <si>
    <t>75-PLH-4</t>
  </si>
  <si>
    <t>761L</t>
  </si>
  <si>
    <t>773L</t>
  </si>
  <si>
    <t>ALBCHEM BEAVERHILL CREEK 308S</t>
  </si>
  <si>
    <t>BRUDERHEIM 127S</t>
  </si>
  <si>
    <t>776L</t>
  </si>
  <si>
    <t>781L</t>
  </si>
  <si>
    <t>ROSS CREEK 906S</t>
  </si>
  <si>
    <t>THOMPSON 140S</t>
  </si>
  <si>
    <t>792L</t>
  </si>
  <si>
    <t>794L</t>
  </si>
  <si>
    <t>FLAT LAKE 242S</t>
  </si>
  <si>
    <t>GRASSLAND 282S</t>
  </si>
  <si>
    <t>797L</t>
  </si>
  <si>
    <t>SAGITAWAH 77S</t>
  </si>
  <si>
    <t>SOUTH MAYERTHORPE 443S</t>
  </si>
  <si>
    <t>7L01</t>
  </si>
  <si>
    <t>STURGEON 2 881S</t>
  </si>
  <si>
    <t>LITTLE SMOKY 813S</t>
  </si>
  <si>
    <t>7L02</t>
  </si>
  <si>
    <t>CROW 860S</t>
  </si>
  <si>
    <t>MCMILLAN 885S</t>
  </si>
  <si>
    <t>WAPITI 823S</t>
  </si>
  <si>
    <t>ELMWORTH 731S</t>
  </si>
  <si>
    <t>FLYING SHOT LAKE 749S</t>
  </si>
  <si>
    <t>7L04</t>
  </si>
  <si>
    <t>WESTPEACE 793S</t>
  </si>
  <si>
    <t>DAISHOWA 839S</t>
  </si>
  <si>
    <t>7L05</t>
  </si>
  <si>
    <t>KETTLE RIVER 2049S</t>
  </si>
  <si>
    <t>BOHN 931S</t>
  </si>
  <si>
    <t>DONNELLY 784S</t>
  </si>
  <si>
    <t>HIGH PRAIRIE 787S</t>
  </si>
  <si>
    <t>7L07</t>
  </si>
  <si>
    <t>GOODFARE 815S</t>
  </si>
  <si>
    <t>POPLAR HILL 790S</t>
  </si>
  <si>
    <t>7L08</t>
  </si>
  <si>
    <t>CARMON 830S</t>
  </si>
  <si>
    <t>WESLEY CREEK 834S</t>
  </si>
  <si>
    <t>7L10</t>
  </si>
  <si>
    <t>KSITUAN RIVER 754S</t>
  </si>
  <si>
    <t>MOWAT 2033S</t>
  </si>
  <si>
    <t>7L101</t>
  </si>
  <si>
    <t>LOWE LAKE 944S</t>
  </si>
  <si>
    <t>7L104</t>
  </si>
  <si>
    <t>KINOSIS 856S</t>
  </si>
  <si>
    <t>QUIGLEY 989S</t>
  </si>
  <si>
    <t>7L106</t>
  </si>
  <si>
    <t>MEIKLE 905S</t>
  </si>
  <si>
    <t>7L109</t>
  </si>
  <si>
    <t>RAINBOW LAKE 791S</t>
  </si>
  <si>
    <t xml:space="preserve">ARCENIEL 930S </t>
  </si>
  <si>
    <t>7L113</t>
  </si>
  <si>
    <t>RING CREEK 853S</t>
  </si>
  <si>
    <t>7L114</t>
  </si>
  <si>
    <t>LEISMER 72S</t>
  </si>
  <si>
    <t>WADDEL 907S</t>
  </si>
  <si>
    <t>SEAL LAKE 869S</t>
  </si>
  <si>
    <t>LUBICON 780S</t>
  </si>
  <si>
    <t>7L120</t>
  </si>
  <si>
    <t>HOTCHKISS 788S</t>
  </si>
  <si>
    <t>HORSE RIVER 917S</t>
  </si>
  <si>
    <t>MARIANA 833S</t>
  </si>
  <si>
    <t>7L122</t>
  </si>
  <si>
    <t>7L126</t>
  </si>
  <si>
    <t>AHS 01 279S</t>
  </si>
  <si>
    <t>WILLOW LAKE 2009S</t>
  </si>
  <si>
    <t>BEAR CREEK 679S</t>
  </si>
  <si>
    <t>BIG MOUNTAIN 845S</t>
  </si>
  <si>
    <t>ALBRIGHT &amp; WILSON 752S</t>
  </si>
  <si>
    <t>7L131</t>
  </si>
  <si>
    <t>7L133</t>
  </si>
  <si>
    <t>HIGH LEVEL 786S</t>
  </si>
  <si>
    <t>7L135</t>
  </si>
  <si>
    <t>HANGINGSTONE 820S</t>
  </si>
  <si>
    <t>SALT CREEK 977S</t>
  </si>
  <si>
    <t>7L138</t>
  </si>
  <si>
    <t>7L147</t>
  </si>
  <si>
    <t>DAWES 2011S</t>
  </si>
  <si>
    <t>SWEETHEART LAKE 2032S</t>
  </si>
  <si>
    <t>7L15</t>
  </si>
  <si>
    <t>LONG LAKE COGEN 864S</t>
  </si>
  <si>
    <t>7L155</t>
  </si>
  <si>
    <t>GREGOIRE 883S</t>
  </si>
  <si>
    <t>7L162</t>
  </si>
  <si>
    <t>MITSUE 732S</t>
  </si>
  <si>
    <t>7L165</t>
  </si>
  <si>
    <t>TOWER ROAD 933S</t>
  </si>
  <si>
    <t>PARSONS CREEK 718S</t>
  </si>
  <si>
    <t>7L167</t>
  </si>
  <si>
    <t>ENGSTROM 2060S</t>
  </si>
  <si>
    <t>7L170</t>
  </si>
  <si>
    <t>ALGAR 875S</t>
  </si>
  <si>
    <t>7L172</t>
  </si>
  <si>
    <t>7L182</t>
  </si>
  <si>
    <t>7L183</t>
  </si>
  <si>
    <t>7L19</t>
  </si>
  <si>
    <t>MORSE RIVER 851S</t>
  </si>
  <si>
    <t>LOUISE CREEK 809S</t>
  </si>
  <si>
    <t>7L194</t>
  </si>
  <si>
    <t>7L20</t>
  </si>
  <si>
    <t>DOME CUTBANK 810S</t>
  </si>
  <si>
    <t>THORNTON 2091S</t>
  </si>
  <si>
    <t>SADDLE HILLS 865S</t>
  </si>
  <si>
    <t>CLAIRMONT LAKE 811S</t>
  </si>
  <si>
    <t>7L228</t>
  </si>
  <si>
    <t>NARROWS CREEK 858S</t>
  </si>
  <si>
    <t>NIPISI 796S</t>
  </si>
  <si>
    <t>FORT ASSINIBOINE 234S</t>
  </si>
  <si>
    <t>7L27</t>
  </si>
  <si>
    <t>7L29</t>
  </si>
  <si>
    <t>RAINBOW COGEN 850S</t>
  </si>
  <si>
    <t>7L30</t>
  </si>
  <si>
    <t>7L31</t>
  </si>
  <si>
    <t>SOUTH BEZANSON 862S</t>
  </si>
  <si>
    <t>CG&amp;E 758S</t>
  </si>
  <si>
    <t>7L34</t>
  </si>
  <si>
    <t>UPDIKE 886S</t>
  </si>
  <si>
    <t>7L36</t>
  </si>
  <si>
    <t>7L38</t>
  </si>
  <si>
    <t>7L39</t>
  </si>
  <si>
    <t>MERCER HILL 728S</t>
  </si>
  <si>
    <t>7L40</t>
  </si>
  <si>
    <t>SIMONETTE 733S</t>
  </si>
  <si>
    <t>7L43</t>
  </si>
  <si>
    <t>7L437</t>
  </si>
  <si>
    <t>ABEE 993S</t>
  </si>
  <si>
    <t>WEASEL CREEK 947S</t>
  </si>
  <si>
    <t>7L44</t>
  </si>
  <si>
    <t>7L45</t>
  </si>
  <si>
    <t>7L46</t>
  </si>
  <si>
    <t>7L47</t>
  </si>
  <si>
    <t>7L48</t>
  </si>
  <si>
    <t>VALLEYVIEW 794S</t>
  </si>
  <si>
    <t>7L49</t>
  </si>
  <si>
    <t>BUCHANAN CREEK 927S</t>
  </si>
  <si>
    <t>7L54</t>
  </si>
  <si>
    <t>VIRGINIA HILLS 738S</t>
  </si>
  <si>
    <t>GOOSE RIVER 725S</t>
  </si>
  <si>
    <t>7L57</t>
  </si>
  <si>
    <t>STURGEON 734S</t>
  </si>
  <si>
    <t>7L58</t>
  </si>
  <si>
    <t>KEG RIVER 789S</t>
  </si>
  <si>
    <t>7L59</t>
  </si>
  <si>
    <t>MELITO 890S</t>
  </si>
  <si>
    <t>7L60</t>
  </si>
  <si>
    <t>CRANBERRY LAKE 827S</t>
  </si>
  <si>
    <t>7L61</t>
  </si>
  <si>
    <t>CADOTTE RIVER 783S</t>
  </si>
  <si>
    <t>NORCEN 812S</t>
  </si>
  <si>
    <t>CHINCHAGA RIVER 779S</t>
  </si>
  <si>
    <t>HAIG RIVER 748S</t>
  </si>
  <si>
    <t>BASSETT 747S</t>
  </si>
  <si>
    <t>FIELDGATE 824S</t>
  </si>
  <si>
    <t>7L68</t>
  </si>
  <si>
    <t>RYCROFT 730S</t>
  </si>
  <si>
    <t>7L69</t>
  </si>
  <si>
    <t>7L71</t>
  </si>
  <si>
    <t>7L72</t>
  </si>
  <si>
    <t>ZAMA 795S</t>
  </si>
  <si>
    <t>7L73</t>
  </si>
  <si>
    <t>FRIEDENSTAL 800S</t>
  </si>
  <si>
    <t>BOUCHER CREEK 829S</t>
  </si>
  <si>
    <t>7L75</t>
  </si>
  <si>
    <t>7L76</t>
  </si>
  <si>
    <t>BLUMENORT 832S</t>
  </si>
  <si>
    <t>7L78</t>
  </si>
  <si>
    <t>JUDY CREEK GAS PLANT 785S</t>
  </si>
  <si>
    <t>7L80</t>
  </si>
  <si>
    <t>KAKWA RIDGE 857S</t>
  </si>
  <si>
    <t>7L81</t>
  </si>
  <si>
    <t>HAMBURG 855S</t>
  </si>
  <si>
    <t>7L84</t>
  </si>
  <si>
    <t>CRYSTAL LAKE 722S</t>
  </si>
  <si>
    <t>7L90</t>
  </si>
  <si>
    <t>7L93</t>
  </si>
  <si>
    <t>7L94</t>
  </si>
  <si>
    <t>KIDNEY LAKE 878S</t>
  </si>
  <si>
    <t>HALFWAY 2014S</t>
  </si>
  <si>
    <t>7LA10</t>
  </si>
  <si>
    <t>7LA114</t>
  </si>
  <si>
    <t>CHARD 658S</t>
  </si>
  <si>
    <t>7LA39</t>
  </si>
  <si>
    <t>BRIDGE CREEK 798S</t>
  </si>
  <si>
    <t>7LA59</t>
  </si>
  <si>
    <t>807AL</t>
  </si>
  <si>
    <t>SHELL AOSP 402S</t>
  </si>
  <si>
    <t>807L</t>
  </si>
  <si>
    <t>808AL</t>
  </si>
  <si>
    <t>808L</t>
  </si>
  <si>
    <t>815L</t>
  </si>
  <si>
    <t>846L</t>
  </si>
  <si>
    <t>CANADIAN OXY ASTOTIN CREEK 365S</t>
  </si>
  <si>
    <t>854L</t>
  </si>
  <si>
    <t>856L</t>
  </si>
  <si>
    <t>SCOTFORD 409S</t>
  </si>
  <si>
    <t>857L</t>
  </si>
  <si>
    <t>861L</t>
  </si>
  <si>
    <t>DOW HYDRO CARBONS 258S</t>
  </si>
  <si>
    <t>862L</t>
  </si>
  <si>
    <t>885L</t>
  </si>
  <si>
    <t>METISKOW 648S</t>
  </si>
  <si>
    <t>890L</t>
  </si>
  <si>
    <t>899L</t>
  </si>
  <si>
    <t>FORT SASK. CO-GEN 218S</t>
  </si>
  <si>
    <t>900L</t>
  </si>
  <si>
    <t>901L</t>
  </si>
  <si>
    <t>902L</t>
  </si>
  <si>
    <t>903L</t>
  </si>
  <si>
    <t>905L</t>
  </si>
  <si>
    <t>NORTH CALDER 37S</t>
  </si>
  <si>
    <t>906L</t>
  </si>
  <si>
    <t>SARCEE 42S</t>
  </si>
  <si>
    <t>907L</t>
  </si>
  <si>
    <t>ALBERTA NEWSPRINT 122S</t>
  </si>
  <si>
    <t>908L</t>
  </si>
  <si>
    <t>DOME</t>
  </si>
  <si>
    <t>910L</t>
  </si>
  <si>
    <t>912L</t>
  </si>
  <si>
    <t>NEVIS 766S</t>
  </si>
  <si>
    <t>913L</t>
  </si>
  <si>
    <t>BIGSTONE 86S</t>
  </si>
  <si>
    <t>GAETZ 87S</t>
  </si>
  <si>
    <t>915L</t>
  </si>
  <si>
    <t>CLOVER BAR 987S</t>
  </si>
  <si>
    <t>916L</t>
  </si>
  <si>
    <t>EAST CALGARY 5S</t>
  </si>
  <si>
    <t>918L</t>
  </si>
  <si>
    <t>919L</t>
  </si>
  <si>
    <t>920L</t>
  </si>
  <si>
    <t>921L</t>
  </si>
  <si>
    <t>922L</t>
  </si>
  <si>
    <t>923L</t>
  </si>
  <si>
    <t>924L</t>
  </si>
  <si>
    <t>925L</t>
  </si>
  <si>
    <t>926L</t>
  </si>
  <si>
    <t>927L</t>
  </si>
  <si>
    <t>928L</t>
  </si>
  <si>
    <t>HAZELWOOD 287S</t>
  </si>
  <si>
    <t>930L</t>
  </si>
  <si>
    <t>931L</t>
  </si>
  <si>
    <t>932L</t>
  </si>
  <si>
    <t>933L</t>
  </si>
  <si>
    <t>ANDERSON 801S</t>
  </si>
  <si>
    <t>934L</t>
  </si>
  <si>
    <t>935L</t>
  </si>
  <si>
    <t>936L</t>
  </si>
  <si>
    <t>937L</t>
  </si>
  <si>
    <t>940L</t>
  </si>
  <si>
    <t>942L</t>
  </si>
  <si>
    <t>944L</t>
  </si>
  <si>
    <t>945L</t>
  </si>
  <si>
    <t>946L</t>
  </si>
  <si>
    <t>947L</t>
  </si>
  <si>
    <t>948L</t>
  </si>
  <si>
    <t>PAINTEARTH 863S</t>
  </si>
  <si>
    <t>951L</t>
  </si>
  <si>
    <t>953L</t>
  </si>
  <si>
    <t>CORDEL 755S</t>
  </si>
  <si>
    <t>955L</t>
  </si>
  <si>
    <t>956L</t>
  </si>
  <si>
    <t>957L</t>
  </si>
  <si>
    <t>964L</t>
  </si>
  <si>
    <t>966L</t>
  </si>
  <si>
    <t>PEMUKAN 932S</t>
  </si>
  <si>
    <t>967L</t>
  </si>
  <si>
    <t>968L</t>
  </si>
  <si>
    <t>971L</t>
  </si>
  <si>
    <t>CONKLIN 762S</t>
  </si>
  <si>
    <t>973L</t>
  </si>
  <si>
    <t>974L</t>
  </si>
  <si>
    <t>983L</t>
  </si>
  <si>
    <t>985L</t>
  </si>
  <si>
    <t>989L</t>
  </si>
  <si>
    <t>994L</t>
  </si>
  <si>
    <t>BRAZEAU 62S</t>
  </si>
  <si>
    <t>WILLESDENGREEN 68S</t>
  </si>
  <si>
    <t>9L01</t>
  </si>
  <si>
    <t>9L02</t>
  </si>
  <si>
    <t>9L05</t>
  </si>
  <si>
    <t>9L08</t>
  </si>
  <si>
    <t>DOVER 888S</t>
  </si>
  <si>
    <t>9L09</t>
  </si>
  <si>
    <t>9L10</t>
  </si>
  <si>
    <t>BRINTNELL 876S</t>
  </si>
  <si>
    <t>9L100</t>
  </si>
  <si>
    <t>SHEERNESS 807S</t>
  </si>
  <si>
    <t>9L101</t>
  </si>
  <si>
    <t>MCCLELLAND 957S</t>
  </si>
  <si>
    <t>9L112</t>
  </si>
  <si>
    <t>9L144</t>
  </si>
  <si>
    <t>YEO 2015S</t>
  </si>
  <si>
    <t>9L15</t>
  </si>
  <si>
    <t>9L16</t>
  </si>
  <si>
    <t>TINCHEBRAY 972S</t>
  </si>
  <si>
    <t>9L19</t>
  </si>
  <si>
    <t>AMR02 937S</t>
  </si>
  <si>
    <t>BIRCHWOOD CREEK 960S</t>
  </si>
  <si>
    <t>9L20</t>
  </si>
  <si>
    <t>9L22</t>
  </si>
  <si>
    <t>WHITEFISH LAKE 825S</t>
  </si>
  <si>
    <t>9L23</t>
  </si>
  <si>
    <t>9L24</t>
  </si>
  <si>
    <t>OAKLAND 946S</t>
  </si>
  <si>
    <t>LANFINE 959S</t>
  </si>
  <si>
    <t>9L27</t>
  </si>
  <si>
    <t>9L28</t>
  </si>
  <si>
    <t>9L29</t>
  </si>
  <si>
    <t>COYOTE LAKE 963S</t>
  </si>
  <si>
    <t>9L30</t>
  </si>
  <si>
    <t>9L32</t>
  </si>
  <si>
    <t>BITUMOUNT 941S</t>
  </si>
  <si>
    <t>9L36</t>
  </si>
  <si>
    <t>9L37</t>
  </si>
  <si>
    <t>9L39</t>
  </si>
  <si>
    <t>GREEN STOCKING 925S</t>
  </si>
  <si>
    <t>BLACK FLY 934S</t>
  </si>
  <si>
    <t>9L40</t>
  </si>
  <si>
    <t>9L43</t>
  </si>
  <si>
    <t>MACKAY RIVER 874S</t>
  </si>
  <si>
    <t>9L45</t>
  </si>
  <si>
    <t>9L46</t>
  </si>
  <si>
    <t>9L47</t>
  </si>
  <si>
    <t>ROUND HILL 852S</t>
  </si>
  <si>
    <t>9L55</t>
  </si>
  <si>
    <t>WABASCA 720S</t>
  </si>
  <si>
    <t>9L57</t>
  </si>
  <si>
    <t>9L58</t>
  </si>
  <si>
    <t>9L59</t>
  </si>
  <si>
    <t>9L66</t>
  </si>
  <si>
    <t>MUSKEG RIVER 847S</t>
  </si>
  <si>
    <t>9L69</t>
  </si>
  <si>
    <t>9L70</t>
  </si>
  <si>
    <t>9L74</t>
  </si>
  <si>
    <t>9L77</t>
  </si>
  <si>
    <t>9L79</t>
  </si>
  <si>
    <t>BATTLE RIVER 757S</t>
  </si>
  <si>
    <t>9L80</t>
  </si>
  <si>
    <t>9L81</t>
  </si>
  <si>
    <t>9L84</t>
  </si>
  <si>
    <t>9L85</t>
  </si>
  <si>
    <t>9L89</t>
  </si>
  <si>
    <t>9L93</t>
  </si>
  <si>
    <t>HALKIRK 615S</t>
  </si>
  <si>
    <t>9L930</t>
  </si>
  <si>
    <t>9L938</t>
  </si>
  <si>
    <t>9L939</t>
  </si>
  <si>
    <t>9L950</t>
  </si>
  <si>
    <t>9L960</t>
  </si>
  <si>
    <t>9L961</t>
  </si>
  <si>
    <t>9L97</t>
  </si>
  <si>
    <t>9L99</t>
  </si>
  <si>
    <t>9L990</t>
  </si>
  <si>
    <t>9LJH1</t>
  </si>
  <si>
    <t>JACK PINE 920S</t>
  </si>
  <si>
    <t>9LJH2</t>
  </si>
  <si>
    <t>ALC01L</t>
  </si>
  <si>
    <t>AIR LIQUIDE 408S</t>
  </si>
  <si>
    <t>ALC02L</t>
  </si>
  <si>
    <t>SCOTFORD UPGRADER 879S</t>
  </si>
  <si>
    <t>ALC03L</t>
  </si>
  <si>
    <t>EX1-01L</t>
  </si>
  <si>
    <t>KVAL-1</t>
  </si>
  <si>
    <t>KVAL-2</t>
  </si>
  <si>
    <t>L9900</t>
  </si>
  <si>
    <t>KEARL 9900S</t>
  </si>
  <si>
    <t>RL2</t>
  </si>
  <si>
    <t>CALGARY ENERGY CENTER CEC</t>
  </si>
  <si>
    <t>BEDDINGTON SS-162</t>
  </si>
  <si>
    <t>Primary Voltage</t>
  </si>
  <si>
    <t>Secondary Voltage</t>
  </si>
  <si>
    <t>T1</t>
  </si>
  <si>
    <t>T5A</t>
  </si>
  <si>
    <t>912T</t>
  </si>
  <si>
    <t>701T</t>
  </si>
  <si>
    <t>T2</t>
  </si>
  <si>
    <t>901T</t>
  </si>
  <si>
    <t>T3</t>
  </si>
  <si>
    <t>T4</t>
  </si>
  <si>
    <t>902T</t>
  </si>
  <si>
    <t>T6</t>
  </si>
  <si>
    <t>PS</t>
  </si>
  <si>
    <t>T1-H-Y</t>
  </si>
  <si>
    <t>T2-H-Y</t>
  </si>
  <si>
    <t>T1-H-X</t>
  </si>
  <si>
    <t>T2-H-X</t>
  </si>
  <si>
    <t>T11</t>
  </si>
  <si>
    <t>T5</t>
  </si>
  <si>
    <t>SULPHUR POINT 828S</t>
  </si>
  <si>
    <t>7L12</t>
  </si>
  <si>
    <t>7LA12</t>
  </si>
  <si>
    <t>AEC MILLS 844S</t>
  </si>
  <si>
    <t>7L22</t>
  </si>
  <si>
    <t>7L88</t>
  </si>
  <si>
    <t>7L03</t>
  </si>
  <si>
    <t>7L09</t>
  </si>
  <si>
    <t>9L11</t>
  </si>
  <si>
    <t>847L</t>
  </si>
  <si>
    <t>7LA48</t>
  </si>
  <si>
    <t>TRIANGLE 882S</t>
  </si>
  <si>
    <t>526AL</t>
  </si>
  <si>
    <t>526BL</t>
  </si>
  <si>
    <t>520L</t>
  </si>
  <si>
    <t>MOBIL OIL CARSON CREEK 887S</t>
  </si>
  <si>
    <t>519L</t>
  </si>
  <si>
    <t>IMPERIAL OIL CARSON LAKE 996S</t>
  </si>
  <si>
    <t>LAURA LAKE 661S</t>
  </si>
  <si>
    <t>519AL</t>
  </si>
  <si>
    <t>7L55</t>
  </si>
  <si>
    <t>888AL</t>
  </si>
  <si>
    <t>7LA13</t>
  </si>
  <si>
    <t>7LA90</t>
  </si>
  <si>
    <t>FOX CREEK 741S</t>
  </si>
  <si>
    <t>MUIR 2018S</t>
  </si>
  <si>
    <t>7L199</t>
  </si>
  <si>
    <t>FOX CREEK ALTALINK 347S</t>
  </si>
  <si>
    <t>199AL</t>
  </si>
  <si>
    <t>864L</t>
  </si>
  <si>
    <t>CHEVRON KAYBOB 551S</t>
  </si>
  <si>
    <t>864AL</t>
  </si>
  <si>
    <t>864BL</t>
  </si>
  <si>
    <t>KAYBOB 346S</t>
  </si>
  <si>
    <t>CHEVRON KNIGHT 355S</t>
  </si>
  <si>
    <t>MARLBORO 348S</t>
  </si>
  <si>
    <t>854AL</t>
  </si>
  <si>
    <t>744AL</t>
  </si>
  <si>
    <t>TMPL NITON 228S</t>
  </si>
  <si>
    <t>PADDLE RIVER 106S</t>
  </si>
  <si>
    <t>WHITECOURT INDUSTRIAL 364S</t>
  </si>
  <si>
    <t>798L</t>
  </si>
  <si>
    <t>825L</t>
  </si>
  <si>
    <t>826L</t>
  </si>
  <si>
    <t>MILLAR WESTERN 484S</t>
  </si>
  <si>
    <t>BLUE RIDGE LUMBER 701S</t>
  </si>
  <si>
    <t>156BL</t>
  </si>
  <si>
    <t>123L</t>
  </si>
  <si>
    <t>ONOWAY 352S</t>
  </si>
  <si>
    <t>896L</t>
  </si>
  <si>
    <t>CARVEL 432S</t>
  </si>
  <si>
    <t>133L</t>
  </si>
  <si>
    <t>234L</t>
  </si>
  <si>
    <t>521L</t>
  </si>
  <si>
    <t>767L</t>
  </si>
  <si>
    <t>512L</t>
  </si>
  <si>
    <t>SUNDANCE SS 821S</t>
  </si>
  <si>
    <t>7L125</t>
  </si>
  <si>
    <t>GERMAIN 950S</t>
  </si>
  <si>
    <t>6LML1</t>
  </si>
  <si>
    <t>6LML2</t>
  </si>
  <si>
    <t>SYNCRUDE P10</t>
  </si>
  <si>
    <t>MILDRED LAKE MDLS</t>
  </si>
  <si>
    <t>AURORA AURS</t>
  </si>
  <si>
    <t xml:space="preserve">PLANT 30-2 UE-1 </t>
  </si>
  <si>
    <t>29PL6-05</t>
  </si>
  <si>
    <t>29PL6-06</t>
  </si>
  <si>
    <t>29PL6-22</t>
  </si>
  <si>
    <t>29EDD-1</t>
  </si>
  <si>
    <t>29EDD-2</t>
  </si>
  <si>
    <t>6L32</t>
  </si>
  <si>
    <t>HORSESHOE 737S</t>
  </si>
  <si>
    <t>29PL6-20</t>
  </si>
  <si>
    <t>29EDD-20</t>
  </si>
  <si>
    <t>29PL6-03</t>
  </si>
  <si>
    <t>29PL6-04</t>
  </si>
  <si>
    <t>STEEPBAK RIVER 836S</t>
  </si>
  <si>
    <t>29PL6-01</t>
  </si>
  <si>
    <t>29PL6-02</t>
  </si>
  <si>
    <t>29EDD-55</t>
  </si>
  <si>
    <t>29PL6-07</t>
  </si>
  <si>
    <t>29EDD-5</t>
  </si>
  <si>
    <t>29PL6-14</t>
  </si>
  <si>
    <t>ATHABASCA CROSSING EDD200</t>
  </si>
  <si>
    <t>29EDD-7</t>
  </si>
  <si>
    <t>29PL6-24</t>
  </si>
  <si>
    <t>29PL6-23</t>
  </si>
  <si>
    <t>29EDD-19</t>
  </si>
  <si>
    <t>29EDD-9</t>
  </si>
  <si>
    <t>29EDD-8</t>
  </si>
  <si>
    <t>29EDD-10</t>
  </si>
  <si>
    <t>29EDD-45</t>
  </si>
  <si>
    <t>29EDD-33</t>
  </si>
  <si>
    <t>29EDD-31</t>
  </si>
  <si>
    <t>29EDD-46</t>
  </si>
  <si>
    <t>29EDD-64</t>
  </si>
  <si>
    <t>29EDD-84</t>
  </si>
  <si>
    <t>29EDD-83</t>
  </si>
  <si>
    <t>29PL6-26</t>
  </si>
  <si>
    <t>29EDD-62</t>
  </si>
  <si>
    <t>DOG RIB 2082S</t>
  </si>
  <si>
    <t>7LA97</t>
  </si>
  <si>
    <t>7LA121</t>
  </si>
  <si>
    <t>LONG LAKE 841S</t>
  </si>
  <si>
    <t>MEADOW CREEK 2081S</t>
  </si>
  <si>
    <t>7LA183</t>
  </si>
  <si>
    <t>789L</t>
  </si>
  <si>
    <t>788AL</t>
  </si>
  <si>
    <t>796AL</t>
  </si>
  <si>
    <t>943L</t>
  </si>
  <si>
    <t>706L</t>
  </si>
  <si>
    <t>706AL</t>
  </si>
  <si>
    <t>787L</t>
  </si>
  <si>
    <t>787AL</t>
  </si>
  <si>
    <t>VISCOUNT 92S</t>
  </si>
  <si>
    <t>898L</t>
  </si>
  <si>
    <t>747L</t>
  </si>
  <si>
    <t>NORTH ST. ALBERT 99S</t>
  </si>
  <si>
    <t>711L</t>
  </si>
  <si>
    <t>INLAND CEMENT</t>
  </si>
  <si>
    <t>712L</t>
  </si>
  <si>
    <t>SPRUCE GROVE 595S</t>
  </si>
  <si>
    <t>677L</t>
  </si>
  <si>
    <t>453L</t>
  </si>
  <si>
    <t>ACHESON 305S</t>
  </si>
  <si>
    <t>446L</t>
  </si>
  <si>
    <t>452L</t>
  </si>
  <si>
    <t>STONY PLAIN 434S</t>
  </si>
  <si>
    <t>790L</t>
  </si>
  <si>
    <t>790AL</t>
  </si>
  <si>
    <t>BILBY 105S</t>
  </si>
  <si>
    <t>908AL</t>
  </si>
  <si>
    <t>1059AL</t>
  </si>
  <si>
    <t>780L</t>
  </si>
  <si>
    <t>COOKING LAKE 522S</t>
  </si>
  <si>
    <t>897L</t>
  </si>
  <si>
    <t>BRETONA 45S</t>
  </si>
  <si>
    <t>874L</t>
  </si>
  <si>
    <t>736L</t>
  </si>
  <si>
    <t>BERNESE 293S</t>
  </si>
  <si>
    <t>731L</t>
  </si>
  <si>
    <t>BROADMOOR 420S</t>
  </si>
  <si>
    <t>865L</t>
  </si>
  <si>
    <t>KNIGHTSBRIDGE 216S</t>
  </si>
  <si>
    <t>746L</t>
  </si>
  <si>
    <t>741L</t>
  </si>
  <si>
    <t>BASELINE 317S</t>
  </si>
  <si>
    <t>705L</t>
  </si>
  <si>
    <t>PETRO CANADA EDMONTON 184S</t>
  </si>
  <si>
    <t>606L</t>
  </si>
  <si>
    <t>BRETVILLE 185S</t>
  </si>
  <si>
    <t>605L</t>
  </si>
  <si>
    <t>YASA 286S</t>
  </si>
  <si>
    <t>215L</t>
  </si>
  <si>
    <t>737L</t>
  </si>
  <si>
    <t>IMPERIAL OIL EDMONTON 95S</t>
  </si>
  <si>
    <t>738L</t>
  </si>
  <si>
    <t>AT PLASTIC 4RS</t>
  </si>
  <si>
    <t>AT PLASTIC 5RS</t>
  </si>
  <si>
    <t>738AL</t>
  </si>
  <si>
    <t>822L</t>
  </si>
  <si>
    <t>STELCO EDMONTON EAST 133S</t>
  </si>
  <si>
    <t>72LS24</t>
  </si>
  <si>
    <t>HARDISTY</t>
  </si>
  <si>
    <t>72NK23</t>
  </si>
  <si>
    <t>KENNEDALE</t>
  </si>
  <si>
    <t>72CK12</t>
  </si>
  <si>
    <t>72CK13</t>
  </si>
  <si>
    <t>72CH9</t>
  </si>
  <si>
    <t>72CH11</t>
  </si>
  <si>
    <t>NAMAO</t>
  </si>
  <si>
    <t>72VN21</t>
  </si>
  <si>
    <t>72NW15</t>
  </si>
  <si>
    <t>WOODCROFT</t>
  </si>
  <si>
    <t>72JW19</t>
  </si>
  <si>
    <t>72JM18</t>
  </si>
  <si>
    <t>MEADOWLARK</t>
  </si>
  <si>
    <t>72MG16</t>
  </si>
  <si>
    <t>GARNEAU</t>
  </si>
  <si>
    <t>72RG1</t>
  </si>
  <si>
    <t>72RG7</t>
  </si>
  <si>
    <t>ROSSDALE</t>
  </si>
  <si>
    <t>72RV4</t>
  </si>
  <si>
    <t>72RV2</t>
  </si>
  <si>
    <t>72RV6</t>
  </si>
  <si>
    <t>739L</t>
  </si>
  <si>
    <t>DEVON 14S</t>
  </si>
  <si>
    <t>BLACKMUD 155S</t>
  </si>
  <si>
    <t>SAUNDERS LAKE 289S</t>
  </si>
  <si>
    <t>454L</t>
  </si>
  <si>
    <t>455L</t>
  </si>
  <si>
    <t>NISKU 149S</t>
  </si>
  <si>
    <t>604L</t>
  </si>
  <si>
    <t>838L</t>
  </si>
  <si>
    <t>LEDUC 325S</t>
  </si>
  <si>
    <t>632L</t>
  </si>
  <si>
    <t>BUFORD 538S</t>
  </si>
  <si>
    <t>837L</t>
  </si>
  <si>
    <t>PIGEON LAKE 964S</t>
  </si>
  <si>
    <t>805L</t>
  </si>
  <si>
    <t>SHERWOOD PARK 746S</t>
  </si>
  <si>
    <t>636L</t>
  </si>
  <si>
    <t>FIBERGLASS</t>
  </si>
  <si>
    <t>746AL</t>
  </si>
  <si>
    <t>746BL</t>
  </si>
  <si>
    <t>CANADA LIQUID AIR 337S</t>
  </si>
  <si>
    <t>174L</t>
  </si>
  <si>
    <t>BARDO 197S</t>
  </si>
  <si>
    <t>730L</t>
  </si>
  <si>
    <t>EAST CAMROSE 285S</t>
  </si>
  <si>
    <t>732L</t>
  </si>
  <si>
    <t>QUEENSLAND 301S</t>
  </si>
  <si>
    <t>KINGMAN 299S</t>
  </si>
  <si>
    <t>732AL</t>
  </si>
  <si>
    <t>729L</t>
  </si>
  <si>
    <t>ERVICK 542S</t>
  </si>
  <si>
    <t>WETASKIWIN 40S</t>
  </si>
  <si>
    <t>TRUWELD GRATING 6500S</t>
  </si>
  <si>
    <t>729AL</t>
  </si>
  <si>
    <t>NORTH HOLDEN 395S</t>
  </si>
  <si>
    <t>421L</t>
  </si>
  <si>
    <t>422L</t>
  </si>
  <si>
    <t>PONOKA 331S</t>
  </si>
  <si>
    <t>804L</t>
  </si>
  <si>
    <t>858L</t>
  </si>
  <si>
    <t>883L</t>
  </si>
  <si>
    <t>NELSON LAKE 429S</t>
  </si>
  <si>
    <t>724L</t>
  </si>
  <si>
    <t>WAP-7L1</t>
  </si>
  <si>
    <t>7L587</t>
  </si>
  <si>
    <t>MARGUERITE LAKE 826S</t>
  </si>
  <si>
    <t>WOLF LAKE 822S</t>
  </si>
  <si>
    <t>7L86</t>
  </si>
  <si>
    <t>FOSTER CREEK 1200S</t>
  </si>
  <si>
    <t>7L574</t>
  </si>
  <si>
    <t>BOURQUE 970S</t>
  </si>
  <si>
    <t>7L35</t>
  </si>
  <si>
    <t>PRIMROSE 859S</t>
  </si>
  <si>
    <t>7L160</t>
  </si>
  <si>
    <t>MAHIHKAN 837S</t>
  </si>
  <si>
    <t>7L157</t>
  </si>
  <si>
    <t>7L105</t>
  </si>
  <si>
    <t>MAHNO 909S</t>
  </si>
  <si>
    <t>7L161</t>
  </si>
  <si>
    <t>NABIYE 942S</t>
  </si>
  <si>
    <t>7L583</t>
  </si>
  <si>
    <t>LEMING LAKE 715S</t>
  </si>
  <si>
    <t>7L91</t>
  </si>
  <si>
    <t>7L89</t>
  </si>
  <si>
    <t>LACOREY 721S</t>
  </si>
  <si>
    <t>BONNYVILLE 700S</t>
  </si>
  <si>
    <t>7L66</t>
  </si>
  <si>
    <t>ETHEL LAKE 717S</t>
  </si>
  <si>
    <t>7L28</t>
  </si>
  <si>
    <t>GRAND CENTRE 846S</t>
  </si>
  <si>
    <t>7L24</t>
  </si>
  <si>
    <t>7LA24</t>
  </si>
  <si>
    <t>BEARTRAP 940S</t>
  </si>
  <si>
    <t>7L146</t>
  </si>
  <si>
    <t>7L70</t>
  </si>
  <si>
    <t>ST. PAUL 707S</t>
  </si>
  <si>
    <t>7L53</t>
  </si>
  <si>
    <t>7LA53</t>
  </si>
  <si>
    <t>IRISH CREEK 706S</t>
  </si>
  <si>
    <t>LINDBERGH 969S</t>
  </si>
  <si>
    <t>7L117</t>
  </si>
  <si>
    <t>VERMILION 710S</t>
  </si>
  <si>
    <t>7L139</t>
  </si>
  <si>
    <t>NORBERG 936S</t>
  </si>
  <si>
    <t>7LA139</t>
  </si>
  <si>
    <t>WHITBY LAKE 819S</t>
  </si>
  <si>
    <t>7L92</t>
  </si>
  <si>
    <t>VILNA 777S</t>
  </si>
  <si>
    <t>7LA92</t>
  </si>
  <si>
    <t>VEGREVILLE 709S</t>
  </si>
  <si>
    <t>WATT LAKE 956S</t>
  </si>
  <si>
    <t>7L65</t>
  </si>
  <si>
    <t>7L77</t>
  </si>
  <si>
    <t>701L</t>
  </si>
  <si>
    <t>STROME 223S</t>
  </si>
  <si>
    <t>7L701</t>
  </si>
  <si>
    <t>7LA701</t>
  </si>
  <si>
    <t>HEISLER 764S</t>
  </si>
  <si>
    <t>7L129</t>
  </si>
  <si>
    <t>7L130</t>
  </si>
  <si>
    <t>BAUER 918S</t>
  </si>
  <si>
    <t>BUFFALO CREEK 526S</t>
  </si>
  <si>
    <t>7L50</t>
  </si>
  <si>
    <t>491L</t>
  </si>
  <si>
    <t>JARROW 252S</t>
  </si>
  <si>
    <t>408L</t>
  </si>
  <si>
    <t>WAINRIGHT 51S</t>
  </si>
  <si>
    <t>704L</t>
  </si>
  <si>
    <t>TUCUMAN 478S</t>
  </si>
  <si>
    <t>681L</t>
  </si>
  <si>
    <t>HARDISTY 377S</t>
  </si>
  <si>
    <t>679L</t>
  </si>
  <si>
    <t>680L</t>
  </si>
  <si>
    <t>703L</t>
  </si>
  <si>
    <t>HUGHENDEN 213S</t>
  </si>
  <si>
    <t>HRT EXPRESS 329S</t>
  </si>
  <si>
    <t>769L</t>
  </si>
  <si>
    <t>ROSYTH 296S</t>
  </si>
  <si>
    <t>CLIPPER 656S</t>
  </si>
  <si>
    <t>MARION 21S</t>
  </si>
  <si>
    <t>472L</t>
  </si>
  <si>
    <t>SUNKEN LAKE 221S</t>
  </si>
  <si>
    <t>472AL</t>
  </si>
  <si>
    <t>702L</t>
  </si>
  <si>
    <t>702AL</t>
  </si>
  <si>
    <t>SEDGEWICK 137S</t>
  </si>
  <si>
    <t>KITSCOTY 705S</t>
  </si>
  <si>
    <t>7L14</t>
  </si>
  <si>
    <t>HILL 751S</t>
  </si>
  <si>
    <t>7L42</t>
  </si>
  <si>
    <t>LLOYDMINSTER 716S</t>
  </si>
  <si>
    <t>7L749</t>
  </si>
  <si>
    <t>BRIKER 880S</t>
  </si>
  <si>
    <t>EDGERTON 899S</t>
  </si>
  <si>
    <t>7LB749</t>
  </si>
  <si>
    <t>749L</t>
  </si>
  <si>
    <t>749AL</t>
  </si>
  <si>
    <t>KILLARNEY LAKE 267S</t>
  </si>
  <si>
    <t>HAYTER 277S</t>
  </si>
  <si>
    <t>Legend:</t>
  </si>
  <si>
    <t>JCT = Junction</t>
  </si>
  <si>
    <t>MTS = Municipal Transformer Station</t>
  </si>
  <si>
    <t>TS = Transformer Station</t>
  </si>
  <si>
    <t>715L</t>
  </si>
  <si>
    <t>PROVOST 545S</t>
  </si>
  <si>
    <t>954L</t>
  </si>
  <si>
    <t>7L224</t>
  </si>
  <si>
    <t>MONITOR 774S</t>
  </si>
  <si>
    <t>402L</t>
  </si>
  <si>
    <t>EYRE 558S</t>
  </si>
  <si>
    <t>7L110</t>
  </si>
  <si>
    <t>LOYALIST 903S</t>
  </si>
  <si>
    <t>7L127</t>
  </si>
  <si>
    <t>7L141</t>
  </si>
  <si>
    <t>7L79</t>
  </si>
  <si>
    <t>VETERAN 771S</t>
  </si>
  <si>
    <t>RIBSTONE CREEK 892S</t>
  </si>
  <si>
    <t>7L696</t>
  </si>
  <si>
    <t>LAKESEND 508S</t>
  </si>
  <si>
    <t>7L116</t>
  </si>
  <si>
    <t>EXCEL 910S</t>
  </si>
  <si>
    <t>7L132</t>
  </si>
  <si>
    <t>OYEN 767S</t>
  </si>
  <si>
    <t>7L151</t>
  </si>
  <si>
    <t>6L09</t>
  </si>
  <si>
    <t>YOUNGSTOWN 772S</t>
  </si>
  <si>
    <t>RICHDALE 776S</t>
  </si>
  <si>
    <t>HANNA 763S</t>
  </si>
  <si>
    <t>6L56</t>
  </si>
  <si>
    <t>MICHICHI CREEK 802S</t>
  </si>
  <si>
    <t>SULLIVAN LAKE 775S</t>
  </si>
  <si>
    <t>6L25</t>
  </si>
  <si>
    <t>CORONATION 773S</t>
  </si>
  <si>
    <t>6L03</t>
  </si>
  <si>
    <t>CASTOR 759S</t>
  </si>
  <si>
    <t>6L08</t>
  </si>
  <si>
    <t>BIGFOOT 756S</t>
  </si>
  <si>
    <t>6L05</t>
  </si>
  <si>
    <t>BIG KNIFE CREEK 843S</t>
  </si>
  <si>
    <t>6LA05</t>
  </si>
  <si>
    <t>6LA02</t>
  </si>
  <si>
    <t>MANNIX MINE 765S</t>
  </si>
  <si>
    <t>MARION LAKE 873S</t>
  </si>
  <si>
    <t>6L02</t>
  </si>
  <si>
    <t>STETTLER 769S</t>
  </si>
  <si>
    <t>7L143</t>
  </si>
  <si>
    <t>7L16</t>
  </si>
  <si>
    <t>HEATBURG 948S</t>
  </si>
  <si>
    <t>7L159</t>
  </si>
  <si>
    <t>7LA159</t>
  </si>
  <si>
    <t>GHOST PINE 114S</t>
  </si>
  <si>
    <t>THREE HILLS 770S</t>
  </si>
  <si>
    <t>7L137</t>
  </si>
  <si>
    <t>ROWLEY 768S</t>
  </si>
  <si>
    <t>7L25</t>
  </si>
  <si>
    <t>7L128</t>
  </si>
  <si>
    <t>7L171</t>
  </si>
  <si>
    <t>WINTERING HILLS 804S</t>
  </si>
  <si>
    <t>7L153</t>
  </si>
  <si>
    <t>WHEATLAND 609S</t>
  </si>
  <si>
    <t>7L85</t>
  </si>
  <si>
    <t>BULLPOUND 803S</t>
  </si>
  <si>
    <t>834L</t>
  </si>
  <si>
    <t>KEYSTONE 384S</t>
  </si>
  <si>
    <t>995L</t>
  </si>
  <si>
    <t>995AL</t>
  </si>
  <si>
    <t>835L</t>
  </si>
  <si>
    <t>BUCK LAKE 454S</t>
  </si>
  <si>
    <t>835AL</t>
  </si>
  <si>
    <t>VIOLET GROVE 283S</t>
  </si>
  <si>
    <t>836L</t>
  </si>
  <si>
    <t>LODGEPOLE 61S</t>
  </si>
  <si>
    <t>673L</t>
  </si>
  <si>
    <t>WEST PEMBINA 359S</t>
  </si>
  <si>
    <t>202AL</t>
  </si>
  <si>
    <t>801L</t>
  </si>
  <si>
    <t>BRAZEAU OUTLET WORKS 294S</t>
  </si>
  <si>
    <t>801AL</t>
  </si>
  <si>
    <t>ELK RIVER 445S</t>
  </si>
  <si>
    <t>BRAZEAU 358S</t>
  </si>
  <si>
    <t>844L</t>
  </si>
  <si>
    <t>WEST PEMBINA 477S</t>
  </si>
  <si>
    <t>841L</t>
  </si>
  <si>
    <t>PETRO CANADA BRAZEAU RIVER 489S</t>
  </si>
  <si>
    <t>828L</t>
  </si>
  <si>
    <t>CYNTHIA 178S</t>
  </si>
  <si>
    <t>744L</t>
  </si>
  <si>
    <t>745AL</t>
  </si>
  <si>
    <t>DALEHURST 975S</t>
  </si>
  <si>
    <t>745A1L</t>
  </si>
  <si>
    <t>615L</t>
  </si>
  <si>
    <t>WATSON CREEK 104S</t>
  </si>
  <si>
    <t>FICKLE LAKE 406S</t>
  </si>
  <si>
    <t>VISTA 1029S</t>
  </si>
  <si>
    <t>COALSPUR 426S</t>
  </si>
  <si>
    <t>743L</t>
  </si>
  <si>
    <t>COAL VALLEY 527S</t>
  </si>
  <si>
    <t>762L</t>
  </si>
  <si>
    <t>CHEVIOT 101S</t>
  </si>
  <si>
    <t>501L</t>
  </si>
  <si>
    <t>CARDINAL RIVER 302S</t>
  </si>
  <si>
    <t>CADOMIN 983S</t>
  </si>
  <si>
    <t>501CL</t>
  </si>
  <si>
    <t>717L</t>
  </si>
  <si>
    <t>ROCKY MOUNTAIN HOUSE 262S</t>
  </si>
  <si>
    <t>870L</t>
  </si>
  <si>
    <t>STRACHAN 263S</t>
  </si>
  <si>
    <t>718L</t>
  </si>
  <si>
    <t>BIGHORN PLANT 250P</t>
  </si>
  <si>
    <t>757L</t>
  </si>
  <si>
    <t>RIMBEY 297S</t>
  </si>
  <si>
    <t>ECKVILLE 534S</t>
  </si>
  <si>
    <t>758L</t>
  </si>
  <si>
    <t>848L</t>
  </si>
  <si>
    <t>SCHRADER CREEK 531S</t>
  </si>
  <si>
    <t>848AL</t>
  </si>
  <si>
    <t>CAROLINE 378S</t>
  </si>
  <si>
    <t>637L</t>
  </si>
  <si>
    <t>SYLVAN LAKE 680S</t>
  </si>
  <si>
    <t>648L</t>
  </si>
  <si>
    <t>1082L</t>
  </si>
  <si>
    <t>929L</t>
  </si>
  <si>
    <t>914L</t>
  </si>
  <si>
    <t>909L</t>
  </si>
  <si>
    <t>SUNNYBROOK 510S</t>
  </si>
  <si>
    <t>755L</t>
  </si>
  <si>
    <t>JOFFRE 535S</t>
  </si>
  <si>
    <t>PIPER CREEK 247S</t>
  </si>
  <si>
    <t>756L</t>
  </si>
  <si>
    <t>793L</t>
  </si>
  <si>
    <t>889L</t>
  </si>
  <si>
    <t>BROOKFIELD 536S</t>
  </si>
  <si>
    <t>775L</t>
  </si>
  <si>
    <t>UNION CARBIDE PRENTISS 276S</t>
  </si>
  <si>
    <t>774L</t>
  </si>
  <si>
    <t>ELLIS 332S</t>
  </si>
  <si>
    <t>784L</t>
  </si>
  <si>
    <t>784AL</t>
  </si>
  <si>
    <t>HAYNES 482S</t>
  </si>
  <si>
    <t>759L</t>
  </si>
  <si>
    <t>423L</t>
  </si>
  <si>
    <t>N.E. LACOMBE 212S</t>
  </si>
  <si>
    <t>461L</t>
  </si>
  <si>
    <t>BLACKFALDS 198S</t>
  </si>
  <si>
    <t>444L</t>
  </si>
  <si>
    <t>NORTH RED DEER 217S</t>
  </si>
  <si>
    <t>425L</t>
  </si>
  <si>
    <t>SOUTH RED DEER 194S</t>
  </si>
  <si>
    <t>RED DEER NORTH RD14S</t>
  </si>
  <si>
    <t>RED DEER DOWNTOWN RD15S</t>
  </si>
  <si>
    <t>426L</t>
  </si>
  <si>
    <t>419L</t>
  </si>
  <si>
    <t>420L</t>
  </si>
  <si>
    <t>INNISFAIL 214S</t>
  </si>
  <si>
    <t>443L</t>
  </si>
  <si>
    <t>OLDS 55S</t>
  </si>
  <si>
    <t>417L</t>
  </si>
  <si>
    <t>418L</t>
  </si>
  <si>
    <t>GHOST 20S</t>
  </si>
  <si>
    <t>189L</t>
  </si>
  <si>
    <t>MADDEN 373S</t>
  </si>
  <si>
    <t>166L</t>
  </si>
  <si>
    <t>166AL</t>
  </si>
  <si>
    <t>HARMATTAN 256S</t>
  </si>
  <si>
    <t>SHELL HARMATTAN 238S</t>
  </si>
  <si>
    <t>719L</t>
  </si>
  <si>
    <t>SUNDRE 575S</t>
  </si>
  <si>
    <t>719CL</t>
  </si>
  <si>
    <t>EAGLE CREEK 412S</t>
  </si>
  <si>
    <t>RAVEN RIVER 634S</t>
  </si>
  <si>
    <t>719BL</t>
  </si>
  <si>
    <t>RICINUS 581S</t>
  </si>
  <si>
    <t>719AL</t>
  </si>
  <si>
    <t>764L</t>
  </si>
  <si>
    <t>LIMESTONE 304S</t>
  </si>
  <si>
    <t>859L</t>
  </si>
  <si>
    <t>HORSE CREEK T793S</t>
  </si>
  <si>
    <t>433L</t>
  </si>
  <si>
    <t>COCHRANE 291S</t>
  </si>
  <si>
    <t>860L</t>
  </si>
  <si>
    <t>BEARSPAW PLANT 44S</t>
  </si>
  <si>
    <t>150L</t>
  </si>
  <si>
    <t>JUMPING POUND 271S</t>
  </si>
  <si>
    <t>150AL</t>
  </si>
  <si>
    <t>3L</t>
  </si>
  <si>
    <t>SPRINGBANK 272S</t>
  </si>
  <si>
    <t>SEEBE 245S</t>
  </si>
  <si>
    <t>3AL</t>
  </si>
  <si>
    <t>JUMPING POUND JUNCTION 43S</t>
  </si>
  <si>
    <t>56L</t>
  </si>
  <si>
    <t>HORSESHOE 3S</t>
  </si>
  <si>
    <t>754L</t>
  </si>
  <si>
    <t>CANMORE 118S</t>
  </si>
  <si>
    <t>742L</t>
  </si>
  <si>
    <t>EXSHAW 985S</t>
  </si>
  <si>
    <t>BAYMAG 437S</t>
  </si>
  <si>
    <t>54L</t>
  </si>
  <si>
    <t>CASCADE 29S</t>
  </si>
  <si>
    <t>54AL</t>
  </si>
  <si>
    <t>WEST CASCADE 177S</t>
  </si>
  <si>
    <t>BANFF 123S</t>
  </si>
  <si>
    <t>551L</t>
  </si>
  <si>
    <t>SUNSHINE VILLAGE 945S</t>
  </si>
  <si>
    <t>LAKE LOUISE 953S</t>
  </si>
  <si>
    <t>CASCADE CONTROL DAM T756S</t>
  </si>
  <si>
    <t>85L</t>
  </si>
  <si>
    <t>RUNDLE 35S</t>
  </si>
  <si>
    <t>84L</t>
  </si>
  <si>
    <t>SPRAY 33S</t>
  </si>
  <si>
    <t>113L</t>
  </si>
  <si>
    <t>76L</t>
  </si>
  <si>
    <t>MT. ALLAN 115S</t>
  </si>
  <si>
    <t>90L</t>
  </si>
  <si>
    <t>BARRIER 32S</t>
  </si>
  <si>
    <t>THREE SISTERS 36S</t>
  </si>
  <si>
    <t>58L</t>
  </si>
  <si>
    <t>87L</t>
  </si>
  <si>
    <t>KANANASKIS 2S</t>
  </si>
  <si>
    <t>777L</t>
  </si>
  <si>
    <t>POCATERRA 48S</t>
  </si>
  <si>
    <t>INTERLAKES 49S</t>
  </si>
  <si>
    <t>887L</t>
  </si>
  <si>
    <t>901AL</t>
  </si>
  <si>
    <t>EAST CROSSFIELD 64S</t>
  </si>
  <si>
    <t>752L</t>
  </si>
  <si>
    <t>752AL</t>
  </si>
  <si>
    <t>WEST CROSSFIELD 316S</t>
  </si>
  <si>
    <t>SUMMIT 653S</t>
  </si>
  <si>
    <t>688AL</t>
  </si>
  <si>
    <t>NOSE CREEK 284S</t>
  </si>
  <si>
    <t>688L</t>
  </si>
  <si>
    <t>EAST AIRDRIE 199S</t>
  </si>
  <si>
    <t>631L</t>
  </si>
  <si>
    <t>DRY CREEK 186S</t>
  </si>
  <si>
    <t>611L</t>
  </si>
  <si>
    <t>COLD CREEK 602S</t>
  </si>
  <si>
    <t>TURBO BALZAC 391S</t>
  </si>
  <si>
    <t>162.81L</t>
  </si>
  <si>
    <t>771L</t>
  </si>
  <si>
    <t>SS-47</t>
  </si>
  <si>
    <t>11.83L</t>
  </si>
  <si>
    <t>SS-11</t>
  </si>
  <si>
    <t>11.81L</t>
  </si>
  <si>
    <t>SS-13</t>
  </si>
  <si>
    <t>11.82L</t>
  </si>
  <si>
    <t>SS-14</t>
  </si>
  <si>
    <t>14.83L</t>
  </si>
  <si>
    <t>36.81L</t>
  </si>
  <si>
    <t>50L</t>
  </si>
  <si>
    <t>SS-21</t>
  </si>
  <si>
    <t>7.82L</t>
  </si>
  <si>
    <t>SS-7</t>
  </si>
  <si>
    <t>7.84L</t>
  </si>
  <si>
    <t>21.80L</t>
  </si>
  <si>
    <t>1.80L</t>
  </si>
  <si>
    <t>SS-28</t>
  </si>
  <si>
    <t>28.80L</t>
  </si>
  <si>
    <t>SS-20</t>
  </si>
  <si>
    <t>SS-1</t>
  </si>
  <si>
    <t>20.82L</t>
  </si>
  <si>
    <t>1.81L</t>
  </si>
  <si>
    <t>693L</t>
  </si>
  <si>
    <t>SS-10</t>
  </si>
  <si>
    <t>832L</t>
  </si>
  <si>
    <t>SS-12</t>
  </si>
  <si>
    <t>833L</t>
  </si>
  <si>
    <t>SS-2</t>
  </si>
  <si>
    <t>1.83L</t>
  </si>
  <si>
    <t>SS-8</t>
  </si>
  <si>
    <t>1.85L</t>
  </si>
  <si>
    <t>1.82L</t>
  </si>
  <si>
    <t>SS-5</t>
  </si>
  <si>
    <t>1.84L</t>
  </si>
  <si>
    <t>3.82L</t>
  </si>
  <si>
    <t>SS-3</t>
  </si>
  <si>
    <t>3.84L</t>
  </si>
  <si>
    <t>13.82L</t>
  </si>
  <si>
    <t>SS-22</t>
  </si>
  <si>
    <t>22.81L</t>
  </si>
  <si>
    <t>SS-39</t>
  </si>
  <si>
    <t>39.82L</t>
  </si>
  <si>
    <t>SS-38</t>
  </si>
  <si>
    <t>SS-37</t>
  </si>
  <si>
    <t>38.83L</t>
  </si>
  <si>
    <t>37.81L</t>
  </si>
  <si>
    <t>37.82L</t>
  </si>
  <si>
    <t>2.82L</t>
  </si>
  <si>
    <t>2.83L</t>
  </si>
  <si>
    <t>2.80L</t>
  </si>
  <si>
    <t>SS-23</t>
  </si>
  <si>
    <t>23.80L</t>
  </si>
  <si>
    <t>13.60L</t>
  </si>
  <si>
    <t>SS-27</t>
  </si>
  <si>
    <t>16.61L</t>
  </si>
  <si>
    <t>SS-16</t>
  </si>
  <si>
    <t>16.60L</t>
  </si>
  <si>
    <t>SS-34</t>
  </si>
  <si>
    <t>16.63L</t>
  </si>
  <si>
    <t>15.60L</t>
  </si>
  <si>
    <t>15.62L</t>
  </si>
  <si>
    <t>SS-15</t>
  </si>
  <si>
    <t>21.61L</t>
  </si>
  <si>
    <t>691L</t>
  </si>
  <si>
    <t>CHESTERMERE 419S</t>
  </si>
  <si>
    <t>765L</t>
  </si>
  <si>
    <t>STRATHMORE 151S</t>
  </si>
  <si>
    <t>733L</t>
  </si>
  <si>
    <t>NAMAKA 428S</t>
  </si>
  <si>
    <t>2.81L</t>
  </si>
  <si>
    <t>SS-9</t>
  </si>
  <si>
    <t>24.83L</t>
  </si>
  <si>
    <t>SS-24</t>
  </si>
  <si>
    <t>24.81L</t>
  </si>
  <si>
    <t>SS-31</t>
  </si>
  <si>
    <t>24.82L</t>
  </si>
  <si>
    <t>26.83L</t>
  </si>
  <si>
    <t>SS-26</t>
  </si>
  <si>
    <t>26.81L</t>
  </si>
  <si>
    <t>SS-32</t>
  </si>
  <si>
    <t>54.81L</t>
  </si>
  <si>
    <t>SS-54</t>
  </si>
  <si>
    <t>41.84L</t>
  </si>
  <si>
    <t>SS-41</t>
  </si>
  <si>
    <t>31.84L</t>
  </si>
  <si>
    <t>9.83L</t>
  </si>
  <si>
    <t>9.80L</t>
  </si>
  <si>
    <t>SS-43</t>
  </si>
  <si>
    <t>32.83L</t>
  </si>
  <si>
    <t>SS-40</t>
  </si>
  <si>
    <t>40.81L</t>
  </si>
  <si>
    <t>33.83L</t>
  </si>
  <si>
    <t>SS-33</t>
  </si>
  <si>
    <t>33.84L</t>
  </si>
  <si>
    <t>6.80L</t>
  </si>
  <si>
    <t>6.82L</t>
  </si>
  <si>
    <t>SS-6</t>
  </si>
  <si>
    <t>SS-35</t>
  </si>
  <si>
    <t>35.81L</t>
  </si>
  <si>
    <t>1080L</t>
  </si>
  <si>
    <t>1109L</t>
  </si>
  <si>
    <t>1106L</t>
  </si>
  <si>
    <t>1107L</t>
  </si>
  <si>
    <t>GLEICHEN 179S</t>
  </si>
  <si>
    <t>886L</t>
  </si>
  <si>
    <t>HUSSAR 431S</t>
  </si>
  <si>
    <t>CAVALIER</t>
  </si>
  <si>
    <t>876L</t>
  </si>
  <si>
    <t>BLACKIE 253S</t>
  </si>
  <si>
    <t>851L</t>
  </si>
  <si>
    <t>CARSELAND 525S</t>
  </si>
  <si>
    <t>850L</t>
  </si>
  <si>
    <t>OKOTOKS 678S</t>
  </si>
  <si>
    <t>727L</t>
  </si>
  <si>
    <t>HIGH RIVER 65S</t>
  </si>
  <si>
    <t>812L</t>
  </si>
  <si>
    <t>HARTELL 512S</t>
  </si>
  <si>
    <t>812AL</t>
  </si>
  <si>
    <t>BLACK DIAMOND 392S</t>
  </si>
  <si>
    <t>727AL</t>
  </si>
  <si>
    <t>MAGCAN 142S</t>
  </si>
  <si>
    <t>646L</t>
  </si>
  <si>
    <t>434L</t>
  </si>
  <si>
    <t>753L</t>
  </si>
  <si>
    <t>MATL</t>
  </si>
  <si>
    <t>TILLEY 498S</t>
  </si>
  <si>
    <t>1201L</t>
  </si>
  <si>
    <t>CHAPEL ROCK 491S</t>
  </si>
  <si>
    <t>786L</t>
  </si>
  <si>
    <t>COLEMAN 799S</t>
  </si>
  <si>
    <t>170L</t>
  </si>
  <si>
    <t>RUSSELL 632S</t>
  </si>
  <si>
    <t>170AL</t>
  </si>
  <si>
    <t>CASTLE RIVER 239S</t>
  </si>
  <si>
    <t>412L</t>
  </si>
  <si>
    <t>PINCHER CREEK 396S</t>
  </si>
  <si>
    <t>613L</t>
  </si>
  <si>
    <t>164L</t>
  </si>
  <si>
    <t>DRYWOOD 415S</t>
  </si>
  <si>
    <t>514L</t>
  </si>
  <si>
    <t>COWLEY RIDGE 322S</t>
  </si>
  <si>
    <t>514BL</t>
  </si>
  <si>
    <t>LUNDBRECK 513S</t>
  </si>
  <si>
    <t>185L</t>
  </si>
  <si>
    <t>WATERTON 379S</t>
  </si>
  <si>
    <t>RANGELAND YARROW 995S</t>
  </si>
  <si>
    <t>185AL</t>
  </si>
  <si>
    <t>591L</t>
  </si>
  <si>
    <t>SHELL WATERTON 502S</t>
  </si>
  <si>
    <t>162L</t>
  </si>
  <si>
    <t>GLENWOOD 229S</t>
  </si>
  <si>
    <t>225L</t>
  </si>
  <si>
    <t>SPRING COULEE 385S</t>
  </si>
  <si>
    <t>MAGRATH 225S</t>
  </si>
  <si>
    <t>624L</t>
  </si>
  <si>
    <t>SUMMERVIEW 354S</t>
  </si>
  <si>
    <t>893L</t>
  </si>
  <si>
    <t>893AL</t>
  </si>
  <si>
    <t>893BL</t>
  </si>
  <si>
    <t>WINDY POINT 112S</t>
  </si>
  <si>
    <t>OLDMAN RIVER 806S</t>
  </si>
  <si>
    <t>616L</t>
  </si>
  <si>
    <t>KETTLE'S HILL 383S</t>
  </si>
  <si>
    <t>616AL</t>
  </si>
  <si>
    <t>603L</t>
  </si>
  <si>
    <t>SODERGLEN 243S</t>
  </si>
  <si>
    <t>608L</t>
  </si>
  <si>
    <t>608AL</t>
  </si>
  <si>
    <t>BLUE TRAIL 528S</t>
  </si>
  <si>
    <t>ARDENVILLE WIND FARM 418S</t>
  </si>
  <si>
    <t>863L</t>
  </si>
  <si>
    <t>RIVERBEND 618S</t>
  </si>
  <si>
    <t>891L</t>
  </si>
  <si>
    <t>GARDEN CITY 226S</t>
  </si>
  <si>
    <t>RAYMOND RESERVOIR 313S</t>
  </si>
  <si>
    <t>225AL</t>
  </si>
  <si>
    <t>STIRLING 67S</t>
  </si>
  <si>
    <t>508L</t>
  </si>
  <si>
    <t>WARNER 344S</t>
  </si>
  <si>
    <t>820L</t>
  </si>
  <si>
    <t>CHIN CHUTE 315S</t>
  </si>
  <si>
    <t>820AL</t>
  </si>
  <si>
    <t>COALDALE 254S</t>
  </si>
  <si>
    <t>172L</t>
  </si>
  <si>
    <t>HILLRIDGE 139S</t>
  </si>
  <si>
    <t>172EL</t>
  </si>
  <si>
    <t>TABER 83S</t>
  </si>
  <si>
    <t>770L</t>
  </si>
  <si>
    <t>734L</t>
  </si>
  <si>
    <t>UPLANDS 241S</t>
  </si>
  <si>
    <t>813L</t>
  </si>
  <si>
    <t>MACDONALD 146S</t>
  </si>
  <si>
    <t>667L</t>
  </si>
  <si>
    <t>823L</t>
  </si>
  <si>
    <t>824L</t>
  </si>
  <si>
    <t>LAKEVIEW 593S</t>
  </si>
  <si>
    <t>207L</t>
  </si>
  <si>
    <t>COALBANKS 111S</t>
  </si>
  <si>
    <t>725L</t>
  </si>
  <si>
    <t>725AL</t>
  </si>
  <si>
    <t>BOWRON 674S</t>
  </si>
  <si>
    <t>MCBRIDE LAKE 240S</t>
  </si>
  <si>
    <t>725BL</t>
  </si>
  <si>
    <t>FORT MACLEOD 15S</t>
  </si>
  <si>
    <t>463L</t>
  </si>
  <si>
    <t>CHINOOK 181S</t>
  </si>
  <si>
    <t>463AL</t>
  </si>
  <si>
    <t>MONARCH 492S</t>
  </si>
  <si>
    <t>180L</t>
  </si>
  <si>
    <t>EAST STAVELY 928S</t>
  </si>
  <si>
    <t>VULCAN 255S</t>
  </si>
  <si>
    <t>197L</t>
  </si>
  <si>
    <t>STAVELY 349S</t>
  </si>
  <si>
    <t>161L</t>
  </si>
  <si>
    <t>QUEENSTOWN 504S</t>
  </si>
  <si>
    <t>853L</t>
  </si>
  <si>
    <t>BASSANO 435S</t>
  </si>
  <si>
    <t>853AL</t>
  </si>
  <si>
    <t>814L</t>
  </si>
  <si>
    <t>BROOKS 121S</t>
  </si>
  <si>
    <t>827L</t>
  </si>
  <si>
    <t>831L</t>
  </si>
  <si>
    <t>831AL</t>
  </si>
  <si>
    <t>CUTTING LAKE 227S</t>
  </si>
  <si>
    <t>DUCHESS 339S</t>
  </si>
  <si>
    <t>795L</t>
  </si>
  <si>
    <t>HAYS 421S</t>
  </si>
  <si>
    <t>821L</t>
  </si>
  <si>
    <t>VAUXHALL 158S</t>
  </si>
  <si>
    <t>763L</t>
  </si>
  <si>
    <t>763AL</t>
  </si>
  <si>
    <t>ENCHANT 447S</t>
  </si>
  <si>
    <t>HULL 257S</t>
  </si>
  <si>
    <t>507L</t>
  </si>
  <si>
    <t>666L</t>
  </si>
  <si>
    <t>100L</t>
  </si>
  <si>
    <t>SUFFIELD 895S</t>
  </si>
  <si>
    <t>892L</t>
  </si>
  <si>
    <t>610L</t>
  </si>
  <si>
    <t>FINCASTLE 336S</t>
  </si>
  <si>
    <t>607L</t>
  </si>
  <si>
    <t>607AL</t>
  </si>
  <si>
    <t>TABER WIND FARM 134S</t>
  </si>
  <si>
    <t>CONRAD 135S</t>
  </si>
  <si>
    <t>612L</t>
  </si>
  <si>
    <t>BURDETT 368S</t>
  </si>
  <si>
    <t>722L</t>
  </si>
  <si>
    <t>WESTFIELD 107S</t>
  </si>
  <si>
    <t>879L</t>
  </si>
  <si>
    <t>601L</t>
  </si>
  <si>
    <t>WARDLOW 230S</t>
  </si>
  <si>
    <t>600L</t>
  </si>
  <si>
    <t>BULLSHEAD 523S</t>
  </si>
  <si>
    <t>PEACE BUTTE 404S</t>
  </si>
  <si>
    <t>880L</t>
  </si>
  <si>
    <t>AL ROTHBAUER 321S</t>
  </si>
  <si>
    <t>MEDICINE HAT 41S</t>
  </si>
  <si>
    <t>675L</t>
  </si>
  <si>
    <t>676L</t>
  </si>
  <si>
    <t>674L</t>
  </si>
  <si>
    <t>CHAPPICE LAKE 649S</t>
  </si>
  <si>
    <t>658L</t>
  </si>
  <si>
    <t>668L</t>
  </si>
  <si>
    <t>EMPRESS 394S</t>
  </si>
  <si>
    <t>669L</t>
  </si>
  <si>
    <t>760L</t>
  </si>
  <si>
    <t>830L</t>
  </si>
  <si>
    <t>MCNEILL STATION 840S</t>
  </si>
  <si>
    <t>869L</t>
  </si>
  <si>
    <t>SANDY POINT 204S</t>
  </si>
  <si>
    <t>871L</t>
  </si>
  <si>
    <t>SAND HILLS SUB 341S</t>
  </si>
  <si>
    <t>760AL</t>
  </si>
  <si>
    <t>EMPRESS LIQUIDS 164S</t>
  </si>
  <si>
    <t>7L13</t>
  </si>
  <si>
    <t>7L760</t>
  </si>
  <si>
    <t>7LA760</t>
  </si>
  <si>
    <t>BINDLOSS 914S</t>
  </si>
  <si>
    <t>199L</t>
  </si>
  <si>
    <t>7L67</t>
  </si>
  <si>
    <t>7L82</t>
  </si>
  <si>
    <t>7L62</t>
  </si>
  <si>
    <t>7L63</t>
  </si>
  <si>
    <t>7L64</t>
  </si>
  <si>
    <t>7L06</t>
  </si>
  <si>
    <t>156L</t>
  </si>
  <si>
    <t>526L</t>
  </si>
  <si>
    <t>6L11</t>
  </si>
  <si>
    <t>723L</t>
  </si>
  <si>
    <t>788L</t>
  </si>
  <si>
    <t>796L</t>
  </si>
  <si>
    <t>799L</t>
  </si>
  <si>
    <t>7L121</t>
  </si>
  <si>
    <t>7L23</t>
  </si>
  <si>
    <t>7L230</t>
  </si>
  <si>
    <t>7L32</t>
  </si>
  <si>
    <t>7L33</t>
  </si>
  <si>
    <t>7L51</t>
  </si>
  <si>
    <t>7L56</t>
  </si>
  <si>
    <t>7L97</t>
  </si>
  <si>
    <t>9L56</t>
  </si>
  <si>
    <t>1085L</t>
  </si>
  <si>
    <t>1086L</t>
  </si>
  <si>
    <t>158L</t>
  </si>
  <si>
    <t>29PL6-27</t>
  </si>
  <si>
    <t>29PL6-28</t>
  </si>
  <si>
    <t>29EDD-29</t>
  </si>
  <si>
    <t>29PL6-29</t>
  </si>
  <si>
    <t>29EDD-67</t>
  </si>
  <si>
    <t>29EDD-93</t>
  </si>
  <si>
    <t>521AL</t>
  </si>
  <si>
    <t>SUNDANCE BLOW-DOWN 867S</t>
  </si>
  <si>
    <t>6L15</t>
  </si>
  <si>
    <t>6L12</t>
  </si>
  <si>
    <t>6L37</t>
  </si>
  <si>
    <t>HINES CREEK 724S</t>
  </si>
  <si>
    <t>6L16</t>
  </si>
  <si>
    <t>EUREKA RIVER 861S</t>
  </si>
  <si>
    <t>703BL</t>
  </si>
  <si>
    <t>708L</t>
  </si>
  <si>
    <t>RIVERSIDE 388S</t>
  </si>
  <si>
    <t>708AL</t>
  </si>
  <si>
    <t>GRANITE 342S</t>
  </si>
  <si>
    <t>SCORIA 318S</t>
  </si>
  <si>
    <t>OPAL 439S</t>
  </si>
  <si>
    <t>72CN10</t>
  </si>
  <si>
    <t>72LH8</t>
  </si>
  <si>
    <t>740AL</t>
  </si>
  <si>
    <t>GULF ROBB 414S</t>
  </si>
  <si>
    <t>748L</t>
  </si>
  <si>
    <t>75-PLH-901</t>
  </si>
  <si>
    <t>75-PLH-902</t>
  </si>
  <si>
    <t>767AL</t>
  </si>
  <si>
    <t>767CL</t>
  </si>
  <si>
    <t>NEW ROSE VALLEY 635S</t>
  </si>
  <si>
    <t>7LA129</t>
  </si>
  <si>
    <t>7LA45</t>
  </si>
  <si>
    <t>7L95</t>
  </si>
  <si>
    <t>MAHKESES 889S</t>
  </si>
  <si>
    <t>803L</t>
  </si>
  <si>
    <t>809L</t>
  </si>
  <si>
    <t>430L</t>
  </si>
  <si>
    <t>997L</t>
  </si>
  <si>
    <t>9L07</t>
  </si>
  <si>
    <t>PCESO1L</t>
  </si>
  <si>
    <t>PCESO2L</t>
  </si>
  <si>
    <t>BALZAC CO-GEN</t>
  </si>
  <si>
    <t>MOUNTAIN COALBED 411S</t>
  </si>
  <si>
    <t>72RW3</t>
  </si>
  <si>
    <t>MOON LAKE 131S</t>
  </si>
  <si>
    <t>N.W. CARDIFF 191S</t>
  </si>
  <si>
    <t>BLATCHFORD</t>
  </si>
  <si>
    <t>DML</t>
  </si>
  <si>
    <t>MILDRED LAKE</t>
  </si>
  <si>
    <t>29EDD-22</t>
  </si>
  <si>
    <t>124L</t>
  </si>
  <si>
    <t>WABAMUN 2739S</t>
  </si>
  <si>
    <t>KEMP RIVER 797S</t>
  </si>
  <si>
    <t>H.R. MILNER 740S</t>
  </si>
  <si>
    <t>2020 Long-term Transmission Plan (including SLDs)</t>
  </si>
  <si>
    <t>https://www.aeso.ca/grid/long-term-transmission-plan/</t>
  </si>
  <si>
    <t>Node Code</t>
  </si>
  <si>
    <t>29EDD-94</t>
  </si>
  <si>
    <t>AB_852S_JCT</t>
  </si>
  <si>
    <t>AB_951S_SUB</t>
  </si>
  <si>
    <t>AB_310P_JCT</t>
  </si>
  <si>
    <t>AB_271S_JCT</t>
  </si>
  <si>
    <t>AB_165S_JCT</t>
  </si>
  <si>
    <t>AB_238S_JCT</t>
  </si>
  <si>
    <t>AB_139S_JCT</t>
  </si>
  <si>
    <t>AB_373S_JCT</t>
  </si>
  <si>
    <t>AB_259S_JCT</t>
  </si>
  <si>
    <t>AB_359S_JCT</t>
  </si>
  <si>
    <t>AB_313S_JCT</t>
  </si>
  <si>
    <t>AB_43S_JCT</t>
  </si>
  <si>
    <t>AB_492S_JCT</t>
  </si>
  <si>
    <t>AB_221S_JCT</t>
  </si>
  <si>
    <t>AB_252S_JCT</t>
  </si>
  <si>
    <t>AB_983S_JCT</t>
  </si>
  <si>
    <t>AB_322S_JCT</t>
  </si>
  <si>
    <t>AB_661S_JCT</t>
  </si>
  <si>
    <t>AB_996S_JCT</t>
  </si>
  <si>
    <t>AB_887S_JCT</t>
  </si>
  <si>
    <t>AB_867S_JCT</t>
  </si>
  <si>
    <t>AB_638S_JCT</t>
  </si>
  <si>
    <t>AB_659S_JCT</t>
  </si>
  <si>
    <t>AB_35S_JCT</t>
  </si>
  <si>
    <t>AB_29S_JCT</t>
  </si>
  <si>
    <t>AB_134S_JCT</t>
  </si>
  <si>
    <t>AB_528S_JCT</t>
  </si>
  <si>
    <t>AB_383S_JCT</t>
  </si>
  <si>
    <t>AB_765S_JCT</t>
  </si>
  <si>
    <t>AB_773S_JCT</t>
  </si>
  <si>
    <t>AB_137S_JCT</t>
  </si>
  <si>
    <t>AB_329S_JCT</t>
  </si>
  <si>
    <t>AB_452S_JCT</t>
  </si>
  <si>
    <t>AB_388S_JCT</t>
  </si>
  <si>
    <t>AB_XINL_JCT</t>
  </si>
  <si>
    <t>AB_634S_JCT</t>
  </si>
  <si>
    <t>AB_581S_JCT</t>
  </si>
  <si>
    <t>AB_1S_JCT</t>
  </si>
  <si>
    <t>AB_240S_JCT</t>
  </si>
  <si>
    <t>AB_142S_JCT</t>
  </si>
  <si>
    <t>AB_6500S_JCT</t>
  </si>
  <si>
    <t>AB_299S_JCT</t>
  </si>
  <si>
    <t>AB_301S_JCT</t>
  </si>
  <si>
    <t>AB_4RS_JCT</t>
  </si>
  <si>
    <t>AB_414S_JCT</t>
  </si>
  <si>
    <t>AB_527S_JCT</t>
  </si>
  <si>
    <t>AB_985S_JCT</t>
  </si>
  <si>
    <t>AB_106S_JCT</t>
  </si>
  <si>
    <t>AB_411S_JCT</t>
  </si>
  <si>
    <t>AB_975S_JCT</t>
  </si>
  <si>
    <t>AB_267S_JCT</t>
  </si>
  <si>
    <t>AB_653S_JCT</t>
  </si>
  <si>
    <t>AB_534S_JCT</t>
  </si>
  <si>
    <t>AB_164S_JCT</t>
  </si>
  <si>
    <t>AB_447S_JCT</t>
  </si>
  <si>
    <t>AB_21S_JCT</t>
  </si>
  <si>
    <t>AB_635S_JCT</t>
  </si>
  <si>
    <t>AB_482S_JCT</t>
  </si>
  <si>
    <t>AB_906S_JCT</t>
  </si>
  <si>
    <t>AB_140S_JCT</t>
  </si>
  <si>
    <t>AB_105S_JCT</t>
  </si>
  <si>
    <t>AB_242S_JCT</t>
  </si>
  <si>
    <t>AB_823S_JCT</t>
  </si>
  <si>
    <t>AB_2033S_JCT</t>
  </si>
  <si>
    <t>AB_834S_SUB</t>
  </si>
  <si>
    <t>AB_658S_JCT</t>
  </si>
  <si>
    <t>AB_869S_JCT</t>
  </si>
  <si>
    <t>AB_833S_JCT</t>
  </si>
  <si>
    <t>AB_918S_JCT</t>
  </si>
  <si>
    <t>AB_679S_JCT</t>
  </si>
  <si>
    <t>AB_936S_JCT</t>
  </si>
  <si>
    <t>AB_114S_JCT</t>
  </si>
  <si>
    <t>AB_2081S_JCT</t>
  </si>
  <si>
    <t>AB_865S_JCT</t>
  </si>
  <si>
    <t>AB_234S_JCT</t>
  </si>
  <si>
    <t>AB_940S_JCT</t>
  </si>
  <si>
    <t>AB_728S_JCT</t>
  </si>
  <si>
    <t>AB_798S_JCT</t>
  </si>
  <si>
    <t>AB_882S_JCT</t>
  </si>
  <si>
    <t>AB_969S_JCT</t>
  </si>
  <si>
    <t>AB_890S_JCT</t>
  </si>
  <si>
    <t>AB_764S_JCT</t>
  </si>
  <si>
    <t>AB_880S_JCT</t>
  </si>
  <si>
    <t>AB_914S_JCT</t>
  </si>
  <si>
    <t>AB_2018S_JCT</t>
  </si>
  <si>
    <t>AB_956S_JCT</t>
  </si>
  <si>
    <t>AB_2014S_JCT</t>
  </si>
  <si>
    <t>AB_62S_SUB</t>
  </si>
  <si>
    <t>AB_445S_JCT</t>
  </si>
  <si>
    <t>AB_40S_JCT</t>
  </si>
  <si>
    <t>AB_402S_JCT</t>
  </si>
  <si>
    <t>AB_947S_JCT</t>
  </si>
  <si>
    <t>AB_512S_JCT</t>
  </si>
  <si>
    <t>AB_315S_JCT</t>
  </si>
  <si>
    <t>AB_227S_JCT</t>
  </si>
  <si>
    <t>AB_454S_JCT</t>
  </si>
  <si>
    <t>AB_531S_JCT</t>
  </si>
  <si>
    <t>AB_435S_JCT</t>
  </si>
  <si>
    <t>AB_348S_JCT</t>
  </si>
  <si>
    <t>AB_226S_JCT</t>
  </si>
  <si>
    <t>AB_346S_JCT</t>
  </si>
  <si>
    <t>AB_355S_JCT</t>
  </si>
  <si>
    <t>AB_112S_JCT</t>
  </si>
  <si>
    <t>AB_64S_JCT</t>
  </si>
  <si>
    <t>AB_68S_JCT</t>
  </si>
  <si>
    <t>PP_BCAB2_IPT</t>
  </si>
  <si>
    <t>PP_BCAB1_IPT</t>
  </si>
  <si>
    <t>PP_BCAB4_IPT</t>
  </si>
  <si>
    <t>PP_ABSK1_IPT</t>
  </si>
  <si>
    <t>PP_BCAB3_IPT</t>
  </si>
  <si>
    <t>XX_ABUS1_INT</t>
  </si>
  <si>
    <t>Starting Node Code</t>
  </si>
  <si>
    <t>Ending Node Code</t>
  </si>
  <si>
    <t>Strathcona</t>
  </si>
  <si>
    <t>Line is also referred to as 413L</t>
  </si>
  <si>
    <t>AB_500S_JCT</t>
  </si>
  <si>
    <t>AB_618S_JCT</t>
  </si>
  <si>
    <t>STRATHCONA</t>
  </si>
  <si>
    <t>AB_337S_JCT</t>
  </si>
  <si>
    <t>903T</t>
  </si>
  <si>
    <t>1201T</t>
  </si>
  <si>
    <t>Transformers</t>
  </si>
  <si>
    <t>BENNETT 520S</t>
  </si>
  <si>
    <t>VICTORIA</t>
  </si>
  <si>
    <t>Substation Code</t>
  </si>
  <si>
    <t>Summer Capacity</t>
  </si>
  <si>
    <t>Winter Capacity</t>
  </si>
  <si>
    <t>AB_E52S_JCT</t>
  </si>
  <si>
    <t>EAST INDUSTRIAL E52S</t>
  </si>
  <si>
    <t>ac</t>
  </si>
  <si>
    <t>SYSTEM CHARACTERISTICS</t>
  </si>
  <si>
    <t>Natural Gas CT</t>
  </si>
  <si>
    <t>Wind</t>
  </si>
  <si>
    <t>COPPER Balancing Area</t>
  </si>
  <si>
    <t>alberta.a</t>
  </si>
  <si>
    <t>FORT HILLS 505S</t>
  </si>
  <si>
    <t>IRRICAN POWER 314S</t>
  </si>
  <si>
    <t>Connecting Node Name</t>
  </si>
  <si>
    <t>Connecting Node Code</t>
  </si>
  <si>
    <t>Connecting Voltage</t>
  </si>
  <si>
    <t>Generation Type - COPPER</t>
  </si>
  <si>
    <t>Capacity Adjustment</t>
  </si>
  <si>
    <t>Effective Capacity</t>
  </si>
  <si>
    <t>coal</t>
  </si>
  <si>
    <t>hydro_run</t>
  </si>
  <si>
    <t>wind</t>
  </si>
  <si>
    <t>solar</t>
  </si>
  <si>
    <t>https://www.capitalpower.com/operations/genesee-3/</t>
  </si>
  <si>
    <t>https://maximpowercorp.com/hr-milner-generating-station/</t>
  </si>
  <si>
    <t>Prairie Sunlight II</t>
  </si>
  <si>
    <t>Solar Krafte Utilities</t>
  </si>
  <si>
    <t>https://www.prairiesunlight.com/prairiesunlighttwo</t>
  </si>
  <si>
    <t>Prairie Sunlight III</t>
  </si>
  <si>
    <t>https://www.prairiesunlight.com/prairiesunlightthree</t>
  </si>
  <si>
    <t>Vauxhall</t>
  </si>
  <si>
    <t>Prairie Sunlight I</t>
  </si>
  <si>
    <t>Enchant</t>
  </si>
  <si>
    <t>https://www.prairiesunlight.com/prairiesunlightone</t>
  </si>
  <si>
    <t>Wrentham</t>
  </si>
  <si>
    <t>https://www.prairiesunlight.com/wrentham</t>
  </si>
  <si>
    <t>https://www.prairiesunlight.com/strathmore</t>
  </si>
  <si>
    <t>Spring Coulee</t>
  </si>
  <si>
    <t>https://www.prairiesunlight.com/springcoulee</t>
  </si>
  <si>
    <t>https://www.prairiesunlight.com/vauxhall</t>
  </si>
  <si>
    <t>Travers</t>
  </si>
  <si>
    <t>Travers Solar GP</t>
  </si>
  <si>
    <t>https://www.traverssolar.com</t>
  </si>
  <si>
    <t>Wheatcrest</t>
  </si>
  <si>
    <t>BluEarth Renewables</t>
  </si>
  <si>
    <t>https://bluearthrenewables.com/projects/wheatcrest-solar-project/</t>
  </si>
  <si>
    <t>Suffield</t>
  </si>
  <si>
    <t>https://bluearthrenewables.com/projects/yellow-lake-solar-project/</t>
  </si>
  <si>
    <t>Yellow Lake</t>
  </si>
  <si>
    <t>https://bluearthrenewables.com/projects/suffield-solar-project/</t>
  </si>
  <si>
    <t>https://bluearthrenewables.com/projects/burdett-solar-project/</t>
  </si>
  <si>
    <t>Claresholm</t>
  </si>
  <si>
    <t>Capstone Infractructure</t>
  </si>
  <si>
    <t>https://www.capstoneinfrastructure.com/our-businesses/in-development/claresholm</t>
  </si>
  <si>
    <t>Jenner</t>
  </si>
  <si>
    <t>Champion</t>
  </si>
  <si>
    <t>http://www.jennersolar.com</t>
  </si>
  <si>
    <t>C&amp;B Alberta Solar Development</t>
  </si>
  <si>
    <t>http://www.tilleysolar.com</t>
  </si>
  <si>
    <t>Tilley</t>
  </si>
  <si>
    <t>Hays</t>
  </si>
  <si>
    <t>http://www.hayssolar.com/CBA.html</t>
  </si>
  <si>
    <t>https://www.enbridge.com/projects-and-infrastructure/projects/alberta-solar-one-project</t>
  </si>
  <si>
    <t>Enbridge</t>
  </si>
  <si>
    <t>Barlow</t>
  </si>
  <si>
    <t>DP Energy</t>
  </si>
  <si>
    <t>https://www.dpenergy.com/projects/canada-barlow-solar-park-alberta/</t>
  </si>
  <si>
    <t>https://www.dpenergy.com/projects/canada-deerfoot-solar-park-alberta/</t>
  </si>
  <si>
    <t>Deerfoot</t>
  </si>
  <si>
    <t>Drumheller</t>
  </si>
  <si>
    <t>Longspur Developments</t>
  </si>
  <si>
    <t>Buffalo Atlee</t>
  </si>
  <si>
    <t>https://buffaloatlee.com</t>
  </si>
  <si>
    <t>Innisfail</t>
  </si>
  <si>
    <t>http://elementalenergy.ca/portfolio/innisfail-solar/</t>
  </si>
  <si>
    <t>Cowley North</t>
  </si>
  <si>
    <t>https://www.transalta.com/facilities/plants-operation/</t>
  </si>
  <si>
    <t>ENMAX / Transalta</t>
  </si>
  <si>
    <t>Macleod Flats</t>
  </si>
  <si>
    <t>Castle River</t>
  </si>
  <si>
    <t>Bull Creek</t>
  </si>
  <si>
    <t>Kettles Hill</t>
  </si>
  <si>
    <t>Box Springs</t>
  </si>
  <si>
    <t>Blackspring Ridge</t>
  </si>
  <si>
    <t>Forty Mile</t>
  </si>
  <si>
    <t>Maleb</t>
  </si>
  <si>
    <t>https://www.suncor.com/en-ca/about-us/wind-power/suncor-energy-forty-mile-wind-power-project</t>
  </si>
  <si>
    <t>Sharp Hills</t>
  </si>
  <si>
    <t>EDP Renewables</t>
  </si>
  <si>
    <t>Oyen</t>
  </si>
  <si>
    <t>https://sharphillswindfarm.com</t>
  </si>
  <si>
    <t>Summerview 1</t>
  </si>
  <si>
    <t>Summerview 2</t>
  </si>
  <si>
    <t>Whitla 2</t>
  </si>
  <si>
    <t>https://www.capitalpower.com/operations/whitla-wind-2/</t>
  </si>
  <si>
    <t>AESO IPP contract durations presumed to be: hydroelectric - all terminating in 2034; wind - 20 years; solar - 20 years; biomass - 15 years; biogas automatically renewed</t>
  </si>
  <si>
    <t>Whitla 3</t>
  </si>
  <si>
    <t>https://www.capitalpower.com/operations/whitla-wind-3/</t>
  </si>
  <si>
    <t>Jenner Solar</t>
  </si>
  <si>
    <t>Windrise</t>
  </si>
  <si>
    <t>https://www.transalta.com/facilities/plants-operation/windrise/</t>
  </si>
  <si>
    <t>EDF Renewables</t>
  </si>
  <si>
    <t>Bull Trail</t>
  </si>
  <si>
    <t>https://www.edf-re.com/project/bull-trail-wind/about/</t>
  </si>
  <si>
    <t>Irvine</t>
  </si>
  <si>
    <t>Potentia Renewables</t>
  </si>
  <si>
    <t>https://jennerwind.com</t>
  </si>
  <si>
    <t>Stirling</t>
  </si>
  <si>
    <t>https://stirlingwind.com</t>
  </si>
  <si>
    <t>Castlerock Ridge I</t>
  </si>
  <si>
    <t>Castlerock Ridge II</t>
  </si>
  <si>
    <t>https://www.enelgreenpower.com/our-projects/highlights/castle-rock-ridge-wind-farms</t>
  </si>
  <si>
    <t>BHE Canada</t>
  </si>
  <si>
    <t>http://www.rattlesnakeridgewind.com/about-the-project/project-details/</t>
  </si>
  <si>
    <t>Wheatland</t>
  </si>
  <si>
    <t>Potentia Renewables / Greengate</t>
  </si>
  <si>
    <t>Dorothy</t>
  </si>
  <si>
    <t>https://wheatlandwind.com</t>
  </si>
  <si>
    <t>Wild Rose 1</t>
  </si>
  <si>
    <t>NaturEner</t>
  </si>
  <si>
    <t>Wild Rose 2</t>
  </si>
  <si>
    <t>https://majorprojects.alberta.ca/details/Wild-Rose-1-Wind-Farm/2005</t>
  </si>
  <si>
    <t>https://www.auc.ab.ca/regulatory_documents/ProceedingDocuments/2019/24912-D01-2019.pdf</t>
  </si>
  <si>
    <t>Rattlesnake Ridge</t>
  </si>
  <si>
    <t>WindCharger</t>
  </si>
  <si>
    <t>Storage</t>
  </si>
  <si>
    <t>Storage Capacity</t>
  </si>
  <si>
    <t>Storage Energy</t>
  </si>
  <si>
    <t>Duration</t>
  </si>
  <si>
    <t>Associated Generation</t>
  </si>
  <si>
    <t>(Hours)</t>
  </si>
  <si>
    <t>Cost</t>
  </si>
  <si>
    <t>https://ereserve-project.com</t>
  </si>
  <si>
    <t>eReserve 1</t>
  </si>
  <si>
    <t>Teric Power Ltd.</t>
  </si>
  <si>
    <t>Rycroft</t>
  </si>
  <si>
    <t>Grid</t>
  </si>
  <si>
    <t>eReserve 2</t>
  </si>
  <si>
    <t>Jarrow</t>
  </si>
  <si>
    <t>eReserve 3</t>
  </si>
  <si>
    <t>AESO IPP contract durations presumed to be: storage - 20 years</t>
  </si>
  <si>
    <t>Lethbridge</t>
  </si>
  <si>
    <t>EXISTING STORAGE</t>
  </si>
  <si>
    <t>Primary sources for the provincial data</t>
  </si>
  <si>
    <t>Generation</t>
  </si>
  <si>
    <t>Characteristics of existing interconnected generators</t>
  </si>
  <si>
    <t>Capacity Adjustment (ELCC)</t>
  </si>
  <si>
    <t>Natural Gas CC</t>
  </si>
  <si>
    <t>Biomass / Biogas</t>
  </si>
  <si>
    <t>Solar</t>
  </si>
  <si>
    <t>Natural Gas CG</t>
  </si>
  <si>
    <t>DGC varies from 88 per cent to 100 per cent of installed capacity, so 94% used as an average</t>
  </si>
  <si>
    <t>DGC varies from 88 per cent to 100 per cent of installed capacity, so 94% used as an average; BC Hydro presumes a minimum 18% capacity factor for its SCGTs</t>
  </si>
  <si>
    <t>Brooks was 17% capacity factor in 2019</t>
  </si>
  <si>
    <t>ELCC based on BC Hydro approach</t>
  </si>
  <si>
    <t>Nova Scotia Power Inc.</t>
  </si>
  <si>
    <t>NS Power 2020 IRP Modeling Results Release</t>
  </si>
  <si>
    <t>https://irp.nspower.ca/documents/modeling-results/</t>
  </si>
  <si>
    <t>Nova Scotia</t>
  </si>
  <si>
    <t>AESO 2019 Annual Market Statistics</t>
  </si>
  <si>
    <t>https://www.aeso.ca/market/market-and-system-reporting/annual-market-statistic-reports/</t>
  </si>
  <si>
    <t>Alberta</t>
  </si>
  <si>
    <t>Canada</t>
  </si>
  <si>
    <t>Alberta, British Columbia</t>
  </si>
  <si>
    <t>Alberta Utilities Commission</t>
  </si>
  <si>
    <t>Annual Electricity Data</t>
  </si>
  <si>
    <t>https://www.auc.ab.ca/Pages/annual-electricity-data.aspx</t>
  </si>
  <si>
    <t>See also: https://www.researchgate.net/publication/335777532_Assessing_Capacity_Value_of_Wind_in_Alberta</t>
  </si>
  <si>
    <t>The reserve margin is "assumed" by the AESO pending final determination.</t>
  </si>
  <si>
    <t>Imperial Oil</t>
  </si>
  <si>
    <t>Cascade Hydro_01</t>
  </si>
  <si>
    <t>Cascade Hydro_02</t>
  </si>
  <si>
    <t>Cascade Gas_01</t>
  </si>
  <si>
    <t>Kineticor</t>
  </si>
  <si>
    <t>Cascade Gas_02</t>
  </si>
  <si>
    <t>https://cascadepower.ca</t>
  </si>
  <si>
    <t>East Strathmore</t>
  </si>
  <si>
    <t>http://elementalenergy.ca/portfolio/east-strathmore-solar/</t>
  </si>
  <si>
    <t>Chappice Lake</t>
  </si>
  <si>
    <t>http://elementalenergy.ca/portfolio/chappice-lake-solar/</t>
  </si>
  <si>
    <t>Clairmont Lake</t>
  </si>
  <si>
    <t>Kaybob</t>
  </si>
  <si>
    <t>Fox Creek</t>
  </si>
  <si>
    <t>HR Milner</t>
  </si>
  <si>
    <t>West Pembina</t>
  </si>
  <si>
    <t>https://www.keyera.com/titanweb/keyera/webcms.nsf/AllDoc/A9EC018EADDB389B87257F7D00621F79/$File/West%20Pembina%20Fact%20Sheet.pdf</t>
  </si>
  <si>
    <t>Violet Grove</t>
  </si>
  <si>
    <t>https://majorprojects.alberta.ca/details/Kaybob-South-3-Cogeneration-Plant/3927</t>
  </si>
  <si>
    <t>Bear Creek_01</t>
  </si>
  <si>
    <t>Bear Creek_02</t>
  </si>
  <si>
    <t>Belly River</t>
  </si>
  <si>
    <t>Blue Trail</t>
  </si>
  <si>
    <t>Carson Creek</t>
  </si>
  <si>
    <t>Chin Chute Hydro</t>
  </si>
  <si>
    <t>Dickson Dam_01</t>
  </si>
  <si>
    <t>Dickson Dam_02</t>
  </si>
  <si>
    <t>Dickson Dam_03</t>
  </si>
  <si>
    <t>Grand Prairie</t>
  </si>
  <si>
    <t>Green Acres</t>
  </si>
  <si>
    <t>(miles)</t>
  </si>
  <si>
    <t>Reactance as function of voltage</t>
  </si>
  <si>
    <t>Surge Impedance Loading</t>
  </si>
  <si>
    <t>CPI - Canada (all items)</t>
  </si>
  <si>
    <t>Zc (High)</t>
  </si>
  <si>
    <t>Zc 
(Low)</t>
  </si>
  <si>
    <t>SIL (Low)</t>
  </si>
  <si>
    <t>SIL
(High)</t>
  </si>
  <si>
    <t>(V)</t>
  </si>
  <si>
    <t>(ohm/km)</t>
  </si>
  <si>
    <t>(ohms)</t>
  </si>
  <si>
    <t>SIL (Low) assumed for summer and SIL (High) for winter</t>
  </si>
  <si>
    <t>Values estimated between known values</t>
  </si>
  <si>
    <t>Surge impedance loading (SIL) is the power delivered by a lossless line to a load resistance equal to the surge impedance Zc = (L/C)^0.5</t>
  </si>
  <si>
    <t>L = inductance</t>
  </si>
  <si>
    <t>C = capacitance</t>
  </si>
  <si>
    <t>(ohm)</t>
  </si>
  <si>
    <t>Summer Ampacity</t>
  </si>
  <si>
    <t>Winter Ampacity</t>
  </si>
  <si>
    <t>Smax</t>
  </si>
  <si>
    <t>AB-Sources</t>
  </si>
  <si>
    <t>Overbye et al.</t>
  </si>
  <si>
    <t>Power System Analysis and Design (Sixth Edition). Table 5.2</t>
  </si>
  <si>
    <t xml:space="preserve">Athari, MH and Zhifang, W. </t>
  </si>
  <si>
    <t xml:space="preserve">Interdependence of Transmission Branch Parameters on the Voltage Levels. Electrical Engineering and Systems Science. </t>
  </si>
  <si>
    <t>https://arxiv.org/abs/1709.06930</t>
  </si>
  <si>
    <t>Gutman, R., Marchenko, P.P., and Dunlop, R.D.</t>
  </si>
  <si>
    <t>Analytical Development of Loadability Characteristics for EHV and UHV Transmission Lines</t>
  </si>
  <si>
    <t>http://home.eng.iastate.edu/~jdm/ee552/StClairAEP.pdf</t>
  </si>
  <si>
    <t>Renewal Year</t>
  </si>
  <si>
    <t>Annual Average Energy - Plant</t>
  </si>
  <si>
    <t>Characteristics of existing grid-scale storage facilities</t>
  </si>
  <si>
    <t>https://www.newswire.ca/news-releases/transalta-renewables-announces-commercial-operation-of-windcharger-alberta-s-first-utility-scale-battery-storage-project-860743949.html
https://www.energy-storage.news/news/first-grid-scale-battery-storage-project-in-alberta-canada-comes-online-thi</t>
  </si>
  <si>
    <t>When a substation contains two voltage levels, the generator connects at the more appropriate voltage based on generator capacity</t>
  </si>
  <si>
    <t>Unless noted otherwise, the wind generating stations are presumed to be connected to the nearest 69 kV substation</t>
  </si>
  <si>
    <t>Effective capacities estimated using the ELCC values in the "System" tab</t>
  </si>
  <si>
    <t>Unless already included in total capital costs, a distance of 25 km is added to distance to market grid to account for potential grid interconnection costs</t>
  </si>
  <si>
    <t>Assume hydro_daily and hydro_monthly generation has dependable capacity equal to installed capacity</t>
  </si>
  <si>
    <t>Smax = Loadability in multiples of SIL = 42.40 (Length in Miles)^(−0.6595) (this is a power function interpolation of Figure 7 in Gutman et al.)</t>
  </si>
  <si>
    <t>2009-2018</t>
  </si>
  <si>
    <t>Mid-load forecast for use in COPPER</t>
  </si>
  <si>
    <t>Low-load forecast for use in COPPER</t>
  </si>
  <si>
    <t>High-load forecast for use in COPPER</t>
  </si>
  <si>
    <t>FORECAST PEAK DEMAND</t>
  </si>
  <si>
    <t>FORECAST ANNUAL ENERGY DEMAND</t>
  </si>
  <si>
    <t>Inputs</t>
  </si>
  <si>
    <t>Inputs to the data calculations</t>
  </si>
  <si>
    <t>INPUT DATA AND ASSUMPTIONS</t>
  </si>
  <si>
    <t>Transmission line flow ratings</t>
  </si>
  <si>
    <t>Conversions</t>
  </si>
  <si>
    <t>MH Values</t>
  </si>
  <si>
    <t>Winter/Summer Tranmission Flow Conversion</t>
  </si>
  <si>
    <t>Winter/Summer Transformer Flow Conversion</t>
  </si>
  <si>
    <t>Index</t>
  </si>
  <si>
    <t>Same values used for 63-72 kV</t>
  </si>
  <si>
    <t>Statistics Canada – TABLE 18-10-0005-01,  annual average, not seasonally adjusted</t>
  </si>
  <si>
    <t>Ampacity estimates made from known ratings on existing lines</t>
  </si>
  <si>
    <t>MH estimates provided by David Jacobson in an email of July 30, 2019</t>
  </si>
  <si>
    <t>Existing Design</t>
  </si>
  <si>
    <t>Renewal Design</t>
  </si>
  <si>
    <t>Costs</t>
  </si>
  <si>
    <t>Renewal Project Code</t>
  </si>
  <si>
    <t>Pumped Storage Project</t>
  </si>
  <si>
    <t>Project Code</t>
  </si>
  <si>
    <t>Reservoir Design</t>
  </si>
  <si>
    <t xml:space="preserve">No Existing Project </t>
  </si>
  <si>
    <t>Taylor Coulee</t>
  </si>
  <si>
    <t>St Mary River</t>
  </si>
  <si>
    <t>St Mary Transalta</t>
  </si>
  <si>
    <t>https://www.transalta.com/facilities/plants-operation/st-mary/</t>
  </si>
  <si>
    <t>Gen Code</t>
  </si>
  <si>
    <t>EXISTING TRANSFORMERS</t>
  </si>
  <si>
    <t>https://www.brazeauhydro.com/details/</t>
  </si>
  <si>
    <t>ADS 2028 Deliverables Datasets</t>
  </si>
  <si>
    <t>ADS 2028 Deliverables Anchor Data Set</t>
  </si>
  <si>
    <t>Nodes</t>
  </si>
  <si>
    <t>Characteristics of existing transmission system nodes</t>
  </si>
  <si>
    <t>Distribution</t>
  </si>
  <si>
    <t>Characteristics of existing distribution substations</t>
  </si>
  <si>
    <t>AB_HNT01_GEN</t>
  </si>
  <si>
    <t>AB_GNC01_GEN</t>
  </si>
  <si>
    <t>AB_KHC01_GEN</t>
  </si>
  <si>
    <t>AB_SHC01_GEN</t>
  </si>
  <si>
    <t>AB_BIG01_GEN</t>
  </si>
  <si>
    <t>AB_BRA01_GEN</t>
  </si>
  <si>
    <t>AB_CSC01_GEN</t>
  </si>
  <si>
    <t>AB_GHT01_GEN</t>
  </si>
  <si>
    <t>AB_RND01_GEN</t>
  </si>
  <si>
    <t>AB_SPR01_GEN</t>
  </si>
  <si>
    <t>AB_DKSN01_GEN</t>
  </si>
  <si>
    <t>AB_HSH01_GEN</t>
  </si>
  <si>
    <t>AB_KNK01_GEN</t>
  </si>
  <si>
    <t>AB_CSG01_GEN</t>
  </si>
  <si>
    <t>AB_GNG01_GEN</t>
  </si>
  <si>
    <t>AB_KHG01_GEN</t>
  </si>
  <si>
    <t>AB_SHG01_GEN</t>
  </si>
  <si>
    <t>AB_CSL01_GEN</t>
  </si>
  <si>
    <t>AB_DOW01_GEN</t>
  </si>
  <si>
    <t>AB_FRK01_GEN</t>
  </si>
  <si>
    <t>AB_MHK01_GEN</t>
  </si>
  <si>
    <t>AB_NBY01_GEN</t>
  </si>
  <si>
    <t>AB_UOA01_GEN</t>
  </si>
  <si>
    <t>AB_ENC01_GEN</t>
  </si>
  <si>
    <t>AB_CRS01_GEN</t>
  </si>
  <si>
    <t>AB_VVW01_GEN</t>
  </si>
  <si>
    <t>AB_WTT01_GEN</t>
  </si>
  <si>
    <t>AB_PSN01_GEN</t>
  </si>
  <si>
    <t>AB_CRR01_GEN</t>
  </si>
  <si>
    <t>AB_JNW01_GEN</t>
  </si>
  <si>
    <t>AB_WLA01_GEN</t>
  </si>
  <si>
    <t>AB_WRS01_GEN</t>
  </si>
  <si>
    <t>AB_HNT02_GEN</t>
  </si>
  <si>
    <t>AB_GNC02_GEN</t>
  </si>
  <si>
    <t>AB_KHC02_GEN</t>
  </si>
  <si>
    <t>AB_SHC02_GEN</t>
  </si>
  <si>
    <t>AB_BIG02_GEN</t>
  </si>
  <si>
    <t>AB_BRA02_GEN</t>
  </si>
  <si>
    <t>AB_CSC02_GEN</t>
  </si>
  <si>
    <t>AB_GHT02_GEN</t>
  </si>
  <si>
    <t>AB_RND02_GEN</t>
  </si>
  <si>
    <t>AB_SPR02_GEN</t>
  </si>
  <si>
    <t>AB_DKSN02_GEN</t>
  </si>
  <si>
    <t>AB_HSH02_GEN</t>
  </si>
  <si>
    <t>AB_KNK02_GEN</t>
  </si>
  <si>
    <t>AB_CSG02_GEN</t>
  </si>
  <si>
    <t>AB_GNG02_GEN</t>
  </si>
  <si>
    <t>AB_KHG02_GEN</t>
  </si>
  <si>
    <t>AB_SHG02_GEN</t>
  </si>
  <si>
    <t>AB_BCR02_GEN</t>
  </si>
  <si>
    <t>AB_CSL02_GEN</t>
  </si>
  <si>
    <t>AB_DOW02_GEN</t>
  </si>
  <si>
    <t>AB_FRK02_GEN</t>
  </si>
  <si>
    <t>AB_MHK02_GEN</t>
  </si>
  <si>
    <t>AB_NBY02_GEN</t>
  </si>
  <si>
    <t>AB_UOA02_GEN</t>
  </si>
  <si>
    <t>AB_ENC02_GEN</t>
  </si>
  <si>
    <t>AB_CRS02_GEN</t>
  </si>
  <si>
    <t>AB_VVW02_GEN</t>
  </si>
  <si>
    <t>AB_WTT02_GEN</t>
  </si>
  <si>
    <t>AB_PSN02_GEN</t>
  </si>
  <si>
    <t>AB_CRR02_GEN</t>
  </si>
  <si>
    <t>AB_JNW02_GEN</t>
  </si>
  <si>
    <t>AB_WLA02_GEN</t>
  </si>
  <si>
    <t>AB_WRS02_GEN</t>
  </si>
  <si>
    <t>AB_GNC03_GEN</t>
  </si>
  <si>
    <t>AB_KHC03_GEN</t>
  </si>
  <si>
    <t>AB_GHT03_GEN</t>
  </si>
  <si>
    <t>AB_DKSN03_GEN</t>
  </si>
  <si>
    <t>AB_HSH03_GEN</t>
  </si>
  <si>
    <t>AB_KNK03_GEN</t>
  </si>
  <si>
    <t>AB_GNG03_GEN</t>
  </si>
  <si>
    <t>AB_KHG03_GEN</t>
  </si>
  <si>
    <t>AB_DOW03_GEN</t>
  </si>
  <si>
    <t>AB_ENC03_GEN</t>
  </si>
  <si>
    <t>AB_CRS03_GEN</t>
  </si>
  <si>
    <t>AB_PSN03_GEN</t>
  </si>
  <si>
    <t>AB_WLA03_GEN</t>
  </si>
  <si>
    <t>AB_BRC04_GEN</t>
  </si>
  <si>
    <t>AB_SDC04_GEN</t>
  </si>
  <si>
    <t>AB_GHT04_GEN</t>
  </si>
  <si>
    <t>AB_HSH04_GEN</t>
  </si>
  <si>
    <t>AB_BRG04_GEN</t>
  </si>
  <si>
    <t>AB_SDG04_GEN</t>
  </si>
  <si>
    <t>AB_BRC05_GEN</t>
  </si>
  <si>
    <t>AB_BRG05_GEN</t>
  </si>
  <si>
    <t>AB_SDG05_GEN</t>
  </si>
  <si>
    <t>AB_SDC06_GEN</t>
  </si>
  <si>
    <t>AB_SDG06_GEN</t>
  </si>
  <si>
    <t>Operating Region</t>
  </si>
  <si>
    <t>biomass</t>
  </si>
  <si>
    <t>gasCC</t>
  </si>
  <si>
    <t>gasSC</t>
  </si>
  <si>
    <t>DFS = Dual Function Distribution and Generation Substation</t>
  </si>
  <si>
    <t>DSS = Distribution Substation</t>
  </si>
  <si>
    <t>GEN = Generating Unit</t>
  </si>
  <si>
    <t>GSS = Generating Substation</t>
  </si>
  <si>
    <t>ISS = Industrial Customer Substation</t>
  </si>
  <si>
    <t>SWS = Switching Station</t>
  </si>
  <si>
    <t>TSS = Terminal Station</t>
  </si>
  <si>
    <t>Line connection assumed</t>
  </si>
  <si>
    <t>AB_56S_DSS</t>
  </si>
  <si>
    <t>AB_498S_DSS</t>
  </si>
  <si>
    <t>AB_SS24_DSS</t>
  </si>
  <si>
    <t>AB_679S_DSS</t>
  </si>
  <si>
    <t>AB_137S_DSS</t>
  </si>
  <si>
    <t>AB_229S_DSS</t>
  </si>
  <si>
    <t>AB_198S_DSS</t>
  </si>
  <si>
    <t>AB_485S_DSS</t>
  </si>
  <si>
    <t>AB_528S_DSS</t>
  </si>
  <si>
    <t>AB_277S_DSS</t>
  </si>
  <si>
    <t>AB_404S_DSS</t>
  </si>
  <si>
    <t>AB_SS162_DSS</t>
  </si>
  <si>
    <t>AB_268S_DSS</t>
  </si>
  <si>
    <t>AB_39S_DSS</t>
  </si>
  <si>
    <t>AB_XCAV_DSS</t>
  </si>
  <si>
    <t>AB_649S_DSS</t>
  </si>
  <si>
    <t>AB_139S_DSS</t>
  </si>
  <si>
    <t>AB_928S_DSS</t>
  </si>
  <si>
    <t>AB_396S_DSS</t>
  </si>
  <si>
    <t>AB_653S_DSS</t>
  </si>
  <si>
    <t>AB_731S_DSS</t>
  </si>
  <si>
    <t>AB_63S_DSS</t>
  </si>
  <si>
    <t>AB_802S_DSS</t>
  </si>
  <si>
    <t>AB_103S_DSS</t>
  </si>
  <si>
    <t>AB_428S_DSS</t>
  </si>
  <si>
    <t>AB_251S_DSS</t>
  </si>
  <si>
    <t>AB_114S_DSS</t>
  </si>
  <si>
    <t>AB_798S_DSS</t>
  </si>
  <si>
    <t>AB_758S_DSS</t>
  </si>
  <si>
    <t>AB_435S_DSS</t>
  </si>
  <si>
    <t>AB_975S_DSS</t>
  </si>
  <si>
    <t>AB_824S_DSS</t>
  </si>
  <si>
    <t>AB_83S_DSS</t>
  </si>
  <si>
    <t>AB_762S_DSS</t>
  </si>
  <si>
    <t>AB_391S_DSS</t>
  </si>
  <si>
    <t>AB_944S_DSS</t>
  </si>
  <si>
    <t>AB_259S_DSS</t>
  </si>
  <si>
    <t>AB_112S_DSS</t>
  </si>
  <si>
    <t>AB_349S_DSS</t>
  </si>
  <si>
    <t>AB_257S_DSS</t>
  </si>
  <si>
    <t>AB_158S_DSS</t>
  </si>
  <si>
    <t>AB_388S_DSS</t>
  </si>
  <si>
    <t>AB_767S_DSS</t>
  </si>
  <si>
    <t>AB_729S_DSS</t>
  </si>
  <si>
    <t>AB_848S_DSS</t>
  </si>
  <si>
    <t>AB_805S_DSS</t>
  </si>
  <si>
    <t>AB_SS36_DSS</t>
  </si>
  <si>
    <t>AB_131S_DSS</t>
  </si>
  <si>
    <t>AB_813S_DSS</t>
  </si>
  <si>
    <t>AB_709S_DSS</t>
  </si>
  <si>
    <t>AB_602S_DSS</t>
  </si>
  <si>
    <t>AB_830S_DSS</t>
  </si>
  <si>
    <t>AB_A808S_DSS</t>
  </si>
  <si>
    <t>AB_1018S_DSS</t>
  </si>
  <si>
    <t>AB_138S_DSS</t>
  </si>
  <si>
    <t>AB_135S_DSS</t>
  </si>
  <si>
    <t>AB_122S_GSS</t>
  </si>
  <si>
    <t>AB_418S_GSS</t>
  </si>
  <si>
    <t>AB_32S_GSS</t>
  </si>
  <si>
    <t>AB_757S_GSS</t>
  </si>
  <si>
    <t>AB_44S_GSS</t>
  </si>
  <si>
    <t>AB_250P_GSS</t>
  </si>
  <si>
    <t>AB_62S_GSS</t>
  </si>
  <si>
    <t>AB_121S_GSS</t>
  </si>
  <si>
    <t>AB_454S_GSS</t>
  </si>
  <si>
    <t>AB_285S_GSS</t>
  </si>
  <si>
    <t>AB_525S_GSS</t>
  </si>
  <si>
    <t>AB_29S_GSS</t>
  </si>
  <si>
    <t>AB_239S_GSS</t>
  </si>
  <si>
    <t>AB_205S_GSS</t>
  </si>
  <si>
    <t>AB_315S_GSS</t>
  </si>
  <si>
    <t>AB_723S_GSS</t>
  </si>
  <si>
    <t>AB_987S_GSS</t>
  </si>
  <si>
    <t>AB_254S_GSS</t>
  </si>
  <si>
    <t>AB_839S_GSS</t>
  </si>
  <si>
    <t>AB_58S_GSS</t>
  </si>
  <si>
    <t>AB_505S_GSS</t>
  </si>
  <si>
    <t>AB_1200S_GSS</t>
  </si>
  <si>
    <t>AB_20S_GSS</t>
  </si>
  <si>
    <t>AB_615S_GSS</t>
  </si>
  <si>
    <t>AB_238S_GSS</t>
  </si>
  <si>
    <t>AB_421S_GSS</t>
  </si>
  <si>
    <t>AB_842S_GSS</t>
  </si>
  <si>
    <t>AB_740S_GSS</t>
  </si>
  <si>
    <t>AB_214S_GSS</t>
  </si>
  <si>
    <t>AB_49S_GSS</t>
  </si>
  <si>
    <t>AB_275S_GSS</t>
  </si>
  <si>
    <t>AB_535S_GSS</t>
  </si>
  <si>
    <t>AB_2S_GSS</t>
  </si>
  <si>
    <t>AB_346S_GSS</t>
  </si>
  <si>
    <t>AB_9900S_GSS</t>
  </si>
  <si>
    <t>AB_320P_GSS</t>
  </si>
  <si>
    <t>AB_383S_GSS</t>
  </si>
  <si>
    <t>AB_368S_GSS</t>
  </si>
  <si>
    <t>AB_15S_GSS</t>
  </si>
  <si>
    <t>AB_969S_GSS</t>
  </si>
  <si>
    <t>AB_874S_GSS</t>
  </si>
  <si>
    <t>AB_225S_GSS</t>
  </si>
  <si>
    <t>AB_889S_GSS</t>
  </si>
  <si>
    <t>AB_240S_GSS</t>
  </si>
  <si>
    <t>AB_41S_GSS</t>
  </si>
  <si>
    <t>AB_847S_GSS</t>
  </si>
  <si>
    <t>AB_942S_GSS</t>
  </si>
  <si>
    <t>AB_864S_GSS</t>
  </si>
  <si>
    <t>AB_806S_GSS</t>
  </si>
  <si>
    <t>AB_48S_GSS</t>
  </si>
  <si>
    <t>AB_790S_GSS</t>
  </si>
  <si>
    <t>AB_859S_GSS</t>
  </si>
  <si>
    <t>AB_791S_GSS</t>
  </si>
  <si>
    <t>AB_850S_GSS</t>
  </si>
  <si>
    <t>AB_313S_GSS</t>
  </si>
  <si>
    <t>AB_35S_GSS</t>
  </si>
  <si>
    <t>AB_865S_GSS</t>
  </si>
  <si>
    <t>AB_409S_GSS</t>
  </si>
  <si>
    <t>AB_807S_GSS</t>
  </si>
  <si>
    <t>AB_378S_GSS</t>
  </si>
  <si>
    <t>AB_SS25_GSS</t>
  </si>
  <si>
    <t>AB_172S_GSS</t>
  </si>
  <si>
    <t>AB_243S_GSS</t>
  </si>
  <si>
    <t>AB_33S_GSS</t>
  </si>
  <si>
    <t>AB_385S_GSS</t>
  </si>
  <si>
    <t>AB_67S_GSS</t>
  </si>
  <si>
    <t>AB_XSTR_GSS</t>
  </si>
  <si>
    <t>AB_151S_GSS</t>
  </si>
  <si>
    <t>AB_895S_GSS</t>
  </si>
  <si>
    <t>AB_354S_GSS</t>
  </si>
  <si>
    <t>AB_310P_GSS</t>
  </si>
  <si>
    <t>AB_134S_GSS</t>
  </si>
  <si>
    <t>AB_36S_GSS</t>
  </si>
  <si>
    <t>AB_477S_GSS</t>
  </si>
  <si>
    <t>AB_438S_GSS</t>
  </si>
  <si>
    <t>AB_609S_GSS</t>
  </si>
  <si>
    <t>AB_993S_DSS</t>
  </si>
  <si>
    <t>AB_305S_DSS</t>
  </si>
  <si>
    <t>AB_321S_DSS</t>
  </si>
  <si>
    <t>AB_875S_DSS</t>
  </si>
  <si>
    <t>AB_108S_DSS</t>
  </si>
  <si>
    <t>AB_801S_DSS</t>
  </si>
  <si>
    <t>AB_930S_DSS</t>
  </si>
  <si>
    <t>AB_XARG_DSS</t>
  </si>
  <si>
    <t>AB_123S_DSS</t>
  </si>
  <si>
    <t>AB_681S_DSS</t>
  </si>
  <si>
    <t>AB_197S_DSS</t>
  </si>
  <si>
    <t>AB_317S_DSS</t>
  </si>
  <si>
    <t>AB_747S_DSS</t>
  </si>
  <si>
    <t>AB_918S_DSS</t>
  </si>
  <si>
    <t>AB_437S_DSS</t>
  </si>
  <si>
    <t>AB_233S_DSS</t>
  </si>
  <si>
    <t>AB_940S_DSS</t>
  </si>
  <si>
    <t>AB_XBEL_DSS</t>
  </si>
  <si>
    <t>AB_17S_DSS</t>
  </si>
  <si>
    <t>AB_397S_DSS</t>
  </si>
  <si>
    <t>AB_520S_DSS</t>
  </si>
  <si>
    <t>AB_293S_DSS</t>
  </si>
  <si>
    <t>AB_843S_DSS</t>
  </si>
  <si>
    <t>AB_845S_DSS</t>
  </si>
  <si>
    <t>AB_756S_DSS</t>
  </si>
  <si>
    <t>AB_86S_DSS</t>
  </si>
  <si>
    <t>AB_105S_DSS</t>
  </si>
  <si>
    <t>AB_914S_DSS</t>
  </si>
  <si>
    <t>AB_960S_DSS</t>
  </si>
  <si>
    <t>AB_392S_DSS</t>
  </si>
  <si>
    <t>AB_154S_DSS</t>
  </si>
  <si>
    <t>AB_253S_DSS</t>
  </si>
  <si>
    <t>AB_155S_DSS</t>
  </si>
  <si>
    <t>AB_XBLA_DSS</t>
  </si>
  <si>
    <t>AB_832S_DSS</t>
  </si>
  <si>
    <t>AB_931S_DSS</t>
  </si>
  <si>
    <t>AB_700S_DSS</t>
  </si>
  <si>
    <t>AB_829S_DSS</t>
  </si>
  <si>
    <t>AB_970S_DSS</t>
  </si>
  <si>
    <t>AB_244S_DSS</t>
  </si>
  <si>
    <t>AB_674S_DSS</t>
  </si>
  <si>
    <t>AB_358S_DSS</t>
  </si>
  <si>
    <t>AB_294S_DSS</t>
  </si>
  <si>
    <t>AB_45S_DSS</t>
  </si>
  <si>
    <t>AB_185S_DSS</t>
  </si>
  <si>
    <t>AB_880S_DSS</t>
  </si>
  <si>
    <t>AB_876S_DSS</t>
  </si>
  <si>
    <t>AB_420S_DSS</t>
  </si>
  <si>
    <t>AB_536S_DSS</t>
  </si>
  <si>
    <t>AB_127S_DSS</t>
  </si>
  <si>
    <t>AB_927S_DSS</t>
  </si>
  <si>
    <t>AB_526S_DSS</t>
  </si>
  <si>
    <t>AB_538S_DSS</t>
  </si>
  <si>
    <t>AB_803S_DSS</t>
  </si>
  <si>
    <t>AB_523S_DSS</t>
  </si>
  <si>
    <t>AB_983S_DSS</t>
  </si>
  <si>
    <t>AB_783S_DSS</t>
  </si>
  <si>
    <t>AB_118S_DSS</t>
  </si>
  <si>
    <t>AB_302S_DSS</t>
  </si>
  <si>
    <t>AB_432S_DSS</t>
  </si>
  <si>
    <t>AB_T756S_DSS</t>
  </si>
  <si>
    <t>AB_324S_DSS</t>
  </si>
  <si>
    <t>AB_XCAS_DSS</t>
  </si>
  <si>
    <t>AB_759S_DSS</t>
  </si>
  <si>
    <t>AB_491S_DSS</t>
  </si>
  <si>
    <t>AB_658S_DSS</t>
  </si>
  <si>
    <t>AB_338S_DSS</t>
  </si>
  <si>
    <t>AB_419S_DSS</t>
  </si>
  <si>
    <t>AB_101S_DSS</t>
  </si>
  <si>
    <t>AB_779S_DSS</t>
  </si>
  <si>
    <t>AB_181S_DSS</t>
  </si>
  <si>
    <t>AB_811S_DSS</t>
  </si>
  <si>
    <t>AB_656S_DSS</t>
  </si>
  <si>
    <t>AB_150S_DSS</t>
  </si>
  <si>
    <t>AB_527S_DSS</t>
  </si>
  <si>
    <t>AB_111S_DSS</t>
  </si>
  <si>
    <t>AB_426S_DSS</t>
  </si>
  <si>
    <t>AB_291S_DSS</t>
  </si>
  <si>
    <t>AB_799S_DSS</t>
  </si>
  <si>
    <t>AB_159S_DSS</t>
  </si>
  <si>
    <t>AB_522S_DSS</t>
  </si>
  <si>
    <t>AB_755S_DSS</t>
  </si>
  <si>
    <t>AB_773S_DSS</t>
  </si>
  <si>
    <t>AB_322S_DSS</t>
  </si>
  <si>
    <t>AB_963S_DSS</t>
  </si>
  <si>
    <t>AB_827S_DSS</t>
  </si>
  <si>
    <t>AB_511S_DSS</t>
  </si>
  <si>
    <t>AB_860S_DSS</t>
  </si>
  <si>
    <t>AB_722S_DSS</t>
  </si>
  <si>
    <t>AB_227S_DSS</t>
  </si>
  <si>
    <t>AB_178S_DSS</t>
  </si>
  <si>
    <t>AB_562S_DSS</t>
  </si>
  <si>
    <t>AB_2011S_DSS</t>
  </si>
  <si>
    <t>AB_1012S_DSS</t>
  </si>
  <si>
    <t>AB_13S_DSS</t>
  </si>
  <si>
    <t>AB_14S_DSS</t>
  </si>
  <si>
    <t>AB_2082S_DSS</t>
  </si>
  <si>
    <t>AB_XDOM_DSS</t>
  </si>
  <si>
    <t>AB_810S_DSS</t>
  </si>
  <si>
    <t>AB_784S_DSS</t>
  </si>
  <si>
    <t>AB_888S_DSS</t>
  </si>
  <si>
    <t>AB_186S_DSS</t>
  </si>
  <si>
    <t>AB_415S_DSS</t>
  </si>
  <si>
    <t>AB_339S_DSS</t>
  </si>
  <si>
    <t>AB_412S_DSS</t>
  </si>
  <si>
    <t>AB_199S_DSS</t>
  </si>
  <si>
    <t>AB_5S_DSS</t>
  </si>
  <si>
    <t>AB_64S_DSS</t>
  </si>
  <si>
    <t>AB_38S_DSS</t>
  </si>
  <si>
    <t>AB_E52S_DSS</t>
  </si>
  <si>
    <t>AB_534S_DSS</t>
  </si>
  <si>
    <t>AB_899S_DSS</t>
  </si>
  <si>
    <t>AB_739S_DSS</t>
  </si>
  <si>
    <t>AB_445S_DSS</t>
  </si>
  <si>
    <t>AB_89S_DSS</t>
  </si>
  <si>
    <t>AB_332S_DSS</t>
  </si>
  <si>
    <t>AB_394S_DSS</t>
  </si>
  <si>
    <t>AB_447S_DSS</t>
  </si>
  <si>
    <t>AB_2060S_DSS</t>
  </si>
  <si>
    <t>AB_235S_DSS</t>
  </si>
  <si>
    <t>AB_542S_DSS</t>
  </si>
  <si>
    <t>AB_717S_DSS</t>
  </si>
  <si>
    <t>AB_861S_DSS</t>
  </si>
  <si>
    <t>AB_910S_DSS</t>
  </si>
  <si>
    <t>AB_985S_DSS</t>
  </si>
  <si>
    <t>AB_558S_DSS</t>
  </si>
  <si>
    <t>AB_XFIB_DSS</t>
  </si>
  <si>
    <t>AB_406S_DSS</t>
  </si>
  <si>
    <t>AB_312S_DSS</t>
  </si>
  <si>
    <t>AB_336S_DSS</t>
  </si>
  <si>
    <t>AB_242S_DSS</t>
  </si>
  <si>
    <t>AB_500S_DSS</t>
  </si>
  <si>
    <t>AB_749S_DSS</t>
  </si>
  <si>
    <t>AB_237S_DSS</t>
  </si>
  <si>
    <t>AB_234S_DSS</t>
  </si>
  <si>
    <t>AB_54S_DSS</t>
  </si>
  <si>
    <t>AB_741S_DSS</t>
  </si>
  <si>
    <t>AB_347S_DSS</t>
  </si>
  <si>
    <t>AB_742S_DSS</t>
  </si>
  <si>
    <t>AB_800S_DSS</t>
  </si>
  <si>
    <t>AB_87S_DSS</t>
  </si>
  <si>
    <t>AB_226S_DSS</t>
  </si>
  <si>
    <t>AB_XGAR_DSS</t>
  </si>
  <si>
    <t>AB_330P_DSS</t>
  </si>
  <si>
    <t>AB_950S_DSS</t>
  </si>
  <si>
    <t>AB_179S_DSS</t>
  </si>
  <si>
    <t>AB_815S_DSS</t>
  </si>
  <si>
    <t>AB_725S_DSS</t>
  </si>
  <si>
    <t>AB_846S_DSS</t>
  </si>
  <si>
    <t>AB_342S_DSS</t>
  </si>
  <si>
    <t>AB_282S_DSS</t>
  </si>
  <si>
    <t>AB_925S_DSS</t>
  </si>
  <si>
    <t>AB_883S_DSS</t>
  </si>
  <si>
    <t>AB_414S_DSS</t>
  </si>
  <si>
    <t>AB_748S_DSS</t>
  </si>
  <si>
    <t>AB_2014S_DSS</t>
  </si>
  <si>
    <t>AB_855S_DSS</t>
  </si>
  <si>
    <t>AB_820S_DSS</t>
  </si>
  <si>
    <t>AB_763S_DSS</t>
  </si>
  <si>
    <t>AB_650S_DSS</t>
  </si>
  <si>
    <t>AB_XHAR_DSS</t>
  </si>
  <si>
    <t>AB_377S_DSS</t>
  </si>
  <si>
    <t>AB_256S_DSS</t>
  </si>
  <si>
    <t>AB_367S_DSS</t>
  </si>
  <si>
    <t>AB_512S_DSS</t>
  </si>
  <si>
    <t>AB_482S_DSS</t>
  </si>
  <si>
    <t>AB_287S_DSS</t>
  </si>
  <si>
    <t>AB_898S_DSS</t>
  </si>
  <si>
    <t>AB_12S_DSS</t>
  </si>
  <si>
    <t>AB_948S_DSS</t>
  </si>
  <si>
    <t>AB_2029S_DSS</t>
  </si>
  <si>
    <t>AB_764S_DSS</t>
  </si>
  <si>
    <t>AB_786S_DSS</t>
  </si>
  <si>
    <t>AB_787S_DSS</t>
  </si>
  <si>
    <t>AB_65S_DSS</t>
  </si>
  <si>
    <t>AB_751S_DSS</t>
  </si>
  <si>
    <t>AB_724S_DSS</t>
  </si>
  <si>
    <t>AB_T793S_DSS</t>
  </si>
  <si>
    <t>AB_917S_DSS</t>
  </si>
  <si>
    <t>AB_3S_DSS</t>
  </si>
  <si>
    <t>AB_737S_DSS</t>
  </si>
  <si>
    <t>AB_788S_DSS</t>
  </si>
  <si>
    <t>AB_329S_DSS</t>
  </si>
  <si>
    <t>AB_213S_DSS</t>
  </si>
  <si>
    <t>AB_431S_DSS</t>
  </si>
  <si>
    <t>AB_XINL_DSS</t>
  </si>
  <si>
    <t>AB_167S_DSS</t>
  </si>
  <si>
    <t>AB_706S_DSS</t>
  </si>
  <si>
    <t>AB_920S_DSS</t>
  </si>
  <si>
    <t>AB_698S_DSS</t>
  </si>
  <si>
    <t>AB_74S_DSS</t>
  </si>
  <si>
    <t>AB_252S_DSS</t>
  </si>
  <si>
    <t>AB_281S_DSS</t>
  </si>
  <si>
    <t>AB_410S_DSS</t>
  </si>
  <si>
    <t>AB_849S_DSS</t>
  </si>
  <si>
    <t>AB_271S_DSS</t>
  </si>
  <si>
    <t>AB_43S_DSS</t>
  </si>
  <si>
    <t>AB_857S_DSS</t>
  </si>
  <si>
    <t>AB_789S_DSS</t>
  </si>
  <si>
    <t>AB_797S_DSS</t>
  </si>
  <si>
    <t>AB_XKEN_DSS</t>
  </si>
  <si>
    <t>AB_2049S_DSS</t>
  </si>
  <si>
    <t>AB_384S_DSS</t>
  </si>
  <si>
    <t>AB_878S_DSS</t>
  </si>
  <si>
    <t>AB_267S_DSS</t>
  </si>
  <si>
    <t>AB_299S_DSS</t>
  </si>
  <si>
    <t>AB_856S_DSS</t>
  </si>
  <si>
    <t>AB_727S_DSS</t>
  </si>
  <si>
    <t>AB_651S_DSS</t>
  </si>
  <si>
    <t>AB_705S_DSS</t>
  </si>
  <si>
    <t>AB_216S_DSS</t>
  </si>
  <si>
    <t>AB_754S_DSS</t>
  </si>
  <si>
    <t>AB_157S_DSS</t>
  </si>
  <si>
    <t>AB_721S_DSS</t>
  </si>
  <si>
    <t>AB_953S_DSS</t>
  </si>
  <si>
    <t>AB_508S_DSS</t>
  </si>
  <si>
    <t>AB_593S_DSS</t>
  </si>
  <si>
    <t>AB_XLAM_DSS</t>
  </si>
  <si>
    <t>AB_71S_DSS</t>
  </si>
  <si>
    <t>AB_959S_DSS</t>
  </si>
  <si>
    <t>AB_102S_DSS</t>
  </si>
  <si>
    <t>AB_661S_DSS</t>
  </si>
  <si>
    <t>AB_325S_DSS</t>
  </si>
  <si>
    <t>AB_72S_DSS</t>
  </si>
  <si>
    <t>AB_715S_DSS</t>
  </si>
  <si>
    <t>AB_304S_DSS</t>
  </si>
  <si>
    <t>AB_939S_DSS</t>
  </si>
  <si>
    <t>AB_716S_DSS</t>
  </si>
  <si>
    <t>AB_61S_DSS</t>
  </si>
  <si>
    <t>AB_841S_DSS</t>
  </si>
  <si>
    <t>AB_809S_DSS</t>
  </si>
  <si>
    <t>AB_903S_DSS</t>
  </si>
  <si>
    <t>AB_780S_DSS</t>
  </si>
  <si>
    <t>AB_513S_DSS</t>
  </si>
  <si>
    <t>AB_146S_DSS</t>
  </si>
  <si>
    <t>AB_373S_DSS</t>
  </si>
  <si>
    <t>AB_142S_DSS</t>
  </si>
  <si>
    <t>AB_837S_DSS</t>
  </si>
  <si>
    <t>AB_909S_DSS</t>
  </si>
  <si>
    <t>AB_765S_DSS</t>
  </si>
  <si>
    <t>AB_826S_DSS</t>
  </si>
  <si>
    <t>AB_833S_DSS</t>
  </si>
  <si>
    <t>AB_21S_DSS</t>
  </si>
  <si>
    <t>AB_873S_DSS</t>
  </si>
  <si>
    <t>AB_348S_DSS</t>
  </si>
  <si>
    <t>AB_957S_DSS</t>
  </si>
  <si>
    <t>AB_885S_DSS</t>
  </si>
  <si>
    <t>AB_840S_DSS</t>
  </si>
  <si>
    <t>AB_2081S_DSS</t>
  </si>
  <si>
    <t>AB_XMEA_DSS</t>
  </si>
  <si>
    <t>AB_905S_DSS</t>
  </si>
  <si>
    <t>AB_890S_DSS</t>
  </si>
  <si>
    <t>AB_728S_DSS</t>
  </si>
  <si>
    <t>AB_648S_DSS</t>
  </si>
  <si>
    <t>AB_XMIL_DSS</t>
  </si>
  <si>
    <t>AB_484S_DSS</t>
  </si>
  <si>
    <t>AB_356S_DSS</t>
  </si>
  <si>
    <t>AB_732S_DSS</t>
  </si>
  <si>
    <t>AB_492S_DSS</t>
  </si>
  <si>
    <t>AB_774S_DSS</t>
  </si>
  <si>
    <t>AB_851S_DSS</t>
  </si>
  <si>
    <t>AB_411S_DSS</t>
  </si>
  <si>
    <t>AB_2033S_DSS</t>
  </si>
  <si>
    <t>AB_115S_DSS</t>
  </si>
  <si>
    <t>AB_2018S_DSS</t>
  </si>
  <si>
    <t>AB_212S_DSS</t>
  </si>
  <si>
    <t>AB_191S_DSS</t>
  </si>
  <si>
    <t>AB_XNAM_DSS</t>
  </si>
  <si>
    <t>AB_858S_DSS</t>
  </si>
  <si>
    <t>AB_429S_DSS</t>
  </si>
  <si>
    <t>AB_766S_DSS</t>
  </si>
  <si>
    <t>AB_635S_DSS</t>
  </si>
  <si>
    <t>AB_2075S_DSS</t>
  </si>
  <si>
    <t>AB_574S_DSS</t>
  </si>
  <si>
    <t>AB_796S_DSS</t>
  </si>
  <si>
    <t>AB_149S_DSS</t>
  </si>
  <si>
    <t>AB_936S_DSS</t>
  </si>
  <si>
    <t>AB_812S_DSS</t>
  </si>
  <si>
    <t>AB_69S_DSS</t>
  </si>
  <si>
    <t>AB_37S_DSS</t>
  </si>
  <si>
    <t>AB_395S_DSS</t>
  </si>
  <si>
    <t>AB_370S_DSS</t>
  </si>
  <si>
    <t>AB_217S_DSS</t>
  </si>
  <si>
    <t>AB_99S_DSS</t>
  </si>
  <si>
    <t>AB_284S_DSS</t>
  </si>
  <si>
    <t>AB_946S_DSS</t>
  </si>
  <si>
    <t>AB_678S_DSS</t>
  </si>
  <si>
    <t>AB_55S_DSS</t>
  </si>
  <si>
    <t>AB_352S_DSS</t>
  </si>
  <si>
    <t>AB_439S_DSS</t>
  </si>
  <si>
    <t>AB_106S_DSS</t>
  </si>
  <si>
    <t>AB_863S_DSS</t>
  </si>
  <si>
    <t>AB_718S_DSS</t>
  </si>
  <si>
    <t>AB_659S_DSS</t>
  </si>
  <si>
    <t>AB_59S_DSS</t>
  </si>
  <si>
    <t>AB_932S_DSS</t>
  </si>
  <si>
    <t>AB_184S_DSS</t>
  </si>
  <si>
    <t>AB_XPET_DSS</t>
  </si>
  <si>
    <t>AB_120S_DSS</t>
  </si>
  <si>
    <t>AB_964S_DSS</t>
  </si>
  <si>
    <t>AB_170S_DSS</t>
  </si>
  <si>
    <t>AB_207S_DSS</t>
  </si>
  <si>
    <t>AB_247S_DSS</t>
  </si>
  <si>
    <t>AB_353S_DSS</t>
  </si>
  <si>
    <t>AB_UE1S_DSS</t>
  </si>
  <si>
    <t>AB_331S_DSS</t>
  </si>
  <si>
    <t>AB_XPOU_DSS</t>
  </si>
  <si>
    <t>AB_545S_DSS</t>
  </si>
  <si>
    <t>AB_301S_DSS</t>
  </si>
  <si>
    <t>AB_504S_DSS</t>
  </si>
  <si>
    <t>AB_989S_DSS</t>
  </si>
  <si>
    <t>AB_995S_DSS</t>
  </si>
  <si>
    <t>AB_634S_DSS</t>
  </si>
  <si>
    <t>AB_RD15S_DSS</t>
  </si>
  <si>
    <t>AB_RD14S_DSS</t>
  </si>
  <si>
    <t>AB_171S_DSS</t>
  </si>
  <si>
    <t>AB_892S_DSS</t>
  </si>
  <si>
    <t>AB_776S_DSS</t>
  </si>
  <si>
    <t>AB_581S_DSS</t>
  </si>
  <si>
    <t>AB_297S_DSS</t>
  </si>
  <si>
    <t>AB_853S_DSS</t>
  </si>
  <si>
    <t>AB_618S_DSS</t>
  </si>
  <si>
    <t>AB_262S_DSS</t>
  </si>
  <si>
    <t>AB_906S_DSS</t>
  </si>
  <si>
    <t>AB_XROS_DSS</t>
  </si>
  <si>
    <t>AB_296S_DSS</t>
  </si>
  <si>
    <t>AB_852S_DSS</t>
  </si>
  <si>
    <t>AB_768S_DSS</t>
  </si>
  <si>
    <t>AB_632S_DSS</t>
  </si>
  <si>
    <t>AB_730S_DSS</t>
  </si>
  <si>
    <t>AB_77S_DSS</t>
  </si>
  <si>
    <t>AB_977S_DSS</t>
  </si>
  <si>
    <t>AB_341S_DSS</t>
  </si>
  <si>
    <t>AB_204S_DSS</t>
  </si>
  <si>
    <t>AB_743S_DSS</t>
  </si>
  <si>
    <t>AB_42S_DSS</t>
  </si>
  <si>
    <t>AB_289S_DSS</t>
  </si>
  <si>
    <t>AB_266S_DSS</t>
  </si>
  <si>
    <t>AB_531S_DSS</t>
  </si>
  <si>
    <t>AB_318S_DSS</t>
  </si>
  <si>
    <t>AB_869S_DSS</t>
  </si>
  <si>
    <t>AB_2005S_DSS</t>
  </si>
  <si>
    <t>AB_245S_DSS</t>
  </si>
  <si>
    <t>AB_402S_DSS</t>
  </si>
  <si>
    <t>AB_746S_DSS</t>
  </si>
  <si>
    <t>AB_733S_DSS</t>
  </si>
  <si>
    <t>AB_745S_DSS</t>
  </si>
  <si>
    <t>AB_862S_DSS</t>
  </si>
  <si>
    <t>AB_443S_DSS</t>
  </si>
  <si>
    <t>AB_194S_DSS</t>
  </si>
  <si>
    <t>AB_272S_DSS</t>
  </si>
  <si>
    <t>AB_595S_DSS</t>
  </si>
  <si>
    <t>AB_SS1_DSS</t>
  </si>
  <si>
    <t>AB_SS10_DSS</t>
  </si>
  <si>
    <t>AB_SS11_DSS</t>
  </si>
  <si>
    <t>AB_SS12_DSS</t>
  </si>
  <si>
    <t>AB_SS13_DSS</t>
  </si>
  <si>
    <t>AB_SS14_DSS</t>
  </si>
  <si>
    <t>AB_SS15_DSS</t>
  </si>
  <si>
    <t>AB_SS16_DSS</t>
  </si>
  <si>
    <t>AB_SS2_DSS</t>
  </si>
  <si>
    <t>AB_SS20_DSS</t>
  </si>
  <si>
    <t>AB_SS21_DSS</t>
  </si>
  <si>
    <t>AB_SS22_DSS</t>
  </si>
  <si>
    <t>AB_SS23_DSS</t>
  </si>
  <si>
    <t>AB_SS26_DSS</t>
  </si>
  <si>
    <t>AB_SS27_DSS</t>
  </si>
  <si>
    <t>AB_SS28_DSS</t>
  </si>
  <si>
    <t>AB_SS3_DSS</t>
  </si>
  <si>
    <t>AB_SS31_DSS</t>
  </si>
  <si>
    <t>AB_SS32_DSS</t>
  </si>
  <si>
    <t>AB_SS33_DSS</t>
  </si>
  <si>
    <t>AB_SS34_DSS</t>
  </si>
  <si>
    <t>AB_SS35_DSS</t>
  </si>
  <si>
    <t>AB_SS37_DSS</t>
  </si>
  <si>
    <t>AB_SS38_DSS</t>
  </si>
  <si>
    <t>AB_SS39_DSS</t>
  </si>
  <si>
    <t>AB_SS40_DSS</t>
  </si>
  <si>
    <t>AB_SS41_DSS</t>
  </si>
  <si>
    <t>AB_SS43_DSS</t>
  </si>
  <si>
    <t>AB_SS47_DSS</t>
  </si>
  <si>
    <t>AB_SS5_DSS</t>
  </si>
  <si>
    <t>AB_SS54_DSS</t>
  </si>
  <si>
    <t>AB_SS6_DSS</t>
  </si>
  <si>
    <t>AB_SS65_DSS</t>
  </si>
  <si>
    <t>AB_SS7_DSS</t>
  </si>
  <si>
    <t>AB_SS8_DSS</t>
  </si>
  <si>
    <t>AB_SS9_DSS</t>
  </si>
  <si>
    <t>AB_707S_DSS</t>
  </si>
  <si>
    <t>AB_836S_DSS</t>
  </si>
  <si>
    <t>AB_133S_DSS</t>
  </si>
  <si>
    <t>AB_769S_DSS</t>
  </si>
  <si>
    <t>AB_434S_DSS</t>
  </si>
  <si>
    <t>AB_263S_DSS</t>
  </si>
  <si>
    <t>AB_223S_DSS</t>
  </si>
  <si>
    <t>AB_881S_DSS</t>
  </si>
  <si>
    <t>AB_734S_DSS</t>
  </si>
  <si>
    <t>AB_775S_DSS</t>
  </si>
  <si>
    <t>AB_828S_DSS</t>
  </si>
  <si>
    <t>AB_657S_DSS</t>
  </si>
  <si>
    <t>AB_867S_DSS</t>
  </si>
  <si>
    <t>AB_821S_DSS</t>
  </si>
  <si>
    <t>AB_539S_DSS</t>
  </si>
  <si>
    <t>AB_575S_DSS</t>
  </si>
  <si>
    <t>AB_221S_DSS</t>
  </si>
  <si>
    <t>AB_510S_DSS</t>
  </si>
  <si>
    <t>AB_945S_DSS</t>
  </si>
  <si>
    <t>AB_735S_DSS</t>
  </si>
  <si>
    <t>AB_854S_DSS</t>
  </si>
  <si>
    <t>AB_2032S_DSS</t>
  </si>
  <si>
    <t>AB_680S_DSS</t>
  </si>
  <si>
    <t>AB_P10S_DSS</t>
  </si>
  <si>
    <t>AB_951S_DSS</t>
  </si>
  <si>
    <t>AB_140S_DSS</t>
  </si>
  <si>
    <t>AB_2091S_DSS</t>
  </si>
  <si>
    <t>AB_770S_DSS</t>
  </si>
  <si>
    <t>AB_972S_DSS</t>
  </si>
  <si>
    <t>AB_933S_DSS</t>
  </si>
  <si>
    <t>AB_554S_DSS</t>
  </si>
  <si>
    <t>AB_882S_DSS</t>
  </si>
  <si>
    <t>AB_478S_DSS</t>
  </si>
  <si>
    <t>AB_183S_DSS</t>
  </si>
  <si>
    <t>AB_886S_DSS</t>
  </si>
  <si>
    <t>AB_241S_DSS</t>
  </si>
  <si>
    <t>AB_794S_DSS</t>
  </si>
  <si>
    <t>AB_710S_DSS</t>
  </si>
  <si>
    <t>AB_771S_DSS</t>
  </si>
  <si>
    <t>AB_XVIC_DSS</t>
  </si>
  <si>
    <t>AB_777S_DSS</t>
  </si>
  <si>
    <t>AB_283S_DSS</t>
  </si>
  <si>
    <t>AB_738S_DSS</t>
  </si>
  <si>
    <t>AB_92S_DSS</t>
  </si>
  <si>
    <t>AB_1029S_DSS</t>
  </si>
  <si>
    <t>AB_255S_DSS</t>
  </si>
  <si>
    <t>AB_19S_DSS</t>
  </si>
  <si>
    <t>AB_2739S_DSS</t>
  </si>
  <si>
    <t>AB_720S_DSS</t>
  </si>
  <si>
    <t>AB_907S_DSS</t>
  </si>
  <si>
    <t>AB_51S_DSS</t>
  </si>
  <si>
    <t>AB_1S_DSS</t>
  </si>
  <si>
    <t>AB_823S_DSS</t>
  </si>
  <si>
    <t>AB_230S_DSS</t>
  </si>
  <si>
    <t>AB_132S_DSS</t>
  </si>
  <si>
    <t>AB_344S_DSS</t>
  </si>
  <si>
    <t>AB_379S_DSS</t>
  </si>
  <si>
    <t>AB_104S_DSS</t>
  </si>
  <si>
    <t>AB_956S_DSS</t>
  </si>
  <si>
    <t>AB_405S_DSS</t>
  </si>
  <si>
    <t>AB_947S_DSS</t>
  </si>
  <si>
    <t>AB_834S_DSS</t>
  </si>
  <si>
    <t>AB_28S_DSS</t>
  </si>
  <si>
    <t>AB_177S_DSS</t>
  </si>
  <si>
    <t>AB_316S_DSS</t>
  </si>
  <si>
    <t>AB_359S_DSS</t>
  </si>
  <si>
    <t>AB_107S_DSS</t>
  </si>
  <si>
    <t>AB_793S_DSS</t>
  </si>
  <si>
    <t>AB_422S_DSS</t>
  </si>
  <si>
    <t>AB_40S_DSS</t>
  </si>
  <si>
    <t>AB_819S_DSS</t>
  </si>
  <si>
    <t>AB_825S_DSS</t>
  </si>
  <si>
    <t>AB_68S_DSS</t>
  </si>
  <si>
    <t>AB_2009S_DSS</t>
  </si>
  <si>
    <t>AB_818S_DSS</t>
  </si>
  <si>
    <t>AB_804S_DSS</t>
  </si>
  <si>
    <t>AB_288S_DSS</t>
  </si>
  <si>
    <t>AB_822S_DSS</t>
  </si>
  <si>
    <t>AB_XWOO_DSS</t>
  </si>
  <si>
    <t>AB_286S_DSS</t>
  </si>
  <si>
    <t>AB_2015S_DSS</t>
  </si>
  <si>
    <t>AB_772S_DSS</t>
  </si>
  <si>
    <t>AB_795S_DSS</t>
  </si>
  <si>
    <t>AB_844S_ISS</t>
  </si>
  <si>
    <t>AB_408S_ISS</t>
  </si>
  <si>
    <t>AB_308S_ISS</t>
  </si>
  <si>
    <t>AB_752S_ISS</t>
  </si>
  <si>
    <t>AB_163S_ISS</t>
  </si>
  <si>
    <t>AB_937S_ISS</t>
  </si>
  <si>
    <t>AB_4RS_ISS</t>
  </si>
  <si>
    <t>AB_5RS_ISS</t>
  </si>
  <si>
    <t>AB_E200S_ISS</t>
  </si>
  <si>
    <t>AB_452S_ISS</t>
  </si>
  <si>
    <t>AB_XBAL_GSS</t>
  </si>
  <si>
    <t>AB_941S_ISS</t>
  </si>
  <si>
    <t>AB_E56S_ISS</t>
  </si>
  <si>
    <t>AB_E63S_ISS</t>
  </si>
  <si>
    <t>AB_E1S_ISS</t>
  </si>
  <si>
    <t>AB_E10S_ISS</t>
  </si>
  <si>
    <t>AB_E18S_ISS</t>
  </si>
  <si>
    <t>AB_E19S_ISS</t>
  </si>
  <si>
    <t>AB_E2S_ISS</t>
  </si>
  <si>
    <t>AB_E20S_ISS</t>
  </si>
  <si>
    <t>AB_E22S_ISS</t>
  </si>
  <si>
    <t>AB_E29S_ISS</t>
  </si>
  <si>
    <t>AB_E3S_ISS</t>
  </si>
  <si>
    <t>AB_E31S_ISS</t>
  </si>
  <si>
    <t>AB_E33S_ISS</t>
  </si>
  <si>
    <t>AB_E34S_ISS</t>
  </si>
  <si>
    <t>AB_E45S_ISS</t>
  </si>
  <si>
    <t>AB_E46S_ISS</t>
  </si>
  <si>
    <t>AB_E5S_ISS</t>
  </si>
  <si>
    <t>AB_E55S_ISS</t>
  </si>
  <si>
    <t>AB_E62S_ISS</t>
  </si>
  <si>
    <t>AB_E64S_ISS</t>
  </si>
  <si>
    <t>AB_E65S_ISS</t>
  </si>
  <si>
    <t>AB_E67S_ISS</t>
  </si>
  <si>
    <t>AB_E7S_ISS</t>
  </si>
  <si>
    <t>AB_E71S_ISS</t>
  </si>
  <si>
    <t>AB_E8S_ISS</t>
  </si>
  <si>
    <t>AB_E83S_ISS</t>
  </si>
  <si>
    <t>AB_E84S_ISS</t>
  </si>
  <si>
    <t>AB_E9S_ISS</t>
  </si>
  <si>
    <t>AB_E93S_ISS</t>
  </si>
  <si>
    <t>AB_E94S_ISS</t>
  </si>
  <si>
    <t>AB_279S_ISS</t>
  </si>
  <si>
    <t>AB_323S_GSS</t>
  </si>
  <si>
    <t>AB_934S_ISS</t>
  </si>
  <si>
    <t>AB_701S_ISS</t>
  </si>
  <si>
    <t>AB_XCEC_GSS</t>
  </si>
  <si>
    <t>AB_337S_ISS</t>
  </si>
  <si>
    <t>AB_365S_ISS</t>
  </si>
  <si>
    <t>AB_551S_ISS</t>
  </si>
  <si>
    <t>AB_355S_ISS</t>
  </si>
  <si>
    <t>AB_166S_ISS</t>
  </si>
  <si>
    <t>AB_258S_ISS</t>
  </si>
  <si>
    <t>AB_164S_ISS</t>
  </si>
  <si>
    <t>AB_638S_ISS</t>
  </si>
  <si>
    <t>AB_515S_ISS</t>
  </si>
  <si>
    <t>AB_218S_GSS</t>
  </si>
  <si>
    <t>AB_838S_ISS</t>
  </si>
  <si>
    <t>AB_996S_ISS</t>
  </si>
  <si>
    <t>AB_95S_ISS</t>
  </si>
  <si>
    <t>AB_314S_GSS</t>
  </si>
  <si>
    <t>AB_785S_ISS</t>
  </si>
  <si>
    <t>AB_887S_ISS</t>
  </si>
  <si>
    <t>AB_489S_ISS</t>
  </si>
  <si>
    <t>AB_879S_ISS</t>
  </si>
  <si>
    <t>AB_502S_ISS</t>
  </si>
  <si>
    <t>AB_165S_ISS</t>
  </si>
  <si>
    <t>AB_228S_ISS</t>
  </si>
  <si>
    <t>AB_6500S_ISS</t>
  </si>
  <si>
    <t>AB_276S_ISS</t>
  </si>
  <si>
    <t>AB_364S_ISS</t>
  </si>
  <si>
    <t>AB_XMDL_DSS</t>
  </si>
  <si>
    <t>AESO. 2014. Carmon Creek Connection Assessment</t>
  </si>
  <si>
    <t>AESO. 2015. Eureka Connection Assessment</t>
  </si>
  <si>
    <t>AESO. 2015. Rothbauer Connection Assessment</t>
  </si>
  <si>
    <t>AESO. 2016. Beddington Connection Assessment</t>
  </si>
  <si>
    <t>AESO. 2016. Bullshead Connection Assessment</t>
  </si>
  <si>
    <t>AESO. 2016. Cooking Lake Connection Assessment</t>
  </si>
  <si>
    <t>AESO. 2016. CPEEC Connection Assessment</t>
  </si>
  <si>
    <t>AESO. 2016. Dry Creek Connection Assessment</t>
  </si>
  <si>
    <t>AESO. 2016. Gainford Connection Assessment</t>
  </si>
  <si>
    <t>AESO. 2016. Henday Connection Assessment</t>
  </si>
  <si>
    <t>AESO. 2016. Hughenden Connection Assessment</t>
  </si>
  <si>
    <t>AESO. 2016. Hughes Connection Assessment</t>
  </si>
  <si>
    <t>AESO. 2016. Jenner Connection Assessment</t>
  </si>
  <si>
    <t>AESO. 2016. Okotoks Connection Assessment</t>
  </si>
  <si>
    <t>AESO. 2016. Plamondon Connection Assessment</t>
  </si>
  <si>
    <t>AESO. 2017. CEC Connection Assessment</t>
  </si>
  <si>
    <t>AESO. 2017. Clover Bar Connection Assessment</t>
  </si>
  <si>
    <t>AESO. 2017. Heartland Connection Assessment</t>
  </si>
  <si>
    <t>AESO. 2017. Muir Connection Assessment</t>
  </si>
  <si>
    <t>AESO. 2017. Sharphills Connection Assessment</t>
  </si>
  <si>
    <t>AESO. 2017. SS. 7 Connection Assessment</t>
  </si>
  <si>
    <t>AESO. 2018. Fincastle Connection Assessment</t>
  </si>
  <si>
    <t>AESO. 2018. Kirby Connection Assessment</t>
  </si>
  <si>
    <t>AESO. 2018. Ksituan Connection Assessment</t>
  </si>
  <si>
    <t>AESO. 2018. Mount Allan Connection Assessment</t>
  </si>
  <si>
    <t>AESO. 2018. Strathcona CG Connection Assessment</t>
  </si>
  <si>
    <t>AESO. 2018. Vista Connection Assessment</t>
  </si>
  <si>
    <t>AESO. 2018. Wheatland Connection Assessment</t>
  </si>
  <si>
    <t>AESO. 2019. Abee 993S Connection Assessment</t>
  </si>
  <si>
    <t>AESO. 2019. Claresholm Connection Assessment</t>
  </si>
  <si>
    <t>AESO. 2019. Mclaughlin Connection Assessment</t>
  </si>
  <si>
    <t>AESO. 2019. Travers Connection Assessment</t>
  </si>
  <si>
    <t>AESO. 2020. Summerside Connection Assessment</t>
  </si>
  <si>
    <t>AESO. 2020. Suncor Base Plant Connection Assessment</t>
  </si>
  <si>
    <t>AESO. 2015. Broadmoor Connection Assessment</t>
  </si>
  <si>
    <t>AESO. 2015. McLaughlin Aggregated Connection Assessment</t>
  </si>
  <si>
    <t>AESO. 2015. Vincent Connection Assessment</t>
  </si>
  <si>
    <t>AESO. 2016. Bauer 918S Connection Assessment</t>
  </si>
  <si>
    <t>AESO. 2016. Bohn 931S Connection Assessment</t>
  </si>
  <si>
    <t>AESO. 2016. Fox Creek Connection Assessment</t>
  </si>
  <si>
    <t>AESO. 2016. Hornbeck Connection Assessment</t>
  </si>
  <si>
    <t>AESO. 2016. Kent Connection Assessment</t>
  </si>
  <si>
    <t>AESO. 2016. Spirit River Connection Assessment</t>
  </si>
  <si>
    <t>AESO. 2016. Turbo Connection Assessment</t>
  </si>
  <si>
    <t>AESO. 2016. Wainright Connection Assessment</t>
  </si>
  <si>
    <t>AESO. 2017. Irma Connection Assessment</t>
  </si>
  <si>
    <t>AESO. 2017. Paintearth Connection Assessment</t>
  </si>
  <si>
    <t>AESO. 2017. Stirling Connection Assessment</t>
  </si>
  <si>
    <t>AESO. 2018. East Crossfield Connection Assessment</t>
  </si>
  <si>
    <t>AESO. 2018. Provost Connection Assessment</t>
  </si>
  <si>
    <t>AESO. 2018. Vulcan and Stavely Connection Assessment</t>
  </si>
  <si>
    <t>AESO. 2018. Whitla Connection Assessment</t>
  </si>
  <si>
    <t>AESO. 2019. Boreal 193S Connection Assessment</t>
  </si>
  <si>
    <t>AESO. 2019. Drywood Connection Assessment</t>
  </si>
  <si>
    <t>AESO. 2019. EPCOR Connection Assessment</t>
  </si>
  <si>
    <t>AESO. 2019. Windrise Connection Assessment</t>
  </si>
  <si>
    <t>AESO. 2020. Cascade Connection Assessment</t>
  </si>
  <si>
    <t>AESO. 2020. Cypress Connection Assessment</t>
  </si>
  <si>
    <t>AESO. 2020. Rattlesnake Connection Assessment</t>
  </si>
  <si>
    <t/>
  </si>
  <si>
    <t>Storage Code</t>
  </si>
  <si>
    <t>AB_ERS01_STO</t>
  </si>
  <si>
    <t>AB_ERS02_STO</t>
  </si>
  <si>
    <t>AB_ERS03_STO</t>
  </si>
  <si>
    <t>IPT Cranbrook Chapel Rock</t>
  </si>
  <si>
    <t>IPT McNeill</t>
  </si>
  <si>
    <t>IPT Natal Coleman</t>
  </si>
  <si>
    <t>IPT Natal Pocaterra</t>
  </si>
  <si>
    <t>IPT Nelson Rainbow</t>
  </si>
  <si>
    <t>AB-US Border</t>
  </si>
  <si>
    <t>BC-AB Border</t>
  </si>
  <si>
    <t>AB-SK Border</t>
  </si>
  <si>
    <t>CSS = AC/DC Converter Station</t>
  </si>
  <si>
    <t>INT = International Intertie</t>
  </si>
  <si>
    <t>IPT = Interprovincial Intertie</t>
  </si>
  <si>
    <t>Acheson 305S</t>
  </si>
  <si>
    <t>AEC Mills 844S</t>
  </si>
  <si>
    <t>Air Liquide 408S</t>
  </si>
  <si>
    <t>Al Rothbauer 321S</t>
  </si>
  <si>
    <t>ALBChem Beaverhill Creek 308S</t>
  </si>
  <si>
    <t>Alberta Newsprint 122S</t>
  </si>
  <si>
    <t>Albright &amp; Wilson 752S</t>
  </si>
  <si>
    <t>Algar 875S</t>
  </si>
  <si>
    <t>Amelia 108S</t>
  </si>
  <si>
    <t>AMOCO Empress 163S</t>
  </si>
  <si>
    <t>Anderson 801S</t>
  </si>
  <si>
    <t>Ardenville Wind Farm 418S</t>
  </si>
  <si>
    <t>AT Plastic 4RS</t>
  </si>
  <si>
    <t>AT Plastic 4RS JCT</t>
  </si>
  <si>
    <t>AT Plastic 5RS</t>
  </si>
  <si>
    <t>Athabasca Crossing EDD200</t>
  </si>
  <si>
    <t>B.F.Goodrich Fort Sask. 452S</t>
  </si>
  <si>
    <t>B.F.Goodrich Fort Sask. 452S JCT</t>
  </si>
  <si>
    <t>Banff 123S</t>
  </si>
  <si>
    <t>Bannerman 681S</t>
  </si>
  <si>
    <t>Bardo 197S</t>
  </si>
  <si>
    <t>Barrier 32S</t>
  </si>
  <si>
    <t>Baseline 317S</t>
  </si>
  <si>
    <t>Bassano 435S</t>
  </si>
  <si>
    <t>Bassano 435S JCT</t>
  </si>
  <si>
    <t>Bassett 747S</t>
  </si>
  <si>
    <t>Battle River 757S</t>
  </si>
  <si>
    <t>Bauer 918S</t>
  </si>
  <si>
    <t>Bauer 918S JCT</t>
  </si>
  <si>
    <t>Baymag 437S</t>
  </si>
  <si>
    <t>Beamer 233S</t>
  </si>
  <si>
    <t>Bear Creek 679S</t>
  </si>
  <si>
    <t>Bear Creek 679S JCT</t>
  </si>
  <si>
    <t>Bearspaw Plant 44S</t>
  </si>
  <si>
    <t>Beartrap 940S</t>
  </si>
  <si>
    <t>Beartrap 940S JCT</t>
  </si>
  <si>
    <t>Benalto 17S</t>
  </si>
  <si>
    <t>Benbow 397S</t>
  </si>
  <si>
    <t>Bennett 520S</t>
  </si>
  <si>
    <t>Bernese 293S</t>
  </si>
  <si>
    <t>Bickerdike 39S</t>
  </si>
  <si>
    <t>Big Knife Creek 843S</t>
  </si>
  <si>
    <t>Big Mountain 845S</t>
  </si>
  <si>
    <t>Bigfoot 756S</t>
  </si>
  <si>
    <t>Bighorn Plant 250P</t>
  </si>
  <si>
    <t>Bigstone 86S</t>
  </si>
  <si>
    <t>Bilby 105S</t>
  </si>
  <si>
    <t>Bilby 105S JCT</t>
  </si>
  <si>
    <t>Bindloss 914S</t>
  </si>
  <si>
    <t>Bindloss 914S JCT</t>
  </si>
  <si>
    <t>Birchwood Creek 960S</t>
  </si>
  <si>
    <t>Bitumount 941S</t>
  </si>
  <si>
    <t>Black Diamond 392S</t>
  </si>
  <si>
    <t>Black Fly 934S</t>
  </si>
  <si>
    <t>Black Spruce 154S</t>
  </si>
  <si>
    <t>Blackfalds 198S</t>
  </si>
  <si>
    <t>Blackie 253S</t>
  </si>
  <si>
    <t>Blackmud 155S</t>
  </si>
  <si>
    <t>Blackspring Ridge 485S</t>
  </si>
  <si>
    <t>Blatchford</t>
  </si>
  <si>
    <t>Blue Ridge Lumber 701S</t>
  </si>
  <si>
    <t>Blue Trail 528S</t>
  </si>
  <si>
    <t>Blue Trail 528S JCT</t>
  </si>
  <si>
    <t>Blumenort 832S</t>
  </si>
  <si>
    <t>Bohn 931S</t>
  </si>
  <si>
    <t>Bonnyville 700S</t>
  </si>
  <si>
    <t>Boucher Creek 829S</t>
  </si>
  <si>
    <t>Bourque 970S</t>
  </si>
  <si>
    <t>Bowmanton 244S</t>
  </si>
  <si>
    <t>Bowron 674S</t>
  </si>
  <si>
    <t>Boyle 56S</t>
  </si>
  <si>
    <t>Brazeau 358S</t>
  </si>
  <si>
    <t>Brazeau 62S</t>
  </si>
  <si>
    <t>Brazeau Outlet Works 294S</t>
  </si>
  <si>
    <t>Bretville 185S</t>
  </si>
  <si>
    <t>Bridge Creek 798S</t>
  </si>
  <si>
    <t>Bridge Creek 798S JCT</t>
  </si>
  <si>
    <t>Briker 880S</t>
  </si>
  <si>
    <t>Briker 880S JCT</t>
  </si>
  <si>
    <t>Brintnell 876S</t>
  </si>
  <si>
    <t>Broadmoor 420S</t>
  </si>
  <si>
    <t>Brookfield 536S</t>
  </si>
  <si>
    <t>Brooks 121S</t>
  </si>
  <si>
    <t>Bruderheim 127S</t>
  </si>
  <si>
    <t>Buchanan Creek 927S</t>
  </si>
  <si>
    <t>Buck Lake 454S</t>
  </si>
  <si>
    <t>Buck Lake 454S JCT</t>
  </si>
  <si>
    <t>Buffalo Creek 526S</t>
  </si>
  <si>
    <t>Buford 538S</t>
  </si>
  <si>
    <t>Bullpound 803S</t>
  </si>
  <si>
    <t>Bullshead 523S</t>
  </si>
  <si>
    <t>Burdett 368S</t>
  </si>
  <si>
    <t>Cadomin 983S</t>
  </si>
  <si>
    <t>Cadomin 983S JCT</t>
  </si>
  <si>
    <t>Cadotte River 783S</t>
  </si>
  <si>
    <t>Calgary Energy Center CEC</t>
  </si>
  <si>
    <t>Canada Liquid Air 337S</t>
  </si>
  <si>
    <t>Canada Liquid Air 337S JCT</t>
  </si>
  <si>
    <t>Canadian Oxy Astotin Creek 365S</t>
  </si>
  <si>
    <t>Canmore 118S</t>
  </si>
  <si>
    <t>Cardinal River 302S</t>
  </si>
  <si>
    <t>Carmon 830S</t>
  </si>
  <si>
    <t>Caroline 378S</t>
  </si>
  <si>
    <t>Carseland 525S</t>
  </si>
  <si>
    <t>Carvel 432S</t>
  </si>
  <si>
    <t>Cascade 29S</t>
  </si>
  <si>
    <t>Cascade 29S JCT</t>
  </si>
  <si>
    <t>Cassils 324S</t>
  </si>
  <si>
    <t>Castle River 239S</t>
  </si>
  <si>
    <t>Castle Rock Ridge 205S</t>
  </si>
  <si>
    <t>Castor 759S</t>
  </si>
  <si>
    <t>Chapel Rock 491S</t>
  </si>
  <si>
    <t>Chappice Lake 649S</t>
  </si>
  <si>
    <t>Chard 658S</t>
  </si>
  <si>
    <t>Chard 658S JCT</t>
  </si>
  <si>
    <t>Cherhill 338S</t>
  </si>
  <si>
    <t>Chestermere 419S</t>
  </si>
  <si>
    <t>Cheviot 101S</t>
  </si>
  <si>
    <t>Chevron Kaybob 551S</t>
  </si>
  <si>
    <t>Chevron Knight 355S</t>
  </si>
  <si>
    <t>Chevron Knight 355S JCT</t>
  </si>
  <si>
    <t>Chin Chute 315S</t>
  </si>
  <si>
    <t>Chin Chute 315S JCT</t>
  </si>
  <si>
    <t>Chinchaga River 779S</t>
  </si>
  <si>
    <t>Chinook 181S</t>
  </si>
  <si>
    <t>Christina Lake 723S</t>
  </si>
  <si>
    <t>Clairmont Lake 811S</t>
  </si>
  <si>
    <t>Clipper 656S</t>
  </si>
  <si>
    <t>Clover Bar 987S</t>
  </si>
  <si>
    <t>Clyde 150S</t>
  </si>
  <si>
    <t>Coal Valley 527S</t>
  </si>
  <si>
    <t>Coal Valley 527S JCT</t>
  </si>
  <si>
    <t>Coalbanks 111S</t>
  </si>
  <si>
    <t>Coaldale 254S</t>
  </si>
  <si>
    <t>Coalspur 426S</t>
  </si>
  <si>
    <t>Cochrane 291S</t>
  </si>
  <si>
    <t>Cold Creek 602S</t>
  </si>
  <si>
    <t>Coleman 799S</t>
  </si>
  <si>
    <t>Colinton 159S</t>
  </si>
  <si>
    <t>Conklin 762S</t>
  </si>
  <si>
    <t>Conrad 135S</t>
  </si>
  <si>
    <t>Cooking Lake 522S</t>
  </si>
  <si>
    <t>Cordel 755S</t>
  </si>
  <si>
    <t>Coronation 773S</t>
  </si>
  <si>
    <t>Coronation 773S JCT</t>
  </si>
  <si>
    <t>Cowley Ridge 322S</t>
  </si>
  <si>
    <t>Cowley Ridge 322S JCT</t>
  </si>
  <si>
    <t>Coyote Lake 963S</t>
  </si>
  <si>
    <t>Cranberry Lake 827S</t>
  </si>
  <si>
    <t>Crossings 511S</t>
  </si>
  <si>
    <t>Crow 860S</t>
  </si>
  <si>
    <t>Crystal Lake 722S</t>
  </si>
  <si>
    <t>Cutting Lake 227S</t>
  </si>
  <si>
    <t>Cutting Lake 227S JCT</t>
  </si>
  <si>
    <t>Cypress 562S</t>
  </si>
  <si>
    <t>Daishowa 839S</t>
  </si>
  <si>
    <t>Dalehurst 975S</t>
  </si>
  <si>
    <t>Dalehurst 975S JCT</t>
  </si>
  <si>
    <t>Dawes 2011S</t>
  </si>
  <si>
    <t>Deer Hill 1012S</t>
  </si>
  <si>
    <t>Deerland 13S</t>
  </si>
  <si>
    <t>Devon 14S</t>
  </si>
  <si>
    <t>Dog Rib 2082S</t>
  </si>
  <si>
    <t>Dome Cutbank 810S</t>
  </si>
  <si>
    <t>Donnelly 784S</t>
  </si>
  <si>
    <t>Dover 888S</t>
  </si>
  <si>
    <t>Dow Chemical Fort Sask. 166S</t>
  </si>
  <si>
    <t>Dow Hydro Carbons 258S</t>
  </si>
  <si>
    <t>Dry Creek 186S</t>
  </si>
  <si>
    <t>Drywood 415S</t>
  </si>
  <si>
    <t>Duchess 339S</t>
  </si>
  <si>
    <t>Eagle Creek 412S</t>
  </si>
  <si>
    <t>East Airdrie 199S</t>
  </si>
  <si>
    <t>East Calgary 5S</t>
  </si>
  <si>
    <t>East Camrose 285S</t>
  </si>
  <si>
    <t>East Crossfield 64S</t>
  </si>
  <si>
    <t>East Crossfield 64S JCT</t>
  </si>
  <si>
    <t>East Edmonton 38S</t>
  </si>
  <si>
    <t>East Industrial E52S</t>
  </si>
  <si>
    <t>East Industrial E52S JCT</t>
  </si>
  <si>
    <t>East Stavely 928S</t>
  </si>
  <si>
    <t>Eckville 534S</t>
  </si>
  <si>
    <t>Eckville 534S JCT</t>
  </si>
  <si>
    <t>Edgerton 899S</t>
  </si>
  <si>
    <t>Edith Lake 739S</t>
  </si>
  <si>
    <t>Edson 58S</t>
  </si>
  <si>
    <t>Elk River 445S</t>
  </si>
  <si>
    <t>Elk River 445S JCT</t>
  </si>
  <si>
    <t>Ellerslie 89S</t>
  </si>
  <si>
    <t>Ellis 332S</t>
  </si>
  <si>
    <t>Elmworth 731S</t>
  </si>
  <si>
    <t>Empress 394S</t>
  </si>
  <si>
    <t>Empress Liquids 164S</t>
  </si>
  <si>
    <t>Empress Liquids 164S JCT</t>
  </si>
  <si>
    <t>Enchant 447S</t>
  </si>
  <si>
    <t>Enchant 447S JCT</t>
  </si>
  <si>
    <t>Engstrom 2060S</t>
  </si>
  <si>
    <t>Entwistle 235S</t>
  </si>
  <si>
    <t>Ervick 542S</t>
  </si>
  <si>
    <t>Esso Judy Creek 638S</t>
  </si>
  <si>
    <t>Esso Judy Creek 638S JCT</t>
  </si>
  <si>
    <t>Ethel Lake 717S</t>
  </si>
  <si>
    <t>Eureka River 861S</t>
  </si>
  <si>
    <t>Excel 910S</t>
  </si>
  <si>
    <t>Exshaw 985S</t>
  </si>
  <si>
    <t>Exshaw 985S JCT</t>
  </si>
  <si>
    <t>Eyre 558S</t>
  </si>
  <si>
    <t>Fickle Lake 406S</t>
  </si>
  <si>
    <t>Fidler 312S</t>
  </si>
  <si>
    <t>Fieldgate 824S</t>
  </si>
  <si>
    <t>Fincastle 336S</t>
  </si>
  <si>
    <t>Flat Lake 242S</t>
  </si>
  <si>
    <t>Flat Lake 242S JCT</t>
  </si>
  <si>
    <t>Flatbush 500S</t>
  </si>
  <si>
    <t>Flatbush 500S JCT</t>
  </si>
  <si>
    <t>Flying Shot Lake 749S</t>
  </si>
  <si>
    <t>Foothills 237S</t>
  </si>
  <si>
    <t>Fort Assiniboine 234S</t>
  </si>
  <si>
    <t>Fort Assiniboine 234S JCT</t>
  </si>
  <si>
    <t>Fort Hills 505S</t>
  </si>
  <si>
    <t>Fort Macleod 15S</t>
  </si>
  <si>
    <t>Fort Sask. 54S</t>
  </si>
  <si>
    <t>Foster Creek 1200S</t>
  </si>
  <si>
    <t>Fox Creek 741S</t>
  </si>
  <si>
    <t>Fox Creek Altalink 347S</t>
  </si>
  <si>
    <t>Freeman Lake 742S</t>
  </si>
  <si>
    <t>Friedenstal 800S</t>
  </si>
  <si>
    <t>Gaetz 87S</t>
  </si>
  <si>
    <t>Garden City 226S</t>
  </si>
  <si>
    <t>Garneau</t>
  </si>
  <si>
    <t>Genesee 330P</t>
  </si>
  <si>
    <t>Germain 950S</t>
  </si>
  <si>
    <t>Ghost 20S</t>
  </si>
  <si>
    <t>Ghost Pine 114S</t>
  </si>
  <si>
    <t>Gleichen 179S</t>
  </si>
  <si>
    <t>Glenwood 229S</t>
  </si>
  <si>
    <t>Goodfare 815S</t>
  </si>
  <si>
    <t>Goose Lake 103S</t>
  </si>
  <si>
    <t>Goose River 725S</t>
  </si>
  <si>
    <t>Grand Centre 846S</t>
  </si>
  <si>
    <t>Granite 342S</t>
  </si>
  <si>
    <t>Grassland 282S</t>
  </si>
  <si>
    <t>Green Stocking 925S</t>
  </si>
  <si>
    <t>Gregoire 883S</t>
  </si>
  <si>
    <t>Gulf Robb 414S</t>
  </si>
  <si>
    <t>H.R. Milner 740S</t>
  </si>
  <si>
    <t>Haig River 748S</t>
  </si>
  <si>
    <t>Halfway 2014S</t>
  </si>
  <si>
    <t>Halkirk 615S</t>
  </si>
  <si>
    <t>Hamburg 855S</t>
  </si>
  <si>
    <t>Hangingstone 820S</t>
  </si>
  <si>
    <t>Hanna 763S</t>
  </si>
  <si>
    <t>Hansman Lake 650S</t>
  </si>
  <si>
    <t>Hardisty 377S</t>
  </si>
  <si>
    <t>Harmattan 256S</t>
  </si>
  <si>
    <t>Harry Smith 367S</t>
  </si>
  <si>
    <t>Hartell 512S</t>
  </si>
  <si>
    <t>Haynes 482S</t>
  </si>
  <si>
    <t>Hays 421S</t>
  </si>
  <si>
    <t>Hayter 277S</t>
  </si>
  <si>
    <t>Hazelwood 287S</t>
  </si>
  <si>
    <t>Heart Lake 898S</t>
  </si>
  <si>
    <t>Heartland 12S</t>
  </si>
  <si>
    <t>Heatburg 948S</t>
  </si>
  <si>
    <t>Heathfield 2029S</t>
  </si>
  <si>
    <t>Heisler 764S</t>
  </si>
  <si>
    <t>High Level 786S</t>
  </si>
  <si>
    <t>High Prairie 787S</t>
  </si>
  <si>
    <t>High River 65S</t>
  </si>
  <si>
    <t>Hill 751S</t>
  </si>
  <si>
    <t>Hillridge 139S</t>
  </si>
  <si>
    <t>Hines Creek 724S</t>
  </si>
  <si>
    <t>Horizon Mining 838S</t>
  </si>
  <si>
    <t>Horizon Upgrading 842S</t>
  </si>
  <si>
    <t>Horse Creek T793S</t>
  </si>
  <si>
    <t>Horse River 917S</t>
  </si>
  <si>
    <t>Horseshoe 3S</t>
  </si>
  <si>
    <t>Horseshoe 737S</t>
  </si>
  <si>
    <t>Hotchkiss 788S</t>
  </si>
  <si>
    <t>Hughenden 213S</t>
  </si>
  <si>
    <t>Hull 257S</t>
  </si>
  <si>
    <t>Hussar 431S</t>
  </si>
  <si>
    <t>Imperial Oil Carson Lake 996S</t>
  </si>
  <si>
    <t>Imperial Oil Edmonton 95S</t>
  </si>
  <si>
    <t>Inland Cement</t>
  </si>
  <si>
    <t>Innisfail 214S</t>
  </si>
  <si>
    <t>Interlakes 49S</t>
  </si>
  <si>
    <t>Ipiatik 167S</t>
  </si>
  <si>
    <t>Irish Creek 706S</t>
  </si>
  <si>
    <t>Irrican Power 314S</t>
  </si>
  <si>
    <t>Jack Pine 920S</t>
  </si>
  <si>
    <t>Jackfish 698S</t>
  </si>
  <si>
    <t>Janet 74S</t>
  </si>
  <si>
    <t>Jarrow 252S</t>
  </si>
  <si>
    <t>Jasper 805S</t>
  </si>
  <si>
    <t>Jenner 275S</t>
  </si>
  <si>
    <t>Joffre 535S</t>
  </si>
  <si>
    <t>Johnson 281S</t>
  </si>
  <si>
    <t>Josephburg 410S</t>
  </si>
  <si>
    <t>Joslyn Creek 849S</t>
  </si>
  <si>
    <t>Judy Creek Gas Plant 785S</t>
  </si>
  <si>
    <t>Jumping Pound 271S</t>
  </si>
  <si>
    <t>Jumping Pound Junction 43S</t>
  </si>
  <si>
    <t>Kakwa Ridge 857S</t>
  </si>
  <si>
    <t>Kananaskis 2S</t>
  </si>
  <si>
    <t>Kaybob 346S</t>
  </si>
  <si>
    <t>Kearl 9900S</t>
  </si>
  <si>
    <t>Keephills 320P</t>
  </si>
  <si>
    <t>Keg River 789S</t>
  </si>
  <si>
    <t>Kemp River 797S</t>
  </si>
  <si>
    <t>Kennedale</t>
  </si>
  <si>
    <t>Kettle River 2049S</t>
  </si>
  <si>
    <t>Keystone 384S</t>
  </si>
  <si>
    <t>Kidney Lake 878S</t>
  </si>
  <si>
    <t>Killarney Lake 267S</t>
  </si>
  <si>
    <t>Kingman 299S</t>
  </si>
  <si>
    <t>Kinosis 856S</t>
  </si>
  <si>
    <t>Kinuso 727S</t>
  </si>
  <si>
    <t>Kirby 651S</t>
  </si>
  <si>
    <t>Kitscoty 705S</t>
  </si>
  <si>
    <t>Knightsbridge 216S</t>
  </si>
  <si>
    <t>Ksituan River 754S</t>
  </si>
  <si>
    <t>Lac La Biche 157S</t>
  </si>
  <si>
    <t>Lacorey 721S</t>
  </si>
  <si>
    <t>Lake Louise 953S</t>
  </si>
  <si>
    <t>Lakesend 508S</t>
  </si>
  <si>
    <t>Lakeview 593S</t>
  </si>
  <si>
    <t>Lamoureux 71S</t>
  </si>
  <si>
    <t>Lanfine 959S</t>
  </si>
  <si>
    <t>Langdon 102S</t>
  </si>
  <si>
    <t>Laura Lake 661S</t>
  </si>
  <si>
    <t>Leduc 325S</t>
  </si>
  <si>
    <t>Leismer 72S</t>
  </si>
  <si>
    <t>Leming Lake 715S</t>
  </si>
  <si>
    <t>Limestone 304S</t>
  </si>
  <si>
    <t>Lindbergh 969S</t>
  </si>
  <si>
    <t>Little Smoky 813S</t>
  </si>
  <si>
    <t>Livock 939S</t>
  </si>
  <si>
    <t>Lloydminster 716S</t>
  </si>
  <si>
    <t>Lodgepole 61S</t>
  </si>
  <si>
    <t>Long Lake 841S</t>
  </si>
  <si>
    <t>Long Lake Cogen 864S</t>
  </si>
  <si>
    <t>Louise Creek 809S</t>
  </si>
  <si>
    <t>Lowe Lake 944S</t>
  </si>
  <si>
    <t>Loyalist 903S</t>
  </si>
  <si>
    <t>Lubicon 780S</t>
  </si>
  <si>
    <t>Lundbreck 513S</t>
  </si>
  <si>
    <t>Macdonald 146S</t>
  </si>
  <si>
    <t>Mackay River 874S</t>
  </si>
  <si>
    <t>Madden 373S</t>
  </si>
  <si>
    <t>Magcan 142S</t>
  </si>
  <si>
    <t>Magrath 225S</t>
  </si>
  <si>
    <t>Mahihkan 837S</t>
  </si>
  <si>
    <t>Mahkeses 889S</t>
  </si>
  <si>
    <t>Mahno 909S</t>
  </si>
  <si>
    <t>Mannix Mine 765S</t>
  </si>
  <si>
    <t>Marguerite Lake 826S</t>
  </si>
  <si>
    <t>Mariana 833S</t>
  </si>
  <si>
    <t>Marion 21S</t>
  </si>
  <si>
    <t>Marion Lake 873S</t>
  </si>
  <si>
    <t>Marlboro 348S</t>
  </si>
  <si>
    <t>Mcbride Lake 240S</t>
  </si>
  <si>
    <t>Mcclelland 957S</t>
  </si>
  <si>
    <t>Mcmillan 885S</t>
  </si>
  <si>
    <t>Mcneill Station 840S</t>
  </si>
  <si>
    <t>Meadow Creek 2081S</t>
  </si>
  <si>
    <t>Meadowlark</t>
  </si>
  <si>
    <t>Medicine Hat 41S</t>
  </si>
  <si>
    <t>Meikle 905S</t>
  </si>
  <si>
    <t>Melito 890S</t>
  </si>
  <si>
    <t>Mercer Hill 728S</t>
  </si>
  <si>
    <t>Metiskow 648S</t>
  </si>
  <si>
    <t>Michichi Creek 802S</t>
  </si>
  <si>
    <t>Mildred Lake</t>
  </si>
  <si>
    <t>Millar Western 484S</t>
  </si>
  <si>
    <t>Milo 356S</t>
  </si>
  <si>
    <t>Mitsue 732S</t>
  </si>
  <si>
    <t>Mobil Oil Carson Creek 887S</t>
  </si>
  <si>
    <t>Monarch 492S</t>
  </si>
  <si>
    <t>Monitor 774S</t>
  </si>
  <si>
    <t>Moon Lake 131S</t>
  </si>
  <si>
    <t>Morse River 851S</t>
  </si>
  <si>
    <t>Mountain Coalbed 411S</t>
  </si>
  <si>
    <t>Mowat 2033S</t>
  </si>
  <si>
    <t>Mt. Allan 115S</t>
  </si>
  <si>
    <t>Muir 2018S</t>
  </si>
  <si>
    <t>Muskeg River 847S</t>
  </si>
  <si>
    <t>N.E. Lacombe 212S</t>
  </si>
  <si>
    <t>N.W. Cardiff 191S</t>
  </si>
  <si>
    <t>Nabiye 942S</t>
  </si>
  <si>
    <t>Namaka 428S</t>
  </si>
  <si>
    <t>Namao</t>
  </si>
  <si>
    <t>Narrows Creek 858S</t>
  </si>
  <si>
    <t>Nelson Lake 429S</t>
  </si>
  <si>
    <t>Nevis 766S</t>
  </si>
  <si>
    <t>New Rose Valley 635S</t>
  </si>
  <si>
    <t>Newell 2075S</t>
  </si>
  <si>
    <t>Nilrem 574S</t>
  </si>
  <si>
    <t>Nipisi 796S</t>
  </si>
  <si>
    <t>Nisku 149S</t>
  </si>
  <si>
    <t>Norberg 936S</t>
  </si>
  <si>
    <t>Norcen 812S</t>
  </si>
  <si>
    <t>North Barrhead 69S</t>
  </si>
  <si>
    <t>North Calder 37S</t>
  </si>
  <si>
    <t>North Holden 395S</t>
  </si>
  <si>
    <t>North Lethbridge 370S</t>
  </si>
  <si>
    <t>North Red Deer 217S</t>
  </si>
  <si>
    <t>North St. Albert 99S</t>
  </si>
  <si>
    <t>Nose Creek 284S</t>
  </si>
  <si>
    <t>Oakland 946S</t>
  </si>
  <si>
    <t>Okotoks 678S</t>
  </si>
  <si>
    <t>Oldman River 806S</t>
  </si>
  <si>
    <t>Olds 55S</t>
  </si>
  <si>
    <t>Onoway 352S</t>
  </si>
  <si>
    <t>Opal 439S</t>
  </si>
  <si>
    <t>Otauwau 729S</t>
  </si>
  <si>
    <t>Oyen 767S</t>
  </si>
  <si>
    <t>Paddle River 106S</t>
  </si>
  <si>
    <t>Paintearth 863S</t>
  </si>
  <si>
    <t>Parsons Creek 718S</t>
  </si>
  <si>
    <t>Peace Butte 404S</t>
  </si>
  <si>
    <t>Pegasus Lake 659S</t>
  </si>
  <si>
    <t>Peigan 59S</t>
  </si>
  <si>
    <t>Pemukan 932S</t>
  </si>
  <si>
    <t>Petro Canada Brazeau River 489S</t>
  </si>
  <si>
    <t>Petro Canada Edmonton 184S</t>
  </si>
  <si>
    <t>Picture Butte 120S</t>
  </si>
  <si>
    <t>Pigeon Lake 964S</t>
  </si>
  <si>
    <t>Pike 170S</t>
  </si>
  <si>
    <t>Pincher Creek 396S</t>
  </si>
  <si>
    <t>Pinedale 207S</t>
  </si>
  <si>
    <t>Piper Creek 247S</t>
  </si>
  <si>
    <t>Plamondon 353S</t>
  </si>
  <si>
    <t>Pocaterra 48S</t>
  </si>
  <si>
    <t>Ponoka 331S</t>
  </si>
  <si>
    <t>Poplar Hill 790S</t>
  </si>
  <si>
    <t>Poundmaker</t>
  </si>
  <si>
    <t>Primrose 859S</t>
  </si>
  <si>
    <t>Provost 545S</t>
  </si>
  <si>
    <t>Queensland 301S</t>
  </si>
  <si>
    <t>Queenstown 504S</t>
  </si>
  <si>
    <t>Quigley 989S</t>
  </si>
  <si>
    <t>Rainbow Cogen 850S</t>
  </si>
  <si>
    <t>Rangeland Yarrow 995S</t>
  </si>
  <si>
    <t>Raven River 634S</t>
  </si>
  <si>
    <t>Raymond Reservoir 313S</t>
  </si>
  <si>
    <t>Red Deer 63S</t>
  </si>
  <si>
    <t>Redwater 171S</t>
  </si>
  <si>
    <t>Ribstone Creek 892S</t>
  </si>
  <si>
    <t>Richdale 776S</t>
  </si>
  <si>
    <t>Ricinus 581S</t>
  </si>
  <si>
    <t>Rimbey 297S</t>
  </si>
  <si>
    <t>Ring Creek 853S</t>
  </si>
  <si>
    <t>Riverbend 618S</t>
  </si>
  <si>
    <t>Riverside 388S</t>
  </si>
  <si>
    <t>Rocky Mountain House 262S</t>
  </si>
  <si>
    <t>Ross Creek 906S</t>
  </si>
  <si>
    <t>Rossdale</t>
  </si>
  <si>
    <t>Rosyth 296S</t>
  </si>
  <si>
    <t>Round Hill 852S</t>
  </si>
  <si>
    <t>Rowley 768S</t>
  </si>
  <si>
    <t>Rundle 35S</t>
  </si>
  <si>
    <t>Russell 632S</t>
  </si>
  <si>
    <t>Ruth Lake 848S</t>
  </si>
  <si>
    <t>Rycroft 730S</t>
  </si>
  <si>
    <t>Saddle Hills 865S</t>
  </si>
  <si>
    <t>Sagitawah 77S</t>
  </si>
  <si>
    <t>Salt Creek 977S</t>
  </si>
  <si>
    <t>Sand Hills Sub 341S</t>
  </si>
  <si>
    <t>Sandy Point 204S</t>
  </si>
  <si>
    <t>Sarah Lake 743S</t>
  </si>
  <si>
    <t>Sarcee 42S</t>
  </si>
  <si>
    <t>Saunders Lake 289S</t>
  </si>
  <si>
    <t>Schrader Creek 531S</t>
  </si>
  <si>
    <t>Scoria 318S</t>
  </si>
  <si>
    <t>Scotford 409S</t>
  </si>
  <si>
    <t>Scotford Upgrader 879S</t>
  </si>
  <si>
    <t>Seal Lake 869S</t>
  </si>
  <si>
    <t>Secord 2005S</t>
  </si>
  <si>
    <t>Sedgewick 137S</t>
  </si>
  <si>
    <t>Seebe 245S</t>
  </si>
  <si>
    <t>Shamrock 1018S</t>
  </si>
  <si>
    <t>Sheerness 807S</t>
  </si>
  <si>
    <t>Shell Harmattan 238S</t>
  </si>
  <si>
    <t>Shell Waterton 502S</t>
  </si>
  <si>
    <t>Sherritt Gordon 172S</t>
  </si>
  <si>
    <t>Sherwood Park 746S</t>
  </si>
  <si>
    <t>Simonette 733S</t>
  </si>
  <si>
    <t>Slave Lake 745S</t>
  </si>
  <si>
    <t>Soderglen 243S</t>
  </si>
  <si>
    <t>South Bezanson 862S</t>
  </si>
  <si>
    <t>South Mayerthorpe 443S</t>
  </si>
  <si>
    <t>South Red Deer 194S</t>
  </si>
  <si>
    <t>Spray 33S</t>
  </si>
  <si>
    <t>Spring Coulee 385S</t>
  </si>
  <si>
    <t>Springbank 272S</t>
  </si>
  <si>
    <t>Spruce Grove 595S</t>
  </si>
  <si>
    <t>St. Paul 707S</t>
  </si>
  <si>
    <t>Stavely 349S</t>
  </si>
  <si>
    <t>Stelco Edmonton East 133S</t>
  </si>
  <si>
    <t>Stettler 769S</t>
  </si>
  <si>
    <t>Stirling 67S</t>
  </si>
  <si>
    <t>Stony Plain 434S</t>
  </si>
  <si>
    <t>Strachan 263S</t>
  </si>
  <si>
    <t>Strathmore 151S</t>
  </si>
  <si>
    <t>Strome 223S</t>
  </si>
  <si>
    <t>Sturgeon 2 881S</t>
  </si>
  <si>
    <t>Sturgeon 734S</t>
  </si>
  <si>
    <t>Suffield 895S</t>
  </si>
  <si>
    <t>Sullivan Lake 775S</t>
  </si>
  <si>
    <t>Sulphur Point 828S</t>
  </si>
  <si>
    <t>Summerside 657S</t>
  </si>
  <si>
    <t>Summerview 354S</t>
  </si>
  <si>
    <t>Summit 653S</t>
  </si>
  <si>
    <t>Sundance 310P</t>
  </si>
  <si>
    <t>Sundance Blow-Down 867S</t>
  </si>
  <si>
    <t>Sunday Creek 539S</t>
  </si>
  <si>
    <t>Sundre 575S</t>
  </si>
  <si>
    <t>Sunken Lake 221S</t>
  </si>
  <si>
    <t>Sunnybrook 510S</t>
  </si>
  <si>
    <t>Sunshine Village 945S</t>
  </si>
  <si>
    <t>Swan River 735S</t>
  </si>
  <si>
    <t>Swandive 854S</t>
  </si>
  <si>
    <t>Sweetheart Lake 2032S</t>
  </si>
  <si>
    <t>T.M.P.L. Gainford 165S</t>
  </si>
  <si>
    <t>Taber 83S</t>
  </si>
  <si>
    <t>Taber Wind Farm 134S</t>
  </si>
  <si>
    <t>Thickwood Hills 951S</t>
  </si>
  <si>
    <t>Thompson 140S</t>
  </si>
  <si>
    <t>Thornton 2091S</t>
  </si>
  <si>
    <t>Three Hills 770S</t>
  </si>
  <si>
    <t>Three Sisters 36S</t>
  </si>
  <si>
    <t>Tilley 498S</t>
  </si>
  <si>
    <t>Tinchebray 972S</t>
  </si>
  <si>
    <t>Tower Road 933S</t>
  </si>
  <si>
    <t>Travers 554S</t>
  </si>
  <si>
    <t>Triangle 882S</t>
  </si>
  <si>
    <t>Truweld Grating 6500S</t>
  </si>
  <si>
    <t>Tucuman 478S</t>
  </si>
  <si>
    <t>Turbo Balzac 391S</t>
  </si>
  <si>
    <t>Underwood 183S</t>
  </si>
  <si>
    <t>Union Carbide Prentiss 276S</t>
  </si>
  <si>
    <t>Updike 886S</t>
  </si>
  <si>
    <t>Uplands 241S</t>
  </si>
  <si>
    <t>Valleyview 794S</t>
  </si>
  <si>
    <t>Vauxhall 158S</t>
  </si>
  <si>
    <t>Vegreville 709S</t>
  </si>
  <si>
    <t>Vermilion 710S</t>
  </si>
  <si>
    <t>Veteran 771S</t>
  </si>
  <si>
    <t>Vilna 777S</t>
  </si>
  <si>
    <t>Violet Grove 283S</t>
  </si>
  <si>
    <t>Virginia Hills 738S</t>
  </si>
  <si>
    <t>Viscount 92S</t>
  </si>
  <si>
    <t>Vista 1029S</t>
  </si>
  <si>
    <t>Vulcan 255S</t>
  </si>
  <si>
    <t>Wabamun 19S</t>
  </si>
  <si>
    <t>Wabamun 2739S</t>
  </si>
  <si>
    <t>Wabasca 720S</t>
  </si>
  <si>
    <t>Waddel 907S</t>
  </si>
  <si>
    <t>Wainright 51S</t>
  </si>
  <si>
    <t>Wap 1S</t>
  </si>
  <si>
    <t>Wapiti 823S</t>
  </si>
  <si>
    <t>Wardlow 230S</t>
  </si>
  <si>
    <t>Ware Junction 132S</t>
  </si>
  <si>
    <t>Warner 344S</t>
  </si>
  <si>
    <t>Waterton 379S</t>
  </si>
  <si>
    <t>Watson Creek 104S</t>
  </si>
  <si>
    <t>Watt Lake 956S</t>
  </si>
  <si>
    <t>Waupisoo 405S</t>
  </si>
  <si>
    <t>Weasel Creek 947S</t>
  </si>
  <si>
    <t>Wesley Creek 834S</t>
  </si>
  <si>
    <t>West Brooks 28S</t>
  </si>
  <si>
    <t>West Cascade 177S</t>
  </si>
  <si>
    <t>West Crossfield 316S</t>
  </si>
  <si>
    <t>West Pembina 359S</t>
  </si>
  <si>
    <t>West Pembina 477S</t>
  </si>
  <si>
    <t>Westfield 107S</t>
  </si>
  <si>
    <t>Westlock 438S</t>
  </si>
  <si>
    <t>Westpeace 793S</t>
  </si>
  <si>
    <t>Westwood 422S</t>
  </si>
  <si>
    <t>Wetaskiwin 40S</t>
  </si>
  <si>
    <t>Wheatland 609S</t>
  </si>
  <si>
    <t>Whitby Lake 819S</t>
  </si>
  <si>
    <t>Whitecourt 268S</t>
  </si>
  <si>
    <t>Whitecourt Industrial 364S</t>
  </si>
  <si>
    <t>Whitecourt Power 323S</t>
  </si>
  <si>
    <t>Whitefish Lake 825S</t>
  </si>
  <si>
    <t>Whitla 251S</t>
  </si>
  <si>
    <t>Willesdengreen 68S</t>
  </si>
  <si>
    <t>Willow Lake 2009S</t>
  </si>
  <si>
    <t>Windy Flats 138S</t>
  </si>
  <si>
    <t>Windy Point 112S</t>
  </si>
  <si>
    <t>Winefred 818S</t>
  </si>
  <si>
    <t>Wintering Hills 804S</t>
  </si>
  <si>
    <t>Wolf Creek 288S</t>
  </si>
  <si>
    <t>Wolf Lake 822S</t>
  </si>
  <si>
    <t>Woodcroft</t>
  </si>
  <si>
    <t>Yasa 286S</t>
  </si>
  <si>
    <t>Yeo 2015S</t>
  </si>
  <si>
    <t>Youngstown 772S</t>
  </si>
  <si>
    <t>Zama 795S</t>
  </si>
  <si>
    <t>Garden City 226S JCT</t>
  </si>
  <si>
    <t>Ghost Pine 114S JCT</t>
  </si>
  <si>
    <t>Gulf Robb 414S JCT</t>
  </si>
  <si>
    <t>Halfway 2014S JCT</t>
  </si>
  <si>
    <t>Hartell 512S JCT</t>
  </si>
  <si>
    <t>Haynes 482S JCT</t>
  </si>
  <si>
    <t>Heisler 764S JCT</t>
  </si>
  <si>
    <t>Hillridge 139S JCT</t>
  </si>
  <si>
    <t>Imperial Oil Carson Lake 996S JCT</t>
  </si>
  <si>
    <t>Inland Cement JCT</t>
  </si>
  <si>
    <t>Jarrow 252S JCT</t>
  </si>
  <si>
    <t>Jumping Pound 271S JCT</t>
  </si>
  <si>
    <t>Jumping Pound Junction 43S JCT</t>
  </si>
  <si>
    <t>Kaybob 346S JCT</t>
  </si>
  <si>
    <t>Killarney Lake 267S JCT</t>
  </si>
  <si>
    <t>Kingman 299S JCT</t>
  </si>
  <si>
    <t>Laura Lake 661S JCT</t>
  </si>
  <si>
    <t>Lindbergh 969S JCT</t>
  </si>
  <si>
    <t>Madden 373S JCT</t>
  </si>
  <si>
    <t>Magcan 142S JCT</t>
  </si>
  <si>
    <t>Mannix Mine 765S JCT</t>
  </si>
  <si>
    <t>Mariana 833S JCT</t>
  </si>
  <si>
    <t>Marion 21S JCT</t>
  </si>
  <si>
    <t>Marlboro 348S JCT</t>
  </si>
  <si>
    <t>Mcbride Lake 240S JCT</t>
  </si>
  <si>
    <t>Meadow Creek 2081S JCT</t>
  </si>
  <si>
    <t>Melito 890S JCT</t>
  </si>
  <si>
    <t>Mercer Hill 728S JCT</t>
  </si>
  <si>
    <t>Mobil Oil Carson Creek 887S JCT</t>
  </si>
  <si>
    <t>Monarch 492S JCT</t>
  </si>
  <si>
    <t>Mountain Coalbed 411S JCT</t>
  </si>
  <si>
    <t>Mowat 2033S JCT</t>
  </si>
  <si>
    <t>Muir 2018S JCT</t>
  </si>
  <si>
    <t>New Rose Valley 635S JCT</t>
  </si>
  <si>
    <t>Norberg 936S JCT</t>
  </si>
  <si>
    <t>Paddle River 106S JCT</t>
  </si>
  <si>
    <t>Pegasus Lake 659S JCT</t>
  </si>
  <si>
    <t>Queensland 301S JCT</t>
  </si>
  <si>
    <t>Raven River 634S JCT</t>
  </si>
  <si>
    <t>Raymond Reservoir 313S JCT</t>
  </si>
  <si>
    <t>Ricinus 581S JCT</t>
  </si>
  <si>
    <t>Riverbend 618S JCT</t>
  </si>
  <si>
    <t>Riverside 388S JCT</t>
  </si>
  <si>
    <t>Ross Creek 906S JCT</t>
  </si>
  <si>
    <t>Round Hill 852S JCT</t>
  </si>
  <si>
    <t>Rundle 35S JCT</t>
  </si>
  <si>
    <t>Saddle Hills 865S JCT</t>
  </si>
  <si>
    <t>Schrader Creek 531S JCT</t>
  </si>
  <si>
    <t>Seal Lake 869S JCT</t>
  </si>
  <si>
    <t>Sedgewick 137S JCT</t>
  </si>
  <si>
    <t>Shell Harmattan 238S JCT</t>
  </si>
  <si>
    <t>Summit 653S JCT</t>
  </si>
  <si>
    <t>Sundance 310P JCT</t>
  </si>
  <si>
    <t>Sundance Blow-Down 867S JCT</t>
  </si>
  <si>
    <t>Sunken Lake 221S JCT</t>
  </si>
  <si>
    <t>T.M.P.L. Gainford 165S JCT</t>
  </si>
  <si>
    <t>Taber Wind Farm 134S JCT</t>
  </si>
  <si>
    <t>Thompson 140S JCT</t>
  </si>
  <si>
    <t>Triangle 882S JCT</t>
  </si>
  <si>
    <t>Truweld Grating 6500S JCT</t>
  </si>
  <si>
    <t>Wap 1S JCT</t>
  </si>
  <si>
    <t>Wapiti 823S JCT</t>
  </si>
  <si>
    <t>Watt Lake 956S JCT</t>
  </si>
  <si>
    <t>Weasel Creek 947S JCT</t>
  </si>
  <si>
    <t>West Pembina 359S JCT</t>
  </si>
  <si>
    <t>Wetaskiwin 40S JCT</t>
  </si>
  <si>
    <t>Willesdengreen 68S JCT</t>
  </si>
  <si>
    <t>Windy Point 112S JCT</t>
  </si>
  <si>
    <t>HRT Express 329S</t>
  </si>
  <si>
    <t>HRT Express 329S JCT</t>
  </si>
  <si>
    <t>INT Butte Montana</t>
  </si>
  <si>
    <t>Kettle's Hill 383S</t>
  </si>
  <si>
    <t>Kettle's Hill 383S JCT</t>
  </si>
  <si>
    <t xml:space="preserve">Plant 30-2 UE-1 </t>
  </si>
  <si>
    <t>Red Deer Downtown RD15S</t>
  </si>
  <si>
    <t>Red Deer North RD14S</t>
  </si>
  <si>
    <t>Shell AOSP 402S</t>
  </si>
  <si>
    <t>Shell AOSP 402S JCT</t>
  </si>
  <si>
    <t>Shepard SS-25</t>
  </si>
  <si>
    <t>TMPL Niton 228S</t>
  </si>
  <si>
    <t>Balzac Cogen</t>
  </si>
  <si>
    <t>Fedpipe Judy Creek 515S</t>
  </si>
  <si>
    <t>Fort Sask. Cogen 218S</t>
  </si>
  <si>
    <t>AB_ANC00_GEN</t>
  </si>
  <si>
    <t>AB_ALS00_GEN</t>
  </si>
  <si>
    <t>AB_AOS00_GEN</t>
  </si>
  <si>
    <t>AB_ARD00_GEN</t>
  </si>
  <si>
    <t>AB_ALP00_GEN</t>
  </si>
  <si>
    <t>AB_BRL00_GEN</t>
  </si>
  <si>
    <t>AB_BRR00_GEN</t>
  </si>
  <si>
    <t>AB_BSP00_GEN</t>
  </si>
  <si>
    <t>AB_BHL00_GEN</t>
  </si>
  <si>
    <t>AB_BLR00_GEN</t>
  </si>
  <si>
    <t>AB_BFD00_GEN</t>
  </si>
  <si>
    <t>AB_BSR00_GEN</t>
  </si>
  <si>
    <t>AB_BTR00_GEN</t>
  </si>
  <si>
    <t>AB_BXS00_GEN</t>
  </si>
  <si>
    <t>AB_BFA00_GEN</t>
  </si>
  <si>
    <t>AB_BUL00_GEN</t>
  </si>
  <si>
    <t>AB_BLT00_GEN</t>
  </si>
  <si>
    <t>AB_BRD00_GEN</t>
  </si>
  <si>
    <t>AB_CAL00_GEN</t>
  </si>
  <si>
    <t>AB_CCB00_GEN</t>
  </si>
  <si>
    <t>AB_CPL00_GEN</t>
  </si>
  <si>
    <t>AB_CHH00_GEN</t>
  </si>
  <si>
    <t>AB_CLS00_GEN</t>
  </si>
  <si>
    <t>AB_COD00_GEN</t>
  </si>
  <si>
    <t>AB_DAI00_GEN</t>
  </si>
  <si>
    <t>AB_DFT00_GEN</t>
  </si>
  <si>
    <t>AB_DRM00_GEN</t>
  </si>
  <si>
    <t>AB_DRW00_GEN</t>
  </si>
  <si>
    <t>AB_EST00_GEN</t>
  </si>
  <si>
    <t>AB_BCR01_GEN</t>
  </si>
  <si>
    <t>AB_CCK00_GEN</t>
  </si>
  <si>
    <t>AB_CCW00_GEN</t>
  </si>
  <si>
    <t>AB_CAV00_GEN</t>
  </si>
  <si>
    <t>AB_BKL00_GEN</t>
  </si>
  <si>
    <t>AB_CLK00_GEN</t>
  </si>
  <si>
    <t>AB_CLN00_GEN</t>
  </si>
  <si>
    <t>AB_EDS00_GEN</t>
  </si>
  <si>
    <t>Firebag 7</t>
  </si>
  <si>
    <t>Firebag 3_01</t>
  </si>
  <si>
    <t>Firebag 3_02</t>
  </si>
  <si>
    <t>Firebag 4_01</t>
  </si>
  <si>
    <t>Firebag 4_02</t>
  </si>
  <si>
    <t>AB_FB700_GEN</t>
  </si>
  <si>
    <t>AB_FB301_GEN</t>
  </si>
  <si>
    <t>AB_FB302_GEN</t>
  </si>
  <si>
    <t>AB_FB401_GEN</t>
  </si>
  <si>
    <t>AB_FB402_GEN</t>
  </si>
  <si>
    <t>AB_FHL00_GEN</t>
  </si>
  <si>
    <t>AB_FML00_GEN</t>
  </si>
  <si>
    <t>AB_GHP00_GEN</t>
  </si>
  <si>
    <t>AB_GAC00_GEN</t>
  </si>
  <si>
    <t>AB_HAL00_GEN</t>
  </si>
  <si>
    <t>AB_HMT00_GEN</t>
  </si>
  <si>
    <t>AB_HYS00_GEN</t>
  </si>
  <si>
    <t>AB_GOC00_GEN</t>
  </si>
  <si>
    <t>AB_HRZ00_GEN</t>
  </si>
  <si>
    <t>AB_JDK00_GEN</t>
  </si>
  <si>
    <t>AB_HSM00_GEN</t>
  </si>
  <si>
    <t>AB_HRM00_GEN</t>
  </si>
  <si>
    <t>AB_ILK00_GEN</t>
  </si>
  <si>
    <t>AB_JNS00_GEN</t>
  </si>
  <si>
    <t>AB_JOF00_GEN</t>
  </si>
  <si>
    <t>AB_KBB00_GEN</t>
  </si>
  <si>
    <t>AB_MCF00_GEN</t>
  </si>
  <si>
    <t>AB_MEG00_GEN</t>
  </si>
  <si>
    <t>AB_MUL00_GEN</t>
  </si>
  <si>
    <t>AB_PCT00_GEN</t>
  </si>
  <si>
    <t>AB_PPH00_GEN</t>
  </si>
  <si>
    <t>AB_INN00_GEN</t>
  </si>
  <si>
    <t>AB_JLL00_GEN</t>
  </si>
  <si>
    <t>AB_KRL00_GEN</t>
  </si>
  <si>
    <t>AB_KHL00_GEN</t>
  </si>
  <si>
    <t>AB_LTB00_GEN</t>
  </si>
  <si>
    <t>AB_LTC00_GEN</t>
  </si>
  <si>
    <t>AB_LTF00_GEN</t>
  </si>
  <si>
    <t>AB_LTT00_GEN</t>
  </si>
  <si>
    <t>AB_LBG00_GEN</t>
  </si>
  <si>
    <t>AB_MKY00_GEN</t>
  </si>
  <si>
    <t>AB_MGH00_GEN</t>
  </si>
  <si>
    <t>AB_MCB00_GEN</t>
  </si>
  <si>
    <t>AB_MHT00_GEN</t>
  </si>
  <si>
    <t>MEG Christina Lake</t>
  </si>
  <si>
    <t>AB_NX100_GEN</t>
  </si>
  <si>
    <t>AB_NX201_GEN</t>
  </si>
  <si>
    <t>AB_NX202_GEN</t>
  </si>
  <si>
    <t>AB_NX203_GEN</t>
  </si>
  <si>
    <t>AB_NX204_GEN</t>
  </si>
  <si>
    <t>AB_NRG00_GEN</t>
  </si>
  <si>
    <t>AB_OMH01_GEN</t>
  </si>
  <si>
    <t>AB_OMH02_GEN</t>
  </si>
  <si>
    <t>AB_OMW00_GEN</t>
  </si>
  <si>
    <t>AB_PKL00_GEN</t>
  </si>
  <si>
    <t>AB_PPC00_GEN</t>
  </si>
  <si>
    <t>AB_PRM00_GEN</t>
  </si>
  <si>
    <t>AB_RBL01_GEN</t>
  </si>
  <si>
    <t>AB_RBL05_GEN</t>
  </si>
  <si>
    <t>AB_RLT00_GEN</t>
  </si>
  <si>
    <t>AB_RSR00_GEN</t>
  </si>
  <si>
    <t>AB_RMD00_GEN</t>
  </si>
  <si>
    <t>AB_RWR00_GEN</t>
  </si>
  <si>
    <t>AB_RIV00_GEN</t>
  </si>
  <si>
    <t>AB_SDH00_GEN</t>
  </si>
  <si>
    <t>AB_SPH00_GEN</t>
  </si>
  <si>
    <t>AB_SHR00_GEN</t>
  </si>
  <si>
    <t>AB_SNT00_GEN</t>
  </si>
  <si>
    <t>AB_SLP00_GEN</t>
  </si>
  <si>
    <t>AB_SPC00_GEN</t>
  </si>
  <si>
    <t>AB_STM00_GEN</t>
  </si>
  <si>
    <t>AB_STL00_GEN</t>
  </si>
  <si>
    <t>AB_SFF00_GEN</t>
  </si>
  <si>
    <t>AB_SCF00_GEN</t>
  </si>
  <si>
    <t>AB_SHC00_GEN</t>
  </si>
  <si>
    <t>AB_SHP00_GEN</t>
  </si>
  <si>
    <t>AB_SDG00_GEN</t>
  </si>
  <si>
    <t>AB_SMR00_GEN</t>
  </si>
  <si>
    <t>AB_SMT00_GEN</t>
  </si>
  <si>
    <t>AB_STC00_GEN</t>
  </si>
  <si>
    <t>AB_SVW01_GEN</t>
  </si>
  <si>
    <t>AB_SVW02_GEN</t>
  </si>
  <si>
    <t>AB_SCD00_GEN</t>
  </si>
  <si>
    <t>AB_TAB00_GEN</t>
  </si>
  <si>
    <t>AB_TAY00_GEN</t>
  </si>
  <si>
    <t>AB_TSS00_GEN</t>
  </si>
  <si>
    <t>AB_TLL00_GEN</t>
  </si>
  <si>
    <t>AB_TRV00_GEN</t>
  </si>
  <si>
    <t>AB_UOC00_GEN</t>
  </si>
  <si>
    <t>AB_VLP00_GEN</t>
  </si>
  <si>
    <t>AB_VNW00_GEN</t>
  </si>
  <si>
    <t>AB_VXH00_GEN</t>
  </si>
  <si>
    <t>AB_VGV00_GEN</t>
  </si>
  <si>
    <t>AB_WTH00_GEN</t>
  </si>
  <si>
    <t>AB_WTW00_GEN</t>
  </si>
  <si>
    <t>AB_WWD00_GEN</t>
  </si>
  <si>
    <t>AB_WCD00_GEN</t>
  </si>
  <si>
    <t>AB_WST00_GEN</t>
  </si>
  <si>
    <t>AB_WEY00_GEN</t>
  </si>
  <si>
    <t>AB_WHC00_GEN</t>
  </si>
  <si>
    <t>AB_WHL00_GEN</t>
  </si>
  <si>
    <t>AB_WND00_GEN</t>
  </si>
  <si>
    <t>AB_WRN00_GEN</t>
  </si>
  <si>
    <t>AB_YLK00_GEN</t>
  </si>
  <si>
    <t>UofC</t>
  </si>
  <si>
    <t>Waterton CT_01</t>
  </si>
  <si>
    <t>Waterton CT_02</t>
  </si>
  <si>
    <t>Waterton Hydro</t>
  </si>
  <si>
    <t>Waterton Wind</t>
  </si>
  <si>
    <t>AB_WPM00_GEN</t>
  </si>
  <si>
    <t>AB_WTC00_GEN</t>
  </si>
  <si>
    <t>Whitla 1</t>
  </si>
  <si>
    <t>AB_WGL00_GEN</t>
  </si>
  <si>
    <t>Wintering Hills</t>
  </si>
  <si>
    <t>Battle River Coal_04</t>
  </si>
  <si>
    <t>Battle River Coal_05</t>
  </si>
  <si>
    <t>Battle River Gas_04</t>
  </si>
  <si>
    <t>Battle River Gas_05</t>
  </si>
  <si>
    <t>Foster Creek 1</t>
  </si>
  <si>
    <t>Foster Creek 2</t>
  </si>
  <si>
    <t>Jenner Wind 1</t>
  </si>
  <si>
    <t>Jenner Wind 2</t>
  </si>
  <si>
    <t>Keephills Coal_01</t>
  </si>
  <si>
    <t>Keephills Coal_02</t>
  </si>
  <si>
    <t>Keephills Coal_03</t>
  </si>
  <si>
    <t>Keephills Gas_01</t>
  </si>
  <si>
    <t>Keephills Gas_02</t>
  </si>
  <si>
    <t>Keephills Gas_03</t>
  </si>
  <si>
    <t>Oldman Wind</t>
  </si>
  <si>
    <t>Primrose</t>
  </si>
  <si>
    <t>Rundle_01</t>
  </si>
  <si>
    <t>Rundle_02</t>
  </si>
  <si>
    <t>Sheerness Coal_01</t>
  </si>
  <si>
    <t>Sheerness Coal_02</t>
  </si>
  <si>
    <t>Sheerness Gas_01</t>
  </si>
  <si>
    <t>Sheerness Gas_02</t>
  </si>
  <si>
    <t>Sundance Coal_04</t>
  </si>
  <si>
    <t>Sundance Coal_06</t>
  </si>
  <si>
    <t>Sundance Gas_04</t>
  </si>
  <si>
    <t>Sundance Gas_05</t>
  </si>
  <si>
    <t>Sundance Gas_06</t>
  </si>
  <si>
    <t>Three Sisters</t>
  </si>
  <si>
    <t>Valley Power</t>
  </si>
  <si>
    <t>AB_BTY00_GEN</t>
  </si>
  <si>
    <t>AB_BPT00_GEN</t>
  </si>
  <si>
    <t>Chin Chute Wind</t>
  </si>
  <si>
    <t>Genesee Coal_01</t>
  </si>
  <si>
    <t>Genesee Coal_02</t>
  </si>
  <si>
    <t>Genesee Coal_03</t>
  </si>
  <si>
    <t>Genesee Gas_01</t>
  </si>
  <si>
    <t>Genesee Gas_02</t>
  </si>
  <si>
    <t>Genesee Gas_03</t>
  </si>
  <si>
    <t>AB_BKS00_GEN</t>
  </si>
  <si>
    <t>AB_CMS00_GEN</t>
  </si>
  <si>
    <t>AB_CRV00_GEN</t>
  </si>
  <si>
    <t>AB_DSP00_GEN</t>
  </si>
  <si>
    <t>AB_GPR00_GEN</t>
  </si>
  <si>
    <t>AB_MSK01_GEN</t>
  </si>
  <si>
    <t>AB_MSK02_GEN</t>
  </si>
  <si>
    <t xml:space="preserve">Northern Prairie </t>
  </si>
  <si>
    <t>AB_NPR00_GEN</t>
  </si>
  <si>
    <t>Alberta Utilities Commission. 2020. Transalta Corporation. Keephills Power Plant Repowering.</t>
  </si>
  <si>
    <t>AB_WND00_STO</t>
  </si>
  <si>
    <t>Alberta One</t>
  </si>
  <si>
    <t>Brazeau_01</t>
  </si>
  <si>
    <t>Brazeau_02</t>
  </si>
  <si>
    <t>Gold Creek</t>
  </si>
  <si>
    <t>Altalink Management Ltd.</t>
  </si>
  <si>
    <t>ENMAX Power Corporation</t>
  </si>
  <si>
    <t>ATCO Electric Ltd.</t>
  </si>
  <si>
    <t>Suncor</t>
  </si>
  <si>
    <t>EPCOR</t>
  </si>
  <si>
    <t>Canadian Natural Resources Limited</t>
  </si>
  <si>
    <t>Air Liquide Canada Inc.</t>
  </si>
  <si>
    <t>Dapp Power Corporation</t>
  </si>
  <si>
    <t>Alberta Electric System Operator System Co-ordination Plan Approved Outages</t>
  </si>
  <si>
    <t>https://www.aeso.ca/grid/grid-operations/outages/</t>
  </si>
  <si>
    <t>Reference includes archives dating back to 2014.</t>
  </si>
  <si>
    <t>Argyll 629S</t>
  </si>
  <si>
    <t>AB_629S_DSS</t>
  </si>
  <si>
    <t>Beddington 162S</t>
  </si>
  <si>
    <t>AB_162S_DSS</t>
  </si>
  <si>
    <t>Castle Downs 557S</t>
  </si>
  <si>
    <t>AB_557S_DSS</t>
  </si>
  <si>
    <t>Lambton E803S</t>
  </si>
  <si>
    <t>AB_E803S_DSS</t>
  </si>
  <si>
    <t>Syncrude D05</t>
  </si>
  <si>
    <t>EMF = East Mine Feeder</t>
  </si>
  <si>
    <t>AB_D05S_ISS</t>
  </si>
  <si>
    <t>EMF1</t>
  </si>
  <si>
    <t>EMF2</t>
  </si>
  <si>
    <t>AB_XMIL_GSS</t>
  </si>
  <si>
    <t>Node Name</t>
  </si>
  <si>
    <t>EXISTING NODES</t>
  </si>
  <si>
    <t>Petrolia 816S</t>
  </si>
  <si>
    <t>AB_816S_DSS</t>
  </si>
  <si>
    <t>Aurora G01</t>
  </si>
  <si>
    <t>AB_G01S_DSS</t>
  </si>
  <si>
    <t>AB_256S_GSS</t>
  </si>
  <si>
    <t>Oldman_01</t>
  </si>
  <si>
    <t>Oldman_02</t>
  </si>
  <si>
    <t>Enchant 477S</t>
  </si>
  <si>
    <t>Chickadee Creek 259S</t>
  </si>
  <si>
    <t>Chickadee Creek 259S JCT</t>
  </si>
  <si>
    <t>Cynthia 178S</t>
  </si>
  <si>
    <t>Bellamy 814S</t>
  </si>
  <si>
    <t>AB_814S_DSS</t>
  </si>
  <si>
    <t>Dome 665S</t>
  </si>
  <si>
    <t>AB_665S_DSS</t>
  </si>
  <si>
    <t>Fiberglass 524S</t>
  </si>
  <si>
    <t>Fiberglass 524S JCT</t>
  </si>
  <si>
    <t>AB_524S_DSS</t>
  </si>
  <si>
    <t>AB_524S_JCT</t>
  </si>
  <si>
    <t>Victoria E511S</t>
  </si>
  <si>
    <t>AB_E511S_DSS</t>
  </si>
  <si>
    <t>AB_SS01_DSS</t>
  </si>
  <si>
    <t>AB_SS06_DSS</t>
  </si>
  <si>
    <t>AB_SS07_DSS</t>
  </si>
  <si>
    <t>AB_SS08_DSS</t>
  </si>
  <si>
    <t>AB_SS03_DSS</t>
  </si>
  <si>
    <t>AB_SS02_DSS</t>
  </si>
  <si>
    <t>AB_SS05_DSS</t>
  </si>
  <si>
    <t>AB_SS09_DSS</t>
  </si>
  <si>
    <t>Location approximate</t>
  </si>
  <si>
    <t xml:space="preserve">Arcenciel 930S </t>
  </si>
  <si>
    <t>AESO. 2018. Information Document: Available Transfer Capability and Transfer Path Management ID #2011-001R</t>
  </si>
  <si>
    <t>Summer capacity = winter capacity = export capacity = import capacity</t>
  </si>
  <si>
    <t>Canada Energy Regulator</t>
  </si>
  <si>
    <t>International Power Lines Dashboard</t>
  </si>
  <si>
    <t>https://www.cer-rec.gc.ca/en/data-analysis/facilities-we-regulate/international-power-lines-dashboard/index.html</t>
  </si>
  <si>
    <t>AESO. 2017. SS 7 Connection Assessment</t>
  </si>
  <si>
    <t>Alberta Power (2000) Ltd and TransAlta Cogeneration Ltd. 2020. Sheerness Power Plant Dual Fuel Conversion.</t>
  </si>
  <si>
    <t>Alberta Utilities Commission. 2020. Heartland Generation Ltd Battle River Power Plant Amendment.</t>
  </si>
  <si>
    <t>Grovedale</t>
  </si>
  <si>
    <t>Lethbridge Fort McLeod</t>
  </si>
  <si>
    <t>Poplar Hill</t>
  </si>
  <si>
    <t>Sheerness</t>
  </si>
  <si>
    <t>Alberta Utilities Commission. 2020. Transalta Corporation Sundance Power Plant Repowering.</t>
  </si>
  <si>
    <t>Underground substation</t>
  </si>
  <si>
    <t>CBC</t>
  </si>
  <si>
    <t>TC Energy joins hydroelectric power storage project at retired coal mine site</t>
  </si>
  <si>
    <t>https://www.cbc.ca/news/canada/calgary/tc-energy-joins-pumped-hydro-power-storage-project-retired-coal-mine-site-1.5577377</t>
  </si>
  <si>
    <t>Ontario, Alberta</t>
  </si>
  <si>
    <t>HYDROELECTRIC PUMPED STORAGE</t>
  </si>
  <si>
    <t>Existing Facility</t>
  </si>
  <si>
    <t>Annual Generation</t>
  </si>
  <si>
    <t>Annual Pumping</t>
  </si>
  <si>
    <t>Water Type</t>
  </si>
  <si>
    <t>Cycle Type</t>
  </si>
  <si>
    <t>Storage Type</t>
  </si>
  <si>
    <t>Generation Duration to Empty Reservoir</t>
  </si>
  <si>
    <t>Pumping Duration to Fill Reservoir</t>
  </si>
  <si>
    <t>Overnight Capital Cost</t>
  </si>
  <si>
    <t>Annualized Project Cost per KW</t>
  </si>
  <si>
    <t>Annual Fixed O&amp;M</t>
  </si>
  <si>
    <t>Annualized
Variable O&amp;M</t>
  </si>
  <si>
    <t>Levelized Cost of Capacity</t>
  </si>
  <si>
    <t>(GWh/y)</t>
  </si>
  <si>
    <t>($2021M)</t>
  </si>
  <si>
    <t>($2021M/year)</t>
  </si>
  <si>
    <t>($2021/kW-year)</t>
  </si>
  <si>
    <t>AB_BRA00_STO</t>
  </si>
  <si>
    <t>AB_62S_DSS</t>
  </si>
  <si>
    <t>Open</t>
  </si>
  <si>
    <t>Reservoir to Reservoir</t>
  </si>
  <si>
    <t>AB_CYC00_STO</t>
  </si>
  <si>
    <t>Closed</t>
  </si>
  <si>
    <t>All projects assumed to be connected to the provincial or territorial transmission system</t>
  </si>
  <si>
    <t>Assume installed capacity is all dependable capacity, though this should be verified with new studies.</t>
  </si>
  <si>
    <t>Annual generation based on 8 hours per day generation, unless otherwise provided</t>
  </si>
  <si>
    <t>Annual pumping estimated at 125% of annual generation, unless otherwise provided</t>
  </si>
  <si>
    <t>Assume a Capital Overhead rate of 2% of total capital costs (inclusive of contingencies, as they are above) based on BC Hydro rate of 1.77%</t>
  </si>
  <si>
    <t>Assume IDC rate of 4% real</t>
  </si>
  <si>
    <t>Assume pumped storage facilities have an economic life of 70 years</t>
  </si>
  <si>
    <t>Assume a discount rate of 5% real</t>
  </si>
  <si>
    <t>Water Rental assumed to be $0/MWh (i.e., not applied to pumped storage)</t>
  </si>
  <si>
    <t>Assume extended to 2050</t>
  </si>
  <si>
    <t>Batte Sands 594S</t>
  </si>
  <si>
    <t>AB_594S_ISS</t>
  </si>
  <si>
    <t>Altalink. Battle Sands 594S Substation Interconnection</t>
  </si>
  <si>
    <t>Battle Sands 594S</t>
  </si>
  <si>
    <t>AB_656S_ISS</t>
  </si>
  <si>
    <t>AB_296S_ISS</t>
  </si>
  <si>
    <t>AB_329S_ISS</t>
  </si>
  <si>
    <t>AB_2029S_TSS</t>
  </si>
  <si>
    <t>Sylvan Lake 580S</t>
  </si>
  <si>
    <t>AB_580S_DSS</t>
  </si>
  <si>
    <t>AB_412S_ISS</t>
  </si>
  <si>
    <t>AB_482S_ISS</t>
  </si>
  <si>
    <t>AB_536S_ISS</t>
  </si>
  <si>
    <t>768L</t>
  </si>
  <si>
    <t>778L</t>
  </si>
  <si>
    <t>Timberlands 209S</t>
  </si>
  <si>
    <t>AB_209S_DSS</t>
  </si>
  <si>
    <t>Timberlands 209S JCT</t>
  </si>
  <si>
    <t>AB_209S_JCT</t>
  </si>
  <si>
    <t>464L</t>
  </si>
  <si>
    <t>AB_863S_ISS</t>
  </si>
  <si>
    <t>6L21</t>
  </si>
  <si>
    <t>Hurd 2037S</t>
  </si>
  <si>
    <t>AB_2037S_DSS</t>
  </si>
  <si>
    <t>AESO. 2020. Lanfine North Wind Power Project Connection Assessment</t>
  </si>
  <si>
    <t>782L</t>
  </si>
  <si>
    <t>Carseland Co-Gen 269S</t>
  </si>
  <si>
    <t>AB_269S_GSS</t>
  </si>
  <si>
    <t>AESO. 2016. Chestermere New POD Connection Assessment</t>
  </si>
  <si>
    <t>AB_525S_ISS</t>
  </si>
  <si>
    <t>AB_840S_CSS</t>
  </si>
  <si>
    <t>497L</t>
  </si>
  <si>
    <t>Windrise 1063S</t>
  </si>
  <si>
    <t>AB_1063S_GSS</t>
  </si>
  <si>
    <t>AB_266S_TSS</t>
  </si>
  <si>
    <t>Series capacitor</t>
  </si>
  <si>
    <t>Granum 604S</t>
  </si>
  <si>
    <t>AB_604S_DSS</t>
  </si>
  <si>
    <t>Deleted 54AL to Cascade Control Dam</t>
  </si>
  <si>
    <t>Deleted AB_T756S_DSS</t>
  </si>
  <si>
    <t>Sundance 821S</t>
  </si>
  <si>
    <t>Bertona 45S</t>
  </si>
  <si>
    <t>AB_733S_ISS</t>
  </si>
  <si>
    <t>P&amp;G 808S</t>
  </si>
  <si>
    <t>AB_808S_DSS</t>
  </si>
  <si>
    <t>Margie 1034S</t>
  </si>
  <si>
    <t>AB_1034S_ISS</t>
  </si>
  <si>
    <t>Margie 1034S JCT</t>
  </si>
  <si>
    <t>AB_1034S_JCT</t>
  </si>
  <si>
    <t>789BL</t>
  </si>
  <si>
    <t>Steepbank River 836S</t>
  </si>
  <si>
    <t>29EDD-27</t>
  </si>
  <si>
    <t>AB_E27S_ISS</t>
  </si>
  <si>
    <t>Line Length</t>
  </si>
  <si>
    <t>Line Segment Length</t>
  </si>
  <si>
    <t>EXISTING TRANSMISSION</t>
  </si>
  <si>
    <t>https://www.oilsandsmagazine.com/projects/suncor-millennium-steepbank-extension-mine</t>
  </si>
  <si>
    <t>https://www.cenovus.com/operations/oilsands.html</t>
  </si>
  <si>
    <t>https://northstonepower.com/company-bio/</t>
  </si>
  <si>
    <t>https://www.oilsandsmagazine.com/projects/suncor-fort-hills-mine</t>
  </si>
  <si>
    <t>https://www.transmissionhub.com/articles/2016/03/atco-power-approved-for-7-1-mw-house-mountain-project-in-alberta.html</t>
  </si>
  <si>
    <t>https://www.oilsandsmagazine.com/projects/cona-lindbergh-sagd</t>
  </si>
  <si>
    <t>https://www.auc.ab.ca/regulatory_documents/ProceedingDocuments/2017/22245-D02-2017.pdf</t>
  </si>
  <si>
    <t>https://www.auc.ab.ca/regulatory_documents/ProceedingDocuments/2014/U2014-432.pdf</t>
  </si>
  <si>
    <t>https://www.auc.ab.ca/regulatory_documents/ProceedingDocuments/2019/24626-D01-2019.pdf</t>
  </si>
  <si>
    <t>https://www.annualreports.com/HostedData/AnnualReportArchive/a/TSX_AQN_2002.pdf</t>
  </si>
  <si>
    <t>https://majorprojects.alberta.ca/details/Vanderwell-Sawmill-Power-Plant</t>
  </si>
  <si>
    <t>https://www.csaregistries.ca/files/projects/prj_4304_1065.pdf</t>
  </si>
  <si>
    <t>AESO 2021 Long-term Outlook</t>
  </si>
  <si>
    <t>See also the 2021 LTO Data File</t>
  </si>
  <si>
    <t>Average Alberta Internal Load (AIL)</t>
  </si>
  <si>
    <t>MW/h</t>
  </si>
  <si>
    <t>Alberta Internal Load (AIL)</t>
  </si>
  <si>
    <t>2031-2041</t>
  </si>
  <si>
    <t>2031-2041 Rate</t>
  </si>
  <si>
    <t>The 2021 LTO Reference Case accounts for anticipated energy efficiency impacts.</t>
  </si>
  <si>
    <t>"Clean-Tech" Scenario</t>
  </si>
  <si>
    <t>"Stagnant" Scenario</t>
  </si>
  <si>
    <t>GWh/y</t>
  </si>
  <si>
    <t>See Hourly Data</t>
  </si>
  <si>
    <t>BLANK</t>
  </si>
  <si>
    <t>Separates included from excluded tabs in CODERS</t>
  </si>
  <si>
    <t>Data under review</t>
  </si>
  <si>
    <t>all other colours are linked to references</t>
  </si>
  <si>
    <t>Storage_lithium</t>
  </si>
  <si>
    <t>storage_lithium</t>
  </si>
  <si>
    <t>AB_808S_ISS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</si>
</sst>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 numFmtId="165" formatCode="#,##0.0000"/>
    <numFmt numFmtId="166" formatCode="#,##0.000000"/>
    <numFmt numFmtId="167" formatCode="#,##0.0"/>
    <numFmt numFmtId="168" formatCode="#,##0.0000000000"/>
  </numFmts>
  <fonts count="44" x14ac:knownFonts="1">
    <font>
      <sz val="12"/>
      <color theme="1"/>
      <name val="Calibri"/>
      <family val="2"/>
      <scheme val="minor"/>
    </font>
    <font>
      <sz val="12"/>
      <color theme="1"/>
      <name val="Calibri"/>
      <family val="2"/>
      <scheme val="minor"/>
    </font>
    <font>
      <b/>
      <sz val="12"/>
      <color theme="1"/>
      <name val="Calibri"/>
      <family val="2"/>
      <scheme val="minor"/>
    </font>
    <font>
      <b/>
      <sz val="16"/>
      <color theme="1"/>
      <name val="Calibri"/>
      <family val="2"/>
      <scheme val="minor"/>
    </font>
    <font>
      <b/>
      <sz val="14"/>
      <color theme="1"/>
      <name val="Calibri"/>
      <family val="2"/>
      <scheme val="minor"/>
    </font>
    <font>
      <u/>
      <sz val="11"/>
      <color theme="10"/>
      <name val="Calibri"/>
      <family val="2"/>
      <scheme val="minor"/>
    </font>
    <font>
      <sz val="12"/>
      <name val="Calibri"/>
      <family val="2"/>
    </font>
    <font>
      <sz val="12"/>
      <color rgb="FF000000"/>
      <name val="Calibri"/>
      <family val="2"/>
    </font>
    <font>
      <sz val="14"/>
      <color theme="1"/>
      <name val="Calibri"/>
      <family val="2"/>
      <scheme val="minor"/>
    </font>
    <font>
      <sz val="14"/>
      <name val="Calibri"/>
      <family val="2"/>
    </font>
    <font>
      <b/>
      <sz val="14"/>
      <color rgb="FFFF0000"/>
      <name val="Calibri"/>
      <family val="2"/>
      <scheme val="minor"/>
    </font>
    <font>
      <sz val="14"/>
      <color theme="1"/>
      <name val="Helvetica"/>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sz val="12"/>
      <color rgb="FFFA7D00"/>
      <name val="Calibri"/>
      <family val="2"/>
      <scheme val="minor"/>
    </font>
    <font>
      <i/>
      <sz val="12"/>
      <color rgb="FF7F7F7F"/>
      <name val="Calibri"/>
      <family val="2"/>
      <scheme val="minor"/>
    </font>
    <font>
      <sz val="12"/>
      <color theme="0"/>
      <name val="Calibri"/>
      <family val="2"/>
      <scheme val="minor"/>
    </font>
    <font>
      <b/>
      <sz val="14"/>
      <color rgb="FF000000"/>
      <name val="Calibri"/>
      <family val="2"/>
      <scheme val="minor"/>
    </font>
    <font>
      <sz val="14"/>
      <name val="Calibri"/>
      <family val="2"/>
      <scheme val="minor"/>
    </font>
    <font>
      <b/>
      <sz val="12"/>
      <name val="Calibri"/>
      <family val="2"/>
      <scheme val="minor"/>
    </font>
    <font>
      <b/>
      <sz val="12"/>
      <color rgb="FF7030A0"/>
      <name val="Calibri"/>
      <family val="2"/>
      <scheme val="minor"/>
    </font>
    <font>
      <b/>
      <sz val="12"/>
      <color rgb="FFFF6FC1"/>
      <name val="Calibri"/>
      <family val="2"/>
      <scheme val="minor"/>
    </font>
    <font>
      <b/>
      <sz val="12"/>
      <color rgb="FF0070C0"/>
      <name val="Calibri"/>
      <family val="2"/>
      <scheme val="minor"/>
    </font>
    <font>
      <sz val="11"/>
      <name val="Arial"/>
      <family val="2"/>
    </font>
    <font>
      <sz val="10"/>
      <color theme="1"/>
      <name val="Calibri"/>
      <family val="2"/>
      <scheme val="minor"/>
    </font>
    <font>
      <sz val="14"/>
      <color theme="1"/>
      <name val="Calibri (Body)"/>
    </font>
    <font>
      <sz val="14"/>
      <color theme="1"/>
      <name val="Calibri"/>
      <family val="2"/>
    </font>
    <font>
      <sz val="11"/>
      <color theme="4"/>
      <name val="Calibri"/>
      <family val="2"/>
      <scheme val="minor"/>
    </font>
    <font>
      <sz val="11"/>
      <color rgb="FFFF0000"/>
      <name val="Calibri"/>
      <family val="2"/>
      <scheme val="minor"/>
    </font>
    <font>
      <sz val="11"/>
      <color rgb="FF7030A0"/>
      <name val="Calibri"/>
      <family val="2"/>
      <scheme val="minor"/>
    </font>
    <font>
      <sz val="11"/>
      <color rgb="FF002060"/>
      <name val="Calibri"/>
      <family val="2"/>
      <scheme val="minor"/>
    </font>
    <font>
      <sz val="9"/>
      <color theme="1"/>
      <name val="Helvetica"/>
      <family val="2"/>
    </font>
    <font>
      <sz val="8"/>
      <name val="Calibri"/>
      <family val="2"/>
      <scheme val="minor"/>
    </font>
    <font>
      <sz val="12"/>
      <color theme="1"/>
      <name val="Calibri"/>
      <family val="2"/>
    </font>
    <font>
      <sz val="14"/>
      <color rgb="FF000000"/>
      <name val="Calibri"/>
      <family val="2"/>
      <scheme val="minor"/>
    </font>
    <font>
      <sz val="12"/>
      <color rgb="FF000000"/>
      <name val="Times New Roman"/>
      <family val="1"/>
    </font>
  </fonts>
  <fills count="72">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theme="7" tint="0.39997558519241921"/>
        <bgColor indexed="64"/>
      </patternFill>
    </fill>
    <fill>
      <patternFill patternType="solid">
        <fgColor theme="4" tint="0.39997558519241921"/>
        <bgColor indexed="64"/>
      </patternFill>
    </fill>
    <fill>
      <patternFill patternType="gray125">
        <fgColor theme="0" tint="-0.14996795556505021"/>
        <bgColor indexed="65"/>
      </patternFill>
    </fill>
    <fill>
      <patternFill patternType="solid">
        <fgColor theme="6" tint="0.39997558519241921"/>
        <bgColor indexed="64"/>
      </patternFill>
    </fill>
    <fill>
      <patternFill patternType="solid">
        <fgColor theme="4"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patternFill>
    </fill>
    <fill>
      <patternFill patternType="solid">
        <fgColor theme="5" tint="-0.249977111117893"/>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theme="7" tint="-0.249977111117893"/>
        <bgColor indexed="64"/>
      </patternFill>
    </fill>
    <fill>
      <patternFill patternType="solid">
        <fgColor theme="8"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rgb="FF7B7B7B"/>
        <bgColor rgb="FF000000"/>
      </patternFill>
    </fill>
    <fill>
      <patternFill patternType="solid">
        <fgColor theme="5"/>
        <bgColor indexed="64"/>
      </patternFill>
    </fill>
    <fill>
      <patternFill patternType="solid">
        <fgColor theme="4"/>
        <bgColor indexed="64"/>
      </patternFill>
    </fill>
    <fill>
      <patternFill patternType="solid">
        <fgColor theme="6"/>
        <bgColor indexed="64"/>
      </patternFill>
    </fill>
    <fill>
      <patternFill patternType="solid">
        <fgColor theme="7"/>
        <bgColor indexed="64"/>
      </patternFill>
    </fill>
    <fill>
      <patternFill patternType="solid">
        <fgColor theme="9"/>
        <bgColor indexed="64"/>
      </patternFill>
    </fill>
    <fill>
      <patternFill patternType="solid">
        <fgColor theme="8"/>
        <bgColor indexed="64"/>
      </patternFill>
    </fill>
    <fill>
      <patternFill patternType="solid">
        <fgColor rgb="FF0070C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71">
    <xf numFmtId="3" fontId="0" fillId="0" borderId="0">
      <alignment horizontal="right" vertical="center"/>
    </xf>
    <xf numFmtId="0" fontId="8" fillId="0" borderId="0"/>
    <xf numFmtId="0" fontId="5" fillId="0" borderId="0" applyNumberFormat="0" applyFill="0" applyBorder="0" applyAlignment="0" applyProtection="0"/>
    <xf numFmtId="1" fontId="25" fillId="0" borderId="9">
      <alignment horizontal="center" vertical="center" wrapText="1"/>
    </xf>
    <xf numFmtId="1" fontId="10" fillId="11" borderId="9">
      <alignment horizontal="center" vertical="center"/>
    </xf>
    <xf numFmtId="0" fontId="10" fillId="0" borderId="0" applyNumberFormat="0" applyFill="0" applyBorder="0" applyAlignment="0" applyProtection="0"/>
    <xf numFmtId="43" fontId="12" fillId="0" borderId="0" applyFont="0" applyFill="0" applyBorder="0" applyAlignment="0" applyProtection="0"/>
    <xf numFmtId="41" fontId="12" fillId="0" borderId="0" applyFont="0" applyFill="0" applyBorder="0" applyAlignment="0" applyProtection="0"/>
    <xf numFmtId="44" fontId="12" fillId="0" borderId="0" applyFont="0" applyFill="0" applyBorder="0" applyAlignment="0" applyProtection="0"/>
    <xf numFmtId="42" fontId="12" fillId="0" borderId="0" applyFont="0" applyFill="0" applyBorder="0" applyAlignment="0" applyProtection="0"/>
    <xf numFmtId="10" fontId="12" fillId="0" borderId="0" applyFont="0" applyFill="0" applyBorder="0" applyAlignment="0" applyProtection="0"/>
    <xf numFmtId="0" fontId="13" fillId="0" borderId="0" applyNumberFormat="0" applyFill="0" applyBorder="0" applyAlignment="0" applyProtection="0"/>
    <xf numFmtId="0" fontId="14" fillId="0" borderId="1" applyNumberFormat="0" applyFill="0" applyAlignment="0" applyProtection="0"/>
    <xf numFmtId="0" fontId="15" fillId="0" borderId="2" applyNumberFormat="0" applyFill="0" applyAlignment="0" applyProtection="0"/>
    <xf numFmtId="0" fontId="16" fillId="0" borderId="3" applyNumberFormat="0" applyFill="0" applyAlignment="0" applyProtection="0"/>
    <xf numFmtId="0" fontId="16" fillId="0" borderId="0" applyNumberFormat="0" applyFill="0" applyBorder="0" applyAlignment="0" applyProtection="0"/>
    <xf numFmtId="0" fontId="17" fillId="14" borderId="0" applyNumberFormat="0" applyBorder="0" applyAlignment="0" applyProtection="0"/>
    <xf numFmtId="0" fontId="18" fillId="15" borderId="0" applyNumberFormat="0" applyBorder="0" applyAlignment="0" applyProtection="0"/>
    <xf numFmtId="0" fontId="19" fillId="16" borderId="0" applyNumberFormat="0" applyBorder="0" applyAlignment="0" applyProtection="0"/>
    <xf numFmtId="0" fontId="20" fillId="17" borderId="4" applyNumberFormat="0" applyAlignment="0" applyProtection="0"/>
    <xf numFmtId="0" fontId="21" fillId="18" borderId="5" applyNumberFormat="0" applyAlignment="0" applyProtection="0"/>
    <xf numFmtId="0" fontId="22" fillId="0" borderId="6" applyNumberFormat="0" applyFill="0" applyAlignment="0" applyProtection="0"/>
    <xf numFmtId="0" fontId="4" fillId="44" borderId="9" applyNumberFormat="0" applyAlignment="0" applyProtection="0"/>
    <xf numFmtId="0" fontId="12" fillId="19" borderId="7" applyNumberFormat="0" applyFont="0" applyAlignment="0" applyProtection="0"/>
    <xf numFmtId="0" fontId="23" fillId="0" borderId="0" applyNumberFormat="0" applyFill="0" applyBorder="0" applyAlignment="0" applyProtection="0"/>
    <xf numFmtId="0" fontId="2" fillId="0" borderId="8" applyNumberFormat="0" applyFill="0" applyAlignment="0" applyProtection="0"/>
    <xf numFmtId="0" fontId="24"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4"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4"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4"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4"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24"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10" fontId="26" fillId="0" borderId="9">
      <alignment horizontal="right" vertical="center"/>
    </xf>
    <xf numFmtId="0" fontId="9" fillId="0" borderId="9">
      <alignment horizontal="left" vertical="center" wrapText="1"/>
    </xf>
    <xf numFmtId="0" fontId="9" fillId="0" borderId="9">
      <alignment horizontal="center" vertical="center" wrapText="1"/>
    </xf>
    <xf numFmtId="3" fontId="3" fillId="0" borderId="0">
      <alignment horizontal="left" vertical="center"/>
    </xf>
    <xf numFmtId="0" fontId="5" fillId="0" borderId="0" applyNumberFormat="0" applyFill="0" applyBorder="0" applyAlignment="0" applyProtection="0"/>
    <xf numFmtId="3" fontId="8" fillId="0" borderId="9">
      <alignment horizontal="right" vertical="center"/>
    </xf>
    <xf numFmtId="0" fontId="4" fillId="0" borderId="0">
      <alignment vertical="center"/>
    </xf>
    <xf numFmtId="0" fontId="9" fillId="0" borderId="9">
      <alignment horizontal="right" vertical="center" wrapText="1"/>
    </xf>
    <xf numFmtId="4" fontId="8" fillId="0" borderId="9">
      <alignment horizontal="right" vertical="center"/>
    </xf>
    <xf numFmtId="166" fontId="8" fillId="0" borderId="9">
      <alignment horizontal="right" vertical="center"/>
    </xf>
    <xf numFmtId="165" fontId="8" fillId="0" borderId="9">
      <alignment horizontal="right" vertical="center"/>
    </xf>
    <xf numFmtId="10" fontId="8" fillId="0" borderId="9" applyFill="0" applyAlignment="0" applyProtection="0"/>
    <xf numFmtId="2" fontId="10" fillId="11" borderId="9">
      <alignment vertical="center"/>
    </xf>
    <xf numFmtId="3" fontId="3" fillId="0" borderId="9">
      <alignment horizontal="left" vertical="center"/>
    </xf>
    <xf numFmtId="0" fontId="4" fillId="0" borderId="0">
      <alignment vertical="center"/>
    </xf>
    <xf numFmtId="3" fontId="8" fillId="0" borderId="9">
      <alignment horizontal="right" vertical="center"/>
    </xf>
    <xf numFmtId="1" fontId="8" fillId="0" borderId="9">
      <alignment horizontal="right" vertical="center"/>
    </xf>
    <xf numFmtId="0" fontId="4" fillId="0" borderId="0">
      <alignment vertical="center"/>
    </xf>
    <xf numFmtId="1" fontId="10" fillId="11" borderId="9">
      <alignment vertical="center"/>
    </xf>
    <xf numFmtId="167" fontId="8" fillId="0" borderId="9">
      <alignment horizontal="right" vertical="center"/>
    </xf>
    <xf numFmtId="168" fontId="8" fillId="0" borderId="9">
      <alignment horizontal="right" vertical="center"/>
    </xf>
  </cellStyleXfs>
  <cellXfs count="318">
    <xf numFmtId="3" fontId="0" fillId="0" borderId="0" xfId="0">
      <alignment horizontal="right" vertical="center"/>
    </xf>
    <xf numFmtId="0" fontId="2" fillId="0" borderId="0" xfId="1" applyFont="1" applyAlignment="1">
      <alignment horizontal="center" vertical="center" wrapText="1"/>
    </xf>
    <xf numFmtId="0" fontId="8" fillId="0" borderId="0" xfId="1"/>
    <xf numFmtId="0" fontId="2" fillId="0" borderId="0" xfId="1" applyFont="1" applyAlignment="1">
      <alignment horizontal="center"/>
    </xf>
    <xf numFmtId="0" fontId="8" fillId="0" borderId="0" xfId="1" applyAlignment="1">
      <alignment horizontal="center"/>
    </xf>
    <xf numFmtId="0" fontId="2" fillId="0" borderId="0" xfId="1" applyFont="1" applyAlignment="1">
      <alignment horizontal="center" wrapText="1"/>
    </xf>
    <xf numFmtId="3" fontId="0" fillId="0" borderId="0" xfId="0" applyAlignment="1"/>
    <xf numFmtId="3" fontId="8" fillId="0" borderId="0" xfId="0" applyFont="1" applyAlignment="1"/>
    <xf numFmtId="3" fontId="0" fillId="0" borderId="0" xfId="0" applyFill="1">
      <alignment horizontal="right" vertical="center"/>
    </xf>
    <xf numFmtId="0" fontId="1" fillId="0" borderId="0" xfId="1" applyFont="1"/>
    <xf numFmtId="1" fontId="25" fillId="0" borderId="9" xfId="3">
      <alignment horizontal="center" vertical="center" wrapText="1"/>
    </xf>
    <xf numFmtId="0" fontId="9" fillId="0" borderId="9" xfId="51">
      <alignment horizontal="left" vertical="center" wrapText="1"/>
    </xf>
    <xf numFmtId="3" fontId="3" fillId="0" borderId="0" xfId="53">
      <alignment horizontal="left" vertical="center"/>
    </xf>
    <xf numFmtId="1" fontId="25" fillId="4" borderId="9" xfId="3" applyFill="1">
      <alignment horizontal="center" vertical="center" wrapText="1"/>
    </xf>
    <xf numFmtId="0" fontId="1" fillId="0" borderId="0" xfId="1" applyFont="1" applyAlignment="1">
      <alignment horizontal="center"/>
    </xf>
    <xf numFmtId="0" fontId="4" fillId="0" borderId="0" xfId="1" applyFont="1"/>
    <xf numFmtId="0" fontId="1" fillId="0" borderId="0" xfId="1" applyFont="1" applyAlignment="1">
      <alignment horizontal="center" vertical="center"/>
    </xf>
    <xf numFmtId="3" fontId="2" fillId="0" borderId="0" xfId="0" applyFont="1" applyAlignment="1">
      <alignment horizontal="center"/>
    </xf>
    <xf numFmtId="3" fontId="0" fillId="0" borderId="0" xfId="0">
      <alignment horizontal="right" vertical="center"/>
    </xf>
    <xf numFmtId="3" fontId="8" fillId="0" borderId="0" xfId="0" applyFont="1" applyAlignment="1">
      <alignment horizontal="center"/>
    </xf>
    <xf numFmtId="3" fontId="6" fillId="0" borderId="0" xfId="0" applyFont="1" applyAlignment="1">
      <alignment horizontal="center" vertical="top" wrapText="1"/>
    </xf>
    <xf numFmtId="2" fontId="7" fillId="0" borderId="0" xfId="0" applyNumberFormat="1" applyFont="1" applyAlignment="1">
      <alignment horizontal="right" vertical="top" shrinkToFit="1"/>
    </xf>
    <xf numFmtId="0" fontId="9" fillId="0" borderId="9" xfId="52">
      <alignment horizontal="center" vertical="center" wrapText="1"/>
    </xf>
    <xf numFmtId="3" fontId="0" fillId="0" borderId="0" xfId="0" applyAlignment="1">
      <alignment horizontal="center"/>
    </xf>
    <xf numFmtId="3" fontId="0" fillId="0" borderId="0" xfId="0">
      <alignment horizontal="right" vertical="center"/>
    </xf>
    <xf numFmtId="3" fontId="0" fillId="0" borderId="0" xfId="0" applyFont="1">
      <alignment horizontal="right" vertical="center"/>
    </xf>
    <xf numFmtId="10" fontId="0" fillId="0" borderId="0" xfId="0" applyNumberFormat="1">
      <alignment horizontal="right" vertical="center"/>
    </xf>
    <xf numFmtId="164" fontId="11" fillId="0" borderId="0" xfId="0" applyNumberFormat="1" applyFont="1">
      <alignment horizontal="right" vertical="center"/>
    </xf>
    <xf numFmtId="3" fontId="0" fillId="0" borderId="0" xfId="0" applyAlignment="1">
      <alignment horizontal="right"/>
    </xf>
    <xf numFmtId="1" fontId="8" fillId="0" borderId="0" xfId="0" applyNumberFormat="1" applyFont="1">
      <alignment horizontal="right" vertical="center"/>
    </xf>
    <xf numFmtId="3" fontId="3" fillId="0" borderId="0" xfId="0" applyFont="1" applyAlignment="1">
      <alignment horizontal="center"/>
    </xf>
    <xf numFmtId="3" fontId="8" fillId="2" borderId="0" xfId="0" applyFont="1" applyFill="1" applyAlignment="1"/>
    <xf numFmtId="3" fontId="8" fillId="4" borderId="0" xfId="0" applyFont="1" applyFill="1" applyAlignment="1"/>
    <xf numFmtId="3" fontId="8" fillId="3" borderId="0" xfId="0" applyFont="1" applyFill="1" applyAlignment="1"/>
    <xf numFmtId="3" fontId="8" fillId="0" borderId="9" xfId="55">
      <alignment horizontal="right" vertical="center"/>
    </xf>
    <xf numFmtId="0" fontId="4" fillId="0" borderId="0" xfId="56">
      <alignment vertical="center"/>
    </xf>
    <xf numFmtId="3" fontId="8" fillId="6" borderId="9" xfId="55" applyFill="1">
      <alignment horizontal="right" vertical="center"/>
    </xf>
    <xf numFmtId="3" fontId="8" fillId="0" borderId="9" xfId="55" applyFill="1">
      <alignment horizontal="right" vertical="center"/>
    </xf>
    <xf numFmtId="1" fontId="25" fillId="0" borderId="9" xfId="3" quotePrefix="1">
      <alignment horizontal="center" vertical="center" wrapText="1"/>
    </xf>
    <xf numFmtId="0" fontId="9" fillId="0" borderId="10" xfId="57" applyBorder="1">
      <alignment horizontal="right" vertical="center" wrapText="1"/>
    </xf>
    <xf numFmtId="0" fontId="9" fillId="0" borderId="10" xfId="52" applyBorder="1">
      <alignment horizontal="center" vertical="center" wrapText="1"/>
    </xf>
    <xf numFmtId="10" fontId="26" fillId="0" borderId="9" xfId="50">
      <alignment horizontal="right" vertical="center"/>
    </xf>
    <xf numFmtId="1" fontId="25" fillId="0" borderId="9" xfId="3" applyFill="1">
      <alignment horizontal="center" vertical="center" wrapText="1"/>
    </xf>
    <xf numFmtId="0" fontId="9" fillId="8" borderId="9" xfId="51" applyFill="1">
      <alignment horizontal="left" vertical="center" wrapText="1"/>
    </xf>
    <xf numFmtId="0" fontId="9" fillId="10" borderId="9" xfId="51" applyFill="1">
      <alignment horizontal="left" vertical="center" wrapText="1"/>
    </xf>
    <xf numFmtId="3" fontId="0" fillId="0" borderId="0" xfId="0" applyFill="1" applyAlignment="1">
      <alignment horizontal="center"/>
    </xf>
    <xf numFmtId="0" fontId="8" fillId="0" borderId="0" xfId="1" applyFill="1"/>
    <xf numFmtId="0" fontId="3" fillId="0" borderId="0" xfId="1" applyFont="1" applyAlignment="1">
      <alignment horizontal="center" vertical="center"/>
    </xf>
    <xf numFmtId="3" fontId="1" fillId="0" borderId="0" xfId="0" applyFont="1" applyAlignment="1"/>
    <xf numFmtId="3" fontId="4" fillId="0" borderId="0" xfId="0" applyFont="1" applyAlignment="1"/>
    <xf numFmtId="3" fontId="8" fillId="0" borderId="0" xfId="0" applyFont="1">
      <alignment horizontal="right" vertical="center"/>
    </xf>
    <xf numFmtId="3" fontId="3" fillId="0" borderId="0" xfId="0" applyFont="1" applyAlignment="1"/>
    <xf numFmtId="3" fontId="0" fillId="0" borderId="0" xfId="0">
      <alignment horizontal="right" vertical="center"/>
    </xf>
    <xf numFmtId="3" fontId="8" fillId="10" borderId="9" xfId="55" applyFill="1">
      <alignment horizontal="right" vertical="center"/>
    </xf>
    <xf numFmtId="3" fontId="8" fillId="8" borderId="9" xfId="55" applyFill="1">
      <alignment horizontal="right" vertical="center"/>
    </xf>
    <xf numFmtId="0" fontId="9" fillId="10" borderId="9" xfId="52" applyFill="1">
      <alignment horizontal="center" vertical="center" wrapText="1"/>
    </xf>
    <xf numFmtId="0" fontId="3" fillId="0" borderId="0" xfId="1" applyFont="1" applyAlignment="1">
      <alignment horizontal="left" wrapText="1"/>
    </xf>
    <xf numFmtId="1" fontId="25" fillId="3" borderId="9" xfId="3" applyFill="1">
      <alignment horizontal="center" vertical="center" wrapText="1"/>
    </xf>
    <xf numFmtId="4" fontId="8" fillId="0" borderId="9" xfId="58">
      <alignment horizontal="right" vertical="center"/>
    </xf>
    <xf numFmtId="1" fontId="27" fillId="0" borderId="0" xfId="0" applyNumberFormat="1" applyFont="1" applyAlignment="1">
      <alignment vertical="center" wrapText="1"/>
    </xf>
    <xf numFmtId="0" fontId="8" fillId="0" borderId="0" xfId="1" applyFill="1" applyAlignment="1">
      <alignment horizontal="center"/>
    </xf>
    <xf numFmtId="3" fontId="0" fillId="0" borderId="0" xfId="0" applyFill="1" applyAlignment="1"/>
    <xf numFmtId="0" fontId="9" fillId="8" borderId="9" xfId="52" applyFill="1">
      <alignment horizontal="center" vertical="center" wrapText="1"/>
    </xf>
    <xf numFmtId="0" fontId="4" fillId="0" borderId="0" xfId="1" applyFont="1" applyFill="1"/>
    <xf numFmtId="0" fontId="9" fillId="8" borderId="9" xfId="52" applyNumberFormat="1" applyFill="1">
      <alignment horizontal="center" vertical="center" wrapText="1"/>
    </xf>
    <xf numFmtId="0" fontId="9" fillId="10" borderId="9" xfId="52" applyNumberFormat="1" applyFill="1">
      <alignment horizontal="center" vertical="center" wrapText="1"/>
    </xf>
    <xf numFmtId="4" fontId="8" fillId="10" borderId="9" xfId="58" applyFill="1">
      <alignment horizontal="right" vertical="center"/>
    </xf>
    <xf numFmtId="0" fontId="9" fillId="0" borderId="9" xfId="52" applyFill="1">
      <alignment horizontal="center" vertical="center" wrapText="1"/>
    </xf>
    <xf numFmtId="4" fontId="8" fillId="0" borderId="9" xfId="58" applyFill="1">
      <alignment horizontal="right" vertical="center"/>
    </xf>
    <xf numFmtId="0" fontId="9" fillId="5" borderId="9" xfId="51" applyFill="1">
      <alignment horizontal="left" vertical="center" wrapText="1"/>
    </xf>
    <xf numFmtId="0" fontId="9" fillId="7" borderId="9" xfId="52" applyFill="1">
      <alignment horizontal="center" vertical="center" wrapText="1"/>
    </xf>
    <xf numFmtId="0" fontId="9" fillId="12" borderId="9" xfId="52" applyFill="1">
      <alignment horizontal="center" vertical="center" wrapText="1"/>
    </xf>
    <xf numFmtId="0" fontId="9" fillId="5" borderId="9" xfId="52" applyNumberFormat="1" applyFill="1">
      <alignment horizontal="center" vertical="center" wrapText="1"/>
    </xf>
    <xf numFmtId="4" fontId="8" fillId="13" borderId="9" xfId="58" applyFill="1">
      <alignment horizontal="right" vertical="center"/>
    </xf>
    <xf numFmtId="10" fontId="8" fillId="0" borderId="9" xfId="61" applyAlignment="1">
      <alignment horizontal="right" vertical="center"/>
    </xf>
    <xf numFmtId="0" fontId="2" fillId="0" borderId="0" xfId="1" applyFont="1" applyAlignment="1">
      <alignment horizontal="center" vertical="center"/>
    </xf>
    <xf numFmtId="1" fontId="6" fillId="0" borderId="0" xfId="3" applyFont="1" applyBorder="1" applyAlignment="1">
      <alignment horizontal="left" vertical="top" wrapText="1"/>
    </xf>
    <xf numFmtId="1" fontId="6" fillId="0" borderId="0" xfId="3" applyFont="1" applyBorder="1" applyAlignment="1">
      <alignment horizontal="center" vertical="top" wrapText="1"/>
    </xf>
    <xf numFmtId="0" fontId="1" fillId="0" borderId="0" xfId="1" applyFont="1" applyFill="1"/>
    <xf numFmtId="0" fontId="9" fillId="0" borderId="9" xfId="51" applyFill="1">
      <alignment horizontal="left" vertical="center" wrapText="1"/>
    </xf>
    <xf numFmtId="0" fontId="1" fillId="0" borderId="0" xfId="1" applyFont="1" applyFill="1" applyAlignment="1">
      <alignment horizontal="center" vertical="center"/>
    </xf>
    <xf numFmtId="1" fontId="10" fillId="0" borderId="9" xfId="4" applyFill="1">
      <alignment horizontal="center" vertical="center"/>
    </xf>
    <xf numFmtId="0" fontId="9" fillId="0" borderId="9" xfId="52" applyNumberFormat="1" applyFill="1">
      <alignment horizontal="center" vertical="center" wrapText="1"/>
    </xf>
    <xf numFmtId="0" fontId="8" fillId="45" borderId="0" xfId="1" applyFill="1"/>
    <xf numFmtId="4" fontId="8" fillId="45" borderId="9" xfId="58" applyFill="1">
      <alignment horizontal="right" vertical="center"/>
    </xf>
    <xf numFmtId="3" fontId="4" fillId="0" borderId="0" xfId="0" applyFont="1">
      <alignment horizontal="right" vertical="center"/>
    </xf>
    <xf numFmtId="0" fontId="2" fillId="0" borderId="0" xfId="1" applyFont="1" applyFill="1" applyAlignment="1">
      <alignment horizontal="center"/>
    </xf>
    <xf numFmtId="0" fontId="9" fillId="46" borderId="9" xfId="51" applyFill="1">
      <alignment horizontal="left" vertical="center" wrapText="1"/>
    </xf>
    <xf numFmtId="4" fontId="8" fillId="46" borderId="9" xfId="58" applyFill="1">
      <alignment horizontal="right" vertical="center"/>
    </xf>
    <xf numFmtId="4" fontId="8" fillId="49" borderId="9" xfId="58" applyFill="1">
      <alignment horizontal="right" vertical="center"/>
    </xf>
    <xf numFmtId="3" fontId="8" fillId="50" borderId="9" xfId="55" applyFill="1">
      <alignment horizontal="right" vertical="center"/>
    </xf>
    <xf numFmtId="10" fontId="8" fillId="0" borderId="9" xfId="61" applyFill="1" applyAlignment="1">
      <alignment horizontal="right" vertical="center"/>
    </xf>
    <xf numFmtId="3" fontId="8" fillId="5" borderId="9" xfId="55" applyFill="1">
      <alignment horizontal="right" vertical="center"/>
    </xf>
    <xf numFmtId="1" fontId="10" fillId="11" borderId="9" xfId="4">
      <alignment horizontal="center" vertical="center"/>
    </xf>
    <xf numFmtId="2" fontId="10" fillId="11" borderId="9" xfId="62">
      <alignment vertical="center"/>
    </xf>
    <xf numFmtId="3" fontId="8" fillId="46" borderId="9" xfId="55" applyFill="1">
      <alignment horizontal="right" vertical="center"/>
    </xf>
    <xf numFmtId="0" fontId="9" fillId="46" borderId="9" xfId="52" applyFill="1">
      <alignment horizontal="center" vertical="center" wrapText="1"/>
    </xf>
    <xf numFmtId="3" fontId="8" fillId="49" borderId="9" xfId="55" applyFill="1">
      <alignment horizontal="right" vertical="center"/>
    </xf>
    <xf numFmtId="3" fontId="3" fillId="4" borderId="0" xfId="53" applyFill="1">
      <alignment horizontal="left" vertical="center"/>
    </xf>
    <xf numFmtId="14" fontId="27" fillId="0" borderId="0" xfId="0" applyNumberFormat="1" applyFont="1" applyFill="1" applyAlignment="1">
      <alignment vertical="center"/>
    </xf>
    <xf numFmtId="1" fontId="27" fillId="0" borderId="0" xfId="0" applyNumberFormat="1" applyFont="1" applyFill="1" applyAlignment="1">
      <alignment vertical="center" wrapText="1"/>
    </xf>
    <xf numFmtId="166" fontId="8" fillId="51" borderId="9" xfId="59" applyFill="1">
      <alignment horizontal="right" vertical="center"/>
    </xf>
    <xf numFmtId="3" fontId="6" fillId="0" borderId="0" xfId="0" applyFont="1" applyAlignment="1">
      <alignment horizontal="left" vertical="top" wrapText="1"/>
    </xf>
    <xf numFmtId="0" fontId="1" fillId="0" borderId="0" xfId="1" applyFont="1" applyAlignment="1">
      <alignment horizontal="right" vertical="center"/>
    </xf>
    <xf numFmtId="1" fontId="7" fillId="0" borderId="0" xfId="0" applyNumberFormat="1" applyFont="1" applyAlignment="1">
      <alignment horizontal="right" vertical="top" shrinkToFit="1"/>
    </xf>
    <xf numFmtId="3" fontId="31" fillId="0" borderId="0" xfId="0" applyFont="1">
      <alignment horizontal="right" vertical="center"/>
    </xf>
    <xf numFmtId="3" fontId="8" fillId="53" borderId="9" xfId="55" applyFill="1">
      <alignment horizontal="right" vertical="center"/>
    </xf>
    <xf numFmtId="0" fontId="9" fillId="0" borderId="9" xfId="51" applyBorder="1">
      <alignment horizontal="left" vertical="center" wrapText="1"/>
    </xf>
    <xf numFmtId="0" fontId="9" fillId="51" borderId="9" xfId="52" applyNumberFormat="1" applyFill="1">
      <alignment horizontal="center" vertical="center" wrapText="1"/>
    </xf>
    <xf numFmtId="0" fontId="9" fillId="51" borderId="9" xfId="51" applyFill="1">
      <alignment horizontal="left" vertical="center" wrapText="1"/>
    </xf>
    <xf numFmtId="3" fontId="8" fillId="51" borderId="9" xfId="55" applyFill="1">
      <alignment horizontal="right" vertical="center"/>
    </xf>
    <xf numFmtId="14" fontId="30" fillId="0" borderId="0" xfId="0" applyNumberFormat="1" applyFont="1" applyFill="1" applyAlignment="1"/>
    <xf numFmtId="14" fontId="29" fillId="0" borderId="0" xfId="0" applyNumberFormat="1" applyFont="1" applyFill="1" applyAlignment="1">
      <alignment vertical="center"/>
    </xf>
    <xf numFmtId="14" fontId="28" fillId="0" borderId="0" xfId="0" applyNumberFormat="1" applyFont="1" applyFill="1" applyAlignment="1">
      <alignment vertical="center"/>
    </xf>
    <xf numFmtId="3" fontId="3" fillId="0" borderId="9" xfId="63">
      <alignment horizontal="left" vertical="center"/>
    </xf>
    <xf numFmtId="0" fontId="9" fillId="0" borderId="0" xfId="51" applyBorder="1">
      <alignment horizontal="left" vertical="center" wrapText="1"/>
    </xf>
    <xf numFmtId="3" fontId="0" fillId="0" borderId="9" xfId="0" applyBorder="1" applyAlignment="1"/>
    <xf numFmtId="166" fontId="8" fillId="51" borderId="0" xfId="59" applyFill="1" applyBorder="1">
      <alignment horizontal="right" vertical="center"/>
    </xf>
    <xf numFmtId="166" fontId="8" fillId="51" borderId="9" xfId="59" applyFill="1" applyBorder="1">
      <alignment horizontal="right" vertical="center"/>
    </xf>
    <xf numFmtId="1" fontId="7" fillId="0" borderId="0" xfId="0" applyNumberFormat="1" applyFont="1" applyFill="1" applyAlignment="1">
      <alignment horizontal="right" vertical="top" shrinkToFit="1"/>
    </xf>
    <xf numFmtId="0" fontId="9" fillId="0" borderId="9" xfId="51" applyFill="1" applyBorder="1">
      <alignment horizontal="left" vertical="center" wrapText="1"/>
    </xf>
    <xf numFmtId="3" fontId="8" fillId="0" borderId="0" xfId="55" applyFill="1" applyBorder="1">
      <alignment horizontal="right" vertical="center"/>
    </xf>
    <xf numFmtId="3" fontId="8" fillId="0" borderId="9" xfId="55" applyFill="1" applyBorder="1">
      <alignment horizontal="right" vertical="center"/>
    </xf>
    <xf numFmtId="0" fontId="9" fillId="51" borderId="9" xfId="52" applyFill="1">
      <alignment horizontal="center" vertical="center" wrapText="1"/>
    </xf>
    <xf numFmtId="166" fontId="8" fillId="52" borderId="9" xfId="59" applyFill="1">
      <alignment horizontal="right" vertical="center"/>
    </xf>
    <xf numFmtId="166" fontId="8" fillId="52" borderId="0" xfId="59" applyFill="1" applyBorder="1">
      <alignment horizontal="right" vertical="center"/>
    </xf>
    <xf numFmtId="14" fontId="27" fillId="0" borderId="0" xfId="0" applyNumberFormat="1" applyFont="1" applyAlignment="1">
      <alignment vertical="center"/>
    </xf>
    <xf numFmtId="166" fontId="8" fillId="52" borderId="9" xfId="59" applyFill="1" applyBorder="1">
      <alignment horizontal="right" vertical="center"/>
    </xf>
    <xf numFmtId="1" fontId="27" fillId="0" borderId="9" xfId="0" applyNumberFormat="1" applyFont="1" applyBorder="1" applyAlignment="1">
      <alignment vertical="center" wrapText="1"/>
    </xf>
    <xf numFmtId="0" fontId="1" fillId="0" borderId="9" xfId="1" applyFont="1" applyBorder="1" applyAlignment="1">
      <alignment horizontal="center" wrapText="1"/>
    </xf>
    <xf numFmtId="14" fontId="28" fillId="0" borderId="0" xfId="0" applyNumberFormat="1" applyFont="1" applyAlignment="1">
      <alignment vertical="center"/>
    </xf>
    <xf numFmtId="14" fontId="28" fillId="0" borderId="0" xfId="0" applyNumberFormat="1" applyFont="1" applyFill="1" applyBorder="1" applyAlignment="1">
      <alignment vertical="center"/>
    </xf>
    <xf numFmtId="14" fontId="27" fillId="0" borderId="0" xfId="0" applyNumberFormat="1" applyFont="1" applyFill="1" applyBorder="1" applyAlignment="1">
      <alignment vertical="center"/>
    </xf>
    <xf numFmtId="14" fontId="29" fillId="0" borderId="0" xfId="0" applyNumberFormat="1" applyFont="1" applyFill="1" applyBorder="1" applyAlignment="1">
      <alignment vertical="center"/>
    </xf>
    <xf numFmtId="0" fontId="9" fillId="54" borderId="9" xfId="51" applyFill="1">
      <alignment horizontal="left" vertical="center" wrapText="1"/>
    </xf>
    <xf numFmtId="0" fontId="9" fillId="54" borderId="9" xfId="52" applyFill="1">
      <alignment horizontal="center" vertical="center" wrapText="1"/>
    </xf>
    <xf numFmtId="0" fontId="9" fillId="54" borderId="9" xfId="52" applyNumberFormat="1" applyFill="1">
      <alignment horizontal="center" vertical="center" wrapText="1"/>
    </xf>
    <xf numFmtId="3" fontId="8" fillId="54" borderId="9" xfId="55" applyFill="1">
      <alignment horizontal="right" vertical="center"/>
    </xf>
    <xf numFmtId="3" fontId="8" fillId="0" borderId="0" xfId="1" applyNumberFormat="1"/>
    <xf numFmtId="164" fontId="7" fillId="0" borderId="0" xfId="0" applyNumberFormat="1" applyFont="1" applyAlignment="1">
      <alignment horizontal="right" vertical="top" shrinkToFit="1"/>
    </xf>
    <xf numFmtId="0" fontId="32" fillId="0" borderId="0" xfId="1" applyFont="1" applyAlignment="1">
      <alignment horizontal="center" vertical="center"/>
    </xf>
    <xf numFmtId="1" fontId="9" fillId="0" borderId="0" xfId="3" applyFont="1" applyBorder="1" applyAlignment="1">
      <alignment horizontal="left" vertical="top" wrapText="1"/>
    </xf>
    <xf numFmtId="1" fontId="9" fillId="0" borderId="0" xfId="3" applyFont="1" applyBorder="1" applyAlignment="1">
      <alignment horizontal="left" vertical="top"/>
    </xf>
    <xf numFmtId="0" fontId="8" fillId="0" borderId="0" xfId="1" applyAlignment="1">
      <alignment horizontal="right" vertical="center"/>
    </xf>
    <xf numFmtId="3" fontId="9" fillId="0" borderId="0" xfId="0" applyFont="1" applyAlignment="1">
      <alignment horizontal="center" vertical="top" wrapText="1"/>
    </xf>
    <xf numFmtId="0" fontId="8" fillId="0" borderId="0" xfId="1" applyAlignment="1">
      <alignment horizontal="center" vertical="center"/>
    </xf>
    <xf numFmtId="1" fontId="9" fillId="0" borderId="0" xfId="3" applyFont="1" applyBorder="1" applyAlignment="1">
      <alignment horizontal="center" vertical="top" wrapText="1"/>
    </xf>
    <xf numFmtId="0" fontId="4" fillId="0" borderId="0" xfId="64">
      <alignment vertical="center"/>
    </xf>
    <xf numFmtId="0" fontId="9" fillId="53" borderId="9" xfId="52" applyFill="1">
      <alignment horizontal="center" vertical="center" wrapText="1"/>
    </xf>
    <xf numFmtId="0" fontId="9" fillId="5" borderId="9" xfId="52" applyFill="1">
      <alignment horizontal="center" vertical="center" wrapText="1"/>
    </xf>
    <xf numFmtId="3" fontId="3" fillId="2" borderId="0" xfId="53" applyFill="1">
      <alignment horizontal="left" vertical="center"/>
    </xf>
    <xf numFmtId="3" fontId="8" fillId="0" borderId="9" xfId="65">
      <alignment horizontal="right" vertical="center"/>
    </xf>
    <xf numFmtId="1" fontId="8" fillId="0" borderId="0" xfId="1" applyNumberFormat="1" applyAlignment="1">
      <alignment horizontal="center"/>
    </xf>
    <xf numFmtId="49" fontId="33" fillId="0" borderId="0" xfId="1" applyNumberFormat="1" applyFont="1" applyAlignment="1">
      <alignment horizontal="left"/>
    </xf>
    <xf numFmtId="0" fontId="33" fillId="0" borderId="0" xfId="1" applyFont="1" applyAlignment="1">
      <alignment horizontal="left"/>
    </xf>
    <xf numFmtId="0" fontId="3" fillId="0" borderId="0" xfId="1" applyFont="1"/>
    <xf numFmtId="0" fontId="9" fillId="48" borderId="9" xfId="51" applyFill="1">
      <alignment horizontal="left" vertical="center" wrapText="1"/>
    </xf>
    <xf numFmtId="0" fontId="9" fillId="53" borderId="9" xfId="51" applyFill="1">
      <alignment horizontal="left" vertical="center" wrapText="1"/>
    </xf>
    <xf numFmtId="0" fontId="9" fillId="0" borderId="9" xfId="51" applyAlignment="1">
      <alignment horizontal="left" vertical="top" wrapText="1"/>
    </xf>
    <xf numFmtId="3" fontId="34" fillId="0" borderId="0" xfId="0" applyFont="1">
      <alignment horizontal="right" vertical="center"/>
    </xf>
    <xf numFmtId="0" fontId="9" fillId="55" borderId="9" xfId="51" applyFill="1">
      <alignment horizontal="left" vertical="center" wrapText="1"/>
    </xf>
    <xf numFmtId="0" fontId="9" fillId="52" borderId="9" xfId="51" applyFill="1">
      <alignment horizontal="left" vertical="center" wrapText="1"/>
    </xf>
    <xf numFmtId="0" fontId="9" fillId="56" borderId="9" xfId="51" applyFill="1">
      <alignment horizontal="left" vertical="center" wrapText="1"/>
    </xf>
    <xf numFmtId="0" fontId="9" fillId="57" borderId="9" xfId="51" applyFill="1">
      <alignment horizontal="left" vertical="center" wrapText="1"/>
    </xf>
    <xf numFmtId="0" fontId="9" fillId="58" borderId="9" xfId="51" applyFill="1">
      <alignment horizontal="left" vertical="center" wrapText="1"/>
    </xf>
    <xf numFmtId="0" fontId="9" fillId="59" borderId="9" xfId="51" applyFill="1">
      <alignment horizontal="left" vertical="center" wrapText="1"/>
    </xf>
    <xf numFmtId="3" fontId="33" fillId="0" borderId="0" xfId="0" applyFont="1" applyAlignment="1">
      <alignment horizontal="left" vertical="center"/>
    </xf>
    <xf numFmtId="0" fontId="9" fillId="60" borderId="9" xfId="51" applyFill="1" applyAlignment="1">
      <alignment horizontal="left" vertical="top" wrapText="1"/>
    </xf>
    <xf numFmtId="0" fontId="9" fillId="0" borderId="9" xfId="52" applyAlignment="1">
      <alignment horizontal="center" vertical="top" wrapText="1"/>
    </xf>
    <xf numFmtId="0" fontId="9" fillId="61" borderId="9" xfId="51" applyFill="1" applyAlignment="1">
      <alignment horizontal="left" vertical="top" wrapText="1"/>
    </xf>
    <xf numFmtId="0" fontId="9" fillId="62" borderId="9" xfId="51" applyFill="1">
      <alignment horizontal="left" vertical="center" wrapText="1"/>
    </xf>
    <xf numFmtId="0" fontId="9" fillId="63" borderId="9" xfId="51" applyFill="1">
      <alignment horizontal="left" vertical="center" wrapText="1"/>
    </xf>
    <xf numFmtId="0" fontId="9" fillId="7" borderId="9" xfId="51" applyFill="1">
      <alignment horizontal="left" vertical="center" wrapText="1"/>
    </xf>
    <xf numFmtId="0" fontId="9" fillId="12" borderId="9" xfId="51" applyFill="1">
      <alignment horizontal="left" vertical="center" wrapText="1"/>
    </xf>
    <xf numFmtId="0" fontId="9" fillId="9" borderId="9" xfId="51" applyFill="1">
      <alignment horizontal="left" vertical="center" wrapText="1"/>
    </xf>
    <xf numFmtId="0" fontId="9" fillId="13" borderId="9" xfId="51" applyFill="1">
      <alignment horizontal="left" vertical="center" wrapText="1"/>
    </xf>
    <xf numFmtId="0" fontId="9" fillId="49" borderId="9" xfId="51" applyFill="1">
      <alignment horizontal="left" vertical="center" wrapText="1"/>
    </xf>
    <xf numFmtId="0" fontId="9" fillId="50" borderId="9" xfId="51" applyFill="1">
      <alignment horizontal="left" vertical="center" wrapText="1"/>
    </xf>
    <xf numFmtId="0" fontId="9" fillId="47" borderId="9" xfId="51" applyFill="1">
      <alignment horizontal="left" vertical="center" wrapText="1"/>
    </xf>
    <xf numFmtId="0" fontId="9" fillId="6" borderId="9" xfId="51" applyFill="1">
      <alignment horizontal="left" vertical="center" wrapText="1"/>
    </xf>
    <xf numFmtId="0" fontId="9" fillId="0" borderId="9" xfId="52" quotePrefix="1">
      <alignment horizontal="center" vertical="center" wrapText="1"/>
    </xf>
    <xf numFmtId="0" fontId="1" fillId="0" borderId="0" xfId="1" applyFont="1" applyFill="1" applyAlignment="1">
      <alignment horizontal="center"/>
    </xf>
    <xf numFmtId="3" fontId="8" fillId="56" borderId="9" xfId="55" applyFill="1">
      <alignment horizontal="right" vertical="center"/>
    </xf>
    <xf numFmtId="3" fontId="0" fillId="0" borderId="0" xfId="0">
      <alignment horizontal="right" vertical="center"/>
    </xf>
    <xf numFmtId="3" fontId="35" fillId="0" borderId="0" xfId="0" applyFont="1">
      <alignment horizontal="right" vertical="center"/>
    </xf>
    <xf numFmtId="3" fontId="0" fillId="0" borderId="0" xfId="0" applyAlignment="1">
      <alignment horizontal="center"/>
    </xf>
    <xf numFmtId="3" fontId="36" fillId="0" borderId="0" xfId="0" applyFont="1" applyAlignment="1">
      <alignment horizontal="center" vertical="center"/>
    </xf>
    <xf numFmtId="1" fontId="8" fillId="0" borderId="9" xfId="66">
      <alignment horizontal="right" vertical="center"/>
    </xf>
    <xf numFmtId="3" fontId="36" fillId="0" borderId="0" xfId="0" applyFont="1">
      <alignment horizontal="right" vertical="center"/>
    </xf>
    <xf numFmtId="3" fontId="37" fillId="0" borderId="0" xfId="0" applyFont="1">
      <alignment horizontal="right" vertical="center"/>
    </xf>
    <xf numFmtId="3" fontId="38" fillId="0" borderId="0" xfId="0" applyFont="1">
      <alignment horizontal="right" vertical="center"/>
    </xf>
    <xf numFmtId="3" fontId="39" fillId="0" borderId="0" xfId="0" applyFont="1">
      <alignment horizontal="right" vertical="center"/>
    </xf>
    <xf numFmtId="1" fontId="27" fillId="0" borderId="9" xfId="0" applyNumberFormat="1" applyFont="1" applyFill="1" applyBorder="1" applyAlignment="1">
      <alignment vertical="center" wrapText="1"/>
    </xf>
    <xf numFmtId="3" fontId="41" fillId="0" borderId="0" xfId="0" applyFont="1">
      <alignment horizontal="right" vertical="center"/>
    </xf>
    <xf numFmtId="3" fontId="41" fillId="0" borderId="0" xfId="0" applyFont="1" applyAlignment="1">
      <alignment horizontal="center"/>
    </xf>
    <xf numFmtId="4" fontId="41" fillId="0" borderId="0" xfId="0" applyNumberFormat="1" applyFont="1">
      <alignment horizontal="right" vertical="center"/>
    </xf>
    <xf numFmtId="0" fontId="26" fillId="0" borderId="9" xfId="0" applyNumberFormat="1" applyFont="1" applyFill="1" applyBorder="1" applyAlignment="1">
      <alignment horizontal="left" vertical="center" wrapText="1"/>
    </xf>
    <xf numFmtId="3" fontId="0" fillId="0" borderId="0" xfId="0" applyFill="1">
      <alignment horizontal="right" vertical="center"/>
    </xf>
    <xf numFmtId="1" fontId="8" fillId="0" borderId="9" xfId="66" applyFill="1">
      <alignment horizontal="right" vertical="center"/>
    </xf>
    <xf numFmtId="3" fontId="41" fillId="0" borderId="0" xfId="0" applyFont="1" applyFill="1">
      <alignment horizontal="right" vertical="center"/>
    </xf>
    <xf numFmtId="3" fontId="35" fillId="0" borderId="0" xfId="0" applyFont="1" applyFill="1">
      <alignment horizontal="right" vertical="center"/>
    </xf>
    <xf numFmtId="1" fontId="8" fillId="46" borderId="9" xfId="66" applyFill="1">
      <alignment horizontal="right" vertical="center"/>
    </xf>
    <xf numFmtId="3" fontId="39" fillId="0" borderId="0" xfId="0" applyFont="1" applyAlignment="1"/>
    <xf numFmtId="0" fontId="26" fillId="0" borderId="9" xfId="0" applyNumberFormat="1" applyFont="1" applyBorder="1" applyAlignment="1">
      <alignment horizontal="center" vertical="center" wrapText="1"/>
    </xf>
    <xf numFmtId="0" fontId="9" fillId="0" borderId="12" xfId="52" applyBorder="1">
      <alignment horizontal="center" vertical="center" wrapText="1"/>
    </xf>
    <xf numFmtId="0" fontId="9" fillId="0" borderId="9" xfId="52" applyBorder="1">
      <alignment horizontal="center" vertical="center" wrapText="1"/>
    </xf>
    <xf numFmtId="1" fontId="8" fillId="0" borderId="9" xfId="66" applyBorder="1">
      <alignment horizontal="right" vertical="center"/>
    </xf>
    <xf numFmtId="3" fontId="43" fillId="0" borderId="0" xfId="0" applyFont="1" applyAlignment="1">
      <alignment horizontal="left" vertical="top"/>
    </xf>
    <xf numFmtId="3" fontId="43" fillId="0" borderId="0" xfId="0" applyFont="1" applyAlignment="1">
      <alignment horizontal="center" vertical="top"/>
    </xf>
    <xf numFmtId="3" fontId="8" fillId="56" borderId="9" xfId="65" applyFill="1">
      <alignment horizontal="right" vertical="center"/>
    </xf>
    <xf numFmtId="3" fontId="26" fillId="0" borderId="9" xfId="0" applyFont="1" applyBorder="1" applyAlignment="1">
      <alignment horizontal="center" vertical="center" wrapText="1"/>
    </xf>
    <xf numFmtId="3" fontId="8" fillId="0" borderId="9" xfId="65" applyFill="1">
      <alignment horizontal="right" vertical="center"/>
    </xf>
    <xf numFmtId="0" fontId="26" fillId="64" borderId="9" xfId="0" applyNumberFormat="1" applyFont="1" applyFill="1" applyBorder="1" applyAlignment="1">
      <alignment horizontal="center" vertical="center" wrapText="1"/>
    </xf>
    <xf numFmtId="3" fontId="8" fillId="46" borderId="9" xfId="65" applyFill="1">
      <alignment horizontal="right" vertical="center"/>
    </xf>
    <xf numFmtId="1" fontId="42" fillId="46" borderId="9" xfId="0" applyNumberFormat="1" applyFont="1" applyFill="1" applyBorder="1" applyAlignment="1">
      <alignment horizontal="right" vertical="center"/>
    </xf>
    <xf numFmtId="1" fontId="8" fillId="56" borderId="9" xfId="66" applyFill="1">
      <alignment horizontal="right" vertical="center"/>
    </xf>
    <xf numFmtId="1" fontId="8" fillId="56" borderId="9" xfId="66" applyFill="1" applyBorder="1">
      <alignment horizontal="right" vertical="center"/>
    </xf>
    <xf numFmtId="1" fontId="42" fillId="56" borderId="9" xfId="0" applyNumberFormat="1" applyFont="1" applyFill="1" applyBorder="1">
      <alignment horizontal="right" vertical="center"/>
    </xf>
    <xf numFmtId="10" fontId="26" fillId="55" borderId="9" xfId="50" applyFill="1">
      <alignment horizontal="right" vertical="center"/>
    </xf>
    <xf numFmtId="10" fontId="8" fillId="55" borderId="9" xfId="61" applyFill="1" applyAlignment="1">
      <alignment horizontal="right" vertical="center"/>
    </xf>
    <xf numFmtId="3" fontId="0" fillId="0" borderId="0" xfId="0" applyBorder="1">
      <alignment horizontal="right" vertical="center"/>
    </xf>
    <xf numFmtId="1" fontId="8" fillId="46" borderId="9" xfId="66" applyFill="1" applyBorder="1">
      <alignment horizontal="right" vertical="center"/>
    </xf>
    <xf numFmtId="3" fontId="8" fillId="0" borderId="0" xfId="0" applyFont="1" applyFill="1" applyAlignment="1"/>
    <xf numFmtId="0" fontId="4" fillId="0" borderId="0" xfId="56" applyFill="1">
      <alignment vertical="center"/>
    </xf>
    <xf numFmtId="3" fontId="6" fillId="0" borderId="0" xfId="0" applyFont="1" applyFill="1" applyAlignment="1">
      <alignment horizontal="center" vertical="top" wrapText="1"/>
    </xf>
    <xf numFmtId="3" fontId="8" fillId="0" borderId="0" xfId="1" applyNumberFormat="1" applyFill="1"/>
    <xf numFmtId="0" fontId="1" fillId="0" borderId="0" xfId="1" applyFont="1" applyFill="1" applyAlignment="1">
      <alignment horizontal="right" vertical="center"/>
    </xf>
    <xf numFmtId="0" fontId="8" fillId="0" borderId="0" xfId="1" applyFill="1" applyAlignment="1">
      <alignment horizontal="center" vertical="center"/>
    </xf>
    <xf numFmtId="0" fontId="9" fillId="56" borderId="9" xfId="52" applyNumberFormat="1" applyFill="1">
      <alignment horizontal="center" vertical="center" wrapText="1"/>
    </xf>
    <xf numFmtId="0" fontId="9" fillId="56" borderId="9" xfId="52" applyFill="1">
      <alignment horizontal="center" vertical="center" wrapText="1"/>
    </xf>
    <xf numFmtId="4" fontId="8" fillId="56" borderId="9" xfId="58" applyFill="1">
      <alignment horizontal="right" vertical="center"/>
    </xf>
    <xf numFmtId="166" fontId="8" fillId="0" borderId="9" xfId="59" applyFill="1" applyBorder="1">
      <alignment horizontal="right" vertical="center"/>
    </xf>
    <xf numFmtId="2" fontId="10" fillId="0" borderId="9" xfId="62" applyFill="1">
      <alignment vertical="center"/>
    </xf>
    <xf numFmtId="0" fontId="9" fillId="56" borderId="9" xfId="51" applyFill="1" applyAlignment="1">
      <alignment horizontal="center" vertical="center" wrapText="1"/>
    </xf>
    <xf numFmtId="3" fontId="8" fillId="56" borderId="9" xfId="65" applyFill="1" applyBorder="1">
      <alignment horizontal="right" vertical="center"/>
    </xf>
    <xf numFmtId="4" fontId="8" fillId="52" borderId="9" xfId="58" applyFill="1">
      <alignment horizontal="right" vertical="center"/>
    </xf>
    <xf numFmtId="10" fontId="26" fillId="63" borderId="9" xfId="50" applyFill="1">
      <alignment horizontal="right" vertical="center"/>
    </xf>
    <xf numFmtId="10" fontId="26" fillId="57" borderId="9" xfId="50" applyFill="1">
      <alignment horizontal="right" vertical="center"/>
    </xf>
    <xf numFmtId="10" fontId="26" fillId="58" borderId="9" xfId="50" applyFill="1">
      <alignment horizontal="right" vertical="center"/>
    </xf>
    <xf numFmtId="0" fontId="9" fillId="55" borderId="9" xfId="51" applyFill="1" applyAlignment="1">
      <alignment horizontal="left" vertical="top" wrapText="1"/>
    </xf>
    <xf numFmtId="0" fontId="9" fillId="63" borderId="9" xfId="51" applyFill="1" applyAlignment="1">
      <alignment horizontal="left" vertical="top" wrapText="1"/>
    </xf>
    <xf numFmtId="10" fontId="8" fillId="57" borderId="9" xfId="61" applyFill="1" applyAlignment="1">
      <alignment horizontal="right" vertical="center"/>
    </xf>
    <xf numFmtId="10" fontId="8" fillId="63" borderId="9" xfId="61" applyFill="1" applyAlignment="1">
      <alignment horizontal="right" vertical="center"/>
    </xf>
    <xf numFmtId="3" fontId="8" fillId="63" borderId="9" xfId="55" applyFill="1">
      <alignment horizontal="right" vertical="center"/>
    </xf>
    <xf numFmtId="3" fontId="8" fillId="57" borderId="9" xfId="55" applyFill="1">
      <alignment horizontal="right" vertical="center"/>
    </xf>
    <xf numFmtId="3" fontId="8" fillId="55" borderId="9" xfId="55" applyFill="1">
      <alignment horizontal="right" vertical="center"/>
    </xf>
    <xf numFmtId="10" fontId="8" fillId="52" borderId="9" xfId="61" applyFill="1" applyAlignment="1">
      <alignment horizontal="right" vertical="center"/>
    </xf>
    <xf numFmtId="4" fontId="8" fillId="55" borderId="9" xfId="58" applyFill="1">
      <alignment horizontal="right" vertical="center"/>
    </xf>
    <xf numFmtId="4" fontId="8" fillId="63" borderId="9" xfId="58" applyFill="1">
      <alignment horizontal="right" vertical="center"/>
    </xf>
    <xf numFmtId="165" fontId="8" fillId="65" borderId="9" xfId="60" applyFill="1">
      <alignment horizontal="right" vertical="center"/>
    </xf>
    <xf numFmtId="1" fontId="10" fillId="11" borderId="9" xfId="68">
      <alignment vertical="center"/>
    </xf>
    <xf numFmtId="3" fontId="8" fillId="66" borderId="9" xfId="65" applyFill="1">
      <alignment horizontal="right" vertical="center"/>
    </xf>
    <xf numFmtId="4" fontId="8" fillId="65" borderId="9" xfId="58" applyFill="1">
      <alignment horizontal="right" vertical="center"/>
    </xf>
    <xf numFmtId="0" fontId="9" fillId="66" borderId="9" xfId="51" applyFill="1">
      <alignment horizontal="left" vertical="center" wrapText="1"/>
    </xf>
    <xf numFmtId="0" fontId="9" fillId="65" borderId="9" xfId="51" applyFill="1">
      <alignment horizontal="left" vertical="center" wrapText="1"/>
    </xf>
    <xf numFmtId="0" fontId="9" fillId="67" borderId="9" xfId="51" applyFill="1">
      <alignment horizontal="left" vertical="center" wrapText="1"/>
    </xf>
    <xf numFmtId="0" fontId="9" fillId="68" borderId="9" xfId="51" applyFill="1">
      <alignment horizontal="left" vertical="center" wrapText="1"/>
    </xf>
    <xf numFmtId="0" fontId="9" fillId="69" borderId="9" xfId="51" applyFill="1">
      <alignment horizontal="left" vertical="center" wrapText="1"/>
    </xf>
    <xf numFmtId="3" fontId="8" fillId="0" borderId="0" xfId="0" applyFont="1" applyFill="1">
      <alignment horizontal="right" vertical="center"/>
    </xf>
    <xf numFmtId="3" fontId="8" fillId="0" borderId="9" xfId="65" quotePrefix="1">
      <alignment horizontal="right" vertical="center"/>
    </xf>
    <xf numFmtId="167" fontId="8" fillId="0" borderId="9" xfId="69">
      <alignment horizontal="right" vertical="center"/>
    </xf>
    <xf numFmtId="1" fontId="25" fillId="4" borderId="9" xfId="3" quotePrefix="1" applyFill="1">
      <alignment horizontal="center" vertical="center" wrapText="1"/>
    </xf>
    <xf numFmtId="166" fontId="8" fillId="0" borderId="9" xfId="59">
      <alignment horizontal="right" vertical="center"/>
    </xf>
    <xf numFmtId="10" fontId="8" fillId="56" borderId="9" xfId="61" applyFill="1" applyAlignment="1">
      <alignment horizontal="right" vertical="center"/>
    </xf>
    <xf numFmtId="3" fontId="0" fillId="0" borderId="9" xfId="0" applyBorder="1">
      <alignment horizontal="right" vertical="center"/>
    </xf>
    <xf numFmtId="4" fontId="8" fillId="0" borderId="0" xfId="58" applyFill="1" applyBorder="1">
      <alignment horizontal="right" vertical="center"/>
    </xf>
    <xf numFmtId="4" fontId="8" fillId="0" borderId="9" xfId="58" applyFill="1" applyBorder="1">
      <alignment horizontal="right" vertical="center"/>
    </xf>
    <xf numFmtId="0" fontId="9" fillId="46" borderId="0" xfId="52" applyFill="1" applyBorder="1">
      <alignment horizontal="center" vertical="center" wrapText="1"/>
    </xf>
    <xf numFmtId="0" fontId="2" fillId="0" borderId="0" xfId="1" applyFont="1" applyFill="1" applyAlignment="1">
      <alignment horizontal="center" vertical="center" wrapText="1"/>
    </xf>
    <xf numFmtId="168" fontId="8" fillId="0" borderId="9" xfId="70">
      <alignment horizontal="right" vertical="center"/>
    </xf>
    <xf numFmtId="3" fontId="3" fillId="0" borderId="0" xfId="53" applyFill="1">
      <alignment horizontal="left" vertical="center"/>
    </xf>
    <xf numFmtId="0" fontId="9" fillId="46" borderId="9" xfId="52" applyFill="1" applyBorder="1">
      <alignment horizontal="center" vertical="center" wrapText="1"/>
    </xf>
    <xf numFmtId="1" fontId="25" fillId="0" borderId="11" xfId="3" applyFill="1" applyBorder="1">
      <alignment horizontal="center" vertical="center" wrapText="1"/>
    </xf>
    <xf numFmtId="0" fontId="26" fillId="46" borderId="9" xfId="0" applyNumberFormat="1" applyFont="1" applyFill="1" applyBorder="1" applyAlignment="1">
      <alignment horizontal="center" vertical="center" wrapText="1"/>
    </xf>
    <xf numFmtId="0" fontId="4" fillId="0" borderId="0" xfId="67">
      <alignment vertical="center"/>
    </xf>
    <xf numFmtId="3" fontId="8" fillId="69" borderId="9" xfId="65" applyFill="1">
      <alignment horizontal="right" vertical="center"/>
    </xf>
    <xf numFmtId="3" fontId="8" fillId="70" borderId="9" xfId="65" applyFill="1">
      <alignment horizontal="right" vertical="center"/>
    </xf>
    <xf numFmtId="0" fontId="9" fillId="70" borderId="9" xfId="51" applyFill="1">
      <alignment horizontal="left" vertical="center" wrapText="1"/>
    </xf>
    <xf numFmtId="0" fontId="9" fillId="45" borderId="9" xfId="51" applyFill="1">
      <alignment horizontal="left" vertical="center" wrapText="1"/>
    </xf>
    <xf numFmtId="0" fontId="9" fillId="0" borderId="9" xfId="51" applyAlignment="1">
      <alignment horizontal="center" vertical="center" wrapText="1"/>
    </xf>
    <xf numFmtId="0" fontId="9" fillId="45" borderId="9" xfId="52" applyFill="1">
      <alignment horizontal="center" vertical="center" wrapText="1"/>
    </xf>
    <xf numFmtId="168" fontId="8" fillId="52" borderId="9" xfId="70" applyFill="1">
      <alignment horizontal="right" vertical="center"/>
    </xf>
    <xf numFmtId="3" fontId="8" fillId="45" borderId="9" xfId="65" applyFill="1">
      <alignment horizontal="right" vertical="center"/>
    </xf>
    <xf numFmtId="1" fontId="42" fillId="0" borderId="9" xfId="0" applyNumberFormat="1" applyFont="1" applyBorder="1" applyAlignment="1">
      <alignment horizontal="center" vertical="center"/>
    </xf>
    <xf numFmtId="0" fontId="9" fillId="47" borderId="9" xfId="52" applyFill="1">
      <alignment horizontal="center" vertical="center" wrapText="1"/>
    </xf>
    <xf numFmtId="168" fontId="8" fillId="47" borderId="9" xfId="70" applyFill="1">
      <alignment horizontal="right" vertical="center"/>
    </xf>
    <xf numFmtId="3" fontId="8" fillId="47" borderId="9" xfId="55" applyFill="1">
      <alignment horizontal="right" vertical="center"/>
    </xf>
    <xf numFmtId="4" fontId="8" fillId="47" borderId="9" xfId="58" applyFill="1">
      <alignment horizontal="right" vertical="center"/>
    </xf>
    <xf numFmtId="3" fontId="8" fillId="47" borderId="9" xfId="65" applyFill="1">
      <alignment horizontal="right" vertical="center"/>
    </xf>
    <xf numFmtId="4" fontId="8" fillId="61" borderId="9" xfId="58" applyFill="1">
      <alignment horizontal="right" vertical="center"/>
    </xf>
    <xf numFmtId="10" fontId="8" fillId="0" borderId="9" xfId="61" applyFill="1" applyAlignment="1">
      <alignment vertical="center"/>
    </xf>
    <xf numFmtId="0" fontId="9" fillId="0" borderId="0" xfId="51" applyFill="1" applyBorder="1">
      <alignment horizontal="left" vertical="center" wrapText="1"/>
    </xf>
    <xf numFmtId="3" fontId="0" fillId="2" borderId="0" xfId="0" applyFill="1" applyAlignment="1"/>
    <xf numFmtId="3" fontId="0" fillId="2" borderId="0" xfId="0" applyFill="1">
      <alignment horizontal="right" vertical="center"/>
    </xf>
    <xf numFmtId="1" fontId="8" fillId="46" borderId="12" xfId="66" applyFill="1" applyBorder="1">
      <alignment horizontal="right" vertical="center"/>
    </xf>
    <xf numFmtId="1" fontId="8" fillId="0" borderId="12" xfId="66" applyBorder="1">
      <alignment horizontal="right" vertical="center"/>
    </xf>
    <xf numFmtId="0" fontId="26" fillId="0" borderId="12" xfId="0" applyNumberFormat="1" applyFont="1" applyBorder="1" applyAlignment="1">
      <alignment horizontal="center" vertical="center" wrapText="1"/>
    </xf>
    <xf numFmtId="3" fontId="36" fillId="2" borderId="0" xfId="0" applyFont="1" applyFill="1">
      <alignment horizontal="right" vertical="center"/>
    </xf>
    <xf numFmtId="3" fontId="35" fillId="2" borderId="0" xfId="0" applyFont="1" applyFill="1">
      <alignment horizontal="right" vertical="center"/>
    </xf>
    <xf numFmtId="3" fontId="35" fillId="3" borderId="0" xfId="0" applyFont="1" applyFill="1">
      <alignment horizontal="right" vertical="center"/>
    </xf>
    <xf numFmtId="168" fontId="8" fillId="0" borderId="9" xfId="70" applyFill="1">
      <alignment horizontal="right" vertical="center"/>
    </xf>
    <xf numFmtId="168" fontId="8" fillId="0" borderId="9" xfId="70" applyBorder="1">
      <alignment horizontal="right" vertical="center"/>
    </xf>
    <xf numFmtId="168" fontId="8" fillId="0" borderId="9" xfId="70" applyAlignment="1">
      <alignment horizontal="right" vertical="center" wrapText="1"/>
    </xf>
    <xf numFmtId="3" fontId="41" fillId="2" borderId="0" xfId="0" applyFont="1" applyFill="1">
      <alignment horizontal="right" vertical="center"/>
    </xf>
    <xf numFmtId="168" fontId="8" fillId="0" borderId="11" xfId="70" applyFill="1" applyBorder="1">
      <alignment horizontal="right" vertical="center"/>
    </xf>
    <xf numFmtId="0" fontId="9" fillId="0" borderId="9" xfId="52" applyFill="1" applyBorder="1">
      <alignment horizontal="center" vertical="center" wrapText="1"/>
    </xf>
    <xf numFmtId="0" fontId="9" fillId="6" borderId="9" xfId="52" applyNumberFormat="1" applyFill="1">
      <alignment horizontal="center" vertical="center" wrapText="1"/>
    </xf>
    <xf numFmtId="1" fontId="0" fillId="0" borderId="0" xfId="0" applyNumberFormat="1" applyAlignment="1">
      <alignment horizontal="center"/>
    </xf>
    <xf numFmtId="3" fontId="8" fillId="6" borderId="9" xfId="65" applyFill="1">
      <alignment horizontal="right" vertical="center"/>
    </xf>
    <xf numFmtId="0" fontId="9" fillId="71" borderId="9" xfId="51" applyFill="1">
      <alignment horizontal="left" vertical="center" wrapText="1"/>
    </xf>
    <xf numFmtId="0" fontId="3" fillId="0" borderId="0" xfId="1" applyFont="1" applyFill="1" applyAlignment="1">
      <alignment horizontal="center" vertical="center"/>
    </xf>
    <xf numFmtId="3" fontId="3" fillId="0" borderId="0" xfId="0" applyFont="1" applyFill="1" applyAlignment="1">
      <alignment horizontal="left" vertical="center"/>
    </xf>
    <xf numFmtId="3" fontId="3" fillId="0" borderId="9" xfId="63" applyFill="1">
      <alignment horizontal="left" vertical="center"/>
    </xf>
    <xf numFmtId="1" fontId="10" fillId="11" borderId="9" xfId="4" applyAlignment="1">
      <alignment horizontal="right" vertical="center"/>
    </xf>
    <xf numFmtId="3" fontId="3" fillId="0" borderId="0" xfId="0" applyFont="1" applyFill="1" applyAlignment="1">
      <alignment horizontal="center"/>
    </xf>
    <xf numFmtId="0" fontId="4" fillId="0" borderId="0" xfId="67" applyFill="1">
      <alignment vertical="center"/>
    </xf>
    <xf numFmtId="3" fontId="43" fillId="0" borderId="0" xfId="0" applyFont="1" applyFill="1" applyAlignment="1">
      <alignment horizontal="center" vertical="top"/>
    </xf>
    <xf numFmtId="3" fontId="43" fillId="0" borderId="0" xfId="0" applyFont="1" applyFill="1" applyAlignment="1">
      <alignment horizontal="left" vertical="top"/>
    </xf>
  </cellXfs>
  <cellStyles count="71">
    <cellStyle name="20% - Accent1" xfId="27" builtinId="30" hidden="1" customBuiltin="1"/>
    <cellStyle name="20% - Accent2" xfId="31" builtinId="34" hidden="1"/>
    <cellStyle name="20% - Accent3" xfId="35" builtinId="38" hidden="1"/>
    <cellStyle name="20% - Accent4" xfId="39" builtinId="42" hidden="1"/>
    <cellStyle name="20% - Accent5" xfId="43" builtinId="46" hidden="1"/>
    <cellStyle name="20% - Accent6" xfId="47" builtinId="50" hidden="1"/>
    <cellStyle name="40% - Accent1" xfId="28" builtinId="31" hidden="1"/>
    <cellStyle name="40% - Accent2" xfId="32" builtinId="35" hidden="1"/>
    <cellStyle name="40% - Accent3" xfId="36" builtinId="39" hidden="1"/>
    <cellStyle name="40% - Accent4" xfId="40" builtinId="43" hidden="1"/>
    <cellStyle name="40% - Accent5" xfId="44" builtinId="47" hidden="1"/>
    <cellStyle name="40% - Accent6" xfId="48" builtinId="51" hidden="1"/>
    <cellStyle name="60% - Accent1" xfId="29" builtinId="32" hidden="1"/>
    <cellStyle name="60% - Accent2" xfId="33" builtinId="36" hidden="1"/>
    <cellStyle name="60% - Accent3" xfId="37" builtinId="40" hidden="1"/>
    <cellStyle name="60% - Accent4" xfId="41" builtinId="44" hidden="1"/>
    <cellStyle name="60% - Accent5" xfId="45" builtinId="48" hidden="1"/>
    <cellStyle name="60% - Accent6" xfId="49" builtinId="52" hidden="1"/>
    <cellStyle name="Accent1" xfId="26" builtinId="29" hidden="1"/>
    <cellStyle name="Accent2" xfId="30" builtinId="33" hidden="1"/>
    <cellStyle name="Accent3" xfId="34" builtinId="37" hidden="1"/>
    <cellStyle name="Accent4" xfId="38" builtinId="41" hidden="1"/>
    <cellStyle name="Accent5" xfId="42" builtinId="45" hidden="1"/>
    <cellStyle name="Accent6" xfId="46" builtinId="49" hidden="1"/>
    <cellStyle name="Bad" xfId="17" builtinId="27" hidden="1"/>
    <cellStyle name="Check Cell" xfId="22" builtinId="23" customBuiltin="1"/>
    <cellStyle name="Comma" xfId="6" builtinId="3" hidden="1"/>
    <cellStyle name="Comma [0]" xfId="7" builtinId="6" hidden="1"/>
    <cellStyle name="Currency" xfId="8" builtinId="4" hidden="1"/>
    <cellStyle name="Currency [0]" xfId="9" builtinId="7" hidden="1"/>
    <cellStyle name="Decimal-1" xfId="69" xr:uid="{3A956CBD-78DE-374C-8088-63A37616789F}"/>
    <cellStyle name="Decimal-10" xfId="70" xr:uid="{A15DF5A8-EEED-E245-A97A-F19B2FA14E22}"/>
    <cellStyle name="Decimal-2" xfId="58" xr:uid="{709C4BF9-4295-4646-9A34-6D4F599635C7}"/>
    <cellStyle name="Decimal-4" xfId="60" xr:uid="{C68B1C49-BC1F-D144-8A63-AC485DAFAA3D}"/>
    <cellStyle name="Decimal-6" xfId="59" xr:uid="{96DB93FB-149B-3A44-AAA5-7C90701EBC9C}"/>
    <cellStyle name="Estimated" xfId="4" xr:uid="{38062CB6-EF4B-CF41-85AF-D72FF9707668}"/>
    <cellStyle name="Estimated 2" xfId="62" xr:uid="{40360A58-6C2D-B94D-9721-2B512D7743DE}"/>
    <cellStyle name="Estimated 3" xfId="68" xr:uid="{F55CBE17-635A-5B41-8EEE-6AD5CA01F6A1}"/>
    <cellStyle name="Explanatory Text" xfId="24" builtinId="53" hidden="1"/>
    <cellStyle name="Good" xfId="16" builtinId="26" hidden="1"/>
    <cellStyle name="Heading 1" xfId="12" builtinId="16" hidden="1"/>
    <cellStyle name="Heading 2" xfId="13" builtinId="17" hidden="1"/>
    <cellStyle name="Heading 3" xfId="14" builtinId="18" hidden="1"/>
    <cellStyle name="Heading 4" xfId="15" builtinId="19" hidden="1"/>
    <cellStyle name="Hyperlink" xfId="2" builtinId="8" hidden="1"/>
    <cellStyle name="Hyperlink" xfId="54" builtinId="8" hidden="1"/>
    <cellStyle name="Input" xfId="19" builtinId="20" hidden="1"/>
    <cellStyle name="Linked Cell" xfId="21" builtinId="24" hidden="1"/>
    <cellStyle name="Neutral" xfId="18" builtinId="28" hidden="1"/>
    <cellStyle name="Normal" xfId="0" builtinId="0" customBuiltin="1"/>
    <cellStyle name="Normal 2" xfId="1" xr:uid="{6518068D-7F63-BB47-8624-9E754A647162}"/>
    <cellStyle name="Normal 3" xfId="3" xr:uid="{FD7BBF8A-3A79-CC46-92E9-540F981CCC7D}"/>
    <cellStyle name="Note" xfId="23" builtinId="10" hidden="1"/>
    <cellStyle name="Number" xfId="55" xr:uid="{5C13E065-72F8-3E45-9DB1-A89D31B8B255}"/>
    <cellStyle name="Number 2" xfId="65" xr:uid="{1DA75BF6-A074-1F4C-8827-BE59539DAAAA}"/>
    <cellStyle name="Number 3" xfId="66" xr:uid="{C2FEED09-E2AA-AB4D-BE3B-3F0D93679D8D}"/>
    <cellStyle name="Output" xfId="20" builtinId="21" hidden="1"/>
    <cellStyle name="Percent" xfId="10" builtinId="5" hidden="1" customBuiltin="1"/>
    <cellStyle name="Percent" xfId="50" builtinId="5" customBuiltin="1"/>
    <cellStyle name="Percent-2" xfId="61" xr:uid="{59EAFFD7-F48D-724D-A379-1F4354F22A7F}"/>
    <cellStyle name="Sub-title" xfId="56" xr:uid="{515D02F9-C424-0749-A2F2-AE42248D9FF3}"/>
    <cellStyle name="Sub-title 2" xfId="64" xr:uid="{B37F0205-5D6A-3142-AFE7-0A07CCB6A8BE}"/>
    <cellStyle name="Sub-title 2 2" xfId="67" xr:uid="{8564FEF2-660D-5746-8629-68BFA4222BD0}"/>
    <cellStyle name="Text Centre" xfId="52" xr:uid="{EF003E5B-098A-5F4E-91C9-5340529FBA44}"/>
    <cellStyle name="Text Left" xfId="51" xr:uid="{4561F0F6-4880-BA48-899A-5D67000CD77E}"/>
    <cellStyle name="Text Right" xfId="57" xr:uid="{30D929E0-F7E1-414C-82D5-3CF792823DD5}"/>
    <cellStyle name="Title" xfId="11" builtinId="15" hidden="1"/>
    <cellStyle name="Title" xfId="53" builtinId="15" customBuiltin="1"/>
    <cellStyle name="Title 2" xfId="63" xr:uid="{121C5646-6FD1-3348-AEC5-0FA00F8C0B26}"/>
    <cellStyle name="Total" xfId="25" builtinId="25" hidden="1"/>
    <cellStyle name="Warning Text" xfId="5" builtinId="11" hidden="1" customBuiltin="1"/>
  </cellStyles>
  <dxfs count="2">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2</xdr:col>
      <xdr:colOff>0</xdr:colOff>
      <xdr:row>1093</xdr:row>
      <xdr:rowOff>0</xdr:rowOff>
    </xdr:from>
    <xdr:ext cx="0" cy="169544"/>
    <xdr:sp macro="" textlink="">
      <xdr:nvSpPr>
        <xdr:cNvPr id="2" name="Shape 6">
          <a:extLst>
            <a:ext uri="{FF2B5EF4-FFF2-40B4-BE49-F238E27FC236}">
              <a16:creationId xmlns:a16="http://schemas.microsoft.com/office/drawing/2014/main" id="{5D5DB767-21CB-0343-9089-F92C64EDAEED}"/>
            </a:ext>
          </a:extLst>
        </xdr:cNvPr>
        <xdr:cNvSpPr/>
      </xdr:nvSpPr>
      <xdr:spPr>
        <a:xfrm>
          <a:off x="3467100" y="201866500"/>
          <a:ext cx="0" cy="169544"/>
        </a:xfrm>
        <a:custGeom>
          <a:avLst/>
          <a:gdLst/>
          <a:ahLst/>
          <a:cxnLst/>
          <a:rect l="0" t="0" r="0" b="0"/>
          <a:pathLst>
            <a:path h="169545">
              <a:moveTo>
                <a:pt x="0" y="0"/>
              </a:moveTo>
              <a:lnTo>
                <a:pt x="0" y="169164"/>
              </a:lnTo>
            </a:path>
          </a:pathLst>
        </a:custGeom>
        <a:ln w="10667">
          <a:solidFill>
            <a:srgbClr val="000000"/>
          </a:solidFill>
        </a:ln>
      </xdr:spPr>
    </xdr:sp>
    <xdr:clientData/>
  </xdr:oneCellAnchor>
  <xdr:oneCellAnchor>
    <xdr:from>
      <xdr:col>2</xdr:col>
      <xdr:colOff>0</xdr:colOff>
      <xdr:row>1093</xdr:row>
      <xdr:rowOff>0</xdr:rowOff>
    </xdr:from>
    <xdr:ext cx="0" cy="169544"/>
    <xdr:sp macro="" textlink="">
      <xdr:nvSpPr>
        <xdr:cNvPr id="3" name="Shape 7">
          <a:extLst>
            <a:ext uri="{FF2B5EF4-FFF2-40B4-BE49-F238E27FC236}">
              <a16:creationId xmlns:a16="http://schemas.microsoft.com/office/drawing/2014/main" id="{C5ED9CEA-036B-1E48-ABC0-7D077E397157}"/>
            </a:ext>
          </a:extLst>
        </xdr:cNvPr>
        <xdr:cNvSpPr/>
      </xdr:nvSpPr>
      <xdr:spPr>
        <a:xfrm>
          <a:off x="3467100" y="201866500"/>
          <a:ext cx="0" cy="169544"/>
        </a:xfrm>
        <a:custGeom>
          <a:avLst/>
          <a:gdLst/>
          <a:ahLst/>
          <a:cxnLst/>
          <a:rect l="0" t="0" r="0" b="0"/>
          <a:pathLst>
            <a:path h="169545">
              <a:moveTo>
                <a:pt x="0" y="0"/>
              </a:moveTo>
              <a:lnTo>
                <a:pt x="0" y="169163"/>
              </a:lnTo>
            </a:path>
          </a:pathLst>
        </a:custGeom>
        <a:ln w="10667">
          <a:solidFill>
            <a:srgbClr val="000000"/>
          </a:solidFill>
        </a:ln>
      </xdr:spPr>
    </xdr:sp>
    <xdr:clientData/>
  </xdr:oneCellAnchor>
  <xdr:oneCellAnchor>
    <xdr:from>
      <xdr:col>2</xdr:col>
      <xdr:colOff>0</xdr:colOff>
      <xdr:row>1093</xdr:row>
      <xdr:rowOff>0</xdr:rowOff>
    </xdr:from>
    <xdr:ext cx="0" cy="169544"/>
    <xdr:sp macro="" textlink="">
      <xdr:nvSpPr>
        <xdr:cNvPr id="4" name="Shape 6">
          <a:extLst>
            <a:ext uri="{FF2B5EF4-FFF2-40B4-BE49-F238E27FC236}">
              <a16:creationId xmlns:a16="http://schemas.microsoft.com/office/drawing/2014/main" id="{241A1253-150C-AB48-BBA1-E41916767065}"/>
            </a:ext>
          </a:extLst>
        </xdr:cNvPr>
        <xdr:cNvSpPr/>
      </xdr:nvSpPr>
      <xdr:spPr>
        <a:xfrm>
          <a:off x="3467100" y="201866500"/>
          <a:ext cx="0" cy="169544"/>
        </a:xfrm>
        <a:custGeom>
          <a:avLst/>
          <a:gdLst/>
          <a:ahLst/>
          <a:cxnLst/>
          <a:rect l="0" t="0" r="0" b="0"/>
          <a:pathLst>
            <a:path h="169545">
              <a:moveTo>
                <a:pt x="0" y="0"/>
              </a:moveTo>
              <a:lnTo>
                <a:pt x="0" y="169164"/>
              </a:lnTo>
            </a:path>
          </a:pathLst>
        </a:custGeom>
        <a:ln w="10667">
          <a:solidFill>
            <a:srgbClr val="000000"/>
          </a:solidFill>
        </a:ln>
      </xdr:spPr>
    </xdr:sp>
    <xdr:clientData/>
  </xdr:oneCellAnchor>
  <xdr:oneCellAnchor>
    <xdr:from>
      <xdr:col>2</xdr:col>
      <xdr:colOff>0</xdr:colOff>
      <xdr:row>1093</xdr:row>
      <xdr:rowOff>0</xdr:rowOff>
    </xdr:from>
    <xdr:ext cx="0" cy="169544"/>
    <xdr:sp macro="" textlink="">
      <xdr:nvSpPr>
        <xdr:cNvPr id="5" name="Shape 7">
          <a:extLst>
            <a:ext uri="{FF2B5EF4-FFF2-40B4-BE49-F238E27FC236}">
              <a16:creationId xmlns:a16="http://schemas.microsoft.com/office/drawing/2014/main" id="{477258C9-71C7-7048-B6E7-2811DF779DA4}"/>
            </a:ext>
          </a:extLst>
        </xdr:cNvPr>
        <xdr:cNvSpPr/>
      </xdr:nvSpPr>
      <xdr:spPr>
        <a:xfrm>
          <a:off x="3467100" y="201866500"/>
          <a:ext cx="0" cy="169544"/>
        </a:xfrm>
        <a:custGeom>
          <a:avLst/>
          <a:gdLst/>
          <a:ahLst/>
          <a:cxnLst/>
          <a:rect l="0" t="0" r="0" b="0"/>
          <a:pathLst>
            <a:path h="169545">
              <a:moveTo>
                <a:pt x="0" y="0"/>
              </a:moveTo>
              <a:lnTo>
                <a:pt x="0" y="169163"/>
              </a:lnTo>
            </a:path>
          </a:pathLst>
        </a:custGeom>
        <a:ln w="10667">
          <a:solidFill>
            <a:srgbClr val="000000"/>
          </a:solidFill>
        </a:ln>
      </xdr:spPr>
    </xdr:sp>
    <xdr:clientData/>
  </xdr:oneCellAnchor>
</xdr:wsDr>
</file>

<file path=xl/drawings/drawing2.xml><?xml version="1.0" encoding="utf-8"?>
<xdr:wsDr xmlns:xdr="http://schemas.openxmlformats.org/drawingml/2006/spreadsheetDrawing" xmlns:a="http://schemas.openxmlformats.org/drawingml/2006/main">
  <xdr:oneCellAnchor>
    <xdr:from>
      <xdr:col>2</xdr:col>
      <xdr:colOff>0</xdr:colOff>
      <xdr:row>799</xdr:row>
      <xdr:rowOff>0</xdr:rowOff>
    </xdr:from>
    <xdr:ext cx="0" cy="169544"/>
    <xdr:sp macro="" textlink="">
      <xdr:nvSpPr>
        <xdr:cNvPr id="2" name="Shape 6">
          <a:extLst>
            <a:ext uri="{FF2B5EF4-FFF2-40B4-BE49-F238E27FC236}">
              <a16:creationId xmlns:a16="http://schemas.microsoft.com/office/drawing/2014/main" id="{84231870-9057-404A-9E21-1B711AACFA5D}"/>
            </a:ext>
          </a:extLst>
        </xdr:cNvPr>
        <xdr:cNvSpPr/>
      </xdr:nvSpPr>
      <xdr:spPr>
        <a:xfrm>
          <a:off x="6591300" y="218732100"/>
          <a:ext cx="0" cy="169544"/>
        </a:xfrm>
        <a:custGeom>
          <a:avLst/>
          <a:gdLst/>
          <a:ahLst/>
          <a:cxnLst/>
          <a:rect l="0" t="0" r="0" b="0"/>
          <a:pathLst>
            <a:path h="169545">
              <a:moveTo>
                <a:pt x="0" y="0"/>
              </a:moveTo>
              <a:lnTo>
                <a:pt x="0" y="169164"/>
              </a:lnTo>
            </a:path>
          </a:pathLst>
        </a:custGeom>
        <a:ln w="10667">
          <a:solidFill>
            <a:srgbClr val="000000"/>
          </a:solidFill>
        </a:ln>
      </xdr:spPr>
    </xdr:sp>
    <xdr:clientData/>
  </xdr:oneCellAnchor>
  <xdr:oneCellAnchor>
    <xdr:from>
      <xdr:col>2</xdr:col>
      <xdr:colOff>0</xdr:colOff>
      <xdr:row>799</xdr:row>
      <xdr:rowOff>0</xdr:rowOff>
    </xdr:from>
    <xdr:ext cx="0" cy="169544"/>
    <xdr:sp macro="" textlink="">
      <xdr:nvSpPr>
        <xdr:cNvPr id="3" name="Shape 7">
          <a:extLst>
            <a:ext uri="{FF2B5EF4-FFF2-40B4-BE49-F238E27FC236}">
              <a16:creationId xmlns:a16="http://schemas.microsoft.com/office/drawing/2014/main" id="{B31C44AF-4ED0-174E-9926-F5DFBFA52045}"/>
            </a:ext>
          </a:extLst>
        </xdr:cNvPr>
        <xdr:cNvSpPr/>
      </xdr:nvSpPr>
      <xdr:spPr>
        <a:xfrm>
          <a:off x="6591300" y="218732100"/>
          <a:ext cx="0" cy="169544"/>
        </a:xfrm>
        <a:custGeom>
          <a:avLst/>
          <a:gdLst/>
          <a:ahLst/>
          <a:cxnLst/>
          <a:rect l="0" t="0" r="0" b="0"/>
          <a:pathLst>
            <a:path h="169545">
              <a:moveTo>
                <a:pt x="0" y="0"/>
              </a:moveTo>
              <a:lnTo>
                <a:pt x="0" y="169163"/>
              </a:lnTo>
            </a:path>
          </a:pathLst>
        </a:custGeom>
        <a:ln w="10667">
          <a:solidFill>
            <a:srgbClr val="000000"/>
          </a:solidFill>
        </a:ln>
      </xdr:spPr>
    </xdr:sp>
    <xdr:clientData/>
  </xdr:oneCellAnchor>
  <xdr:oneCellAnchor>
    <xdr:from>
      <xdr:col>2</xdr:col>
      <xdr:colOff>0</xdr:colOff>
      <xdr:row>799</xdr:row>
      <xdr:rowOff>0</xdr:rowOff>
    </xdr:from>
    <xdr:ext cx="0" cy="169544"/>
    <xdr:sp macro="" textlink="">
      <xdr:nvSpPr>
        <xdr:cNvPr id="4" name="Shape 6">
          <a:extLst>
            <a:ext uri="{FF2B5EF4-FFF2-40B4-BE49-F238E27FC236}">
              <a16:creationId xmlns:a16="http://schemas.microsoft.com/office/drawing/2014/main" id="{FEA9B31D-55FC-B348-AAE2-A61775D38E5F}"/>
            </a:ext>
          </a:extLst>
        </xdr:cNvPr>
        <xdr:cNvSpPr/>
      </xdr:nvSpPr>
      <xdr:spPr>
        <a:xfrm>
          <a:off x="6591300" y="218732100"/>
          <a:ext cx="0" cy="169544"/>
        </a:xfrm>
        <a:custGeom>
          <a:avLst/>
          <a:gdLst/>
          <a:ahLst/>
          <a:cxnLst/>
          <a:rect l="0" t="0" r="0" b="0"/>
          <a:pathLst>
            <a:path h="169545">
              <a:moveTo>
                <a:pt x="0" y="0"/>
              </a:moveTo>
              <a:lnTo>
                <a:pt x="0" y="169164"/>
              </a:lnTo>
            </a:path>
          </a:pathLst>
        </a:custGeom>
        <a:ln w="10667">
          <a:solidFill>
            <a:srgbClr val="000000"/>
          </a:solidFill>
        </a:ln>
      </xdr:spPr>
    </xdr:sp>
    <xdr:clientData/>
  </xdr:oneCellAnchor>
  <xdr:oneCellAnchor>
    <xdr:from>
      <xdr:col>2</xdr:col>
      <xdr:colOff>0</xdr:colOff>
      <xdr:row>799</xdr:row>
      <xdr:rowOff>0</xdr:rowOff>
    </xdr:from>
    <xdr:ext cx="0" cy="169544"/>
    <xdr:sp macro="" textlink="">
      <xdr:nvSpPr>
        <xdr:cNvPr id="5" name="Shape 7">
          <a:extLst>
            <a:ext uri="{FF2B5EF4-FFF2-40B4-BE49-F238E27FC236}">
              <a16:creationId xmlns:a16="http://schemas.microsoft.com/office/drawing/2014/main" id="{6E4E1B01-3056-C943-B3E5-4F63AA7E1B1A}"/>
            </a:ext>
          </a:extLst>
        </xdr:cNvPr>
        <xdr:cNvSpPr/>
      </xdr:nvSpPr>
      <xdr:spPr>
        <a:xfrm>
          <a:off x="6591300" y="218732100"/>
          <a:ext cx="0" cy="169544"/>
        </a:xfrm>
        <a:custGeom>
          <a:avLst/>
          <a:gdLst/>
          <a:ahLst/>
          <a:cxnLst/>
          <a:rect l="0" t="0" r="0" b="0"/>
          <a:pathLst>
            <a:path h="169545">
              <a:moveTo>
                <a:pt x="0" y="0"/>
              </a:moveTo>
              <a:lnTo>
                <a:pt x="0" y="169163"/>
              </a:lnTo>
            </a:path>
          </a:pathLst>
        </a:custGeom>
        <a:ln w="10667">
          <a:solidFill>
            <a:srgbClr val="000000"/>
          </a:solidFill>
        </a:ln>
      </xdr:spPr>
    </xdr:sp>
    <xdr:clientData/>
  </xdr:oneCellAnchor>
  <xdr:oneCellAnchor>
    <xdr:from>
      <xdr:col>11</xdr:col>
      <xdr:colOff>0</xdr:colOff>
      <xdr:row>799</xdr:row>
      <xdr:rowOff>0</xdr:rowOff>
    </xdr:from>
    <xdr:ext cx="0" cy="169544"/>
    <xdr:sp macro="" textlink="">
      <xdr:nvSpPr>
        <xdr:cNvPr id="6" name="Shape 6">
          <a:extLst>
            <a:ext uri="{FF2B5EF4-FFF2-40B4-BE49-F238E27FC236}">
              <a16:creationId xmlns:a16="http://schemas.microsoft.com/office/drawing/2014/main" id="{F382472B-892A-5A4F-8663-F2CDC632C05B}"/>
            </a:ext>
          </a:extLst>
        </xdr:cNvPr>
        <xdr:cNvSpPr/>
      </xdr:nvSpPr>
      <xdr:spPr>
        <a:xfrm>
          <a:off x="3467100" y="201866500"/>
          <a:ext cx="0" cy="169544"/>
        </a:xfrm>
        <a:custGeom>
          <a:avLst/>
          <a:gdLst/>
          <a:ahLst/>
          <a:cxnLst/>
          <a:rect l="0" t="0" r="0" b="0"/>
          <a:pathLst>
            <a:path h="169545">
              <a:moveTo>
                <a:pt x="0" y="0"/>
              </a:moveTo>
              <a:lnTo>
                <a:pt x="0" y="169164"/>
              </a:lnTo>
            </a:path>
          </a:pathLst>
        </a:custGeom>
        <a:ln w="10667">
          <a:solidFill>
            <a:srgbClr val="000000"/>
          </a:solidFill>
        </a:ln>
      </xdr:spPr>
    </xdr:sp>
    <xdr:clientData/>
  </xdr:oneCellAnchor>
  <xdr:oneCellAnchor>
    <xdr:from>
      <xdr:col>11</xdr:col>
      <xdr:colOff>0</xdr:colOff>
      <xdr:row>799</xdr:row>
      <xdr:rowOff>0</xdr:rowOff>
    </xdr:from>
    <xdr:ext cx="0" cy="169544"/>
    <xdr:sp macro="" textlink="">
      <xdr:nvSpPr>
        <xdr:cNvPr id="7" name="Shape 7">
          <a:extLst>
            <a:ext uri="{FF2B5EF4-FFF2-40B4-BE49-F238E27FC236}">
              <a16:creationId xmlns:a16="http://schemas.microsoft.com/office/drawing/2014/main" id="{D7D93277-4508-754D-A64E-7088885C7060}"/>
            </a:ext>
          </a:extLst>
        </xdr:cNvPr>
        <xdr:cNvSpPr/>
      </xdr:nvSpPr>
      <xdr:spPr>
        <a:xfrm>
          <a:off x="3467100" y="201866500"/>
          <a:ext cx="0" cy="169544"/>
        </a:xfrm>
        <a:custGeom>
          <a:avLst/>
          <a:gdLst/>
          <a:ahLst/>
          <a:cxnLst/>
          <a:rect l="0" t="0" r="0" b="0"/>
          <a:pathLst>
            <a:path h="169545">
              <a:moveTo>
                <a:pt x="0" y="0"/>
              </a:moveTo>
              <a:lnTo>
                <a:pt x="0" y="169163"/>
              </a:lnTo>
            </a:path>
          </a:pathLst>
        </a:custGeom>
        <a:ln w="10667">
          <a:solidFill>
            <a:srgbClr val="000000"/>
          </a:solidFill>
        </a:ln>
      </xdr:spPr>
    </xdr:sp>
    <xdr:clientData/>
  </xdr:oneCellAnchor>
  <xdr:oneCellAnchor>
    <xdr:from>
      <xdr:col>11</xdr:col>
      <xdr:colOff>0</xdr:colOff>
      <xdr:row>799</xdr:row>
      <xdr:rowOff>0</xdr:rowOff>
    </xdr:from>
    <xdr:ext cx="0" cy="169544"/>
    <xdr:sp macro="" textlink="">
      <xdr:nvSpPr>
        <xdr:cNvPr id="8" name="Shape 6">
          <a:extLst>
            <a:ext uri="{FF2B5EF4-FFF2-40B4-BE49-F238E27FC236}">
              <a16:creationId xmlns:a16="http://schemas.microsoft.com/office/drawing/2014/main" id="{947A6E37-D6FB-954D-BEB8-4B9015D671B2}"/>
            </a:ext>
          </a:extLst>
        </xdr:cNvPr>
        <xdr:cNvSpPr/>
      </xdr:nvSpPr>
      <xdr:spPr>
        <a:xfrm>
          <a:off x="3467100" y="201866500"/>
          <a:ext cx="0" cy="169544"/>
        </a:xfrm>
        <a:custGeom>
          <a:avLst/>
          <a:gdLst/>
          <a:ahLst/>
          <a:cxnLst/>
          <a:rect l="0" t="0" r="0" b="0"/>
          <a:pathLst>
            <a:path h="169545">
              <a:moveTo>
                <a:pt x="0" y="0"/>
              </a:moveTo>
              <a:lnTo>
                <a:pt x="0" y="169164"/>
              </a:lnTo>
            </a:path>
          </a:pathLst>
        </a:custGeom>
        <a:ln w="10667">
          <a:solidFill>
            <a:srgbClr val="000000"/>
          </a:solidFill>
        </a:ln>
      </xdr:spPr>
    </xdr:sp>
    <xdr:clientData/>
  </xdr:oneCellAnchor>
  <xdr:oneCellAnchor>
    <xdr:from>
      <xdr:col>11</xdr:col>
      <xdr:colOff>0</xdr:colOff>
      <xdr:row>799</xdr:row>
      <xdr:rowOff>0</xdr:rowOff>
    </xdr:from>
    <xdr:ext cx="0" cy="169544"/>
    <xdr:sp macro="" textlink="">
      <xdr:nvSpPr>
        <xdr:cNvPr id="9" name="Shape 7">
          <a:extLst>
            <a:ext uri="{FF2B5EF4-FFF2-40B4-BE49-F238E27FC236}">
              <a16:creationId xmlns:a16="http://schemas.microsoft.com/office/drawing/2014/main" id="{564DE925-66DF-4B43-B84A-8A98B74E9762}"/>
            </a:ext>
          </a:extLst>
        </xdr:cNvPr>
        <xdr:cNvSpPr/>
      </xdr:nvSpPr>
      <xdr:spPr>
        <a:xfrm>
          <a:off x="3467100" y="201866500"/>
          <a:ext cx="0" cy="169544"/>
        </a:xfrm>
        <a:custGeom>
          <a:avLst/>
          <a:gdLst/>
          <a:ahLst/>
          <a:cxnLst/>
          <a:rect l="0" t="0" r="0" b="0"/>
          <a:pathLst>
            <a:path h="169545">
              <a:moveTo>
                <a:pt x="0" y="0"/>
              </a:moveTo>
              <a:lnTo>
                <a:pt x="0" y="169163"/>
              </a:lnTo>
            </a:path>
          </a:pathLst>
        </a:custGeom>
        <a:ln w="10667">
          <a:solidFill>
            <a:srgbClr val="000000"/>
          </a:solidFill>
        </a:ln>
      </xdr:spPr>
    </xdr:sp>
    <xdr:clientData/>
  </xdr:oneCellAnchor>
  <xdr:oneCellAnchor>
    <xdr:from>
      <xdr:col>11</xdr:col>
      <xdr:colOff>0</xdr:colOff>
      <xdr:row>799</xdr:row>
      <xdr:rowOff>0</xdr:rowOff>
    </xdr:from>
    <xdr:ext cx="0" cy="169544"/>
    <xdr:sp macro="" textlink="">
      <xdr:nvSpPr>
        <xdr:cNvPr id="10" name="Shape 6">
          <a:extLst>
            <a:ext uri="{FF2B5EF4-FFF2-40B4-BE49-F238E27FC236}">
              <a16:creationId xmlns:a16="http://schemas.microsoft.com/office/drawing/2014/main" id="{850AA056-A9D9-A34E-8F16-AABAA1948CA8}"/>
            </a:ext>
          </a:extLst>
        </xdr:cNvPr>
        <xdr:cNvSpPr/>
      </xdr:nvSpPr>
      <xdr:spPr>
        <a:xfrm>
          <a:off x="3467100" y="200863200"/>
          <a:ext cx="0" cy="169544"/>
        </a:xfrm>
        <a:custGeom>
          <a:avLst/>
          <a:gdLst/>
          <a:ahLst/>
          <a:cxnLst/>
          <a:rect l="0" t="0" r="0" b="0"/>
          <a:pathLst>
            <a:path h="169545">
              <a:moveTo>
                <a:pt x="0" y="0"/>
              </a:moveTo>
              <a:lnTo>
                <a:pt x="0" y="169164"/>
              </a:lnTo>
            </a:path>
          </a:pathLst>
        </a:custGeom>
        <a:ln w="10667">
          <a:solidFill>
            <a:srgbClr val="000000"/>
          </a:solidFill>
        </a:ln>
      </xdr:spPr>
    </xdr:sp>
    <xdr:clientData/>
  </xdr:oneCellAnchor>
  <xdr:oneCellAnchor>
    <xdr:from>
      <xdr:col>11</xdr:col>
      <xdr:colOff>0</xdr:colOff>
      <xdr:row>799</xdr:row>
      <xdr:rowOff>0</xdr:rowOff>
    </xdr:from>
    <xdr:ext cx="0" cy="169544"/>
    <xdr:sp macro="" textlink="">
      <xdr:nvSpPr>
        <xdr:cNvPr id="11" name="Shape 7">
          <a:extLst>
            <a:ext uri="{FF2B5EF4-FFF2-40B4-BE49-F238E27FC236}">
              <a16:creationId xmlns:a16="http://schemas.microsoft.com/office/drawing/2014/main" id="{AD19B80A-2B4E-F044-9615-190B9ECEE03C}"/>
            </a:ext>
          </a:extLst>
        </xdr:cNvPr>
        <xdr:cNvSpPr/>
      </xdr:nvSpPr>
      <xdr:spPr>
        <a:xfrm>
          <a:off x="3467100" y="200863200"/>
          <a:ext cx="0" cy="169544"/>
        </a:xfrm>
        <a:custGeom>
          <a:avLst/>
          <a:gdLst/>
          <a:ahLst/>
          <a:cxnLst/>
          <a:rect l="0" t="0" r="0" b="0"/>
          <a:pathLst>
            <a:path h="169545">
              <a:moveTo>
                <a:pt x="0" y="0"/>
              </a:moveTo>
              <a:lnTo>
                <a:pt x="0" y="169163"/>
              </a:lnTo>
            </a:path>
          </a:pathLst>
        </a:custGeom>
        <a:ln w="10667">
          <a:solidFill>
            <a:srgbClr val="000000"/>
          </a:solidFill>
        </a:ln>
      </xdr:spPr>
    </xdr:sp>
    <xdr:clientData/>
  </xdr:oneCellAnchor>
  <xdr:oneCellAnchor>
    <xdr:from>
      <xdr:col>11</xdr:col>
      <xdr:colOff>0</xdr:colOff>
      <xdr:row>799</xdr:row>
      <xdr:rowOff>0</xdr:rowOff>
    </xdr:from>
    <xdr:ext cx="0" cy="169544"/>
    <xdr:sp macro="" textlink="">
      <xdr:nvSpPr>
        <xdr:cNvPr id="12" name="Shape 6">
          <a:extLst>
            <a:ext uri="{FF2B5EF4-FFF2-40B4-BE49-F238E27FC236}">
              <a16:creationId xmlns:a16="http://schemas.microsoft.com/office/drawing/2014/main" id="{77835A35-47FF-AE4B-9C43-3A1945B064BE}"/>
            </a:ext>
          </a:extLst>
        </xdr:cNvPr>
        <xdr:cNvSpPr/>
      </xdr:nvSpPr>
      <xdr:spPr>
        <a:xfrm>
          <a:off x="3467100" y="200863200"/>
          <a:ext cx="0" cy="169544"/>
        </a:xfrm>
        <a:custGeom>
          <a:avLst/>
          <a:gdLst/>
          <a:ahLst/>
          <a:cxnLst/>
          <a:rect l="0" t="0" r="0" b="0"/>
          <a:pathLst>
            <a:path h="169545">
              <a:moveTo>
                <a:pt x="0" y="0"/>
              </a:moveTo>
              <a:lnTo>
                <a:pt x="0" y="169164"/>
              </a:lnTo>
            </a:path>
          </a:pathLst>
        </a:custGeom>
        <a:ln w="10667">
          <a:solidFill>
            <a:srgbClr val="000000"/>
          </a:solidFill>
        </a:ln>
      </xdr:spPr>
    </xdr:sp>
    <xdr:clientData/>
  </xdr:oneCellAnchor>
  <xdr:oneCellAnchor>
    <xdr:from>
      <xdr:col>11</xdr:col>
      <xdr:colOff>0</xdr:colOff>
      <xdr:row>799</xdr:row>
      <xdr:rowOff>0</xdr:rowOff>
    </xdr:from>
    <xdr:ext cx="0" cy="169544"/>
    <xdr:sp macro="" textlink="">
      <xdr:nvSpPr>
        <xdr:cNvPr id="13" name="Shape 7">
          <a:extLst>
            <a:ext uri="{FF2B5EF4-FFF2-40B4-BE49-F238E27FC236}">
              <a16:creationId xmlns:a16="http://schemas.microsoft.com/office/drawing/2014/main" id="{9C61850A-EFCE-E247-9FEA-D7F92213CE9E}"/>
            </a:ext>
          </a:extLst>
        </xdr:cNvPr>
        <xdr:cNvSpPr/>
      </xdr:nvSpPr>
      <xdr:spPr>
        <a:xfrm>
          <a:off x="3467100" y="200863200"/>
          <a:ext cx="0" cy="169544"/>
        </a:xfrm>
        <a:custGeom>
          <a:avLst/>
          <a:gdLst/>
          <a:ahLst/>
          <a:cxnLst/>
          <a:rect l="0" t="0" r="0" b="0"/>
          <a:pathLst>
            <a:path h="169545">
              <a:moveTo>
                <a:pt x="0" y="0"/>
              </a:moveTo>
              <a:lnTo>
                <a:pt x="0" y="169163"/>
              </a:lnTo>
            </a:path>
          </a:pathLst>
        </a:custGeom>
        <a:ln w="10667">
          <a:solidFill>
            <a:srgbClr val="000000"/>
          </a:solidFill>
        </a:ln>
      </xdr:spPr>
    </xdr:sp>
    <xdr:clientData/>
  </xdr:oneCellAnchor>
</xdr:wsDr>
</file>

<file path=xl/drawings/drawing3.xml><?xml version="1.0" encoding="utf-8"?>
<xdr:wsDr xmlns:xdr="http://schemas.openxmlformats.org/drawingml/2006/spreadsheetDrawing" xmlns:a="http://schemas.openxmlformats.org/drawingml/2006/main">
  <xdr:oneCellAnchor>
    <xdr:from>
      <xdr:col>3</xdr:col>
      <xdr:colOff>0</xdr:colOff>
      <xdr:row>766</xdr:row>
      <xdr:rowOff>0</xdr:rowOff>
    </xdr:from>
    <xdr:ext cx="0" cy="169544"/>
    <xdr:sp macro="" textlink="">
      <xdr:nvSpPr>
        <xdr:cNvPr id="2" name="Shape 6">
          <a:extLst>
            <a:ext uri="{FF2B5EF4-FFF2-40B4-BE49-F238E27FC236}">
              <a16:creationId xmlns:a16="http://schemas.microsoft.com/office/drawing/2014/main" id="{AB30F045-4E89-AB4C-8E85-0875549544D7}"/>
            </a:ext>
          </a:extLst>
        </xdr:cNvPr>
        <xdr:cNvSpPr/>
      </xdr:nvSpPr>
      <xdr:spPr>
        <a:xfrm>
          <a:off x="6591300" y="218732100"/>
          <a:ext cx="0" cy="169544"/>
        </a:xfrm>
        <a:custGeom>
          <a:avLst/>
          <a:gdLst/>
          <a:ahLst/>
          <a:cxnLst/>
          <a:rect l="0" t="0" r="0" b="0"/>
          <a:pathLst>
            <a:path h="169545">
              <a:moveTo>
                <a:pt x="0" y="0"/>
              </a:moveTo>
              <a:lnTo>
                <a:pt x="0" y="169164"/>
              </a:lnTo>
            </a:path>
          </a:pathLst>
        </a:custGeom>
        <a:ln w="10667">
          <a:solidFill>
            <a:srgbClr val="000000"/>
          </a:solidFill>
        </a:ln>
      </xdr:spPr>
    </xdr:sp>
    <xdr:clientData/>
  </xdr:oneCellAnchor>
  <xdr:oneCellAnchor>
    <xdr:from>
      <xdr:col>3</xdr:col>
      <xdr:colOff>0</xdr:colOff>
      <xdr:row>766</xdr:row>
      <xdr:rowOff>0</xdr:rowOff>
    </xdr:from>
    <xdr:ext cx="0" cy="169544"/>
    <xdr:sp macro="" textlink="">
      <xdr:nvSpPr>
        <xdr:cNvPr id="3" name="Shape 7">
          <a:extLst>
            <a:ext uri="{FF2B5EF4-FFF2-40B4-BE49-F238E27FC236}">
              <a16:creationId xmlns:a16="http://schemas.microsoft.com/office/drawing/2014/main" id="{C70278C3-EC69-F54D-A0B5-FF22615B1CD2}"/>
            </a:ext>
          </a:extLst>
        </xdr:cNvPr>
        <xdr:cNvSpPr/>
      </xdr:nvSpPr>
      <xdr:spPr>
        <a:xfrm>
          <a:off x="6591300" y="218732100"/>
          <a:ext cx="0" cy="169544"/>
        </a:xfrm>
        <a:custGeom>
          <a:avLst/>
          <a:gdLst/>
          <a:ahLst/>
          <a:cxnLst/>
          <a:rect l="0" t="0" r="0" b="0"/>
          <a:pathLst>
            <a:path h="169545">
              <a:moveTo>
                <a:pt x="0" y="0"/>
              </a:moveTo>
              <a:lnTo>
                <a:pt x="0" y="169163"/>
              </a:lnTo>
            </a:path>
          </a:pathLst>
        </a:custGeom>
        <a:ln w="10667">
          <a:solidFill>
            <a:srgbClr val="000000"/>
          </a:solidFill>
        </a:ln>
      </xdr:spPr>
    </xdr:sp>
    <xdr:clientData/>
  </xdr:oneCellAnchor>
  <xdr:oneCellAnchor>
    <xdr:from>
      <xdr:col>3</xdr:col>
      <xdr:colOff>0</xdr:colOff>
      <xdr:row>766</xdr:row>
      <xdr:rowOff>0</xdr:rowOff>
    </xdr:from>
    <xdr:ext cx="0" cy="169544"/>
    <xdr:sp macro="" textlink="">
      <xdr:nvSpPr>
        <xdr:cNvPr id="4" name="Shape 6">
          <a:extLst>
            <a:ext uri="{FF2B5EF4-FFF2-40B4-BE49-F238E27FC236}">
              <a16:creationId xmlns:a16="http://schemas.microsoft.com/office/drawing/2014/main" id="{913FCD67-985C-AF4F-A108-B08C2514F603}"/>
            </a:ext>
          </a:extLst>
        </xdr:cNvPr>
        <xdr:cNvSpPr/>
      </xdr:nvSpPr>
      <xdr:spPr>
        <a:xfrm>
          <a:off x="6591300" y="218732100"/>
          <a:ext cx="0" cy="169544"/>
        </a:xfrm>
        <a:custGeom>
          <a:avLst/>
          <a:gdLst/>
          <a:ahLst/>
          <a:cxnLst/>
          <a:rect l="0" t="0" r="0" b="0"/>
          <a:pathLst>
            <a:path h="169545">
              <a:moveTo>
                <a:pt x="0" y="0"/>
              </a:moveTo>
              <a:lnTo>
                <a:pt x="0" y="169164"/>
              </a:lnTo>
            </a:path>
          </a:pathLst>
        </a:custGeom>
        <a:ln w="10667">
          <a:solidFill>
            <a:srgbClr val="000000"/>
          </a:solidFill>
        </a:ln>
      </xdr:spPr>
    </xdr:sp>
    <xdr:clientData/>
  </xdr:oneCellAnchor>
  <xdr:oneCellAnchor>
    <xdr:from>
      <xdr:col>3</xdr:col>
      <xdr:colOff>0</xdr:colOff>
      <xdr:row>766</xdr:row>
      <xdr:rowOff>0</xdr:rowOff>
    </xdr:from>
    <xdr:ext cx="0" cy="169544"/>
    <xdr:sp macro="" textlink="">
      <xdr:nvSpPr>
        <xdr:cNvPr id="5" name="Shape 7">
          <a:extLst>
            <a:ext uri="{FF2B5EF4-FFF2-40B4-BE49-F238E27FC236}">
              <a16:creationId xmlns:a16="http://schemas.microsoft.com/office/drawing/2014/main" id="{AA74BB25-D10A-D142-89B7-2378AFCD7C92}"/>
            </a:ext>
          </a:extLst>
        </xdr:cNvPr>
        <xdr:cNvSpPr/>
      </xdr:nvSpPr>
      <xdr:spPr>
        <a:xfrm>
          <a:off x="6591300" y="218732100"/>
          <a:ext cx="0" cy="169544"/>
        </a:xfrm>
        <a:custGeom>
          <a:avLst/>
          <a:gdLst/>
          <a:ahLst/>
          <a:cxnLst/>
          <a:rect l="0" t="0" r="0" b="0"/>
          <a:pathLst>
            <a:path h="169545">
              <a:moveTo>
                <a:pt x="0" y="0"/>
              </a:moveTo>
              <a:lnTo>
                <a:pt x="0" y="169163"/>
              </a:lnTo>
            </a:path>
          </a:pathLst>
        </a:custGeom>
        <a:ln w="10667">
          <a:solidFill>
            <a:srgbClr val="000000"/>
          </a:solidFill>
        </a:ln>
      </xdr:spPr>
    </xdr:sp>
    <xdr:clientData/>
  </xdr:oneCellAnchor>
  <xdr:oneCellAnchor>
    <xdr:from>
      <xdr:col>3</xdr:col>
      <xdr:colOff>0</xdr:colOff>
      <xdr:row>753</xdr:row>
      <xdr:rowOff>0</xdr:rowOff>
    </xdr:from>
    <xdr:ext cx="0" cy="169544"/>
    <xdr:sp macro="" textlink="">
      <xdr:nvSpPr>
        <xdr:cNvPr id="6" name="Shape 6">
          <a:extLst>
            <a:ext uri="{FF2B5EF4-FFF2-40B4-BE49-F238E27FC236}">
              <a16:creationId xmlns:a16="http://schemas.microsoft.com/office/drawing/2014/main" id="{B62F19C4-D5C3-6E49-985A-C6ACBE8D6026}"/>
            </a:ext>
          </a:extLst>
        </xdr:cNvPr>
        <xdr:cNvSpPr/>
      </xdr:nvSpPr>
      <xdr:spPr>
        <a:xfrm>
          <a:off x="6591300" y="215595200"/>
          <a:ext cx="0" cy="169544"/>
        </a:xfrm>
        <a:custGeom>
          <a:avLst/>
          <a:gdLst/>
          <a:ahLst/>
          <a:cxnLst/>
          <a:rect l="0" t="0" r="0" b="0"/>
          <a:pathLst>
            <a:path h="169545">
              <a:moveTo>
                <a:pt x="0" y="0"/>
              </a:moveTo>
              <a:lnTo>
                <a:pt x="0" y="169164"/>
              </a:lnTo>
            </a:path>
          </a:pathLst>
        </a:custGeom>
        <a:ln w="10667">
          <a:solidFill>
            <a:srgbClr val="000000"/>
          </a:solidFill>
        </a:ln>
      </xdr:spPr>
    </xdr:sp>
    <xdr:clientData/>
  </xdr:oneCellAnchor>
  <xdr:oneCellAnchor>
    <xdr:from>
      <xdr:col>3</xdr:col>
      <xdr:colOff>0</xdr:colOff>
      <xdr:row>753</xdr:row>
      <xdr:rowOff>0</xdr:rowOff>
    </xdr:from>
    <xdr:ext cx="0" cy="169544"/>
    <xdr:sp macro="" textlink="">
      <xdr:nvSpPr>
        <xdr:cNvPr id="7" name="Shape 7">
          <a:extLst>
            <a:ext uri="{FF2B5EF4-FFF2-40B4-BE49-F238E27FC236}">
              <a16:creationId xmlns:a16="http://schemas.microsoft.com/office/drawing/2014/main" id="{CB2947E0-DA78-8846-8680-CB3B64A3D49A}"/>
            </a:ext>
          </a:extLst>
        </xdr:cNvPr>
        <xdr:cNvSpPr/>
      </xdr:nvSpPr>
      <xdr:spPr>
        <a:xfrm>
          <a:off x="6591300" y="215595200"/>
          <a:ext cx="0" cy="169544"/>
        </a:xfrm>
        <a:custGeom>
          <a:avLst/>
          <a:gdLst/>
          <a:ahLst/>
          <a:cxnLst/>
          <a:rect l="0" t="0" r="0" b="0"/>
          <a:pathLst>
            <a:path h="169545">
              <a:moveTo>
                <a:pt x="0" y="0"/>
              </a:moveTo>
              <a:lnTo>
                <a:pt x="0" y="169163"/>
              </a:lnTo>
            </a:path>
          </a:pathLst>
        </a:custGeom>
        <a:ln w="10667">
          <a:solidFill>
            <a:srgbClr val="000000"/>
          </a:solidFill>
        </a:ln>
      </xdr:spPr>
    </xdr:sp>
    <xdr:clientData/>
  </xdr:oneCellAnchor>
  <xdr:oneCellAnchor>
    <xdr:from>
      <xdr:col>3</xdr:col>
      <xdr:colOff>0</xdr:colOff>
      <xdr:row>753</xdr:row>
      <xdr:rowOff>0</xdr:rowOff>
    </xdr:from>
    <xdr:ext cx="0" cy="169544"/>
    <xdr:sp macro="" textlink="">
      <xdr:nvSpPr>
        <xdr:cNvPr id="8" name="Shape 6">
          <a:extLst>
            <a:ext uri="{FF2B5EF4-FFF2-40B4-BE49-F238E27FC236}">
              <a16:creationId xmlns:a16="http://schemas.microsoft.com/office/drawing/2014/main" id="{C3A28F71-22C5-1543-90E4-92046EA40CEA}"/>
            </a:ext>
          </a:extLst>
        </xdr:cNvPr>
        <xdr:cNvSpPr/>
      </xdr:nvSpPr>
      <xdr:spPr>
        <a:xfrm>
          <a:off x="6591300" y="215595200"/>
          <a:ext cx="0" cy="169544"/>
        </a:xfrm>
        <a:custGeom>
          <a:avLst/>
          <a:gdLst/>
          <a:ahLst/>
          <a:cxnLst/>
          <a:rect l="0" t="0" r="0" b="0"/>
          <a:pathLst>
            <a:path h="169545">
              <a:moveTo>
                <a:pt x="0" y="0"/>
              </a:moveTo>
              <a:lnTo>
                <a:pt x="0" y="169164"/>
              </a:lnTo>
            </a:path>
          </a:pathLst>
        </a:custGeom>
        <a:ln w="10667">
          <a:solidFill>
            <a:srgbClr val="000000"/>
          </a:solidFill>
        </a:ln>
      </xdr:spPr>
    </xdr:sp>
    <xdr:clientData/>
  </xdr:oneCellAnchor>
  <xdr:oneCellAnchor>
    <xdr:from>
      <xdr:col>3</xdr:col>
      <xdr:colOff>0</xdr:colOff>
      <xdr:row>753</xdr:row>
      <xdr:rowOff>0</xdr:rowOff>
    </xdr:from>
    <xdr:ext cx="0" cy="169544"/>
    <xdr:sp macro="" textlink="">
      <xdr:nvSpPr>
        <xdr:cNvPr id="9" name="Shape 7">
          <a:extLst>
            <a:ext uri="{FF2B5EF4-FFF2-40B4-BE49-F238E27FC236}">
              <a16:creationId xmlns:a16="http://schemas.microsoft.com/office/drawing/2014/main" id="{3192CD6B-58DF-EE4C-9980-E8ACEB3136A9}"/>
            </a:ext>
          </a:extLst>
        </xdr:cNvPr>
        <xdr:cNvSpPr/>
      </xdr:nvSpPr>
      <xdr:spPr>
        <a:xfrm>
          <a:off x="6591300" y="215595200"/>
          <a:ext cx="0" cy="169544"/>
        </a:xfrm>
        <a:custGeom>
          <a:avLst/>
          <a:gdLst/>
          <a:ahLst/>
          <a:cxnLst/>
          <a:rect l="0" t="0" r="0" b="0"/>
          <a:pathLst>
            <a:path h="169545">
              <a:moveTo>
                <a:pt x="0" y="0"/>
              </a:moveTo>
              <a:lnTo>
                <a:pt x="0" y="169163"/>
              </a:lnTo>
            </a:path>
          </a:pathLst>
        </a:custGeom>
        <a:ln w="10667">
          <a:solidFill>
            <a:srgbClr val="000000"/>
          </a:solidFill>
        </a:ln>
      </xdr:spPr>
    </xdr:sp>
    <xdr:clientData/>
  </xdr:oneCellAnchor>
  <xdr:oneCellAnchor>
    <xdr:from>
      <xdr:col>2</xdr:col>
      <xdr:colOff>0</xdr:colOff>
      <xdr:row>753</xdr:row>
      <xdr:rowOff>0</xdr:rowOff>
    </xdr:from>
    <xdr:ext cx="0" cy="169544"/>
    <xdr:sp macro="" textlink="">
      <xdr:nvSpPr>
        <xdr:cNvPr id="10" name="Shape 6">
          <a:extLst>
            <a:ext uri="{FF2B5EF4-FFF2-40B4-BE49-F238E27FC236}">
              <a16:creationId xmlns:a16="http://schemas.microsoft.com/office/drawing/2014/main" id="{F553FF16-CE37-EA48-B86A-E07E25A82402}"/>
            </a:ext>
          </a:extLst>
        </xdr:cNvPr>
        <xdr:cNvSpPr/>
      </xdr:nvSpPr>
      <xdr:spPr>
        <a:xfrm>
          <a:off x="2489200" y="275437600"/>
          <a:ext cx="0" cy="169544"/>
        </a:xfrm>
        <a:custGeom>
          <a:avLst/>
          <a:gdLst/>
          <a:ahLst/>
          <a:cxnLst/>
          <a:rect l="0" t="0" r="0" b="0"/>
          <a:pathLst>
            <a:path h="169545">
              <a:moveTo>
                <a:pt x="0" y="0"/>
              </a:moveTo>
              <a:lnTo>
                <a:pt x="0" y="169164"/>
              </a:lnTo>
            </a:path>
          </a:pathLst>
        </a:custGeom>
        <a:ln w="10667">
          <a:solidFill>
            <a:srgbClr val="000000"/>
          </a:solidFill>
        </a:ln>
      </xdr:spPr>
    </xdr:sp>
    <xdr:clientData/>
  </xdr:oneCellAnchor>
  <xdr:oneCellAnchor>
    <xdr:from>
      <xdr:col>2</xdr:col>
      <xdr:colOff>0</xdr:colOff>
      <xdr:row>753</xdr:row>
      <xdr:rowOff>0</xdr:rowOff>
    </xdr:from>
    <xdr:ext cx="0" cy="169544"/>
    <xdr:sp macro="" textlink="">
      <xdr:nvSpPr>
        <xdr:cNvPr id="11" name="Shape 7">
          <a:extLst>
            <a:ext uri="{FF2B5EF4-FFF2-40B4-BE49-F238E27FC236}">
              <a16:creationId xmlns:a16="http://schemas.microsoft.com/office/drawing/2014/main" id="{A158E399-7051-7647-8767-5F40D487733F}"/>
            </a:ext>
          </a:extLst>
        </xdr:cNvPr>
        <xdr:cNvSpPr/>
      </xdr:nvSpPr>
      <xdr:spPr>
        <a:xfrm>
          <a:off x="2489200" y="275437600"/>
          <a:ext cx="0" cy="169544"/>
        </a:xfrm>
        <a:custGeom>
          <a:avLst/>
          <a:gdLst/>
          <a:ahLst/>
          <a:cxnLst/>
          <a:rect l="0" t="0" r="0" b="0"/>
          <a:pathLst>
            <a:path h="169545">
              <a:moveTo>
                <a:pt x="0" y="0"/>
              </a:moveTo>
              <a:lnTo>
                <a:pt x="0" y="169163"/>
              </a:lnTo>
            </a:path>
          </a:pathLst>
        </a:custGeom>
        <a:ln w="10667">
          <a:solidFill>
            <a:srgbClr val="000000"/>
          </a:solidFill>
        </a:ln>
      </xdr:spPr>
    </xdr:sp>
    <xdr:clientData/>
  </xdr:oneCellAnchor>
  <xdr:oneCellAnchor>
    <xdr:from>
      <xdr:col>2</xdr:col>
      <xdr:colOff>0</xdr:colOff>
      <xdr:row>753</xdr:row>
      <xdr:rowOff>0</xdr:rowOff>
    </xdr:from>
    <xdr:ext cx="0" cy="169544"/>
    <xdr:sp macro="" textlink="">
      <xdr:nvSpPr>
        <xdr:cNvPr id="12" name="Shape 6">
          <a:extLst>
            <a:ext uri="{FF2B5EF4-FFF2-40B4-BE49-F238E27FC236}">
              <a16:creationId xmlns:a16="http://schemas.microsoft.com/office/drawing/2014/main" id="{47D6A702-B2B6-0440-9963-37D1CF2CD9EB}"/>
            </a:ext>
          </a:extLst>
        </xdr:cNvPr>
        <xdr:cNvSpPr/>
      </xdr:nvSpPr>
      <xdr:spPr>
        <a:xfrm>
          <a:off x="2489200" y="275437600"/>
          <a:ext cx="0" cy="169544"/>
        </a:xfrm>
        <a:custGeom>
          <a:avLst/>
          <a:gdLst/>
          <a:ahLst/>
          <a:cxnLst/>
          <a:rect l="0" t="0" r="0" b="0"/>
          <a:pathLst>
            <a:path h="169545">
              <a:moveTo>
                <a:pt x="0" y="0"/>
              </a:moveTo>
              <a:lnTo>
                <a:pt x="0" y="169164"/>
              </a:lnTo>
            </a:path>
          </a:pathLst>
        </a:custGeom>
        <a:ln w="10667">
          <a:solidFill>
            <a:srgbClr val="000000"/>
          </a:solidFill>
        </a:ln>
      </xdr:spPr>
    </xdr:sp>
    <xdr:clientData/>
  </xdr:oneCellAnchor>
  <xdr:oneCellAnchor>
    <xdr:from>
      <xdr:col>2</xdr:col>
      <xdr:colOff>0</xdr:colOff>
      <xdr:row>753</xdr:row>
      <xdr:rowOff>0</xdr:rowOff>
    </xdr:from>
    <xdr:ext cx="0" cy="169544"/>
    <xdr:sp macro="" textlink="">
      <xdr:nvSpPr>
        <xdr:cNvPr id="13" name="Shape 7">
          <a:extLst>
            <a:ext uri="{FF2B5EF4-FFF2-40B4-BE49-F238E27FC236}">
              <a16:creationId xmlns:a16="http://schemas.microsoft.com/office/drawing/2014/main" id="{DD50A563-076E-D040-9DB8-641A853017A0}"/>
            </a:ext>
          </a:extLst>
        </xdr:cNvPr>
        <xdr:cNvSpPr/>
      </xdr:nvSpPr>
      <xdr:spPr>
        <a:xfrm>
          <a:off x="2489200" y="275437600"/>
          <a:ext cx="0" cy="169544"/>
        </a:xfrm>
        <a:custGeom>
          <a:avLst/>
          <a:gdLst/>
          <a:ahLst/>
          <a:cxnLst/>
          <a:rect l="0" t="0" r="0" b="0"/>
          <a:pathLst>
            <a:path h="169545">
              <a:moveTo>
                <a:pt x="0" y="0"/>
              </a:moveTo>
              <a:lnTo>
                <a:pt x="0" y="169163"/>
              </a:lnTo>
            </a:path>
          </a:pathLst>
        </a:custGeom>
        <a:ln w="10667">
          <a:solidFill>
            <a:srgbClr val="000000"/>
          </a:solidFill>
        </a:ln>
      </xdr:spPr>
    </xdr:sp>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corrected%20-%20LCA%20Round%201%20IRs%20-%20Master%20Versio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ome/Files/UoT-PhD/Research/00-References/Alberta/Transmission/SLIVER%20model%20inputs%20-%20AB-4-2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Questions"/>
      <sheetName val="Selection"/>
    </sheetNames>
    <sheetDataSet>
      <sheetData sheetId="0"/>
      <sheetData sheetId="1"/>
      <sheetData sheetId="2">
        <row r="2">
          <cell r="A2" t="str">
            <v>Round 1</v>
          </cell>
          <cell r="F2" t="str">
            <v>Yes</v>
          </cell>
          <cell r="I2" t="str">
            <v>aboriginal relations</v>
          </cell>
        </row>
        <row r="3">
          <cell r="A3" t="str">
            <v>Round 2</v>
          </cell>
          <cell r="F3" t="str">
            <v>No</v>
          </cell>
          <cell r="I3" t="str">
            <v>access (transmission)</v>
          </cell>
        </row>
        <row r="4">
          <cell r="I4" t="str">
            <v>biomass</v>
          </cell>
        </row>
        <row r="5">
          <cell r="I5" t="str">
            <v>Bipole III</v>
          </cell>
        </row>
        <row r="6">
          <cell r="I6" t="str">
            <v>capital costs</v>
          </cell>
        </row>
        <row r="7">
          <cell r="I7" t="str">
            <v>carbon/GHG emissions</v>
          </cell>
        </row>
        <row r="8">
          <cell r="I8" t="str">
            <v>caribou</v>
          </cell>
        </row>
        <row r="9">
          <cell r="A9" t="str">
            <v>BF</v>
          </cell>
          <cell r="I9" t="str">
            <v>climate change</v>
          </cell>
        </row>
        <row r="10">
          <cell r="A10" t="str">
            <v>CAC</v>
          </cell>
          <cell r="I10" t="str">
            <v>combined cycle combustion turbine</v>
          </cell>
        </row>
        <row r="11">
          <cell r="A11" t="str">
            <v>CS</v>
          </cell>
          <cell r="I11" t="str">
            <v>Conawapa</v>
          </cell>
        </row>
        <row r="12">
          <cell r="A12" t="str">
            <v>DBP</v>
          </cell>
          <cell r="I12" t="str">
            <v>concerns of First Nations</v>
          </cell>
        </row>
        <row r="13">
          <cell r="A13" t="str">
            <v>DP</v>
          </cell>
          <cell r="I13" t="str">
            <v>cultural effects</v>
          </cell>
        </row>
        <row r="14">
          <cell r="A14" t="str">
            <v>ERA</v>
          </cell>
          <cell r="I14" t="str">
            <v>cumulative effects</v>
          </cell>
        </row>
        <row r="15">
          <cell r="A15" t="str">
            <v>GAC</v>
          </cell>
          <cell r="I15" t="str">
            <v>customers (export markets)</v>
          </cell>
        </row>
        <row r="16">
          <cell r="A16" t="str">
            <v>GD</v>
          </cell>
          <cell r="I16" t="str">
            <v>debt-equity ratio</v>
          </cell>
        </row>
        <row r="17">
          <cell r="A17" t="str">
            <v>JG</v>
          </cell>
          <cell r="I17" t="str">
            <v>demand side management</v>
          </cell>
        </row>
        <row r="18">
          <cell r="A18" t="str">
            <v>JT</v>
          </cell>
          <cell r="I18" t="str">
            <v>drought (risk)</v>
          </cell>
        </row>
        <row r="19">
          <cell r="A19" t="str">
            <v>KP</v>
          </cell>
          <cell r="I19" t="str">
            <v>DSM</v>
          </cell>
        </row>
        <row r="20">
          <cell r="A20" t="str">
            <v>LCA</v>
          </cell>
          <cell r="I20" t="str">
            <v>economics of change (risk)</v>
          </cell>
        </row>
        <row r="21">
          <cell r="A21" t="str">
            <v>MIPUG</v>
          </cell>
          <cell r="I21" t="str">
            <v>emerging energies</v>
          </cell>
        </row>
        <row r="22">
          <cell r="A22" t="str">
            <v>MKO</v>
          </cell>
          <cell r="I22" t="str">
            <v>environmental impacts</v>
          </cell>
        </row>
        <row r="23">
          <cell r="A23" t="str">
            <v>MMF</v>
          </cell>
          <cell r="I23" t="str">
            <v>environmental protection plans</v>
          </cell>
        </row>
        <row r="24">
          <cell r="A24" t="str">
            <v>MNP</v>
          </cell>
          <cell r="I24" t="str">
            <v>export contract</v>
          </cell>
        </row>
        <row r="25">
          <cell r="A25" t="str">
            <v>MPA</v>
          </cell>
          <cell r="I25" t="str">
            <v>export markets</v>
          </cell>
        </row>
        <row r="26">
          <cell r="A26" t="str">
            <v>PE</v>
          </cell>
          <cell r="I26" t="str">
            <v>geothermal</v>
          </cell>
        </row>
        <row r="27">
          <cell r="A27" t="str">
            <v>POT</v>
          </cell>
          <cell r="I27" t="str">
            <v>green house gas</v>
          </cell>
        </row>
        <row r="28">
          <cell r="A28" t="str">
            <v>PUB</v>
          </cell>
          <cell r="I28" t="str">
            <v>hurdle rate policy</v>
          </cell>
        </row>
        <row r="29">
          <cell r="A29" t="str">
            <v>RT</v>
          </cell>
          <cell r="I29" t="str">
            <v>Internal Rate of Return</v>
          </cell>
        </row>
        <row r="30">
          <cell r="A30" t="str">
            <v>TYP</v>
          </cell>
          <cell r="I30" t="str">
            <v>Keeyask</v>
          </cell>
        </row>
        <row r="31">
          <cell r="A31" t="str">
            <v>WK</v>
          </cell>
          <cell r="I31" t="str">
            <v>Kyoto protocol</v>
          </cell>
        </row>
        <row r="32">
          <cell r="I32" t="str">
            <v>Levelized Cost</v>
          </cell>
        </row>
        <row r="33">
          <cell r="I33" t="str">
            <v>levelized cost</v>
          </cell>
        </row>
        <row r="34">
          <cell r="I34" t="str">
            <v>long term contracts</v>
          </cell>
        </row>
        <row r="35">
          <cell r="I35" t="str">
            <v>macro-environmental</v>
          </cell>
        </row>
        <row r="36">
          <cell r="I36" t="str">
            <v>market and transmission risks</v>
          </cell>
        </row>
        <row r="37">
          <cell r="I37" t="str">
            <v>Minnesota-Manitoba Transmission Line</v>
          </cell>
        </row>
        <row r="38">
          <cell r="I38" t="str">
            <v>mitigation of adverse effects</v>
          </cell>
        </row>
        <row r="39">
          <cell r="I39" t="str">
            <v>natural gas</v>
          </cell>
        </row>
        <row r="40">
          <cell r="I40" t="str">
            <v>non-utility generation</v>
          </cell>
        </row>
        <row r="41">
          <cell r="I41" t="str">
            <v>NPV</v>
          </cell>
        </row>
        <row r="42">
          <cell r="I42" t="str">
            <v>O and M costs</v>
          </cell>
        </row>
        <row r="43">
          <cell r="I43" t="str">
            <v>partnership agreements</v>
          </cell>
        </row>
        <row r="44">
          <cell r="I44" t="str">
            <v>price forecasts</v>
          </cell>
        </row>
        <row r="45">
          <cell r="I45" t="str">
            <v>project benefits</v>
          </cell>
        </row>
        <row r="46">
          <cell r="I46" t="str">
            <v>project licensing</v>
          </cell>
        </row>
        <row r="47">
          <cell r="I47" t="str">
            <v>rate impacts</v>
          </cell>
        </row>
        <row r="48">
          <cell r="I48" t="str">
            <v>shale gas</v>
          </cell>
        </row>
        <row r="49">
          <cell r="I49" t="str">
            <v>short term contracts</v>
          </cell>
        </row>
        <row r="50">
          <cell r="I50" t="str">
            <v>socio-economic</v>
          </cell>
        </row>
        <row r="51">
          <cell r="I51" t="str">
            <v>solar</v>
          </cell>
        </row>
        <row r="52">
          <cell r="I52" t="str">
            <v>sturgeon</v>
          </cell>
        </row>
        <row r="53">
          <cell r="I53" t="str">
            <v>sunk costs</v>
          </cell>
        </row>
        <row r="54">
          <cell r="I54" t="str">
            <v>supply side efficiency enhancements</v>
          </cell>
        </row>
        <row r="55">
          <cell r="I55" t="str">
            <v>sustainable development</v>
          </cell>
        </row>
        <row r="56">
          <cell r="I56" t="str">
            <v>transmission reliability</v>
          </cell>
        </row>
        <row r="57">
          <cell r="I57" t="str">
            <v>variability of revenues (export markets)</v>
          </cell>
        </row>
        <row r="58">
          <cell r="I58" t="str">
            <v>wind</v>
          </cell>
        </row>
        <row r="59">
          <cell r="I59" t="str">
            <v>wind costs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er_inputs"/>
      <sheetName val="site independent"/>
      <sheetName val="modeled attributes"/>
      <sheetName val="modeled attributes _original"/>
      <sheetName val="scenario analysis"/>
      <sheetName val="vre plants"/>
      <sheetName val="non-vre plants"/>
      <sheetName val="storage"/>
      <sheetName val="EV_aggregator"/>
      <sheetName val="demand response"/>
      <sheetName val="demand centres"/>
      <sheetName val="existing transmission"/>
      <sheetName val="Nodes"/>
      <sheetName val="excel input instructions"/>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3">
          <cell r="B3" t="str">
            <v>Wind</v>
          </cell>
          <cell r="C3" t="str">
            <v>Solar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52967-7333-2044-8E78-0F164C52C108}">
  <sheetPr codeName="Sheet1"/>
  <dimension ref="A1:C33"/>
  <sheetViews>
    <sheetView workbookViewId="0">
      <selection activeCell="C12" sqref="C12"/>
    </sheetView>
  </sheetViews>
  <sheetFormatPr baseColWidth="10" defaultRowHeight="16" x14ac:dyDescent="0.2"/>
  <cols>
    <col min="1" max="1" width="4.83203125" style="6" customWidth="1"/>
    <col min="2" max="2" width="21.6640625" style="6" customWidth="1"/>
    <col min="3" max="3" width="10.83203125" style="6"/>
    <col min="4" max="16384" width="10.83203125" style="52"/>
  </cols>
  <sheetData>
    <row r="1" spans="1:3" s="6" customFormat="1" ht="21" x14ac:dyDescent="0.2">
      <c r="A1" s="12" t="s">
        <v>75</v>
      </c>
      <c r="B1" s="12" t="s">
        <v>28</v>
      </c>
    </row>
    <row r="2" spans="1:3" s="6" customFormat="1" x14ac:dyDescent="0.2"/>
    <row r="3" spans="1:3" s="7" customFormat="1" ht="19" x14ac:dyDescent="0.25">
      <c r="B3" s="2" t="s">
        <v>2437</v>
      </c>
      <c r="C3" s="2" t="s">
        <v>2361</v>
      </c>
    </row>
    <row r="4" spans="1:3" s="7" customFormat="1" ht="19" x14ac:dyDescent="0.25">
      <c r="B4" s="2" t="s">
        <v>2362</v>
      </c>
      <c r="C4" s="2" t="s">
        <v>2363</v>
      </c>
    </row>
    <row r="5" spans="1:3" s="7" customFormat="1" ht="19" x14ac:dyDescent="0.25">
      <c r="B5" s="2" t="s">
        <v>2343</v>
      </c>
      <c r="C5" s="2" t="s">
        <v>2448</v>
      </c>
    </row>
    <row r="6" spans="1:3" s="7" customFormat="1" ht="19" x14ac:dyDescent="0.25">
      <c r="B6" s="7" t="s">
        <v>23</v>
      </c>
      <c r="C6" s="7" t="s">
        <v>27</v>
      </c>
    </row>
    <row r="7" spans="1:3" s="7" customFormat="1" ht="19" x14ac:dyDescent="0.25">
      <c r="B7" s="7" t="s">
        <v>2492</v>
      </c>
      <c r="C7" s="7" t="s">
        <v>2493</v>
      </c>
    </row>
    <row r="8" spans="1:3" s="7" customFormat="1" ht="19" x14ac:dyDescent="0.25">
      <c r="B8" s="7" t="s">
        <v>4425</v>
      </c>
      <c r="C8" s="7" t="s">
        <v>4426</v>
      </c>
    </row>
    <row r="9" spans="1:3" s="7" customFormat="1" ht="19" x14ac:dyDescent="0.25">
      <c r="B9" s="2" t="s">
        <v>131</v>
      </c>
      <c r="C9" s="2" t="s">
        <v>132</v>
      </c>
    </row>
    <row r="10" spans="1:3" s="7" customFormat="1" ht="19" x14ac:dyDescent="0.25">
      <c r="B10" s="2" t="s">
        <v>133</v>
      </c>
      <c r="C10" s="2" t="s">
        <v>134</v>
      </c>
    </row>
    <row r="11" spans="1:3" s="7" customFormat="1" ht="19" x14ac:dyDescent="0.25">
      <c r="B11" s="2" t="s">
        <v>135</v>
      </c>
      <c r="C11" s="2" t="s">
        <v>136</v>
      </c>
    </row>
    <row r="12" spans="1:3" s="7" customFormat="1" ht="19" x14ac:dyDescent="0.25">
      <c r="B12" s="2" t="s">
        <v>137</v>
      </c>
      <c r="C12" s="2" t="s">
        <v>138</v>
      </c>
    </row>
    <row r="13" spans="1:3" s="7" customFormat="1" ht="19" x14ac:dyDescent="0.25">
      <c r="B13" s="7" t="s">
        <v>2494</v>
      </c>
      <c r="C13" s="7" t="s">
        <v>2495</v>
      </c>
    </row>
    <row r="14" spans="1:3" s="7" customFormat="1" ht="19" x14ac:dyDescent="0.25">
      <c r="B14" s="7" t="s">
        <v>41</v>
      </c>
      <c r="C14" s="7" t="s">
        <v>42</v>
      </c>
    </row>
    <row r="15" spans="1:3" s="50" customFormat="1" ht="19" x14ac:dyDescent="0.25">
      <c r="A15" s="7"/>
      <c r="B15" s="2" t="s">
        <v>335</v>
      </c>
      <c r="C15" s="2" t="s">
        <v>336</v>
      </c>
    </row>
    <row r="16" spans="1:3" s="50" customFormat="1" ht="19" x14ac:dyDescent="0.25">
      <c r="A16" s="7"/>
      <c r="B16" s="2" t="s">
        <v>337</v>
      </c>
      <c r="C16" s="2" t="s">
        <v>338</v>
      </c>
    </row>
    <row r="17" spans="1:3" s="7" customFormat="1" ht="19" x14ac:dyDescent="0.25">
      <c r="B17" s="7" t="s">
        <v>339</v>
      </c>
      <c r="C17" s="7" t="s">
        <v>340</v>
      </c>
    </row>
    <row r="18" spans="1:3" s="7" customFormat="1" ht="19" x14ac:dyDescent="0.25">
      <c r="B18" s="7" t="s">
        <v>341</v>
      </c>
      <c r="C18" s="7" t="s">
        <v>342</v>
      </c>
    </row>
    <row r="19" spans="1:3" s="7" customFormat="1" ht="19" x14ac:dyDescent="0.25">
      <c r="B19" s="7" t="s">
        <v>343</v>
      </c>
      <c r="C19" s="7" t="s">
        <v>344</v>
      </c>
    </row>
    <row r="20" spans="1:3" s="7" customFormat="1" ht="19" x14ac:dyDescent="0.25">
      <c r="B20" s="7" t="s">
        <v>2462</v>
      </c>
      <c r="C20" s="7" t="s">
        <v>2463</v>
      </c>
    </row>
    <row r="21" spans="1:3" s="7" customFormat="1" ht="19" x14ac:dyDescent="0.25"/>
    <row r="22" spans="1:3" s="50" customFormat="1" ht="19" x14ac:dyDescent="0.25">
      <c r="A22" s="7"/>
      <c r="B22" s="31"/>
      <c r="C22" s="2" t="s">
        <v>345</v>
      </c>
    </row>
    <row r="23" spans="1:3" s="50" customFormat="1" ht="19" x14ac:dyDescent="0.25">
      <c r="A23" s="7"/>
      <c r="B23" s="33"/>
      <c r="C23" s="2" t="s">
        <v>4427</v>
      </c>
    </row>
    <row r="24" spans="1:3" s="50" customFormat="1" ht="19" x14ac:dyDescent="0.25">
      <c r="A24" s="7"/>
      <c r="B24" s="32"/>
      <c r="C24" s="2" t="s">
        <v>346</v>
      </c>
    </row>
    <row r="25" spans="1:3" s="50" customFormat="1" ht="19" x14ac:dyDescent="0.25">
      <c r="A25" s="7"/>
      <c r="B25" s="313">
        <v>27</v>
      </c>
      <c r="C25" s="2" t="s">
        <v>52</v>
      </c>
    </row>
    <row r="26" spans="1:3" s="50" customFormat="1" ht="19" x14ac:dyDescent="0.25">
      <c r="A26" s="7"/>
      <c r="B26" s="7"/>
      <c r="C26" s="2" t="s">
        <v>4428</v>
      </c>
    </row>
    <row r="27" spans="1:3" s="7" customFormat="1" ht="19" x14ac:dyDescent="0.25"/>
    <row r="28" spans="1:3" s="183" customFormat="1" x14ac:dyDescent="0.2">
      <c r="A28" s="6"/>
      <c r="B28" s="6"/>
      <c r="C28" s="6"/>
    </row>
    <row r="29" spans="1:3" s="183" customFormat="1" x14ac:dyDescent="0.2">
      <c r="A29" s="6"/>
      <c r="B29" s="6"/>
      <c r="C29" s="6"/>
    </row>
    <row r="30" spans="1:3" s="183" customFormat="1" x14ac:dyDescent="0.2">
      <c r="A30" s="6"/>
      <c r="B30" s="6"/>
      <c r="C30" s="6"/>
    </row>
    <row r="31" spans="1:3" s="183" customFormat="1" x14ac:dyDescent="0.2">
      <c r="A31" s="6"/>
      <c r="B31" s="6"/>
      <c r="C31" s="6"/>
    </row>
    <row r="32" spans="1:3" s="183" customFormat="1" x14ac:dyDescent="0.2">
      <c r="A32" s="6"/>
      <c r="B32" s="6"/>
      <c r="C32" s="6"/>
    </row>
    <row r="33" spans="1:3" s="183" customFormat="1" x14ac:dyDescent="0.2">
      <c r="A33" s="6"/>
      <c r="B33" s="6"/>
      <c r="C33" s="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75635-8198-C647-A3E1-32C3BCD011AE}">
  <sheetPr codeName="Sheet5"/>
  <dimension ref="A1:BP21"/>
  <sheetViews>
    <sheetView workbookViewId="0">
      <pane xSplit="2" ySplit="3" topLeftCell="C4" activePane="bottomRight" state="frozen"/>
      <selection activeCell="D4" sqref="D4"/>
      <selection pane="topRight" activeCell="D4" sqref="D4"/>
      <selection pane="bottomLeft" activeCell="D4" sqref="D4"/>
      <selection pane="bottomRight" activeCell="D4" sqref="D4"/>
    </sheetView>
  </sheetViews>
  <sheetFormatPr baseColWidth="10" defaultRowHeight="16" x14ac:dyDescent="0.2"/>
  <cols>
    <col min="1" max="1" width="4.83203125" style="52" customWidth="1"/>
    <col min="2" max="2" width="52" style="52" customWidth="1"/>
    <col min="3" max="3" width="28.83203125" style="52" customWidth="1"/>
    <col min="4" max="4" width="25" style="52" customWidth="1"/>
    <col min="5" max="5" width="12.5" style="52" bestFit="1" customWidth="1"/>
    <col min="6" max="6" width="12.5" style="183" customWidth="1"/>
    <col min="7" max="7" width="12.83203125" style="52" customWidth="1"/>
    <col min="8" max="8" width="12.83203125" style="183" customWidth="1"/>
    <col min="9" max="9" width="18.83203125" style="52" customWidth="1"/>
    <col min="10" max="10" width="15" style="52" customWidth="1"/>
    <col min="11" max="11" width="12.6640625" style="52" bestFit="1" customWidth="1"/>
    <col min="12" max="12" width="4.83203125" style="52" customWidth="1"/>
    <col min="13" max="13" width="39.1640625" style="52" customWidth="1"/>
    <col min="14" max="14" width="20.83203125" style="52" customWidth="1"/>
    <col min="15" max="15" width="25.1640625" style="52" customWidth="1"/>
    <col min="16" max="17" width="22.83203125" style="183" customWidth="1"/>
    <col min="18" max="18" width="23" style="52" customWidth="1"/>
    <col min="19" max="19" width="22.33203125" style="52" bestFit="1" customWidth="1"/>
    <col min="20" max="20" width="22.33203125" style="183" customWidth="1"/>
    <col min="21" max="21" width="13.6640625" style="52" customWidth="1"/>
    <col min="22" max="22" width="16.6640625" style="52" customWidth="1"/>
    <col min="23" max="23" width="25" style="183" customWidth="1"/>
    <col min="24" max="24" width="22.1640625" style="52" customWidth="1"/>
    <col min="25" max="26" width="15" style="52" customWidth="1"/>
    <col min="27" max="27" width="15.83203125" style="52" customWidth="1"/>
    <col min="28" max="28" width="4.83203125" style="52" customWidth="1"/>
    <col min="29" max="29" width="15.6640625" style="52" bestFit="1" customWidth="1"/>
    <col min="30" max="31" width="15.6640625" style="52" customWidth="1"/>
    <col min="32" max="32" width="19.33203125" style="52" customWidth="1"/>
    <col min="33" max="33" width="18.83203125" style="52" customWidth="1"/>
    <col min="34" max="34" width="15.6640625" style="52" customWidth="1"/>
    <col min="35" max="35" width="18.83203125" style="52" customWidth="1"/>
    <col min="36" max="36" width="18.83203125" style="8" customWidth="1"/>
    <col min="37" max="38" width="18.83203125" style="52" customWidth="1"/>
    <col min="39" max="41" width="13.83203125" style="52" customWidth="1"/>
    <col min="42" max="42" width="12.83203125" style="52" customWidth="1"/>
    <col min="43" max="43" width="15.6640625" style="52" customWidth="1"/>
    <col min="44" max="44" width="19" style="52" customWidth="1"/>
    <col min="45" max="46" width="16.1640625" style="52" customWidth="1"/>
    <col min="47" max="47" width="45.83203125" style="52" customWidth="1"/>
    <col min="48" max="48" width="6.6640625" style="52" bestFit="1" customWidth="1"/>
    <col min="49" max="49" width="13.33203125" style="52" customWidth="1"/>
    <col min="50" max="50" width="15.1640625" style="52" customWidth="1"/>
    <col min="51" max="52" width="8.6640625" style="52" bestFit="1" customWidth="1"/>
    <col min="53" max="53" width="13.33203125" style="52" customWidth="1"/>
    <col min="54" max="65" width="7.5" style="52" bestFit="1" customWidth="1"/>
    <col min="66" max="66" width="43.1640625" style="52" customWidth="1"/>
    <col min="67" max="16384" width="10.83203125" style="52"/>
  </cols>
  <sheetData>
    <row r="1" spans="1:54" s="2" customFormat="1" ht="21" x14ac:dyDescent="0.25">
      <c r="A1" s="47" t="s">
        <v>75</v>
      </c>
      <c r="B1" s="12" t="s">
        <v>146</v>
      </c>
      <c r="D1" s="12" t="s">
        <v>2475</v>
      </c>
      <c r="E1" s="15"/>
      <c r="F1" s="15"/>
      <c r="G1" s="15"/>
      <c r="H1" s="15"/>
      <c r="K1" s="4"/>
      <c r="L1" s="9"/>
      <c r="M1" s="12" t="s">
        <v>2476</v>
      </c>
      <c r="N1" s="35"/>
      <c r="P1" s="35"/>
      <c r="Q1" s="35"/>
      <c r="R1" s="35"/>
      <c r="Y1" s="15"/>
      <c r="Z1" s="15"/>
      <c r="AC1" s="12" t="s">
        <v>2477</v>
      </c>
      <c r="AD1" s="74">
        <v>1.77E-2</v>
      </c>
      <c r="AE1" s="58">
        <v>1.06</v>
      </c>
      <c r="AF1" s="58"/>
      <c r="AG1" s="74"/>
      <c r="AH1" s="74">
        <v>7.0000000000000007E-2</v>
      </c>
      <c r="AI1" s="2">
        <v>70</v>
      </c>
      <c r="AJ1" s="46"/>
    </row>
    <row r="2" spans="1:54" s="5" customFormat="1" ht="60" x14ac:dyDescent="0.2">
      <c r="B2" s="13" t="s">
        <v>148</v>
      </c>
      <c r="C2" s="13" t="s">
        <v>14</v>
      </c>
      <c r="D2" s="13" t="s">
        <v>204</v>
      </c>
      <c r="E2" s="13" t="s">
        <v>17</v>
      </c>
      <c r="F2" s="13" t="s">
        <v>2235</v>
      </c>
      <c r="G2" s="13" t="s">
        <v>2236</v>
      </c>
      <c r="H2" s="13" t="s">
        <v>347</v>
      </c>
      <c r="I2" s="13" t="s">
        <v>2447</v>
      </c>
      <c r="J2" s="13" t="s">
        <v>149</v>
      </c>
      <c r="K2" s="13" t="s">
        <v>18</v>
      </c>
      <c r="L2" s="1"/>
      <c r="M2" s="13" t="s">
        <v>150</v>
      </c>
      <c r="N2" s="13" t="s">
        <v>2478</v>
      </c>
      <c r="O2" s="13" t="s">
        <v>22</v>
      </c>
      <c r="P2" s="13" t="s">
        <v>15</v>
      </c>
      <c r="Q2" s="13" t="s">
        <v>16</v>
      </c>
      <c r="R2" s="13" t="s">
        <v>2227</v>
      </c>
      <c r="S2" s="13" t="s">
        <v>2231</v>
      </c>
      <c r="T2" s="13" t="s">
        <v>2232</v>
      </c>
      <c r="U2" s="13" t="s">
        <v>2233</v>
      </c>
      <c r="V2" s="13" t="s">
        <v>328</v>
      </c>
      <c r="W2" s="13" t="s">
        <v>204</v>
      </c>
      <c r="X2" s="13" t="s">
        <v>2234</v>
      </c>
      <c r="Y2" s="13" t="s">
        <v>151</v>
      </c>
      <c r="Z2" s="13" t="s">
        <v>152</v>
      </c>
      <c r="AA2" s="13" t="s">
        <v>153</v>
      </c>
      <c r="AB2" s="10"/>
      <c r="AC2" s="13" t="s">
        <v>330</v>
      </c>
      <c r="AD2" s="13" t="s">
        <v>154</v>
      </c>
      <c r="AE2" s="13" t="s">
        <v>155</v>
      </c>
      <c r="AF2" s="13" t="s">
        <v>327</v>
      </c>
      <c r="AG2" s="13" t="s">
        <v>156</v>
      </c>
      <c r="AH2" s="13" t="s">
        <v>488</v>
      </c>
      <c r="AI2" s="13" t="s">
        <v>203</v>
      </c>
      <c r="AJ2" s="13" t="s">
        <v>452</v>
      </c>
      <c r="AK2" s="13" t="s">
        <v>486</v>
      </c>
      <c r="AL2" s="13" t="s">
        <v>487</v>
      </c>
      <c r="AM2" s="13" t="s">
        <v>157</v>
      </c>
      <c r="AN2" s="13" t="s">
        <v>450</v>
      </c>
      <c r="AO2" s="13" t="s">
        <v>451</v>
      </c>
      <c r="AP2" s="13" t="s">
        <v>158</v>
      </c>
      <c r="AQ2" s="13" t="s">
        <v>159</v>
      </c>
      <c r="AR2" s="13" t="s">
        <v>160</v>
      </c>
      <c r="AS2" s="13" t="s">
        <v>161</v>
      </c>
      <c r="AT2" s="13" t="s">
        <v>162</v>
      </c>
      <c r="AU2" s="13" t="s">
        <v>32</v>
      </c>
    </row>
    <row r="3" spans="1:54" s="3" customFormat="1" ht="20" x14ac:dyDescent="0.2">
      <c r="B3" s="10"/>
      <c r="C3" s="10"/>
      <c r="D3" s="10"/>
      <c r="E3" s="10" t="s">
        <v>20</v>
      </c>
      <c r="F3" s="10" t="s">
        <v>26</v>
      </c>
      <c r="G3" s="10" t="s">
        <v>20</v>
      </c>
      <c r="H3" s="10" t="s">
        <v>26</v>
      </c>
      <c r="I3" s="10" t="s">
        <v>21</v>
      </c>
      <c r="J3" s="10"/>
      <c r="K3" s="10"/>
      <c r="L3" s="75"/>
      <c r="M3" s="10"/>
      <c r="N3" s="10"/>
      <c r="O3" s="10"/>
      <c r="P3" s="10"/>
      <c r="Q3" s="10"/>
      <c r="R3" s="10"/>
      <c r="S3" s="10"/>
      <c r="T3" s="10"/>
      <c r="U3" s="10"/>
      <c r="V3" s="10" t="s">
        <v>51</v>
      </c>
      <c r="W3" s="10"/>
      <c r="X3" s="10"/>
      <c r="Y3" s="10" t="s">
        <v>20</v>
      </c>
      <c r="Z3" s="10" t="s">
        <v>20</v>
      </c>
      <c r="AA3" s="10" t="s">
        <v>21</v>
      </c>
      <c r="AB3" s="10"/>
      <c r="AC3" s="10" t="s">
        <v>170</v>
      </c>
      <c r="AD3" s="10" t="s">
        <v>170</v>
      </c>
      <c r="AE3" s="10" t="s">
        <v>170</v>
      </c>
      <c r="AF3" s="10" t="s">
        <v>170</v>
      </c>
      <c r="AG3" s="10" t="s">
        <v>170</v>
      </c>
      <c r="AH3" s="10" t="s">
        <v>170</v>
      </c>
      <c r="AI3" s="10" t="s">
        <v>200</v>
      </c>
      <c r="AJ3" s="10" t="s">
        <v>164</v>
      </c>
      <c r="AK3" s="10" t="s">
        <v>114</v>
      </c>
      <c r="AL3" s="10" t="s">
        <v>114</v>
      </c>
      <c r="AM3" s="10" t="s">
        <v>479</v>
      </c>
      <c r="AN3" s="10" t="s">
        <v>24</v>
      </c>
      <c r="AO3" s="10" t="s">
        <v>24</v>
      </c>
      <c r="AP3" s="10" t="s">
        <v>24</v>
      </c>
      <c r="AQ3" s="10" t="s">
        <v>164</v>
      </c>
      <c r="AR3" s="10" t="s">
        <v>24</v>
      </c>
      <c r="AS3" s="10" t="s">
        <v>165</v>
      </c>
      <c r="AT3" s="10" t="s">
        <v>165</v>
      </c>
      <c r="AU3" s="10"/>
    </row>
    <row r="4" spans="1:54" s="78" customFormat="1" ht="20" x14ac:dyDescent="0.2">
      <c r="B4" s="79" t="s">
        <v>80</v>
      </c>
      <c r="C4" s="79" t="s">
        <v>168</v>
      </c>
      <c r="D4" s="69" t="s">
        <v>331</v>
      </c>
      <c r="E4" s="53">
        <v>362</v>
      </c>
      <c r="F4" s="242">
        <f>System!D$9</f>
        <v>0.24</v>
      </c>
      <c r="G4" s="53">
        <v>362</v>
      </c>
      <c r="H4" s="242">
        <f>System!$D$9</f>
        <v>0.24</v>
      </c>
      <c r="I4" s="248">
        <f t="shared" ref="I4" si="0">H4*E4*24*365/1000</f>
        <v>761.0687999999999</v>
      </c>
      <c r="J4" s="54">
        <v>2</v>
      </c>
      <c r="K4" s="62">
        <v>1966</v>
      </c>
      <c r="L4" s="80"/>
      <c r="M4" s="79" t="s">
        <v>178</v>
      </c>
      <c r="N4" s="22" t="s">
        <v>480</v>
      </c>
      <c r="O4" s="135" t="s">
        <v>244</v>
      </c>
      <c r="P4" s="118">
        <v>52.910127000000003</v>
      </c>
      <c r="Q4" s="118">
        <v>-115.3753924</v>
      </c>
      <c r="R4" s="22" t="s">
        <v>485</v>
      </c>
      <c r="S4" s="96" t="s">
        <v>1054</v>
      </c>
      <c r="T4" s="22" t="s">
        <v>2181</v>
      </c>
      <c r="U4" s="66">
        <v>13.8</v>
      </c>
      <c r="V4" s="93">
        <v>50</v>
      </c>
      <c r="W4" s="69" t="s">
        <v>141</v>
      </c>
      <c r="X4" s="22" t="s">
        <v>462</v>
      </c>
      <c r="Y4" s="88">
        <v>170</v>
      </c>
      <c r="Z4" s="88">
        <v>170</v>
      </c>
      <c r="AA4" s="68">
        <v>0</v>
      </c>
      <c r="AB4" s="68"/>
      <c r="AC4" s="88">
        <v>500</v>
      </c>
      <c r="AD4" s="58">
        <f t="shared" ref="AD4" si="1">$AD$1*AC4</f>
        <v>8.85</v>
      </c>
      <c r="AE4" s="58">
        <f>((AC4+AD4)/AS4)*($AE$1+$AE$1^2+$AE$1^3+$AE$1^4+$AE$1^5)-(AC4+AD4)</f>
        <v>99.258167571552121</v>
      </c>
      <c r="AF4" s="58">
        <f>SUM(AC4:AE4)</f>
        <v>608.10816757155214</v>
      </c>
      <c r="AG4" s="58">
        <f>(0.9539*AF4^0.6784)/5</f>
        <v>14.763367951866604</v>
      </c>
      <c r="AH4" s="58">
        <f t="shared" ref="AH4" si="2">SUM(AF4:AG4)</f>
        <v>622.87153552341874</v>
      </c>
      <c r="AI4" s="58">
        <f>(AH4*AH$1)/(1-(1+AH$1)^-AI$1)</f>
        <v>43.986893335200882</v>
      </c>
      <c r="AJ4" s="58">
        <f>AI4*1000/Y4</f>
        <v>258.74643138353463</v>
      </c>
      <c r="AK4" s="58">
        <f>466484*(E4^-0.542)*E4</f>
        <v>6929873.0336386906</v>
      </c>
      <c r="AL4" s="58">
        <f>466484*((E4+Y4)^-0.542)*(E4+Y4)</f>
        <v>8266168.9982992634</v>
      </c>
      <c r="AM4" s="58">
        <f>(AL4-AK4)/Y4</f>
        <v>7860.5644980033694</v>
      </c>
      <c r="AN4" s="58">
        <f>14.07*(Y4^-0.383)</f>
        <v>1.9680320217970944</v>
      </c>
      <c r="AO4" s="58">
        <v>0</v>
      </c>
      <c r="AP4" s="68">
        <f>SUM(AN4:AO4)</f>
        <v>1.9680320217970944</v>
      </c>
      <c r="AQ4" s="68"/>
      <c r="AR4" s="68"/>
      <c r="AS4" s="93">
        <v>5</v>
      </c>
      <c r="AT4" s="93">
        <v>8</v>
      </c>
      <c r="AU4" s="87" t="s">
        <v>180</v>
      </c>
    </row>
    <row r="5" spans="1:54" s="78" customFormat="1" ht="19" x14ac:dyDescent="0.2">
      <c r="B5" s="79"/>
      <c r="C5" s="79"/>
      <c r="D5" s="67"/>
      <c r="E5" s="68"/>
      <c r="F5" s="68"/>
      <c r="G5" s="68"/>
      <c r="H5" s="68"/>
      <c r="I5" s="68"/>
      <c r="J5" s="34"/>
      <c r="K5" s="67"/>
      <c r="L5" s="80"/>
      <c r="M5" s="79"/>
      <c r="N5" s="79"/>
      <c r="O5" s="79"/>
      <c r="P5" s="79"/>
      <c r="Q5" s="79"/>
      <c r="R5" s="79"/>
      <c r="S5" s="79"/>
      <c r="T5" s="79"/>
      <c r="U5" s="68"/>
      <c r="V5" s="79"/>
      <c r="W5" s="67"/>
      <c r="X5" s="79"/>
      <c r="Y5" s="68"/>
      <c r="Z5" s="68"/>
      <c r="AA5" s="68"/>
      <c r="AB5" s="68"/>
      <c r="AC5" s="68"/>
      <c r="AD5" s="68"/>
      <c r="AE5" s="68"/>
      <c r="AF5" s="68"/>
      <c r="AG5" s="68"/>
      <c r="AH5" s="68"/>
      <c r="AI5" s="68"/>
      <c r="AJ5" s="68"/>
      <c r="AK5" s="68"/>
      <c r="AL5" s="68"/>
      <c r="AM5" s="68"/>
      <c r="AN5" s="68"/>
      <c r="AO5" s="68"/>
      <c r="AP5" s="68"/>
      <c r="AQ5" s="68"/>
      <c r="AR5" s="68"/>
      <c r="AS5" s="81"/>
      <c r="AT5" s="81"/>
      <c r="AU5" s="79"/>
    </row>
    <row r="6" spans="1:54" s="78" customFormat="1" ht="19" x14ac:dyDescent="0.2">
      <c r="B6" s="79"/>
      <c r="C6" s="79"/>
      <c r="D6" s="67"/>
      <c r="E6" s="68"/>
      <c r="F6" s="68"/>
      <c r="G6" s="68"/>
      <c r="H6" s="68"/>
      <c r="I6" s="68"/>
      <c r="J6" s="37"/>
      <c r="K6" s="67"/>
      <c r="L6" s="80"/>
      <c r="M6" s="79"/>
      <c r="N6" s="79"/>
      <c r="O6" s="79"/>
      <c r="P6" s="79"/>
      <c r="Q6" s="79"/>
      <c r="R6" s="79"/>
      <c r="S6" s="79"/>
      <c r="T6" s="79"/>
      <c r="U6" s="68"/>
      <c r="V6" s="79"/>
      <c r="W6" s="67"/>
      <c r="X6" s="79"/>
      <c r="Y6" s="68"/>
      <c r="Z6" s="68"/>
      <c r="AA6" s="68"/>
      <c r="AB6" s="68"/>
      <c r="AC6" s="68"/>
      <c r="AD6" s="68"/>
      <c r="AE6" s="68"/>
      <c r="AF6" s="68"/>
      <c r="AG6" s="68"/>
      <c r="AH6" s="68"/>
      <c r="AI6" s="68"/>
      <c r="AJ6" s="68"/>
      <c r="AK6" s="68"/>
      <c r="AL6" s="68"/>
      <c r="AM6" s="68"/>
      <c r="AN6" s="68"/>
      <c r="AO6" s="68"/>
      <c r="AP6" s="68"/>
      <c r="AQ6" s="68"/>
      <c r="AR6" s="68"/>
      <c r="AS6" s="81"/>
      <c r="AT6" s="81"/>
      <c r="AU6" s="79"/>
    </row>
    <row r="7" spans="1:54" s="78" customFormat="1" ht="19" x14ac:dyDescent="0.2">
      <c r="B7" s="79"/>
      <c r="C7" s="79"/>
      <c r="D7" s="67"/>
      <c r="E7" s="68"/>
      <c r="F7" s="68"/>
      <c r="G7" s="68"/>
      <c r="H7" s="68"/>
      <c r="I7" s="68"/>
      <c r="J7" s="37"/>
      <c r="K7" s="67"/>
      <c r="L7" s="80"/>
      <c r="M7" s="79"/>
      <c r="N7" s="79"/>
      <c r="O7" s="79"/>
      <c r="P7" s="79"/>
      <c r="Q7" s="79"/>
      <c r="R7" s="79"/>
      <c r="S7" s="79"/>
      <c r="T7" s="79"/>
      <c r="U7" s="68"/>
      <c r="V7" s="79"/>
      <c r="W7" s="67"/>
      <c r="X7" s="79"/>
      <c r="Y7" s="68"/>
      <c r="Z7" s="68"/>
      <c r="AA7" s="68"/>
      <c r="AB7" s="68"/>
      <c r="AC7" s="68"/>
      <c r="AD7" s="68"/>
      <c r="AE7" s="68"/>
      <c r="AF7" s="68"/>
      <c r="AG7" s="68"/>
      <c r="AH7" s="68"/>
      <c r="AI7" s="68"/>
      <c r="AJ7" s="68"/>
      <c r="AK7" s="68"/>
      <c r="AL7" s="68"/>
      <c r="AM7" s="68"/>
      <c r="AN7" s="68"/>
      <c r="AO7" s="68"/>
      <c r="AP7" s="68"/>
      <c r="AQ7" s="68"/>
      <c r="AR7" s="68"/>
      <c r="AS7" s="81"/>
      <c r="AT7" s="81"/>
      <c r="AU7" s="79"/>
    </row>
    <row r="8" spans="1:54" s="2" customFormat="1" ht="19" x14ac:dyDescent="0.25">
      <c r="B8" s="76"/>
      <c r="C8" s="76"/>
      <c r="D8" s="77"/>
      <c r="E8" s="21"/>
      <c r="F8" s="21"/>
      <c r="G8" s="21"/>
      <c r="H8" s="21"/>
      <c r="K8" s="20"/>
      <c r="L8" s="9"/>
      <c r="O8" s="76"/>
      <c r="V8" s="76"/>
      <c r="W8" s="77"/>
      <c r="X8" s="76"/>
      <c r="AJ8" s="46"/>
    </row>
    <row r="9" spans="1:54" ht="19" x14ac:dyDescent="0.2">
      <c r="A9" s="35" t="s">
        <v>465</v>
      </c>
      <c r="AJ9" s="52"/>
    </row>
    <row r="10" spans="1:54" ht="19" x14ac:dyDescent="0.25">
      <c r="A10" s="2" t="s">
        <v>2453</v>
      </c>
      <c r="AJ10" s="52"/>
    </row>
    <row r="11" spans="1:54" ht="19" x14ac:dyDescent="0.25">
      <c r="A11" s="2" t="s">
        <v>473</v>
      </c>
      <c r="AJ11" s="52"/>
    </row>
    <row r="12" spans="1:54" s="2" customFormat="1" ht="19" x14ac:dyDescent="0.25">
      <c r="A12" s="2" t="s">
        <v>2454</v>
      </c>
      <c r="B12" s="7"/>
      <c r="C12" s="7"/>
      <c r="D12" s="7"/>
      <c r="E12" s="7"/>
      <c r="F12" s="7"/>
      <c r="G12" s="7"/>
      <c r="H12" s="7"/>
      <c r="I12" s="7"/>
      <c r="J12" s="7"/>
      <c r="K12" s="19"/>
      <c r="L12" s="7"/>
      <c r="M12" s="7"/>
      <c r="N12" s="7"/>
      <c r="O12" s="7"/>
      <c r="P12" s="7"/>
      <c r="Q12" s="7"/>
      <c r="R12" s="7"/>
      <c r="S12" s="7"/>
      <c r="T12" s="7"/>
      <c r="U12" s="19"/>
      <c r="V12" s="7"/>
      <c r="W12" s="7"/>
      <c r="X12" s="7"/>
      <c r="Y12" s="48"/>
      <c r="Z12" s="48"/>
      <c r="AA12" s="48"/>
      <c r="AB12" s="48"/>
      <c r="AC12" s="48"/>
      <c r="AD12" s="48"/>
      <c r="AE12" s="48"/>
      <c r="AF12" s="48"/>
      <c r="AG12" s="52"/>
      <c r="AH12" s="52"/>
      <c r="AI12" s="52"/>
      <c r="AJ12" s="52"/>
      <c r="AK12" s="52"/>
      <c r="AL12" s="52"/>
      <c r="AM12" s="52"/>
      <c r="AN12" s="52"/>
      <c r="AO12" s="48"/>
      <c r="AP12" s="7"/>
      <c r="AQ12" s="7"/>
      <c r="AR12" s="7"/>
      <c r="AS12" s="7"/>
      <c r="AT12" s="7"/>
      <c r="AU12" s="7"/>
      <c r="AV12" s="7"/>
      <c r="AW12" s="7"/>
      <c r="AX12" s="7"/>
      <c r="AY12" s="7"/>
      <c r="AZ12" s="7"/>
      <c r="BA12" s="7"/>
      <c r="BB12" s="7"/>
    </row>
    <row r="13" spans="1:54" s="2" customFormat="1" ht="19" x14ac:dyDescent="0.25">
      <c r="A13" s="2" t="s">
        <v>329</v>
      </c>
      <c r="B13" s="52"/>
      <c r="C13" s="52"/>
      <c r="D13" s="7"/>
      <c r="L13" s="52"/>
      <c r="M13" s="52"/>
      <c r="N13" s="4"/>
      <c r="P13" s="4"/>
      <c r="Q13" s="4"/>
      <c r="R13" s="52"/>
      <c r="V13" s="4"/>
      <c r="W13" s="7"/>
      <c r="X13" s="52"/>
      <c r="Y13" s="52"/>
      <c r="Z13" s="52"/>
      <c r="AA13" s="52"/>
      <c r="AB13" s="52"/>
      <c r="AC13" s="52"/>
    </row>
    <row r="14" spans="1:54" s="2" customFormat="1" ht="19" x14ac:dyDescent="0.25">
      <c r="A14" s="2" t="s">
        <v>474</v>
      </c>
      <c r="B14" s="52"/>
      <c r="C14" s="52"/>
      <c r="J14" s="52"/>
      <c r="L14" s="52"/>
      <c r="M14" s="52"/>
      <c r="N14" s="7"/>
      <c r="P14" s="7"/>
      <c r="Q14" s="7"/>
      <c r="R14" s="52"/>
      <c r="V14" s="7"/>
      <c r="X14" s="52"/>
      <c r="Y14" s="52"/>
      <c r="Z14" s="52"/>
      <c r="AA14" s="52"/>
      <c r="AG14" s="52"/>
      <c r="AH14" s="52"/>
      <c r="AI14" s="52"/>
      <c r="AJ14" s="52"/>
      <c r="AK14" s="52"/>
      <c r="AL14" s="52"/>
      <c r="AM14" s="52"/>
      <c r="AN14" s="52"/>
    </row>
    <row r="15" spans="1:54" s="2" customFormat="1" ht="19" x14ac:dyDescent="0.25">
      <c r="A15" s="2" t="s">
        <v>475</v>
      </c>
      <c r="B15" s="52"/>
      <c r="G15" s="52"/>
      <c r="H15" s="183"/>
      <c r="I15" s="52"/>
      <c r="J15" s="52"/>
      <c r="K15" s="7"/>
      <c r="L15" s="52"/>
      <c r="M15" s="52"/>
      <c r="U15" s="14"/>
      <c r="X15" s="52"/>
      <c r="Y15" s="52"/>
    </row>
    <row r="16" spans="1:54" s="2" customFormat="1" ht="19" x14ac:dyDescent="0.25">
      <c r="A16" s="2" t="s">
        <v>476</v>
      </c>
      <c r="B16" s="52"/>
      <c r="C16" s="52"/>
      <c r="D16" s="7"/>
      <c r="L16" s="52"/>
      <c r="M16" s="52"/>
      <c r="N16" s="4"/>
      <c r="P16" s="4"/>
      <c r="Q16" s="4"/>
      <c r="R16" s="52"/>
      <c r="V16" s="4"/>
      <c r="W16" s="7"/>
      <c r="X16" s="52"/>
      <c r="Y16" s="52"/>
      <c r="Z16" s="52"/>
      <c r="AA16" s="52"/>
      <c r="AB16" s="52"/>
      <c r="AJ16" s="52"/>
    </row>
    <row r="17" spans="1:68" s="2" customFormat="1" ht="19" x14ac:dyDescent="0.25">
      <c r="A17" s="2" t="s">
        <v>477</v>
      </c>
      <c r="B17" s="52"/>
      <c r="G17" s="52"/>
      <c r="H17" s="183"/>
      <c r="I17" s="52"/>
      <c r="J17" s="52"/>
      <c r="K17" s="7"/>
      <c r="L17" s="52"/>
      <c r="M17" s="52"/>
      <c r="U17" s="14"/>
      <c r="X17" s="52"/>
      <c r="Y17" s="52"/>
    </row>
    <row r="18" spans="1:68" s="2" customFormat="1" ht="19" x14ac:dyDescent="0.25">
      <c r="A18" s="2" t="s">
        <v>478</v>
      </c>
      <c r="B18" s="52"/>
      <c r="G18" s="52"/>
      <c r="H18" s="183"/>
      <c r="I18" s="52"/>
      <c r="J18" s="52"/>
      <c r="K18" s="7"/>
      <c r="L18" s="52"/>
      <c r="M18" s="52"/>
      <c r="U18" s="14"/>
      <c r="X18" s="52"/>
      <c r="Y18" s="52"/>
    </row>
    <row r="19" spans="1:68" s="2" customFormat="1" ht="19" x14ac:dyDescent="0.25">
      <c r="A19" s="2" t="s">
        <v>469</v>
      </c>
      <c r="D19" s="4"/>
      <c r="E19" s="7"/>
      <c r="F19" s="7"/>
      <c r="I19" s="52"/>
      <c r="N19" s="14"/>
      <c r="P19" s="14"/>
      <c r="Q19" s="14"/>
      <c r="R19" s="52"/>
      <c r="V19" s="14"/>
      <c r="W19" s="4"/>
      <c r="X19" s="52"/>
      <c r="Y19" s="52"/>
      <c r="Z19" s="52"/>
      <c r="AA19" s="52"/>
      <c r="AG19" s="105"/>
      <c r="AH19" s="52"/>
      <c r="AI19" s="52"/>
      <c r="AJ19" s="52"/>
      <c r="AK19" s="52"/>
      <c r="AL19" s="52"/>
      <c r="AM19" s="52"/>
      <c r="AN19" s="103"/>
      <c r="AO19" s="52"/>
      <c r="AP19" s="52"/>
      <c r="AV19" s="105"/>
      <c r="AW19" s="52"/>
      <c r="AX19" s="52"/>
      <c r="AY19" s="52"/>
      <c r="AZ19" s="52"/>
      <c r="BA19" s="103"/>
      <c r="BB19" s="52"/>
      <c r="BC19" s="52"/>
      <c r="BI19" s="105"/>
      <c r="BJ19" s="52"/>
      <c r="BK19" s="52"/>
      <c r="BL19" s="52"/>
      <c r="BM19" s="52"/>
      <c r="BN19" s="103"/>
      <c r="BO19" s="52"/>
      <c r="BP19" s="52"/>
    </row>
    <row r="20" spans="1:68" s="2" customFormat="1" ht="19" x14ac:dyDescent="0.25">
      <c r="D20" s="4"/>
      <c r="E20" s="4"/>
      <c r="F20" s="4"/>
      <c r="K20" s="4"/>
      <c r="M20" s="9"/>
      <c r="W20" s="4"/>
      <c r="AN20" s="52"/>
    </row>
    <row r="21" spans="1:68" s="2" customFormat="1" ht="19" x14ac:dyDescent="0.25">
      <c r="D21" s="4"/>
      <c r="K21" s="4"/>
      <c r="L21" s="9"/>
      <c r="W21" s="4"/>
      <c r="AJ21" s="46"/>
    </row>
  </sheetData>
  <autoFilter ref="B3:AU3" xr:uid="{48223100-C7B4-9449-AFA9-19E2BA6219F8}"/>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3C968-D4B1-BD4C-8CA3-2C70458FF4C4}">
  <sheetPr codeName="Sheet6"/>
  <dimension ref="A1:BM19"/>
  <sheetViews>
    <sheetView workbookViewId="0">
      <pane xSplit="2" ySplit="3" topLeftCell="F4" activePane="bottomRight" state="frozen"/>
      <selection activeCell="D4" sqref="D4"/>
      <selection pane="topRight" activeCell="D4" sqref="D4"/>
      <selection pane="bottomLeft" activeCell="D4" sqref="D4"/>
      <selection pane="bottomRight" activeCell="D4" sqref="D4"/>
    </sheetView>
  </sheetViews>
  <sheetFormatPr baseColWidth="10" defaultRowHeight="16" x14ac:dyDescent="0.2"/>
  <cols>
    <col min="1" max="1" width="4.83203125" style="52" customWidth="1"/>
    <col min="2" max="2" width="52" style="52" customWidth="1"/>
    <col min="3" max="3" width="29.33203125" style="52" customWidth="1"/>
    <col min="4" max="4" width="32.33203125" style="52" customWidth="1"/>
    <col min="5" max="8" width="25.1640625" style="52" customWidth="1"/>
    <col min="9" max="9" width="16.83203125" style="52" customWidth="1"/>
    <col min="10" max="10" width="31" style="52" customWidth="1"/>
    <col min="11" max="11" width="31" style="183" customWidth="1"/>
    <col min="12" max="12" width="13.6640625" style="52" customWidth="1"/>
    <col min="13" max="13" width="4.83203125" style="52" customWidth="1"/>
    <col min="14" max="15" width="25" style="52" customWidth="1"/>
    <col min="16" max="16" width="12.5" style="52" bestFit="1" customWidth="1"/>
    <col min="17" max="17" width="12.83203125" style="52" customWidth="1"/>
    <col min="18" max="19" width="19" style="52" customWidth="1"/>
    <col min="20" max="20" width="4.83203125" style="52" customWidth="1"/>
    <col min="21" max="29" width="21.1640625" style="52" customWidth="1"/>
    <col min="30" max="32" width="16.6640625" style="52" customWidth="1"/>
    <col min="33" max="33" width="18.5" style="52" customWidth="1"/>
    <col min="34" max="34" width="18.83203125" style="52" customWidth="1"/>
    <col min="35" max="35" width="19" style="52" customWidth="1"/>
    <col min="36" max="36" width="19.33203125" style="52" customWidth="1"/>
    <col min="37" max="37" width="17" style="52" customWidth="1"/>
    <col min="38" max="38" width="43.6640625" style="52" customWidth="1"/>
    <col min="39" max="39" width="15.1640625" style="52" customWidth="1"/>
    <col min="40" max="41" width="7.5" style="52" bestFit="1" customWidth="1"/>
    <col min="42" max="42" width="43.1640625" style="52" customWidth="1"/>
    <col min="43" max="16384" width="10.83203125" style="52"/>
  </cols>
  <sheetData>
    <row r="1" spans="1:51" s="2" customFormat="1" ht="21" x14ac:dyDescent="0.25">
      <c r="A1" s="47" t="s">
        <v>75</v>
      </c>
      <c r="B1" s="12" t="s">
        <v>173</v>
      </c>
      <c r="C1" s="12"/>
      <c r="M1" s="14"/>
      <c r="N1" s="35" t="s">
        <v>29</v>
      </c>
      <c r="O1" s="35"/>
      <c r="P1" s="15"/>
      <c r="Q1" s="15"/>
      <c r="U1" s="35" t="s">
        <v>147</v>
      </c>
      <c r="W1" s="74">
        <v>1.77E-2</v>
      </c>
      <c r="X1" s="58">
        <v>1.06</v>
      </c>
      <c r="Y1" s="58"/>
      <c r="Z1" s="74">
        <v>0.05</v>
      </c>
      <c r="AA1" s="74">
        <v>7.0000000000000007E-2</v>
      </c>
      <c r="AB1" s="2">
        <v>70</v>
      </c>
    </row>
    <row r="2" spans="1:51" s="5" customFormat="1" ht="40" x14ac:dyDescent="0.2">
      <c r="B2" s="13" t="s">
        <v>19</v>
      </c>
      <c r="C2" s="13" t="s">
        <v>202</v>
      </c>
      <c r="D2" s="13" t="s">
        <v>14</v>
      </c>
      <c r="E2" s="13" t="s">
        <v>22</v>
      </c>
      <c r="F2" s="13" t="s">
        <v>15</v>
      </c>
      <c r="G2" s="13" t="s">
        <v>16</v>
      </c>
      <c r="H2" s="13" t="s">
        <v>484</v>
      </c>
      <c r="I2" s="13" t="s">
        <v>328</v>
      </c>
      <c r="J2" s="13" t="s">
        <v>2231</v>
      </c>
      <c r="K2" s="13" t="s">
        <v>2232</v>
      </c>
      <c r="L2" s="13" t="s">
        <v>112</v>
      </c>
      <c r="M2" s="1"/>
      <c r="N2" s="13" t="s">
        <v>204</v>
      </c>
      <c r="O2" s="13" t="s">
        <v>483</v>
      </c>
      <c r="P2" s="13" t="s">
        <v>17</v>
      </c>
      <c r="Q2" s="13" t="s">
        <v>38</v>
      </c>
      <c r="R2" s="13" t="s">
        <v>172</v>
      </c>
      <c r="S2" s="13" t="s">
        <v>31</v>
      </c>
      <c r="T2" s="13"/>
      <c r="U2" s="13" t="s">
        <v>330</v>
      </c>
      <c r="V2" s="13" t="s">
        <v>330</v>
      </c>
      <c r="W2" s="13" t="s">
        <v>154</v>
      </c>
      <c r="X2" s="13" t="s">
        <v>155</v>
      </c>
      <c r="Y2" s="13" t="s">
        <v>327</v>
      </c>
      <c r="Z2" s="13" t="s">
        <v>156</v>
      </c>
      <c r="AA2" s="13" t="s">
        <v>488</v>
      </c>
      <c r="AB2" s="13" t="s">
        <v>203</v>
      </c>
      <c r="AC2" s="13" t="s">
        <v>452</v>
      </c>
      <c r="AD2" s="13" t="s">
        <v>157</v>
      </c>
      <c r="AE2" s="13" t="s">
        <v>450</v>
      </c>
      <c r="AF2" s="13" t="s">
        <v>451</v>
      </c>
      <c r="AG2" s="13" t="s">
        <v>158</v>
      </c>
      <c r="AH2" s="57" t="s">
        <v>159</v>
      </c>
      <c r="AI2" s="57" t="s">
        <v>160</v>
      </c>
      <c r="AJ2" s="13" t="s">
        <v>161</v>
      </c>
      <c r="AK2" s="13" t="s">
        <v>162</v>
      </c>
      <c r="AL2" s="13" t="s">
        <v>32</v>
      </c>
    </row>
    <row r="3" spans="1:51" s="3" customFormat="1" ht="20" x14ac:dyDescent="0.2">
      <c r="B3" s="10"/>
      <c r="C3" s="10"/>
      <c r="D3" s="10"/>
      <c r="E3" s="10"/>
      <c r="F3" s="10"/>
      <c r="G3" s="10"/>
      <c r="H3" s="10"/>
      <c r="I3" s="10"/>
      <c r="J3" s="10"/>
      <c r="K3" s="10"/>
      <c r="L3" s="10" t="s">
        <v>49</v>
      </c>
      <c r="M3" s="16"/>
      <c r="N3" s="10"/>
      <c r="O3" s="10"/>
      <c r="P3" s="10" t="s">
        <v>20</v>
      </c>
      <c r="Q3" s="10" t="s">
        <v>20</v>
      </c>
      <c r="R3" s="10" t="s">
        <v>21</v>
      </c>
      <c r="S3" s="10"/>
      <c r="T3" s="10"/>
      <c r="U3" s="10" t="s">
        <v>171</v>
      </c>
      <c r="V3" s="10" t="s">
        <v>170</v>
      </c>
      <c r="W3" s="10" t="s">
        <v>170</v>
      </c>
      <c r="X3" s="10" t="s">
        <v>170</v>
      </c>
      <c r="Y3" s="10" t="s">
        <v>170</v>
      </c>
      <c r="Z3" s="10" t="s">
        <v>170</v>
      </c>
      <c r="AA3" s="10" t="s">
        <v>170</v>
      </c>
      <c r="AB3" s="10" t="s">
        <v>200</v>
      </c>
      <c r="AC3" s="10" t="s">
        <v>164</v>
      </c>
      <c r="AD3" s="10" t="s">
        <v>479</v>
      </c>
      <c r="AE3" s="10" t="s">
        <v>24</v>
      </c>
      <c r="AF3" s="10" t="s">
        <v>24</v>
      </c>
      <c r="AG3" s="10" t="s">
        <v>24</v>
      </c>
      <c r="AH3" s="10" t="s">
        <v>164</v>
      </c>
      <c r="AI3" s="10" t="s">
        <v>24</v>
      </c>
      <c r="AJ3" s="10" t="s">
        <v>165</v>
      </c>
      <c r="AK3" s="10" t="s">
        <v>165</v>
      </c>
      <c r="AL3" s="10"/>
    </row>
    <row r="4" spans="1:51" s="86" customFormat="1" ht="20" x14ac:dyDescent="0.2">
      <c r="B4" s="79" t="s">
        <v>175</v>
      </c>
      <c r="C4" s="79" t="s">
        <v>481</v>
      </c>
      <c r="D4" s="79" t="s">
        <v>144</v>
      </c>
      <c r="E4" s="79" t="s">
        <v>176</v>
      </c>
      <c r="F4" s="124">
        <v>59.9821207558997</v>
      </c>
      <c r="G4" s="124">
        <v>-111.786871028297</v>
      </c>
      <c r="H4" s="22" t="s">
        <v>485</v>
      </c>
      <c r="I4" s="95">
        <v>350</v>
      </c>
      <c r="J4" s="96" t="s">
        <v>667</v>
      </c>
      <c r="K4" s="22" t="s">
        <v>2095</v>
      </c>
      <c r="L4" s="96">
        <v>500</v>
      </c>
      <c r="M4" s="80"/>
      <c r="N4" s="22" t="s">
        <v>462</v>
      </c>
      <c r="O4" s="22" t="s">
        <v>462</v>
      </c>
      <c r="P4" s="88">
        <v>1100</v>
      </c>
      <c r="Q4" s="88">
        <v>1100</v>
      </c>
      <c r="R4" s="88">
        <v>6500</v>
      </c>
      <c r="S4" s="93">
        <v>6</v>
      </c>
      <c r="T4" s="68"/>
      <c r="U4" s="68" t="s">
        <v>115</v>
      </c>
      <c r="V4" s="93">
        <v>7000</v>
      </c>
      <c r="W4" s="58">
        <f>W$1*V4</f>
        <v>123.9</v>
      </c>
      <c r="X4" s="58">
        <f>((V4+W4)/AJ4)*(X$1+X$1^2+X$1^3+X$1^4+X$1^5+X$1^6+X$1^7)-(V4+W4)</f>
        <v>799.18395447971579</v>
      </c>
      <c r="Y4" s="58">
        <f t="shared" ref="Y4" si="0">SUM(V4:X4)</f>
        <v>7923.0839544797154</v>
      </c>
      <c r="Z4" s="58">
        <f>0.9539*Y4^0.6784</f>
        <v>421.22361723465667</v>
      </c>
      <c r="AA4" s="58">
        <f t="shared" ref="AA4" si="1">SUM(Y4:Z4)</f>
        <v>8344.3075717143729</v>
      </c>
      <c r="AB4" s="58">
        <f>(AA4*AA$1)/(1-(1+AA$1)^-AB$1)</f>
        <v>589.27105539455056</v>
      </c>
      <c r="AC4" s="58">
        <f>AB4*1000/P4</f>
        <v>535.70095944959144</v>
      </c>
      <c r="AD4" s="58">
        <f>466484*P4^-0.542</f>
        <v>10480.980598485299</v>
      </c>
      <c r="AE4" s="58">
        <f>14.07*(P4^-0.383)</f>
        <v>0.96258856680970428</v>
      </c>
      <c r="AF4" s="58">
        <v>0</v>
      </c>
      <c r="AG4" s="68">
        <f>SUM(AE4:AF4)</f>
        <v>0.96258856680970428</v>
      </c>
      <c r="AH4" s="68"/>
      <c r="AI4" s="68"/>
      <c r="AJ4" s="93">
        <v>8</v>
      </c>
      <c r="AK4" s="93">
        <v>15</v>
      </c>
      <c r="AL4" s="79"/>
    </row>
    <row r="5" spans="1:51" s="86" customFormat="1" ht="20" x14ac:dyDescent="0.2">
      <c r="B5" s="79" t="s">
        <v>177</v>
      </c>
      <c r="C5" s="79" t="s">
        <v>482</v>
      </c>
      <c r="D5" s="79" t="s">
        <v>179</v>
      </c>
      <c r="E5" s="79" t="s">
        <v>166</v>
      </c>
      <c r="F5" s="124">
        <v>55.9681926496486</v>
      </c>
      <c r="G5" s="124">
        <v>-118.80698720149501</v>
      </c>
      <c r="H5" s="22" t="s">
        <v>485</v>
      </c>
      <c r="I5" s="93">
        <v>100</v>
      </c>
      <c r="J5" s="96" t="s">
        <v>817</v>
      </c>
      <c r="K5" s="22" t="s">
        <v>2158</v>
      </c>
      <c r="L5" s="67">
        <v>240</v>
      </c>
      <c r="M5" s="80"/>
      <c r="N5" s="22" t="s">
        <v>462</v>
      </c>
      <c r="O5" s="22" t="s">
        <v>462</v>
      </c>
      <c r="P5" s="89">
        <v>370</v>
      </c>
      <c r="Q5" s="89">
        <v>370</v>
      </c>
      <c r="R5" s="89">
        <v>2588</v>
      </c>
      <c r="S5" s="97">
        <v>22</v>
      </c>
      <c r="T5" s="68"/>
      <c r="U5" s="68" t="s">
        <v>115</v>
      </c>
      <c r="V5" s="93">
        <v>1700</v>
      </c>
      <c r="W5" s="58">
        <f>W$1*V5</f>
        <v>30.09</v>
      </c>
      <c r="X5" s="58">
        <f>((V5+W5)/AJ5)*(X$1+X$1^2+X$1^3+X$1^4+X$1^5+X$1^6+X$1^7)-(V5+W5)</f>
        <v>468.97003634539055</v>
      </c>
      <c r="Y5" s="58">
        <f t="shared" ref="Y5" si="2">SUM(V5:X5)</f>
        <v>2199.0600363453905</v>
      </c>
      <c r="Z5" s="58">
        <f>0.9539*Y5^0.6784</f>
        <v>176.55356365865731</v>
      </c>
      <c r="AA5" s="89">
        <f t="shared" ref="AA5" si="3">SUM(Y5:Z5)</f>
        <v>2375.6136000040478</v>
      </c>
      <c r="AB5" s="58">
        <f>(AA5*AA$1)/(1-(1+AA$1)^-AB$1)</f>
        <v>167.76470920479525</v>
      </c>
      <c r="AC5" s="58">
        <f>AB5*1000/P5</f>
        <v>453.41813298593308</v>
      </c>
      <c r="AD5" s="58">
        <f t="shared" ref="AD5" si="4">466484*P5^-0.542</f>
        <v>18917.834333694376</v>
      </c>
      <c r="AE5" s="58">
        <f>14.07*(P5^-0.383)</f>
        <v>1.4610761013786207</v>
      </c>
      <c r="AF5" s="58">
        <v>0</v>
      </c>
      <c r="AG5" s="68">
        <f>SUM(AE5:AF5)</f>
        <v>1.4610761013786207</v>
      </c>
      <c r="AH5" s="68"/>
      <c r="AI5" s="68"/>
      <c r="AJ5" s="93">
        <v>7</v>
      </c>
      <c r="AK5" s="93">
        <v>13</v>
      </c>
      <c r="AL5" s="79"/>
    </row>
    <row r="6" spans="1:51" s="86" customFormat="1" ht="19" x14ac:dyDescent="0.2">
      <c r="B6" s="79"/>
      <c r="C6" s="79"/>
      <c r="D6" s="79"/>
      <c r="E6" s="79"/>
      <c r="F6" s="79"/>
      <c r="G6" s="79"/>
      <c r="H6" s="79"/>
      <c r="I6" s="79"/>
      <c r="J6" s="67"/>
      <c r="K6" s="67"/>
      <c r="L6" s="67"/>
      <c r="M6" s="80"/>
      <c r="N6" s="79"/>
      <c r="O6" s="79"/>
      <c r="P6" s="68"/>
      <c r="Q6" s="68"/>
      <c r="R6" s="68"/>
      <c r="S6" s="68"/>
      <c r="T6" s="68"/>
      <c r="U6" s="68"/>
      <c r="V6" s="68"/>
      <c r="W6" s="68"/>
      <c r="X6" s="68"/>
      <c r="Y6" s="68"/>
      <c r="Z6" s="68"/>
      <c r="AA6" s="68"/>
      <c r="AB6" s="68"/>
      <c r="AC6" s="68"/>
      <c r="AD6" s="68"/>
      <c r="AE6" s="68"/>
      <c r="AF6" s="68"/>
      <c r="AG6" s="68"/>
      <c r="AH6" s="68"/>
      <c r="AI6" s="68"/>
      <c r="AJ6" s="67"/>
      <c r="AK6" s="67"/>
      <c r="AL6" s="79"/>
    </row>
    <row r="7" spans="1:51" ht="19" x14ac:dyDescent="0.25">
      <c r="A7" s="85"/>
      <c r="U7" s="2"/>
      <c r="V7" s="2"/>
      <c r="W7" s="2"/>
      <c r="X7" s="2"/>
      <c r="Y7" s="2"/>
      <c r="Z7" s="2"/>
      <c r="AA7" s="2"/>
      <c r="AB7" s="2"/>
      <c r="AC7" s="2"/>
    </row>
    <row r="8" spans="1:51" ht="19" x14ac:dyDescent="0.2">
      <c r="A8" s="35" t="s">
        <v>465</v>
      </c>
    </row>
    <row r="9" spans="1:51" ht="19" x14ac:dyDescent="0.25">
      <c r="A9" s="2" t="s">
        <v>2453</v>
      </c>
    </row>
    <row r="10" spans="1:51" ht="19" x14ac:dyDescent="0.25">
      <c r="A10" s="2" t="s">
        <v>473</v>
      </c>
    </row>
    <row r="11" spans="1:51" s="2" customFormat="1" ht="19" x14ac:dyDescent="0.25">
      <c r="A11" s="2" t="s">
        <v>2454</v>
      </c>
      <c r="B11" s="7"/>
      <c r="C11" s="7"/>
      <c r="D11" s="7"/>
      <c r="E11" s="7"/>
      <c r="F11" s="7"/>
      <c r="G11" s="19"/>
      <c r="H11" s="19"/>
      <c r="I11" s="7"/>
      <c r="J11" s="7"/>
      <c r="K11" s="7"/>
      <c r="L11" s="7"/>
      <c r="M11" s="7"/>
      <c r="N11" s="7"/>
      <c r="O11" s="7"/>
      <c r="P11" s="7"/>
      <c r="Q11" s="7"/>
      <c r="R11" s="7"/>
      <c r="S11" s="7"/>
      <c r="T11" s="7"/>
      <c r="U11" s="7"/>
      <c r="V11" s="48"/>
      <c r="W11" s="48"/>
      <c r="X11" s="48"/>
      <c r="Y11" s="48"/>
      <c r="Z11" s="48"/>
      <c r="AA11" s="48"/>
      <c r="AB11" s="48"/>
      <c r="AC11" s="48"/>
      <c r="AD11" s="52"/>
      <c r="AE11" s="52"/>
      <c r="AF11" s="52"/>
      <c r="AG11" s="52"/>
      <c r="AH11" s="52"/>
      <c r="AI11" s="52"/>
      <c r="AJ11" s="52"/>
      <c r="AK11" s="52"/>
      <c r="AL11" s="48"/>
      <c r="AM11" s="7"/>
      <c r="AN11" s="7"/>
      <c r="AO11" s="7"/>
      <c r="AP11" s="7"/>
      <c r="AQ11" s="7"/>
      <c r="AR11" s="7"/>
      <c r="AS11" s="7"/>
      <c r="AT11" s="7"/>
      <c r="AU11" s="7"/>
      <c r="AV11" s="7"/>
      <c r="AW11" s="7"/>
      <c r="AX11" s="7"/>
      <c r="AY11" s="7"/>
    </row>
    <row r="12" spans="1:51" s="2" customFormat="1" ht="19" x14ac:dyDescent="0.25">
      <c r="A12" s="2" t="s">
        <v>329</v>
      </c>
      <c r="B12" s="52"/>
      <c r="C12" s="52"/>
      <c r="I12" s="14"/>
      <c r="J12" s="7"/>
      <c r="K12" s="7"/>
      <c r="P12" s="52"/>
      <c r="Q12" s="52"/>
      <c r="R12" s="4"/>
      <c r="S12" s="52"/>
      <c r="T12" s="4"/>
      <c r="U12" s="52"/>
      <c r="V12" s="52"/>
      <c r="W12" s="52"/>
      <c r="X12" s="52"/>
      <c r="Y12" s="52"/>
      <c r="Z12" s="52"/>
    </row>
    <row r="13" spans="1:51" s="2" customFormat="1" ht="19" x14ac:dyDescent="0.25">
      <c r="A13" s="2" t="s">
        <v>474</v>
      </c>
      <c r="B13" s="52"/>
      <c r="C13" s="52"/>
      <c r="I13" s="14"/>
      <c r="O13" s="52"/>
      <c r="P13" s="52"/>
      <c r="Q13" s="52"/>
      <c r="R13" s="7"/>
      <c r="S13" s="52"/>
      <c r="T13" s="7"/>
      <c r="U13" s="52"/>
      <c r="V13" s="52"/>
      <c r="W13" s="52"/>
      <c r="X13" s="52"/>
      <c r="AD13" s="52"/>
      <c r="AE13" s="52"/>
      <c r="AF13" s="52"/>
      <c r="AG13" s="52"/>
      <c r="AH13" s="52"/>
      <c r="AI13" s="52"/>
      <c r="AJ13" s="52"/>
      <c r="AK13" s="52"/>
    </row>
    <row r="14" spans="1:51" s="2" customFormat="1" ht="19" x14ac:dyDescent="0.25">
      <c r="A14" s="2" t="s">
        <v>475</v>
      </c>
      <c r="B14" s="52"/>
      <c r="G14" s="14"/>
      <c r="H14" s="7"/>
      <c r="M14" s="52"/>
      <c r="N14" s="52"/>
      <c r="O14" s="52"/>
      <c r="P14" s="52"/>
      <c r="Q14" s="52"/>
      <c r="U14" s="52"/>
      <c r="V14" s="52"/>
    </row>
    <row r="15" spans="1:51" s="2" customFormat="1" ht="19" x14ac:dyDescent="0.25">
      <c r="A15" s="2" t="s">
        <v>476</v>
      </c>
      <c r="B15" s="52"/>
      <c r="C15" s="52"/>
      <c r="I15" s="14"/>
      <c r="J15" s="7"/>
      <c r="K15" s="7"/>
      <c r="P15" s="52"/>
      <c r="Q15" s="52"/>
      <c r="R15" s="4"/>
      <c r="S15" s="52"/>
      <c r="T15" s="4"/>
      <c r="U15" s="52"/>
      <c r="V15" s="52"/>
      <c r="W15" s="52"/>
      <c r="X15" s="52"/>
      <c r="Y15" s="52"/>
      <c r="AG15" s="52"/>
    </row>
    <row r="16" spans="1:51" s="2" customFormat="1" ht="19" x14ac:dyDescent="0.25">
      <c r="A16" s="2" t="s">
        <v>477</v>
      </c>
      <c r="B16" s="52"/>
      <c r="G16" s="14"/>
      <c r="H16" s="7"/>
      <c r="M16" s="52"/>
      <c r="N16" s="52"/>
      <c r="O16" s="52"/>
      <c r="P16" s="52"/>
      <c r="Q16" s="52"/>
      <c r="U16" s="52"/>
      <c r="V16" s="52"/>
    </row>
    <row r="17" spans="1:65" s="2" customFormat="1" ht="19" x14ac:dyDescent="0.25">
      <c r="A17" s="2" t="s">
        <v>478</v>
      </c>
      <c r="B17" s="52"/>
      <c r="G17" s="14"/>
      <c r="H17" s="7"/>
      <c r="M17" s="52"/>
      <c r="N17" s="52"/>
      <c r="O17" s="52"/>
      <c r="P17" s="52"/>
      <c r="Q17" s="52"/>
      <c r="U17" s="52"/>
      <c r="V17" s="52"/>
    </row>
    <row r="18" spans="1:65" s="2" customFormat="1" ht="19" x14ac:dyDescent="0.25">
      <c r="A18" s="2" t="s">
        <v>469</v>
      </c>
      <c r="J18" s="4"/>
      <c r="K18" s="4"/>
      <c r="L18" s="7"/>
      <c r="N18" s="52"/>
      <c r="R18" s="14"/>
      <c r="S18" s="52"/>
      <c r="T18" s="14"/>
      <c r="U18" s="52"/>
      <c r="V18" s="52"/>
      <c r="W18" s="52"/>
      <c r="X18" s="52"/>
      <c r="AD18" s="105"/>
      <c r="AE18" s="52"/>
      <c r="AF18" s="52"/>
      <c r="AG18" s="52"/>
      <c r="AH18" s="52"/>
      <c r="AI18" s="52"/>
      <c r="AJ18" s="52"/>
      <c r="AK18" s="103"/>
      <c r="AL18" s="52"/>
      <c r="AM18" s="52"/>
      <c r="AS18" s="105"/>
      <c r="AT18" s="52"/>
      <c r="AU18" s="52"/>
      <c r="AV18" s="52"/>
      <c r="AW18" s="52"/>
      <c r="AX18" s="103"/>
      <c r="AY18" s="52"/>
      <c r="AZ18" s="52"/>
      <c r="BF18" s="105"/>
      <c r="BG18" s="52"/>
      <c r="BH18" s="52"/>
      <c r="BI18" s="52"/>
      <c r="BJ18" s="52"/>
      <c r="BK18" s="103"/>
      <c r="BL18" s="52"/>
      <c r="BM18" s="52"/>
    </row>
    <row r="19" spans="1:65" s="2" customFormat="1" ht="19" x14ac:dyDescent="0.25">
      <c r="M19" s="14"/>
      <c r="N19" s="4"/>
      <c r="O19" s="4"/>
      <c r="P19" s="7"/>
      <c r="U19" s="52"/>
      <c r="V19" s="52"/>
      <c r="W19" s="52"/>
      <c r="X19" s="52"/>
      <c r="Y19" s="52"/>
      <c r="Z19" s="52"/>
      <c r="AA19" s="52"/>
      <c r="AB19" s="52"/>
      <c r="AC19" s="52"/>
    </row>
  </sheetData>
  <autoFilter ref="B3:AL3" xr:uid="{7B98F35A-5089-804D-96F4-CB2B682097CF}"/>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851BF-9031-FB44-AA50-EC82D3EBB1EC}">
  <dimension ref="A1:BY23"/>
  <sheetViews>
    <sheetView workbookViewId="0">
      <pane xSplit="2" ySplit="3" topLeftCell="C4" activePane="bottomRight" state="frozen"/>
      <selection activeCell="D4" sqref="D4"/>
      <selection pane="topRight" activeCell="D4" sqref="D4"/>
      <selection pane="bottomLeft" activeCell="D4" sqref="D4"/>
      <selection pane="bottomRight" activeCell="D4" sqref="D4"/>
    </sheetView>
  </sheetViews>
  <sheetFormatPr baseColWidth="10" defaultRowHeight="16" x14ac:dyDescent="0.2"/>
  <cols>
    <col min="1" max="1" width="4.83203125" style="183" customWidth="1"/>
    <col min="2" max="2" width="43.33203125" style="183" customWidth="1"/>
    <col min="3" max="3" width="25.83203125" style="183" customWidth="1"/>
    <col min="4" max="4" width="28.83203125" style="183" customWidth="1"/>
    <col min="5" max="7" width="20.83203125" style="183" customWidth="1"/>
    <col min="8" max="8" width="23" style="183" customWidth="1"/>
    <col min="9" max="10" width="19.5" style="183" customWidth="1"/>
    <col min="11" max="11" width="13.6640625" style="183" customWidth="1"/>
    <col min="12" max="12" width="14.83203125" style="183" customWidth="1"/>
    <col min="13" max="13" width="16.83203125" style="183" customWidth="1"/>
    <col min="14" max="14" width="20.83203125" style="183" customWidth="1"/>
    <col min="15" max="18" width="14.83203125" style="183" customWidth="1"/>
    <col min="19" max="19" width="4.83203125" style="183" customWidth="1"/>
    <col min="20" max="20" width="25.6640625" style="183" customWidth="1"/>
    <col min="21" max="21" width="20.83203125" style="183" customWidth="1"/>
    <col min="22" max="22" width="12.5" style="183" bestFit="1" customWidth="1"/>
    <col min="23" max="23" width="12.5" style="183" customWidth="1"/>
    <col min="24" max="25" width="12.83203125" style="183" customWidth="1"/>
    <col min="26" max="26" width="18.83203125" style="183" customWidth="1"/>
    <col min="27" max="27" width="15" style="183" customWidth="1"/>
    <col min="28" max="28" width="12.6640625" style="183" bestFit="1" customWidth="1"/>
    <col min="29" max="29" width="4.83203125" style="183" customWidth="1"/>
    <col min="30" max="31" width="10.83203125" style="183"/>
    <col min="32" max="32" width="24.83203125" style="183" customWidth="1"/>
    <col min="33" max="33" width="17.83203125" style="183" customWidth="1"/>
    <col min="34" max="34" width="15.5" style="183" customWidth="1"/>
    <col min="35" max="35" width="11.1640625" style="183" bestFit="1" customWidth="1"/>
    <col min="36" max="36" width="11.1640625" style="183" customWidth="1"/>
    <col min="37" max="37" width="11.1640625" style="183" bestFit="1" customWidth="1"/>
    <col min="38" max="38" width="15" style="183" customWidth="1"/>
    <col min="39" max="39" width="14.6640625" style="183" customWidth="1"/>
    <col min="40" max="41" width="15.33203125" style="183" customWidth="1"/>
    <col min="42" max="43" width="15" style="183" customWidth="1"/>
    <col min="44" max="44" width="11.1640625" style="183" bestFit="1" customWidth="1"/>
    <col min="45" max="45" width="4.83203125" style="183" customWidth="1"/>
    <col min="46" max="47" width="19.33203125" style="183" customWidth="1"/>
    <col min="48" max="52" width="21.1640625" style="183" customWidth="1"/>
    <col min="53" max="54" width="18" style="183" customWidth="1"/>
    <col min="55" max="58" width="20.1640625" style="183" customWidth="1"/>
    <col min="59" max="59" width="19.33203125" style="183" customWidth="1"/>
    <col min="60" max="61" width="15.6640625" style="183" customWidth="1"/>
    <col min="62" max="62" width="50.83203125" style="183" customWidth="1"/>
    <col min="63" max="16384" width="10.83203125" style="183"/>
  </cols>
  <sheetData>
    <row r="1" spans="1:63" ht="26" customHeight="1" x14ac:dyDescent="0.25">
      <c r="A1" s="47" t="s">
        <v>75</v>
      </c>
      <c r="B1" s="12" t="s">
        <v>4311</v>
      </c>
      <c r="C1" s="114"/>
      <c r="D1" s="2"/>
      <c r="I1" s="2"/>
      <c r="J1" s="2"/>
      <c r="K1" s="2"/>
      <c r="M1" s="35"/>
      <c r="N1" s="35"/>
      <c r="T1" s="12" t="s">
        <v>4312</v>
      </c>
      <c r="U1" s="12"/>
      <c r="V1" s="15"/>
      <c r="W1" s="15"/>
      <c r="X1" s="15"/>
      <c r="Y1" s="15"/>
      <c r="Z1" s="2"/>
      <c r="AA1" s="2"/>
      <c r="AB1" s="4"/>
      <c r="AD1" s="12" t="s">
        <v>2481</v>
      </c>
      <c r="AE1" s="12"/>
      <c r="AT1" s="12" t="s">
        <v>2477</v>
      </c>
      <c r="AU1" s="12"/>
      <c r="AV1" s="74">
        <v>0.02</v>
      </c>
      <c r="AW1" s="41">
        <v>0.04</v>
      </c>
      <c r="AX1" s="58"/>
      <c r="AY1" s="74"/>
      <c r="AZ1" s="74">
        <v>0.05</v>
      </c>
      <c r="BA1" s="34">
        <v>70</v>
      </c>
      <c r="BB1" s="34"/>
    </row>
    <row r="2" spans="1:63" ht="80" x14ac:dyDescent="0.2">
      <c r="B2" s="261" t="s">
        <v>2479</v>
      </c>
      <c r="C2" s="13" t="s">
        <v>2480</v>
      </c>
      <c r="D2" s="13" t="s">
        <v>14</v>
      </c>
      <c r="E2" s="13" t="s">
        <v>22</v>
      </c>
      <c r="F2" s="13" t="s">
        <v>15</v>
      </c>
      <c r="G2" s="13" t="s">
        <v>16</v>
      </c>
      <c r="H2" s="13" t="s">
        <v>2227</v>
      </c>
      <c r="I2" s="13" t="s">
        <v>2231</v>
      </c>
      <c r="J2" s="13" t="s">
        <v>2232</v>
      </c>
      <c r="K2" s="13" t="s">
        <v>2233</v>
      </c>
      <c r="L2" s="13" t="s">
        <v>328</v>
      </c>
      <c r="M2" s="13" t="s">
        <v>204</v>
      </c>
      <c r="N2" s="13" t="s">
        <v>2234</v>
      </c>
      <c r="O2" s="13" t="s">
        <v>17</v>
      </c>
      <c r="P2" s="13" t="s">
        <v>38</v>
      </c>
      <c r="Q2" s="13" t="s">
        <v>4313</v>
      </c>
      <c r="R2" s="13" t="s">
        <v>4314</v>
      </c>
      <c r="T2" s="13" t="s">
        <v>148</v>
      </c>
      <c r="U2" s="13" t="s">
        <v>204</v>
      </c>
      <c r="V2" s="13" t="s">
        <v>17</v>
      </c>
      <c r="W2" s="13" t="s">
        <v>2235</v>
      </c>
      <c r="X2" s="13" t="s">
        <v>2236</v>
      </c>
      <c r="Y2" s="13" t="s">
        <v>347</v>
      </c>
      <c r="Z2" s="13" t="s">
        <v>2447</v>
      </c>
      <c r="AA2" s="13" t="s">
        <v>31</v>
      </c>
      <c r="AB2" s="13" t="s">
        <v>18</v>
      </c>
      <c r="AD2" s="13" t="s">
        <v>4315</v>
      </c>
      <c r="AE2" s="13" t="s">
        <v>4316</v>
      </c>
      <c r="AF2" s="13" t="s">
        <v>4317</v>
      </c>
      <c r="AG2" s="13" t="s">
        <v>197</v>
      </c>
      <c r="AH2" s="13" t="s">
        <v>182</v>
      </c>
      <c r="AI2" s="13" t="s">
        <v>183</v>
      </c>
      <c r="AJ2" s="13" t="s">
        <v>118</v>
      </c>
      <c r="AK2" s="13" t="s">
        <v>184</v>
      </c>
      <c r="AL2" s="13" t="s">
        <v>185</v>
      </c>
      <c r="AM2" s="13" t="s">
        <v>196</v>
      </c>
      <c r="AN2" s="13" t="s">
        <v>126</v>
      </c>
      <c r="AO2" s="13" t="s">
        <v>198</v>
      </c>
      <c r="AP2" s="13" t="s">
        <v>4318</v>
      </c>
      <c r="AQ2" s="13" t="s">
        <v>4319</v>
      </c>
      <c r="AR2" s="13" t="s">
        <v>186</v>
      </c>
      <c r="AS2" s="10"/>
      <c r="AT2" s="13" t="s">
        <v>4320</v>
      </c>
      <c r="AU2" s="13" t="s">
        <v>4320</v>
      </c>
      <c r="AV2" s="13" t="s">
        <v>154</v>
      </c>
      <c r="AW2" s="13" t="s">
        <v>155</v>
      </c>
      <c r="AX2" s="13" t="s">
        <v>327</v>
      </c>
      <c r="AY2" s="13" t="s">
        <v>156</v>
      </c>
      <c r="AZ2" s="13" t="s">
        <v>488</v>
      </c>
      <c r="BA2" s="13" t="s">
        <v>203</v>
      </c>
      <c r="BB2" s="13" t="s">
        <v>4321</v>
      </c>
      <c r="BC2" s="13" t="s">
        <v>4322</v>
      </c>
      <c r="BD2" s="13" t="s">
        <v>450</v>
      </c>
      <c r="BE2" s="13" t="s">
        <v>451</v>
      </c>
      <c r="BF2" s="13" t="s">
        <v>4323</v>
      </c>
      <c r="BG2" s="57" t="s">
        <v>4324</v>
      </c>
      <c r="BH2" s="13" t="s">
        <v>161</v>
      </c>
      <c r="BI2" s="13" t="s">
        <v>162</v>
      </c>
      <c r="BJ2" s="13" t="s">
        <v>32</v>
      </c>
    </row>
    <row r="3" spans="1:63" ht="20" x14ac:dyDescent="0.2">
      <c r="D3" s="10"/>
      <c r="E3" s="10"/>
      <c r="F3" s="10" t="s">
        <v>187</v>
      </c>
      <c r="G3" s="10" t="s">
        <v>187</v>
      </c>
      <c r="H3" s="10"/>
      <c r="I3" s="10"/>
      <c r="J3" s="10"/>
      <c r="K3" s="10" t="s">
        <v>49</v>
      </c>
      <c r="L3" s="10" t="s">
        <v>51</v>
      </c>
      <c r="M3" s="10"/>
      <c r="N3" s="10"/>
      <c r="O3" s="10" t="s">
        <v>20</v>
      </c>
      <c r="P3" s="10" t="s">
        <v>20</v>
      </c>
      <c r="Q3" s="10" t="s">
        <v>4325</v>
      </c>
      <c r="R3" s="10" t="s">
        <v>4325</v>
      </c>
      <c r="T3" s="10"/>
      <c r="U3" s="10"/>
      <c r="V3" s="10" t="s">
        <v>20</v>
      </c>
      <c r="W3" s="10" t="s">
        <v>26</v>
      </c>
      <c r="X3" s="10" t="s">
        <v>20</v>
      </c>
      <c r="Y3" s="10" t="s">
        <v>26</v>
      </c>
      <c r="Z3" s="10" t="s">
        <v>21</v>
      </c>
      <c r="AA3" s="10"/>
      <c r="AB3" s="10"/>
      <c r="AD3" s="10"/>
      <c r="AE3" s="10"/>
      <c r="AF3" s="10"/>
      <c r="AG3" s="10" t="s">
        <v>62</v>
      </c>
      <c r="AH3" s="10" t="s">
        <v>188</v>
      </c>
      <c r="AI3" s="10" t="s">
        <v>35</v>
      </c>
      <c r="AJ3" s="10" t="s">
        <v>35</v>
      </c>
      <c r="AK3" s="10" t="s">
        <v>26</v>
      </c>
      <c r="AL3" s="10" t="s">
        <v>63</v>
      </c>
      <c r="AM3" s="10" t="s">
        <v>63</v>
      </c>
      <c r="AN3" s="10"/>
      <c r="AO3" s="10"/>
      <c r="AP3" s="10" t="s">
        <v>189</v>
      </c>
      <c r="AQ3" s="10" t="s">
        <v>189</v>
      </c>
      <c r="AR3" s="10" t="s">
        <v>190</v>
      </c>
      <c r="AS3" s="10"/>
      <c r="AT3" s="38" t="s">
        <v>163</v>
      </c>
      <c r="AU3" s="38" t="s">
        <v>4326</v>
      </c>
      <c r="AV3" s="38" t="s">
        <v>4326</v>
      </c>
      <c r="AW3" s="38" t="s">
        <v>4326</v>
      </c>
      <c r="AX3" s="38" t="s">
        <v>4326</v>
      </c>
      <c r="AY3" s="38" t="s">
        <v>4326</v>
      </c>
      <c r="AZ3" s="38" t="s">
        <v>4326</v>
      </c>
      <c r="BA3" s="10" t="s">
        <v>4327</v>
      </c>
      <c r="BB3" s="10" t="s">
        <v>164</v>
      </c>
      <c r="BC3" s="10" t="s">
        <v>164</v>
      </c>
      <c r="BD3" s="10" t="s">
        <v>24</v>
      </c>
      <c r="BE3" s="10" t="s">
        <v>24</v>
      </c>
      <c r="BF3" s="10" t="s">
        <v>24</v>
      </c>
      <c r="BG3" s="10" t="s">
        <v>4328</v>
      </c>
      <c r="BH3" s="10" t="s">
        <v>165</v>
      </c>
      <c r="BI3" s="10" t="s">
        <v>165</v>
      </c>
      <c r="BJ3" s="10"/>
    </row>
    <row r="4" spans="1:63" ht="20" x14ac:dyDescent="0.2">
      <c r="B4" s="278" t="s">
        <v>169</v>
      </c>
      <c r="C4" s="279" t="s">
        <v>4329</v>
      </c>
      <c r="D4" s="280" t="s">
        <v>168</v>
      </c>
      <c r="E4" s="280" t="s">
        <v>244</v>
      </c>
      <c r="F4" s="281">
        <v>52.910127000000003</v>
      </c>
      <c r="G4" s="281">
        <v>-115.3753924</v>
      </c>
      <c r="H4" s="22" t="s">
        <v>485</v>
      </c>
      <c r="I4" s="280" t="s">
        <v>3419</v>
      </c>
      <c r="J4" s="280" t="s">
        <v>4330</v>
      </c>
      <c r="K4" s="282">
        <v>240</v>
      </c>
      <c r="L4" s="84">
        <v>150</v>
      </c>
      <c r="M4" s="22" t="s">
        <v>463</v>
      </c>
      <c r="N4" s="22" t="s">
        <v>463</v>
      </c>
      <c r="O4" s="84">
        <v>900</v>
      </c>
      <c r="P4" s="84">
        <v>900</v>
      </c>
      <c r="Q4" s="34">
        <v>2628</v>
      </c>
      <c r="R4" s="34">
        <v>3285</v>
      </c>
      <c r="T4" s="11" t="s">
        <v>80</v>
      </c>
      <c r="U4" s="22" t="s">
        <v>331</v>
      </c>
      <c r="V4" s="92">
        <v>362</v>
      </c>
      <c r="W4" s="91"/>
      <c r="X4" s="92">
        <v>362</v>
      </c>
      <c r="Y4" s="91"/>
      <c r="Z4" s="58"/>
      <c r="AA4" s="92">
        <v>2</v>
      </c>
      <c r="AB4" s="149">
        <v>1966</v>
      </c>
      <c r="AD4" s="283" t="s">
        <v>194</v>
      </c>
      <c r="AE4" s="22" t="s">
        <v>4331</v>
      </c>
      <c r="AF4" s="22" t="s">
        <v>4332</v>
      </c>
      <c r="AG4" s="34"/>
      <c r="AH4" s="34"/>
      <c r="AI4" s="34"/>
      <c r="AJ4" s="34"/>
      <c r="AK4" s="41"/>
      <c r="AL4" s="151"/>
      <c r="AM4" s="151"/>
      <c r="AN4" s="22"/>
      <c r="AO4" s="22"/>
      <c r="AP4" s="151"/>
      <c r="AQ4" s="151"/>
      <c r="AR4" s="34"/>
      <c r="AS4" s="34"/>
      <c r="AT4" s="84">
        <v>2510</v>
      </c>
      <c r="AU4" s="84">
        <v>2737.293086660176</v>
      </c>
      <c r="AV4" s="58">
        <v>54.745861733203519</v>
      </c>
      <c r="AW4" s="58">
        <v>346.52787145061438</v>
      </c>
      <c r="AX4" s="58">
        <v>3138.5668198439939</v>
      </c>
      <c r="AY4" s="58">
        <v>112.37130403771882</v>
      </c>
      <c r="AZ4" s="58">
        <v>3250.9381238817127</v>
      </c>
      <c r="BA4" s="58">
        <v>168.07074754538783</v>
      </c>
      <c r="BB4" s="58">
        <v>186.74527505043093</v>
      </c>
      <c r="BC4" s="58">
        <v>12.629068916926462</v>
      </c>
      <c r="BD4" s="58">
        <v>1.0394873685479595</v>
      </c>
      <c r="BE4" s="58">
        <v>0</v>
      </c>
      <c r="BF4" s="58">
        <v>3.0353031161600419</v>
      </c>
      <c r="BG4" s="151">
        <v>202.40964708351743</v>
      </c>
      <c r="BH4" s="34">
        <v>5</v>
      </c>
      <c r="BI4" s="34">
        <v>8</v>
      </c>
      <c r="BJ4" s="11" t="s">
        <v>201</v>
      </c>
    </row>
    <row r="5" spans="1:63" ht="20" x14ac:dyDescent="0.2">
      <c r="B5" s="178" t="s">
        <v>191</v>
      </c>
      <c r="C5" s="279" t="s">
        <v>4333</v>
      </c>
      <c r="D5" s="284" t="s">
        <v>192</v>
      </c>
      <c r="E5" s="284" t="s">
        <v>193</v>
      </c>
      <c r="F5" s="285">
        <v>53.509444000000002</v>
      </c>
      <c r="G5" s="285">
        <v>-117.4225</v>
      </c>
      <c r="H5" s="22" t="s">
        <v>485</v>
      </c>
      <c r="I5" s="284" t="s">
        <v>3550</v>
      </c>
      <c r="J5" s="284" t="s">
        <v>2852</v>
      </c>
      <c r="K5" s="286">
        <v>138</v>
      </c>
      <c r="L5" s="287">
        <v>10.199999999999999</v>
      </c>
      <c r="M5" s="22" t="s">
        <v>463</v>
      </c>
      <c r="N5" s="22" t="s">
        <v>463</v>
      </c>
      <c r="O5" s="286">
        <v>75</v>
      </c>
      <c r="P5" s="286">
        <v>75</v>
      </c>
      <c r="Q5" s="34">
        <v>219</v>
      </c>
      <c r="R5" s="34">
        <v>273.75</v>
      </c>
      <c r="T5" s="11" t="s">
        <v>2482</v>
      </c>
      <c r="U5" s="22"/>
      <c r="V5" s="58"/>
      <c r="W5" s="58"/>
      <c r="X5" s="58"/>
      <c r="Y5" s="58"/>
      <c r="Z5" s="58"/>
      <c r="AA5" s="34"/>
      <c r="AB5" s="22"/>
      <c r="AD5" s="283" t="s">
        <v>194</v>
      </c>
      <c r="AE5" s="22" t="s">
        <v>4334</v>
      </c>
      <c r="AF5" s="22" t="s">
        <v>4332</v>
      </c>
      <c r="AG5" s="286">
        <v>2543000</v>
      </c>
      <c r="AH5" s="286">
        <v>2775</v>
      </c>
      <c r="AI5" s="286">
        <v>480</v>
      </c>
      <c r="AJ5" s="286">
        <v>7000</v>
      </c>
      <c r="AK5" s="41">
        <v>6.8571428571428575E-2</v>
      </c>
      <c r="AL5" s="151"/>
      <c r="AM5" s="151"/>
      <c r="AN5" s="284" t="s">
        <v>195</v>
      </c>
      <c r="AO5" s="284" t="s">
        <v>199</v>
      </c>
      <c r="AP5" s="288">
        <v>37</v>
      </c>
      <c r="AQ5" s="288">
        <v>77</v>
      </c>
      <c r="AR5" s="286">
        <v>55</v>
      </c>
      <c r="AS5" s="34"/>
      <c r="AT5" s="289">
        <v>200</v>
      </c>
      <c r="AU5" s="58">
        <v>209.92127952017992</v>
      </c>
      <c r="AV5" s="58">
        <v>4.1984255904035983</v>
      </c>
      <c r="AW5" s="58">
        <v>17.246012745220696</v>
      </c>
      <c r="AX5" s="58">
        <v>231.36571785580421</v>
      </c>
      <c r="AY5" s="58">
        <v>19.160785125958398</v>
      </c>
      <c r="AZ5" s="58">
        <v>250.5265029817626</v>
      </c>
      <c r="BA5" s="58">
        <v>12.952008014782116</v>
      </c>
      <c r="BB5" s="58">
        <v>172.69344019709487</v>
      </c>
      <c r="BC5" s="58">
        <v>41.318142351748811</v>
      </c>
      <c r="BD5" s="58">
        <v>2.6924375174754562</v>
      </c>
      <c r="BE5" s="58">
        <v>0</v>
      </c>
      <c r="BF5" s="58">
        <v>7.8619175510283323</v>
      </c>
      <c r="BG5" s="151">
        <v>221.87350009987202</v>
      </c>
      <c r="BH5" s="286">
        <v>3</v>
      </c>
      <c r="BI5" s="286">
        <v>5</v>
      </c>
      <c r="BJ5" s="11"/>
    </row>
    <row r="6" spans="1:63" ht="20" customHeight="1" x14ac:dyDescent="0.2">
      <c r="B6" s="11"/>
      <c r="C6" s="22"/>
      <c r="D6" s="22"/>
      <c r="E6" s="22"/>
      <c r="F6" s="269"/>
      <c r="G6" s="269"/>
      <c r="H6" s="22"/>
      <c r="I6" s="22"/>
      <c r="J6" s="22"/>
      <c r="K6" s="34"/>
      <c r="L6" s="81"/>
      <c r="M6" s="22"/>
      <c r="N6" s="22"/>
      <c r="O6" s="34"/>
      <c r="P6" s="34"/>
      <c r="Q6" s="34"/>
      <c r="R6" s="34"/>
      <c r="S6" s="34"/>
      <c r="T6" s="11"/>
      <c r="U6" s="22"/>
      <c r="V6" s="58"/>
      <c r="W6" s="290"/>
      <c r="X6" s="58"/>
      <c r="Y6" s="91"/>
      <c r="Z6" s="58"/>
      <c r="AA6" s="34"/>
      <c r="AB6" s="22"/>
      <c r="AD6" s="22"/>
      <c r="AE6" s="22"/>
      <c r="AF6" s="22"/>
      <c r="AG6" s="151"/>
      <c r="AH6" s="151"/>
      <c r="AI6" s="151"/>
      <c r="AJ6" s="151"/>
      <c r="AK6" s="151"/>
      <c r="AL6" s="151"/>
      <c r="AM6" s="151"/>
      <c r="AN6" s="22"/>
      <c r="AO6" s="22"/>
      <c r="AP6" s="151"/>
      <c r="AQ6" s="151"/>
      <c r="AR6" s="34"/>
      <c r="AS6" s="34"/>
      <c r="AT6" s="58"/>
      <c r="AU6" s="58"/>
      <c r="AV6" s="58"/>
      <c r="AW6" s="58"/>
      <c r="AX6" s="58"/>
      <c r="AY6" s="58"/>
      <c r="AZ6" s="58"/>
      <c r="BA6" s="58"/>
      <c r="BB6" s="58"/>
      <c r="BC6" s="58"/>
      <c r="BD6" s="58"/>
      <c r="BE6" s="58"/>
      <c r="BF6" s="58"/>
      <c r="BG6" s="151"/>
      <c r="BH6" s="34"/>
      <c r="BI6" s="34"/>
      <c r="BJ6" s="11"/>
    </row>
    <row r="8" spans="1:63" ht="19" x14ac:dyDescent="0.25">
      <c r="A8" s="35" t="s">
        <v>465</v>
      </c>
      <c r="D8" s="76"/>
      <c r="T8" s="76"/>
      <c r="U8" s="77"/>
      <c r="V8" s="21"/>
      <c r="W8" s="21"/>
      <c r="X8" s="21"/>
      <c r="Y8" s="21"/>
      <c r="Z8" s="2"/>
      <c r="AA8" s="2"/>
      <c r="AB8" s="20"/>
    </row>
    <row r="9" spans="1:63" ht="19" x14ac:dyDescent="0.25">
      <c r="A9" s="2" t="s">
        <v>4335</v>
      </c>
    </row>
    <row r="10" spans="1:63" s="2" customFormat="1" ht="19" x14ac:dyDescent="0.25">
      <c r="A10" s="2" t="s">
        <v>4336</v>
      </c>
      <c r="B10" s="7"/>
      <c r="C10" s="7"/>
      <c r="D10" s="183"/>
      <c r="E10" s="7"/>
      <c r="F10" s="7"/>
      <c r="G10" s="19"/>
      <c r="H10" s="19"/>
      <c r="I10" s="7"/>
      <c r="J10" s="7"/>
      <c r="K10" s="7"/>
      <c r="L10" s="7"/>
      <c r="M10" s="7"/>
      <c r="N10" s="7"/>
      <c r="O10" s="7"/>
      <c r="P10" s="7"/>
      <c r="Q10" s="7"/>
      <c r="R10" s="7"/>
      <c r="S10" s="183"/>
      <c r="T10" s="183"/>
      <c r="U10" s="183"/>
      <c r="V10" s="183"/>
      <c r="W10" s="183"/>
      <c r="X10" s="183"/>
      <c r="Y10" s="183"/>
      <c r="Z10" s="183"/>
      <c r="AA10" s="183"/>
      <c r="AB10" s="183"/>
      <c r="AC10" s="183"/>
      <c r="AD10" s="7"/>
      <c r="AE10" s="7"/>
      <c r="AF10" s="7"/>
      <c r="AG10" s="7"/>
      <c r="AH10" s="7"/>
      <c r="AI10" s="48"/>
      <c r="AJ10" s="48"/>
      <c r="AK10" s="48"/>
      <c r="AL10" s="48"/>
      <c r="AM10" s="48"/>
      <c r="AN10" s="48"/>
      <c r="AO10" s="48"/>
      <c r="AP10" s="48"/>
      <c r="AQ10" s="183"/>
      <c r="AR10" s="183"/>
      <c r="AS10" s="183"/>
      <c r="AT10" s="183"/>
      <c r="BE10" s="7"/>
      <c r="BF10" s="7"/>
      <c r="BG10" s="7"/>
      <c r="BH10" s="7"/>
      <c r="BI10" s="7"/>
      <c r="BJ10" s="7"/>
      <c r="BK10" s="7"/>
    </row>
    <row r="11" spans="1:63" s="2" customFormat="1" ht="19" x14ac:dyDescent="0.25">
      <c r="A11" s="2" t="s">
        <v>4337</v>
      </c>
      <c r="B11" s="183"/>
      <c r="C11" s="183"/>
      <c r="H11" s="183"/>
      <c r="I11" s="183"/>
      <c r="J11" s="183"/>
      <c r="K11" s="183"/>
      <c r="M11" s="4"/>
      <c r="N11" s="4"/>
      <c r="O11" s="183"/>
      <c r="P11" s="183"/>
      <c r="S11" s="183"/>
      <c r="T11" s="183"/>
      <c r="U11" s="183"/>
      <c r="V11" s="183"/>
      <c r="W11" s="183"/>
      <c r="X11" s="183"/>
      <c r="Y11" s="183"/>
      <c r="Z11" s="183"/>
      <c r="AA11" s="183"/>
      <c r="AB11" s="183"/>
      <c r="AC11" s="14"/>
      <c r="AT11" s="183"/>
      <c r="AU11" s="183"/>
      <c r="AV11" s="183"/>
      <c r="AW11" s="183"/>
      <c r="AX11" s="183"/>
      <c r="AY11" s="183"/>
      <c r="AZ11" s="183"/>
      <c r="BA11" s="183"/>
      <c r="BB11" s="183"/>
      <c r="BC11" s="183"/>
      <c r="BD11" s="183"/>
      <c r="BE11" s="183"/>
      <c r="BF11" s="183"/>
      <c r="BG11" s="183"/>
      <c r="BH11" s="183"/>
    </row>
    <row r="12" spans="1:63" s="2" customFormat="1" ht="19" x14ac:dyDescent="0.25">
      <c r="A12" s="2" t="s">
        <v>4338</v>
      </c>
      <c r="B12" s="183"/>
      <c r="C12" s="183"/>
      <c r="H12" s="183"/>
      <c r="I12" s="183"/>
      <c r="J12" s="183"/>
      <c r="K12" s="183"/>
      <c r="M12" s="4"/>
      <c r="N12" s="4"/>
      <c r="O12" s="183"/>
      <c r="P12" s="183"/>
      <c r="S12" s="183"/>
      <c r="T12" s="183"/>
      <c r="U12" s="183"/>
      <c r="V12" s="183"/>
      <c r="W12" s="183"/>
      <c r="X12" s="183"/>
      <c r="Y12" s="183"/>
      <c r="Z12" s="183"/>
      <c r="AA12" s="183"/>
      <c r="AB12" s="183"/>
      <c r="AC12" s="14"/>
      <c r="AT12" s="183"/>
      <c r="AU12" s="183"/>
      <c r="AV12" s="183"/>
      <c r="AW12" s="183"/>
      <c r="AX12" s="183"/>
      <c r="AY12" s="183"/>
      <c r="AZ12" s="183"/>
      <c r="BA12" s="183"/>
      <c r="BB12" s="183"/>
      <c r="BC12" s="183"/>
      <c r="BD12" s="183"/>
      <c r="BE12" s="183"/>
      <c r="BF12" s="183"/>
      <c r="BG12" s="183"/>
      <c r="BH12" s="183"/>
    </row>
    <row r="13" spans="1:63" s="2" customFormat="1" ht="19" x14ac:dyDescent="0.25">
      <c r="A13" s="2" t="s">
        <v>329</v>
      </c>
      <c r="B13" s="183"/>
      <c r="C13" s="183"/>
      <c r="D13" s="7"/>
      <c r="L13" s="14"/>
      <c r="N13" s="183"/>
      <c r="O13" s="183"/>
      <c r="P13" s="183"/>
      <c r="Q13" s="183"/>
      <c r="R13" s="183"/>
      <c r="S13" s="183"/>
      <c r="T13" s="7"/>
      <c r="U13" s="7"/>
      <c r="V13" s="7"/>
      <c r="W13" s="7"/>
      <c r="X13" s="7"/>
      <c r="Y13" s="7"/>
      <c r="Z13" s="7"/>
      <c r="AA13" s="7"/>
      <c r="AB13" s="19"/>
      <c r="AC13" s="183"/>
      <c r="AD13" s="7"/>
      <c r="AE13" s="7"/>
      <c r="AF13" s="183"/>
      <c r="AG13" s="7"/>
      <c r="AH13" s="183"/>
      <c r="AI13" s="183"/>
      <c r="AJ13" s="183"/>
      <c r="AK13" s="183"/>
      <c r="AQ13" s="183"/>
      <c r="AR13" s="183"/>
      <c r="AS13" s="183"/>
      <c r="AT13" s="183"/>
    </row>
    <row r="14" spans="1:63" s="2" customFormat="1" ht="19" x14ac:dyDescent="0.25">
      <c r="A14" s="2" t="s">
        <v>4339</v>
      </c>
      <c r="B14" s="183"/>
      <c r="D14" s="183"/>
      <c r="G14" s="14"/>
      <c r="H14" s="7"/>
      <c r="M14" s="183"/>
      <c r="N14" s="183"/>
      <c r="O14" s="183"/>
      <c r="P14" s="183"/>
      <c r="Q14" s="183"/>
      <c r="R14" s="183"/>
      <c r="S14" s="183"/>
      <c r="T14" s="183"/>
      <c r="U14" s="7"/>
      <c r="AC14" s="183"/>
      <c r="AH14" s="183"/>
      <c r="AI14" s="183"/>
    </row>
    <row r="15" spans="1:63" s="2" customFormat="1" ht="19" x14ac:dyDescent="0.25">
      <c r="A15" s="2" t="s">
        <v>4340</v>
      </c>
      <c r="B15" s="183"/>
      <c r="C15" s="183"/>
      <c r="D15" s="183"/>
      <c r="I15" s="7"/>
      <c r="J15" s="7"/>
      <c r="L15" s="14"/>
      <c r="O15" s="183"/>
      <c r="P15" s="183"/>
      <c r="Q15" s="183"/>
      <c r="R15" s="183"/>
      <c r="S15" s="183"/>
      <c r="T15" s="183"/>
      <c r="AA15" s="183"/>
      <c r="AC15" s="183"/>
      <c r="AD15" s="4"/>
      <c r="AE15" s="4"/>
      <c r="AF15" s="183"/>
      <c r="AG15" s="4"/>
      <c r="AH15" s="183"/>
      <c r="AI15" s="183"/>
      <c r="AJ15" s="183"/>
      <c r="AK15" s="183"/>
      <c r="AL15" s="183"/>
      <c r="AT15" s="183"/>
    </row>
    <row r="16" spans="1:63" s="2" customFormat="1" ht="19" x14ac:dyDescent="0.25">
      <c r="A16" s="2" t="s">
        <v>476</v>
      </c>
      <c r="B16" s="183"/>
      <c r="G16" s="14"/>
      <c r="H16" s="7"/>
      <c r="M16" s="183"/>
      <c r="N16" s="183"/>
      <c r="O16" s="183"/>
      <c r="P16" s="183"/>
      <c r="Q16" s="183"/>
      <c r="R16" s="183"/>
      <c r="S16" s="183"/>
      <c r="T16" s="183"/>
      <c r="X16" s="183"/>
      <c r="Y16" s="183"/>
      <c r="Z16" s="183"/>
      <c r="AA16" s="183"/>
      <c r="AB16" s="7"/>
      <c r="AC16" s="183"/>
      <c r="AH16" s="183"/>
      <c r="AI16" s="183"/>
    </row>
    <row r="17" spans="1:77" s="2" customFormat="1" ht="19" x14ac:dyDescent="0.25">
      <c r="A17" s="2" t="s">
        <v>4341</v>
      </c>
      <c r="B17" s="183"/>
      <c r="D17" s="183"/>
      <c r="G17" s="14"/>
      <c r="H17" s="7"/>
      <c r="M17" s="183"/>
      <c r="N17" s="183"/>
      <c r="O17" s="183"/>
      <c r="P17" s="183"/>
      <c r="Q17" s="183"/>
      <c r="R17" s="183"/>
      <c r="S17" s="183"/>
      <c r="T17" s="183"/>
      <c r="U17" s="7"/>
      <c r="AC17" s="183"/>
      <c r="AH17" s="183"/>
      <c r="AI17" s="183"/>
    </row>
    <row r="18" spans="1:77" s="2" customFormat="1" ht="19" x14ac:dyDescent="0.25">
      <c r="A18" s="2" t="s">
        <v>4342</v>
      </c>
      <c r="I18" s="4"/>
      <c r="J18" s="4"/>
      <c r="K18" s="7"/>
      <c r="M18" s="183"/>
      <c r="S18" s="183"/>
      <c r="T18" s="183"/>
      <c r="X18" s="183"/>
      <c r="Y18" s="183"/>
      <c r="Z18" s="183"/>
      <c r="AA18" s="183"/>
      <c r="AB18" s="7"/>
      <c r="AC18" s="183"/>
      <c r="AD18" s="14"/>
      <c r="AE18" s="14"/>
      <c r="AF18" s="183"/>
      <c r="AG18" s="14"/>
      <c r="AH18" s="183"/>
      <c r="AI18" s="183"/>
      <c r="AJ18" s="183"/>
      <c r="AK18" s="183"/>
      <c r="AQ18" s="105"/>
      <c r="AR18" s="183"/>
      <c r="AS18" s="183"/>
      <c r="AT18" s="183"/>
      <c r="AU18" s="183"/>
      <c r="AZ18" s="183"/>
      <c r="BA18" s="183"/>
      <c r="BG18" s="183"/>
      <c r="BH18" s="183"/>
      <c r="BI18" s="183"/>
      <c r="BJ18" s="103"/>
      <c r="BK18" s="183"/>
      <c r="BL18" s="183"/>
      <c r="BR18" s="105"/>
      <c r="BS18" s="183"/>
      <c r="BT18" s="183"/>
      <c r="BU18" s="183"/>
      <c r="BV18" s="183"/>
      <c r="BW18" s="103"/>
      <c r="BX18" s="183"/>
      <c r="BY18" s="183"/>
    </row>
    <row r="19" spans="1:77" ht="19" x14ac:dyDescent="0.25">
      <c r="A19" s="2" t="s">
        <v>469</v>
      </c>
      <c r="D19" s="2"/>
      <c r="U19" s="2"/>
      <c r="V19" s="2"/>
      <c r="W19" s="2"/>
      <c r="AB19" s="7"/>
      <c r="AV19" s="2"/>
      <c r="AW19" s="2"/>
      <c r="AX19" s="2"/>
      <c r="AY19" s="2"/>
    </row>
    <row r="20" spans="1:77" ht="19" x14ac:dyDescent="0.25">
      <c r="A20" s="2" t="s">
        <v>4343</v>
      </c>
      <c r="D20" s="2"/>
      <c r="T20" s="2"/>
      <c r="U20" s="4"/>
      <c r="V20" s="7"/>
      <c r="W20" s="7"/>
      <c r="X20" s="2"/>
      <c r="Y20" s="2"/>
      <c r="AA20" s="2"/>
      <c r="AB20" s="2"/>
      <c r="AY20" s="103"/>
    </row>
    <row r="21" spans="1:77" ht="19" x14ac:dyDescent="0.25">
      <c r="D21" s="2"/>
      <c r="T21" s="2"/>
      <c r="U21" s="4"/>
      <c r="V21" s="7"/>
      <c r="W21" s="7"/>
      <c r="X21" s="2"/>
      <c r="Y21" s="2"/>
      <c r="AA21" s="2"/>
      <c r="AB21" s="2"/>
    </row>
    <row r="22" spans="1:77" ht="19" x14ac:dyDescent="0.25">
      <c r="D22" s="2"/>
      <c r="T22" s="2"/>
      <c r="U22" s="4"/>
      <c r="V22" s="4"/>
      <c r="W22" s="4"/>
      <c r="X22" s="2"/>
      <c r="Y22" s="2"/>
      <c r="Z22" s="2"/>
      <c r="AA22" s="2"/>
      <c r="AB22" s="4"/>
    </row>
    <row r="23" spans="1:77" ht="19" x14ac:dyDescent="0.25">
      <c r="D23" s="2"/>
      <c r="T23" s="2"/>
      <c r="U23" s="4"/>
      <c r="V23" s="2"/>
      <c r="W23" s="2"/>
      <c r="X23" s="2"/>
      <c r="Y23" s="2"/>
      <c r="Z23" s="2"/>
      <c r="AA23" s="2"/>
      <c r="AB23" s="4"/>
    </row>
  </sheetData>
  <autoFilter ref="B3:BJ3" xr:uid="{334C7EED-BD94-864B-9EF7-FC7E4CB25542}">
    <sortState xmlns:xlrd2="http://schemas.microsoft.com/office/spreadsheetml/2017/richdata2" ref="B4:BJ9">
      <sortCondition ref="BG3:BG9"/>
    </sortState>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C47D2-EDD5-8D49-99CD-8F4CE3948A59}">
  <sheetPr codeName="Sheet9"/>
  <dimension ref="A1:H19"/>
  <sheetViews>
    <sheetView workbookViewId="0">
      <selection activeCell="G4" sqref="G4"/>
    </sheetView>
  </sheetViews>
  <sheetFormatPr baseColWidth="10" defaultRowHeight="16" x14ac:dyDescent="0.2"/>
  <cols>
    <col min="1" max="1" width="4.83203125" style="18" customWidth="1"/>
    <col min="2" max="2" width="35.83203125" style="52" customWidth="1"/>
    <col min="3" max="4" width="20.83203125" style="52" customWidth="1"/>
    <col min="5" max="5" width="113" style="52" customWidth="1"/>
    <col min="6" max="6" width="12.6640625" style="52" customWidth="1"/>
    <col min="7" max="7" width="27.83203125" style="18" customWidth="1"/>
    <col min="8" max="8" width="20.83203125" style="18" customWidth="1"/>
    <col min="9" max="16384" width="10.83203125" style="18"/>
  </cols>
  <sheetData>
    <row r="1" spans="1:8" s="6" customFormat="1" ht="21" x14ac:dyDescent="0.25">
      <c r="A1" s="47" t="s">
        <v>75</v>
      </c>
      <c r="B1" s="12" t="s">
        <v>2224</v>
      </c>
      <c r="C1" s="52"/>
      <c r="D1" s="52"/>
      <c r="E1" s="52"/>
      <c r="F1" s="52"/>
      <c r="G1" s="51" t="s">
        <v>77</v>
      </c>
    </row>
    <row r="2" spans="1:8" s="17" customFormat="1" ht="40" x14ac:dyDescent="0.2">
      <c r="B2" s="13" t="s">
        <v>113</v>
      </c>
      <c r="C2" s="13" t="s">
        <v>2364</v>
      </c>
      <c r="D2" s="13" t="s">
        <v>347</v>
      </c>
      <c r="E2" s="13" t="s">
        <v>32</v>
      </c>
      <c r="F2" s="52"/>
      <c r="G2" s="13" t="s">
        <v>45</v>
      </c>
      <c r="H2" s="13" t="s">
        <v>78</v>
      </c>
    </row>
    <row r="3" spans="1:8" s="17" customFormat="1" ht="20" x14ac:dyDescent="0.2">
      <c r="B3" s="158"/>
      <c r="C3" s="10" t="s">
        <v>26</v>
      </c>
      <c r="D3" s="10" t="s">
        <v>26</v>
      </c>
      <c r="E3" s="10"/>
      <c r="F3" s="52"/>
      <c r="G3" s="10" t="s">
        <v>46</v>
      </c>
      <c r="H3" s="10" t="s">
        <v>53</v>
      </c>
    </row>
    <row r="4" spans="1:8" s="6" customFormat="1" ht="20" x14ac:dyDescent="0.2">
      <c r="B4" s="158" t="s">
        <v>456</v>
      </c>
      <c r="C4" s="237">
        <v>0.9</v>
      </c>
      <c r="D4" s="218">
        <v>0.55000000000000004</v>
      </c>
      <c r="E4" s="158"/>
      <c r="F4" s="52"/>
      <c r="G4" s="36">
        <v>15</v>
      </c>
      <c r="H4" s="92">
        <v>3.61</v>
      </c>
    </row>
    <row r="5" spans="1:8" s="7" customFormat="1" ht="20" x14ac:dyDescent="0.25">
      <c r="A5" s="6"/>
      <c r="B5" s="158" t="s">
        <v>2365</v>
      </c>
      <c r="C5" s="236">
        <v>0.94</v>
      </c>
      <c r="D5" s="218">
        <v>0.6</v>
      </c>
      <c r="E5" s="240" t="s">
        <v>2369</v>
      </c>
      <c r="F5" s="52"/>
      <c r="G5" s="19"/>
    </row>
    <row r="6" spans="1:8" s="6" customFormat="1" ht="20" x14ac:dyDescent="0.2">
      <c r="B6" s="158" t="s">
        <v>2368</v>
      </c>
      <c r="C6" s="236">
        <v>0.94</v>
      </c>
      <c r="D6" s="218">
        <v>0.3</v>
      </c>
      <c r="E6" s="158"/>
      <c r="F6" s="52"/>
    </row>
    <row r="7" spans="1:8" s="7" customFormat="1" ht="40" x14ac:dyDescent="0.25">
      <c r="A7" s="6"/>
      <c r="B7" s="158" t="s">
        <v>2225</v>
      </c>
      <c r="C7" s="236">
        <v>0.94</v>
      </c>
      <c r="D7" s="218">
        <v>0.3</v>
      </c>
      <c r="E7" s="240" t="s">
        <v>2370</v>
      </c>
      <c r="F7" s="52"/>
    </row>
    <row r="8" spans="1:8" s="7" customFormat="1" ht="20" x14ac:dyDescent="0.25">
      <c r="A8" s="6"/>
      <c r="B8" s="158" t="s">
        <v>2366</v>
      </c>
      <c r="C8" s="236">
        <v>0.97</v>
      </c>
      <c r="D8" s="238">
        <v>0.55000000000000004</v>
      </c>
      <c r="E8" s="158"/>
      <c r="F8" s="52"/>
    </row>
    <row r="9" spans="1:8" s="2" customFormat="1" ht="20" x14ac:dyDescent="0.25">
      <c r="A9" s="6"/>
      <c r="B9" s="158" t="s">
        <v>331</v>
      </c>
      <c r="C9" s="236">
        <v>1</v>
      </c>
      <c r="D9" s="236">
        <v>0.24</v>
      </c>
      <c r="E9" s="240" t="s">
        <v>2372</v>
      </c>
      <c r="F9" s="52"/>
    </row>
    <row r="10" spans="1:8" s="2" customFormat="1" ht="20" x14ac:dyDescent="0.25">
      <c r="A10" s="6"/>
      <c r="B10" s="158" t="s">
        <v>140</v>
      </c>
      <c r="C10" s="236">
        <v>0.3</v>
      </c>
      <c r="D10" s="236">
        <v>0.24</v>
      </c>
      <c r="E10" s="240" t="s">
        <v>2372</v>
      </c>
      <c r="F10" s="52"/>
    </row>
    <row r="11" spans="1:8" s="7" customFormat="1" ht="20" x14ac:dyDescent="0.25">
      <c r="A11" s="6"/>
      <c r="B11" s="158" t="s">
        <v>2226</v>
      </c>
      <c r="C11" s="218">
        <v>0.09</v>
      </c>
      <c r="D11" s="218">
        <v>0.33</v>
      </c>
      <c r="E11" s="158" t="s">
        <v>2385</v>
      </c>
      <c r="F11" s="52"/>
    </row>
    <row r="12" spans="1:8" ht="20" x14ac:dyDescent="0.2">
      <c r="A12" s="6"/>
      <c r="B12" s="158" t="s">
        <v>2367</v>
      </c>
      <c r="C12" s="218">
        <v>0</v>
      </c>
      <c r="D12" s="218">
        <v>0.18</v>
      </c>
      <c r="E12" s="239" t="s">
        <v>2371</v>
      </c>
    </row>
    <row r="13" spans="1:8" x14ac:dyDescent="0.2">
      <c r="A13" s="6"/>
    </row>
    <row r="14" spans="1:8" ht="19" x14ac:dyDescent="0.25">
      <c r="A14" s="6"/>
      <c r="B14" s="19"/>
      <c r="C14" s="50"/>
      <c r="D14" s="50"/>
      <c r="E14" s="50"/>
    </row>
    <row r="15" spans="1:8" ht="19" x14ac:dyDescent="0.25">
      <c r="A15" s="49" t="s">
        <v>37</v>
      </c>
      <c r="B15" s="2"/>
      <c r="C15" s="2"/>
      <c r="D15" s="2"/>
      <c r="E15" s="2"/>
    </row>
    <row r="16" spans="1:8" ht="19" x14ac:dyDescent="0.25">
      <c r="A16" s="7" t="s">
        <v>2386</v>
      </c>
      <c r="B16" s="2"/>
      <c r="C16" s="2"/>
      <c r="D16" s="2"/>
      <c r="E16" s="2"/>
    </row>
    <row r="17" spans="1:1" ht="19" x14ac:dyDescent="0.25">
      <c r="A17" s="7" t="s">
        <v>79</v>
      </c>
    </row>
    <row r="18" spans="1:1" ht="19" x14ac:dyDescent="0.25">
      <c r="A18" s="2" t="s">
        <v>65</v>
      </c>
    </row>
    <row r="19" spans="1:1" ht="19" x14ac:dyDescent="0.25">
      <c r="A19" s="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C72F5-C46D-FF4C-8003-1F88BE030DCD}">
  <sheetPr codeName="Sheet10"/>
  <dimension ref="A1:W9"/>
  <sheetViews>
    <sheetView workbookViewId="0">
      <selection activeCell="D2" sqref="D2"/>
    </sheetView>
  </sheetViews>
  <sheetFormatPr baseColWidth="10" defaultRowHeight="16" x14ac:dyDescent="0.2"/>
  <cols>
    <col min="1" max="1" width="4.83203125" style="24" customWidth="1"/>
    <col min="2" max="2" width="49.83203125" style="24" customWidth="1"/>
    <col min="3" max="13" width="10.83203125" style="24"/>
    <col min="14" max="14" width="10.83203125" style="52"/>
    <col min="15" max="16384" width="10.83203125" style="24"/>
  </cols>
  <sheetData>
    <row r="1" spans="1:23" s="17" customFormat="1" ht="20" customHeight="1" x14ac:dyDescent="0.2">
      <c r="A1" s="12" t="s">
        <v>75</v>
      </c>
      <c r="B1" s="98" t="s">
        <v>74</v>
      </c>
      <c r="C1" s="10" t="s">
        <v>58</v>
      </c>
      <c r="D1" s="10">
        <v>2009</v>
      </c>
      <c r="E1" s="10">
        <v>2010</v>
      </c>
      <c r="F1" s="10">
        <v>2011</v>
      </c>
      <c r="G1" s="10">
        <v>2012</v>
      </c>
      <c r="H1" s="10">
        <v>2013</v>
      </c>
      <c r="I1" s="10">
        <v>2014</v>
      </c>
      <c r="J1" s="10">
        <v>2015</v>
      </c>
      <c r="K1" s="10">
        <v>2016</v>
      </c>
      <c r="L1" s="10">
        <v>2017</v>
      </c>
      <c r="M1" s="10">
        <v>2018</v>
      </c>
      <c r="N1" s="10" t="s">
        <v>2456</v>
      </c>
    </row>
    <row r="2" spans="1:23" ht="20" x14ac:dyDescent="0.2">
      <c r="B2" s="39" t="s">
        <v>67</v>
      </c>
      <c r="C2" s="40" t="s">
        <v>43</v>
      </c>
      <c r="D2" s="90">
        <v>69914.293999999994</v>
      </c>
      <c r="E2" s="90">
        <v>71722.876999999993</v>
      </c>
      <c r="F2" s="90">
        <v>73600.053</v>
      </c>
      <c r="G2" s="90">
        <v>75574.375</v>
      </c>
      <c r="H2" s="90">
        <v>77450.543999999994</v>
      </c>
      <c r="I2" s="90">
        <v>79949.456000000006</v>
      </c>
      <c r="J2" s="90">
        <v>80256.902000000002</v>
      </c>
      <c r="K2" s="90">
        <v>79559.952000000005</v>
      </c>
      <c r="L2" s="90">
        <v>82572.426999999996</v>
      </c>
      <c r="M2" s="90">
        <v>85329.933000000005</v>
      </c>
      <c r="N2" s="22" t="s">
        <v>497</v>
      </c>
    </row>
    <row r="3" spans="1:23" ht="20" x14ac:dyDescent="0.2">
      <c r="B3" s="39" t="s">
        <v>68</v>
      </c>
      <c r="C3" s="40" t="s">
        <v>43</v>
      </c>
      <c r="D3" s="37"/>
      <c r="E3" s="37">
        <f t="shared" ref="E3:M3" si="0">E2-D2</f>
        <v>1808.5829999999987</v>
      </c>
      <c r="F3" s="37">
        <f t="shared" si="0"/>
        <v>1877.1760000000068</v>
      </c>
      <c r="G3" s="37">
        <f t="shared" si="0"/>
        <v>1974.3220000000001</v>
      </c>
      <c r="H3" s="37">
        <f t="shared" si="0"/>
        <v>1876.1689999999944</v>
      </c>
      <c r="I3" s="37">
        <f t="shared" si="0"/>
        <v>2498.9120000000112</v>
      </c>
      <c r="J3" s="37">
        <f t="shared" si="0"/>
        <v>307.44599999999627</v>
      </c>
      <c r="K3" s="37">
        <f t="shared" si="0"/>
        <v>-696.94999999999709</v>
      </c>
      <c r="L3" s="37">
        <f t="shared" si="0"/>
        <v>3012.4749999999913</v>
      </c>
      <c r="M3" s="37">
        <f t="shared" si="0"/>
        <v>2757.5060000000085</v>
      </c>
      <c r="N3" s="34"/>
    </row>
    <row r="4" spans="1:23" ht="20" x14ac:dyDescent="0.2">
      <c r="B4" s="39" t="s">
        <v>69</v>
      </c>
      <c r="C4" s="40" t="s">
        <v>44</v>
      </c>
      <c r="D4" s="41"/>
      <c r="E4" s="41">
        <f t="shared" ref="E4:M4" si="1">E3/D2</f>
        <v>2.5868572741362429E-2</v>
      </c>
      <c r="F4" s="41">
        <f t="shared" si="1"/>
        <v>2.617262550692169E-2</v>
      </c>
      <c r="G4" s="41">
        <f t="shared" si="1"/>
        <v>2.6825007856991625E-2</v>
      </c>
      <c r="H4" s="41">
        <f t="shared" si="1"/>
        <v>2.4825464980689479E-2</v>
      </c>
      <c r="I4" s="41">
        <f t="shared" si="1"/>
        <v>3.22646152104498E-2</v>
      </c>
      <c r="J4" s="41">
        <f t="shared" si="1"/>
        <v>3.8455045897997885E-3</v>
      </c>
      <c r="K4" s="41">
        <f t="shared" si="1"/>
        <v>-8.683988325390345E-3</v>
      </c>
      <c r="L4" s="41">
        <f t="shared" si="1"/>
        <v>3.7864213392184938E-2</v>
      </c>
      <c r="M4" s="41">
        <f t="shared" si="1"/>
        <v>3.3394997581941109E-2</v>
      </c>
      <c r="N4" s="74">
        <f>(M2/D2)^(1/(9))-1</f>
        <v>2.2386361857202441E-2</v>
      </c>
    </row>
    <row r="5" spans="1:23" ht="19" x14ac:dyDescent="0.25">
      <c r="A5" s="8"/>
      <c r="C5" s="23"/>
      <c r="D5" s="26"/>
      <c r="E5" s="26"/>
      <c r="F5" s="26"/>
      <c r="G5" s="26"/>
      <c r="H5" s="26"/>
      <c r="I5" s="26"/>
      <c r="J5" s="26"/>
      <c r="K5" s="26"/>
      <c r="L5" s="26"/>
      <c r="M5" s="26"/>
      <c r="N5" s="2"/>
      <c r="O5" s="2"/>
      <c r="P5" s="2"/>
      <c r="Q5" s="2"/>
      <c r="R5" s="2"/>
      <c r="S5" s="2"/>
      <c r="T5" s="2"/>
      <c r="U5" s="2"/>
      <c r="V5" s="2"/>
      <c r="W5" s="2"/>
    </row>
    <row r="6" spans="1:23" s="8" customFormat="1" ht="19" x14ac:dyDescent="0.2">
      <c r="A6" s="35" t="s">
        <v>37</v>
      </c>
      <c r="B6" s="45"/>
      <c r="N6" s="52"/>
    </row>
    <row r="7" spans="1:23" s="2" customFormat="1" ht="19" x14ac:dyDescent="0.25">
      <c r="B7" s="24"/>
      <c r="C7" s="24"/>
      <c r="D7" s="24"/>
      <c r="E7" s="24"/>
      <c r="F7" s="24"/>
      <c r="G7" s="24"/>
      <c r="H7" s="24"/>
      <c r="I7" s="24"/>
      <c r="J7" s="24"/>
      <c r="K7" s="24"/>
      <c r="L7" s="24"/>
      <c r="M7" s="24"/>
    </row>
    <row r="8" spans="1:23" s="2" customFormat="1" ht="19" x14ac:dyDescent="0.25">
      <c r="C8" s="24"/>
      <c r="D8" s="24"/>
      <c r="E8" s="24"/>
      <c r="F8" s="24"/>
      <c r="G8" s="24"/>
      <c r="H8" s="24"/>
      <c r="I8" s="24"/>
      <c r="J8" s="24"/>
      <c r="K8" s="24"/>
      <c r="L8" s="24"/>
      <c r="M8" s="24"/>
    </row>
    <row r="9" spans="1:23" ht="19" x14ac:dyDescent="0.25">
      <c r="B9" s="2"/>
      <c r="C9" s="2"/>
      <c r="D9" s="2"/>
      <c r="E9" s="2"/>
      <c r="F9" s="2"/>
      <c r="G9" s="2"/>
      <c r="H9" s="2"/>
      <c r="I9" s="2"/>
      <c r="J9" s="2"/>
      <c r="K9" s="2"/>
      <c r="L9" s="2"/>
      <c r="M9" s="2"/>
      <c r="N9" s="2"/>
      <c r="O9" s="2"/>
      <c r="P9" s="2"/>
      <c r="Q9" s="2"/>
      <c r="R9" s="2"/>
      <c r="S9" s="2"/>
      <c r="T9" s="2"/>
      <c r="U9" s="2"/>
      <c r="V9" s="2"/>
      <c r="W9" s="2"/>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C15AA-8C6B-464F-BFC7-E96E331A8D7D}">
  <sheetPr codeName="Sheet11"/>
  <dimension ref="A1:W9"/>
  <sheetViews>
    <sheetView workbookViewId="0">
      <selection activeCell="B1" sqref="B1"/>
    </sheetView>
  </sheetViews>
  <sheetFormatPr baseColWidth="10" defaultRowHeight="16" x14ac:dyDescent="0.2"/>
  <cols>
    <col min="1" max="1" width="4.83203125" style="24" customWidth="1"/>
    <col min="2" max="2" width="49.83203125" style="24" customWidth="1"/>
    <col min="3" max="13" width="10.83203125" style="24"/>
    <col min="14" max="14" width="10.83203125" style="183"/>
    <col min="15" max="16384" width="10.83203125" style="24"/>
  </cols>
  <sheetData>
    <row r="1" spans="1:23" s="17" customFormat="1" ht="20" customHeight="1" x14ac:dyDescent="0.2">
      <c r="A1" s="12" t="s">
        <v>75</v>
      </c>
      <c r="B1" s="150" t="s">
        <v>73</v>
      </c>
      <c r="C1" s="10" t="s">
        <v>58</v>
      </c>
      <c r="D1" s="10">
        <v>2009</v>
      </c>
      <c r="E1" s="10">
        <v>2010</v>
      </c>
      <c r="F1" s="10">
        <v>2011</v>
      </c>
      <c r="G1" s="10">
        <v>2012</v>
      </c>
      <c r="H1" s="10">
        <v>2013</v>
      </c>
      <c r="I1" s="10">
        <v>2014</v>
      </c>
      <c r="J1" s="10">
        <v>2015</v>
      </c>
      <c r="K1" s="10">
        <v>2016</v>
      </c>
      <c r="L1" s="10">
        <v>2017</v>
      </c>
      <c r="M1" s="10">
        <v>2018</v>
      </c>
      <c r="N1" s="10" t="s">
        <v>2456</v>
      </c>
    </row>
    <row r="2" spans="1:23" ht="20" x14ac:dyDescent="0.2">
      <c r="B2" s="39" t="s">
        <v>70</v>
      </c>
      <c r="C2" s="40" t="s">
        <v>181</v>
      </c>
      <c r="D2" s="37"/>
      <c r="E2" s="37"/>
      <c r="F2" s="37"/>
      <c r="G2" s="37"/>
      <c r="H2" s="37"/>
      <c r="I2" s="37"/>
      <c r="J2" s="37"/>
      <c r="K2" s="37"/>
      <c r="L2" s="37"/>
      <c r="M2" s="37"/>
      <c r="N2" s="22" t="s">
        <v>497</v>
      </c>
    </row>
    <row r="3" spans="1:23" ht="20" x14ac:dyDescent="0.2">
      <c r="B3" s="39" t="s">
        <v>71</v>
      </c>
      <c r="C3" s="40" t="s">
        <v>181</v>
      </c>
      <c r="D3" s="37"/>
      <c r="E3" s="37"/>
      <c r="F3" s="37"/>
      <c r="G3" s="37"/>
      <c r="H3" s="37"/>
      <c r="I3" s="37"/>
      <c r="J3" s="37">
        <f t="shared" ref="J3:M3" si="0">J2-I2</f>
        <v>0</v>
      </c>
      <c r="K3" s="37">
        <f t="shared" si="0"/>
        <v>0</v>
      </c>
      <c r="L3" s="37">
        <f t="shared" si="0"/>
        <v>0</v>
      </c>
      <c r="M3" s="37">
        <f t="shared" si="0"/>
        <v>0</v>
      </c>
      <c r="N3" s="34"/>
    </row>
    <row r="4" spans="1:23" ht="20" x14ac:dyDescent="0.2">
      <c r="B4" s="39" t="s">
        <v>72</v>
      </c>
      <c r="C4" s="40" t="s">
        <v>44</v>
      </c>
      <c r="D4" s="41"/>
      <c r="E4" s="41"/>
      <c r="F4" s="41"/>
      <c r="G4" s="41"/>
      <c r="H4" s="41"/>
      <c r="I4" s="41"/>
      <c r="J4" s="41" t="e">
        <f t="shared" ref="J4:M4" si="1">J3/I2</f>
        <v>#DIV/0!</v>
      </c>
      <c r="K4" s="41" t="e">
        <f t="shared" si="1"/>
        <v>#DIV/0!</v>
      </c>
      <c r="L4" s="41" t="e">
        <f t="shared" si="1"/>
        <v>#DIV/0!</v>
      </c>
      <c r="M4" s="41" t="e">
        <f t="shared" si="1"/>
        <v>#DIV/0!</v>
      </c>
      <c r="N4" s="74" t="e">
        <f>(M2/D2)^(1/(9))-1</f>
        <v>#DIV/0!</v>
      </c>
    </row>
    <row r="5" spans="1:23" ht="19" x14ac:dyDescent="0.25">
      <c r="A5" s="8"/>
      <c r="C5" s="23"/>
      <c r="D5" s="26"/>
      <c r="E5" s="26"/>
      <c r="F5" s="26"/>
      <c r="G5" s="26"/>
      <c r="H5" s="26"/>
      <c r="I5" s="26"/>
      <c r="J5" s="26"/>
      <c r="K5" s="26"/>
      <c r="L5" s="26"/>
      <c r="M5" s="26"/>
      <c r="N5" s="2"/>
      <c r="O5" s="2"/>
      <c r="P5" s="2"/>
      <c r="Q5" s="2"/>
      <c r="R5" s="2"/>
      <c r="S5" s="2"/>
      <c r="T5" s="2"/>
      <c r="U5" s="2"/>
      <c r="V5" s="2"/>
      <c r="W5" s="2"/>
    </row>
    <row r="6" spans="1:23" s="8" customFormat="1" ht="19" x14ac:dyDescent="0.2">
      <c r="A6" s="35" t="s">
        <v>37</v>
      </c>
      <c r="B6" s="45"/>
      <c r="N6" s="183"/>
    </row>
    <row r="7" spans="1:23" s="2" customFormat="1" ht="19" x14ac:dyDescent="0.25">
      <c r="B7" s="24"/>
      <c r="C7" s="24"/>
      <c r="D7" s="24"/>
      <c r="E7" s="24"/>
      <c r="F7" s="24"/>
      <c r="G7" s="24"/>
      <c r="H7" s="24"/>
      <c r="I7" s="24"/>
      <c r="J7" s="24"/>
      <c r="K7" s="24"/>
      <c r="L7" s="24"/>
      <c r="M7" s="24"/>
    </row>
    <row r="8" spans="1:23" s="2" customFormat="1" ht="19" x14ac:dyDescent="0.25">
      <c r="C8" s="24"/>
      <c r="D8" s="24"/>
      <c r="E8" s="24"/>
      <c r="F8" s="24"/>
      <c r="G8" s="24"/>
      <c r="H8" s="24"/>
      <c r="I8" s="24"/>
      <c r="J8" s="24"/>
      <c r="K8" s="24"/>
      <c r="L8" s="24"/>
      <c r="M8" s="24"/>
    </row>
    <row r="9" spans="1:23" ht="19" x14ac:dyDescent="0.25">
      <c r="B9" s="2"/>
      <c r="C9" s="2"/>
      <c r="D9" s="2"/>
      <c r="E9" s="2"/>
      <c r="F9" s="2"/>
      <c r="G9" s="2"/>
      <c r="H9" s="2"/>
      <c r="I9" s="2"/>
      <c r="J9" s="2"/>
      <c r="K9" s="2"/>
      <c r="L9" s="2"/>
      <c r="M9" s="2"/>
      <c r="N9" s="2"/>
      <c r="O9" s="2"/>
      <c r="P9" s="2"/>
      <c r="Q9" s="2"/>
      <c r="R9" s="2"/>
      <c r="S9" s="2"/>
      <c r="T9" s="2"/>
      <c r="U9" s="2"/>
      <c r="V9" s="2"/>
      <c r="W9" s="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377BA-8388-4C4B-9C9F-FCAF32F26943}">
  <sheetPr codeName="Sheet12"/>
  <dimension ref="A1:AJ35"/>
  <sheetViews>
    <sheetView workbookViewId="0">
      <selection activeCell="B16" sqref="B16"/>
    </sheetView>
  </sheetViews>
  <sheetFormatPr baseColWidth="10" defaultRowHeight="16" x14ac:dyDescent="0.2"/>
  <cols>
    <col min="1" max="1" width="4.83203125" style="18" customWidth="1"/>
    <col min="2" max="2" width="49.83203125" style="18" customWidth="1"/>
    <col min="3" max="21" width="10.83203125" style="18"/>
    <col min="22" max="23" width="10.83203125" style="18" customWidth="1"/>
    <col min="24" max="34" width="10.83203125" style="197" customWidth="1"/>
    <col min="35" max="35" width="16.83203125" style="18" customWidth="1"/>
    <col min="36" max="36" width="37.83203125" style="18" customWidth="1"/>
    <col min="37" max="16384" width="10.83203125" style="18"/>
  </cols>
  <sheetData>
    <row r="1" spans="1:36" s="17" customFormat="1" ht="21" x14ac:dyDescent="0.25">
      <c r="A1" s="47" t="s">
        <v>75</v>
      </c>
      <c r="B1" s="311" t="s">
        <v>2461</v>
      </c>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s="17" customFormat="1" ht="21" x14ac:dyDescent="0.2">
      <c r="A2" s="310"/>
      <c r="B2" s="22"/>
      <c r="C2" s="10" t="s">
        <v>76</v>
      </c>
      <c r="D2" s="10">
        <v>2020</v>
      </c>
      <c r="E2" s="10">
        <v>2021</v>
      </c>
      <c r="F2" s="10">
        <v>2022</v>
      </c>
      <c r="G2" s="10">
        <v>2023</v>
      </c>
      <c r="H2" s="10">
        <v>2024</v>
      </c>
      <c r="I2" s="10">
        <v>2025</v>
      </c>
      <c r="J2" s="10">
        <v>2026</v>
      </c>
      <c r="K2" s="10">
        <v>2027</v>
      </c>
      <c r="L2" s="10">
        <v>2028</v>
      </c>
      <c r="M2" s="10">
        <v>2029</v>
      </c>
      <c r="N2" s="10">
        <v>2030</v>
      </c>
      <c r="O2" s="10">
        <v>2031</v>
      </c>
      <c r="P2" s="10">
        <v>2032</v>
      </c>
      <c r="Q2" s="10">
        <v>2033</v>
      </c>
      <c r="R2" s="10">
        <v>2034</v>
      </c>
      <c r="S2" s="10">
        <v>2035</v>
      </c>
      <c r="T2" s="10">
        <v>2036</v>
      </c>
      <c r="U2" s="10">
        <v>2037</v>
      </c>
      <c r="V2" s="10">
        <v>2038</v>
      </c>
      <c r="W2" s="10">
        <v>2039</v>
      </c>
      <c r="X2" s="42">
        <f>W2+1</f>
        <v>2040</v>
      </c>
      <c r="Y2" s="42">
        <f t="shared" ref="Y2:AH2" si="0">X2+1</f>
        <v>2041</v>
      </c>
      <c r="Z2" s="42">
        <f t="shared" si="0"/>
        <v>2042</v>
      </c>
      <c r="AA2" s="42">
        <f t="shared" si="0"/>
        <v>2043</v>
      </c>
      <c r="AB2" s="42">
        <f t="shared" si="0"/>
        <v>2044</v>
      </c>
      <c r="AC2" s="42">
        <f t="shared" si="0"/>
        <v>2045</v>
      </c>
      <c r="AD2" s="42">
        <f t="shared" si="0"/>
        <v>2046</v>
      </c>
      <c r="AE2" s="42">
        <f t="shared" si="0"/>
        <v>2047</v>
      </c>
      <c r="AF2" s="42">
        <f t="shared" si="0"/>
        <v>2048</v>
      </c>
      <c r="AG2" s="42">
        <f t="shared" si="0"/>
        <v>2049</v>
      </c>
      <c r="AH2" s="42">
        <f t="shared" si="0"/>
        <v>2050</v>
      </c>
      <c r="AI2" s="10" t="s">
        <v>4418</v>
      </c>
      <c r="AJ2" s="10" t="s">
        <v>32</v>
      </c>
    </row>
    <row r="3" spans="1:36" s="48" customFormat="1" ht="20" x14ac:dyDescent="0.2">
      <c r="B3" s="22" t="s">
        <v>4415</v>
      </c>
      <c r="C3" s="22" t="s">
        <v>4416</v>
      </c>
      <c r="D3" s="36">
        <v>9462</v>
      </c>
      <c r="E3" s="308">
        <v>9639.4830743485145</v>
      </c>
      <c r="F3" s="308">
        <v>9819.282876992238</v>
      </c>
      <c r="G3" s="308">
        <v>9933.5329133972609</v>
      </c>
      <c r="H3" s="308">
        <v>9993.8055390447407</v>
      </c>
      <c r="I3" s="308">
        <v>10076.967531695891</v>
      </c>
      <c r="J3" s="308">
        <v>10161.969692145549</v>
      </c>
      <c r="K3" s="308">
        <v>10252.213937953538</v>
      </c>
      <c r="L3" s="308">
        <v>10344.579313228825</v>
      </c>
      <c r="M3" s="308">
        <v>10362.952150672831</v>
      </c>
      <c r="N3" s="308">
        <v>10390.590958878653</v>
      </c>
      <c r="O3" s="308">
        <v>10482.938710674087</v>
      </c>
      <c r="P3" s="308">
        <v>10556.981781065231</v>
      </c>
      <c r="Q3" s="308">
        <v>10575.837077699773</v>
      </c>
      <c r="R3" s="308">
        <v>10534.556595288585</v>
      </c>
      <c r="S3" s="308">
        <v>10559.739113989954</v>
      </c>
      <c r="T3" s="308">
        <v>10537.35427932229</v>
      </c>
      <c r="U3" s="308">
        <v>10538.364061260958</v>
      </c>
      <c r="V3" s="308">
        <v>10557.062082970091</v>
      </c>
      <c r="W3" s="308">
        <v>10578.123768554909</v>
      </c>
      <c r="X3" s="308">
        <v>10599.926669532219</v>
      </c>
      <c r="Y3" s="308">
        <v>10614.886520288585</v>
      </c>
      <c r="Z3" s="37"/>
      <c r="AA3" s="37"/>
      <c r="AB3" s="37"/>
      <c r="AC3" s="37"/>
      <c r="AD3" s="37"/>
      <c r="AE3" s="37"/>
      <c r="AF3" s="37"/>
      <c r="AG3" s="37"/>
      <c r="AH3" s="37"/>
      <c r="AI3" s="34"/>
      <c r="AJ3" s="34"/>
    </row>
    <row r="4" spans="1:36" s="48" customFormat="1" ht="20" x14ac:dyDescent="0.2">
      <c r="B4" s="22" t="s">
        <v>4417</v>
      </c>
      <c r="C4" s="22" t="s">
        <v>4423</v>
      </c>
      <c r="D4" s="36">
        <f>D3*8784/1000</f>
        <v>83114.207999999999</v>
      </c>
      <c r="E4" s="36">
        <f>E3*8760/1000</f>
        <v>84441.871731292995</v>
      </c>
      <c r="F4" s="36">
        <f t="shared" ref="F4:G4" si="1">F3*8760/1000</f>
        <v>86016.918002452003</v>
      </c>
      <c r="G4" s="36">
        <f t="shared" si="1"/>
        <v>87017.748321360006</v>
      </c>
      <c r="H4" s="36">
        <f t="shared" ref="H4" si="2">H3*8784/1000</f>
        <v>87785.58785496901</v>
      </c>
      <c r="I4" s="36">
        <f t="shared" ref="I4" si="3">I3*8760/1000</f>
        <v>88274.235577656</v>
      </c>
      <c r="J4" s="36">
        <f t="shared" ref="J4" si="4">J3*8760/1000</f>
        <v>89018.854503195005</v>
      </c>
      <c r="K4" s="36">
        <f t="shared" ref="K4" si="5">K3*8760/1000</f>
        <v>89809.394096472999</v>
      </c>
      <c r="L4" s="36">
        <f t="shared" ref="L4" si="6">L3*8784/1000</f>
        <v>90866.784687401989</v>
      </c>
      <c r="M4" s="36">
        <f t="shared" ref="M4" si="7">M3*8760/1000</f>
        <v>90779.460839894004</v>
      </c>
      <c r="N4" s="36">
        <f t="shared" ref="N4" si="8">N3*8760/1000</f>
        <v>91021.576799777002</v>
      </c>
      <c r="O4" s="36">
        <f t="shared" ref="O4" si="9">O3*8760/1000</f>
        <v>91830.543105504999</v>
      </c>
      <c r="P4" s="36">
        <f t="shared" ref="P4" si="10">P3*8784/1000</f>
        <v>92732.527964876994</v>
      </c>
      <c r="Q4" s="36">
        <f t="shared" ref="Q4" si="11">Q3*8760/1000</f>
        <v>92644.332800650009</v>
      </c>
      <c r="R4" s="36">
        <f t="shared" ref="R4" si="12">R3*8760/1000</f>
        <v>92282.715774728</v>
      </c>
      <c r="S4" s="36">
        <f t="shared" ref="S4" si="13">S3*8760/1000</f>
        <v>92503.314638551994</v>
      </c>
      <c r="T4" s="36">
        <f t="shared" ref="T4" si="14">T3*8784/1000</f>
        <v>92560.119989567</v>
      </c>
      <c r="U4" s="36">
        <f t="shared" ref="U4" si="15">U3*8760/1000</f>
        <v>92316.069176645993</v>
      </c>
      <c r="V4" s="36">
        <f t="shared" ref="V4" si="16">V3*8760/1000</f>
        <v>92479.863846818</v>
      </c>
      <c r="W4" s="36">
        <f t="shared" ref="W4" si="17">W3*8760/1000</f>
        <v>92664.364212541012</v>
      </c>
      <c r="X4" s="36">
        <f t="shared" ref="X4" si="18">X3*8784/1000</f>
        <v>93109.755865170999</v>
      </c>
      <c r="Y4" s="36">
        <f t="shared" ref="Y4" si="19">Y3*8760/1000</f>
        <v>92986.405917728</v>
      </c>
      <c r="Z4" s="37">
        <f>Y4*(1+Z5)</f>
        <v>93102.789376130313</v>
      </c>
      <c r="AA4" s="37">
        <f t="shared" ref="AA4:AH4" si="20">Z4*(1+AA5)</f>
        <v>93219.318502162816</v>
      </c>
      <c r="AB4" s="37">
        <f t="shared" si="20"/>
        <v>93335.993478145741</v>
      </c>
      <c r="AC4" s="37">
        <f t="shared" si="20"/>
        <v>93452.814486627496</v>
      </c>
      <c r="AD4" s="37">
        <f t="shared" si="20"/>
        <v>93569.781710384996</v>
      </c>
      <c r="AE4" s="37">
        <f t="shared" si="20"/>
        <v>93686.895332423897</v>
      </c>
      <c r="AF4" s="37">
        <f t="shared" si="20"/>
        <v>93804.155535978934</v>
      </c>
      <c r="AG4" s="37">
        <f t="shared" si="20"/>
        <v>93921.562504514164</v>
      </c>
      <c r="AH4" s="37">
        <f t="shared" si="20"/>
        <v>94039.116421723273</v>
      </c>
      <c r="AI4" s="34" t="s">
        <v>4419</v>
      </c>
      <c r="AJ4" s="11" t="s">
        <v>4344</v>
      </c>
    </row>
    <row r="5" spans="1:36" s="6" customFormat="1" ht="20" x14ac:dyDescent="0.2">
      <c r="B5" s="22"/>
      <c r="C5" s="22"/>
      <c r="D5" s="74"/>
      <c r="E5" s="74">
        <f>(E4-D4)/D4</f>
        <v>1.5973968389291469E-2</v>
      </c>
      <c r="F5" s="74">
        <f t="shared" ref="F5:W5" si="21">(F4-E4)/E4</f>
        <v>1.8652432008743804E-2</v>
      </c>
      <c r="G5" s="74">
        <f t="shared" si="21"/>
        <v>1.1635272945718349E-2</v>
      </c>
      <c r="H5" s="74">
        <f t="shared" si="21"/>
        <v>8.8239416489305309E-3</v>
      </c>
      <c r="I5" s="74">
        <f t="shared" si="21"/>
        <v>5.5663775185317141E-3</v>
      </c>
      <c r="J5" s="74">
        <f t="shared" si="21"/>
        <v>8.4352916869379676E-3</v>
      </c>
      <c r="K5" s="74">
        <f t="shared" si="21"/>
        <v>8.8805860027059806E-3</v>
      </c>
      <c r="L5" s="74">
        <f t="shared" si="21"/>
        <v>1.177371923691127E-2</v>
      </c>
      <c r="M5" s="74">
        <f t="shared" si="21"/>
        <v>-9.6100954609976423E-4</v>
      </c>
      <c r="N5" s="74">
        <f t="shared" si="21"/>
        <v>2.6670786281713372E-3</v>
      </c>
      <c r="O5" s="74">
        <f t="shared" si="21"/>
        <v>8.8876322974222478E-3</v>
      </c>
      <c r="P5" s="74">
        <f t="shared" si="21"/>
        <v>9.8222751262147627E-3</v>
      </c>
      <c r="Q5" s="74">
        <f t="shared" si="21"/>
        <v>-9.5107041900539498E-4</v>
      </c>
      <c r="R5" s="74">
        <f t="shared" si="21"/>
        <v>-3.9032827480136134E-3</v>
      </c>
      <c r="S5" s="74">
        <f t="shared" si="21"/>
        <v>2.3904678354124262E-3</v>
      </c>
      <c r="T5" s="74">
        <f t="shared" si="21"/>
        <v>6.1408989761034289E-4</v>
      </c>
      <c r="U5" s="74">
        <f t="shared" si="21"/>
        <v>-2.636673471777208E-3</v>
      </c>
      <c r="V5" s="74">
        <f t="shared" si="21"/>
        <v>1.7742812452140582E-3</v>
      </c>
      <c r="W5" s="74">
        <f t="shared" si="21"/>
        <v>1.9950328433507958E-3</v>
      </c>
      <c r="X5" s="74">
        <f>(X4-W4)/W4</f>
        <v>4.8065041660287867E-3</v>
      </c>
      <c r="Y5" s="74">
        <f t="shared" ref="Y5" si="22">(Y4-X4)/X4</f>
        <v>-1.3247800544297192E-3</v>
      </c>
      <c r="Z5" s="91">
        <f>$AI5</f>
        <v>1.2516179892498869E-3</v>
      </c>
      <c r="AA5" s="91">
        <f t="shared" ref="AA5:AH5" si="23">$AI5</f>
        <v>1.2516179892498869E-3</v>
      </c>
      <c r="AB5" s="91">
        <f t="shared" si="23"/>
        <v>1.2516179892498869E-3</v>
      </c>
      <c r="AC5" s="91">
        <f t="shared" si="23"/>
        <v>1.2516179892498869E-3</v>
      </c>
      <c r="AD5" s="91">
        <f t="shared" si="23"/>
        <v>1.2516179892498869E-3</v>
      </c>
      <c r="AE5" s="91">
        <f t="shared" si="23"/>
        <v>1.2516179892498869E-3</v>
      </c>
      <c r="AF5" s="91">
        <f t="shared" si="23"/>
        <v>1.2516179892498869E-3</v>
      </c>
      <c r="AG5" s="91">
        <f t="shared" si="23"/>
        <v>1.2516179892498869E-3</v>
      </c>
      <c r="AH5" s="91">
        <f t="shared" si="23"/>
        <v>1.2516179892498869E-3</v>
      </c>
      <c r="AI5" s="91">
        <f>(Y4/O4)^(1/(10))-1</f>
        <v>1.2516179892498869E-3</v>
      </c>
      <c r="AJ5" s="309" t="s">
        <v>2457</v>
      </c>
    </row>
    <row r="6" spans="1:36" s="2" customFormat="1" ht="19" x14ac:dyDescent="0.25"/>
    <row r="7" spans="1:36" s="48" customFormat="1" ht="20" x14ac:dyDescent="0.2">
      <c r="B7" s="22" t="s">
        <v>4415</v>
      </c>
      <c r="C7" s="22" t="s">
        <v>4416</v>
      </c>
      <c r="D7" s="36">
        <v>9462</v>
      </c>
      <c r="E7" s="308">
        <v>9535.9925055999993</v>
      </c>
      <c r="F7" s="308">
        <v>9704.1523567999993</v>
      </c>
      <c r="G7" s="308">
        <v>9813.6318809999993</v>
      </c>
      <c r="H7" s="308">
        <v>9865.5482565999991</v>
      </c>
      <c r="I7" s="308">
        <v>9924.9125760999996</v>
      </c>
      <c r="J7" s="308">
        <v>9896.4566348999997</v>
      </c>
      <c r="K7" s="308">
        <v>9885.0990935000009</v>
      </c>
      <c r="L7" s="308">
        <v>9908.6862789999996</v>
      </c>
      <c r="M7" s="308">
        <v>9907.7101827000006</v>
      </c>
      <c r="N7" s="308">
        <v>9907.6960509</v>
      </c>
      <c r="O7" s="308">
        <v>9889.8967833999995</v>
      </c>
      <c r="P7" s="308">
        <v>9884.0721553999992</v>
      </c>
      <c r="Q7" s="308">
        <v>9842.5761775999999</v>
      </c>
      <c r="R7" s="308">
        <v>9768.3701987000004</v>
      </c>
      <c r="S7" s="308">
        <v>9722.9417494999998</v>
      </c>
      <c r="T7" s="308">
        <v>9715.9620464</v>
      </c>
      <c r="U7" s="308">
        <v>9657.7242260000003</v>
      </c>
      <c r="V7" s="308">
        <v>9668.2844337999995</v>
      </c>
      <c r="W7" s="308">
        <v>9682.5243773999991</v>
      </c>
      <c r="X7" s="308">
        <v>9698.1501910999996</v>
      </c>
      <c r="Y7" s="308">
        <v>9712.3427843999998</v>
      </c>
      <c r="Z7" s="37"/>
      <c r="AA7" s="37"/>
      <c r="AB7" s="37"/>
      <c r="AC7" s="37"/>
      <c r="AD7" s="37"/>
      <c r="AE7" s="37"/>
      <c r="AF7" s="37"/>
      <c r="AG7" s="37"/>
      <c r="AH7" s="37"/>
      <c r="AI7" s="34"/>
      <c r="AJ7" s="11" t="s">
        <v>4422</v>
      </c>
    </row>
    <row r="8" spans="1:36" s="48" customFormat="1" ht="20" x14ac:dyDescent="0.2">
      <c r="B8" s="22" t="s">
        <v>4417</v>
      </c>
      <c r="C8" s="22" t="s">
        <v>4423</v>
      </c>
      <c r="D8" s="36">
        <f>D7*8784/1000</f>
        <v>83114.207999999999</v>
      </c>
      <c r="E8" s="36">
        <f>E7*8760/1000</f>
        <v>83535.294349055985</v>
      </c>
      <c r="F8" s="36">
        <f t="shared" ref="F8" si="24">F7*8760/1000</f>
        <v>85008.374645567994</v>
      </c>
      <c r="G8" s="36">
        <f t="shared" ref="G8" si="25">G7*8760/1000</f>
        <v>85967.415277559994</v>
      </c>
      <c r="H8" s="36">
        <f t="shared" ref="H8" si="26">H7*8784/1000</f>
        <v>86658.975885974389</v>
      </c>
      <c r="I8" s="36">
        <f t="shared" ref="I8" si="27">I7*8760/1000</f>
        <v>86942.234166635986</v>
      </c>
      <c r="J8" s="36">
        <f t="shared" ref="J8" si="28">J7*8760/1000</f>
        <v>86692.960121723998</v>
      </c>
      <c r="K8" s="36">
        <f t="shared" ref="K8" si="29">K7*8760/1000</f>
        <v>86593.468059060004</v>
      </c>
      <c r="L8" s="36">
        <f t="shared" ref="L8" si="30">L7*8784/1000</f>
        <v>87037.900274736006</v>
      </c>
      <c r="M8" s="36">
        <f t="shared" ref="M8" si="31">M7*8760/1000</f>
        <v>86791.541200452004</v>
      </c>
      <c r="N8" s="36">
        <f t="shared" ref="N8" si="32">N7*8760/1000</f>
        <v>86791.417405884</v>
      </c>
      <c r="O8" s="36">
        <f t="shared" ref="O8" si="33">O7*8760/1000</f>
        <v>86635.495822584009</v>
      </c>
      <c r="P8" s="36">
        <f t="shared" ref="P8" si="34">P7*8784/1000</f>
        <v>86821.68981303359</v>
      </c>
      <c r="Q8" s="36">
        <f t="shared" ref="Q8" si="35">Q7*8760/1000</f>
        <v>86220.967315776012</v>
      </c>
      <c r="R8" s="36">
        <f t="shared" ref="R8" si="36">R7*8760/1000</f>
        <v>85570.922940611999</v>
      </c>
      <c r="S8" s="36">
        <f t="shared" ref="S8" si="37">S7*8760/1000</f>
        <v>85172.969725620002</v>
      </c>
      <c r="T8" s="36">
        <f t="shared" ref="T8" si="38">T7*8784/1000</f>
        <v>85345.010615577587</v>
      </c>
      <c r="U8" s="36">
        <f t="shared" ref="U8" si="39">U7*8760/1000</f>
        <v>84601.664219760001</v>
      </c>
      <c r="V8" s="36">
        <f t="shared" ref="V8" si="40">V7*8760/1000</f>
        <v>84694.171640087996</v>
      </c>
      <c r="W8" s="36">
        <f t="shared" ref="W8" si="41">W7*8760/1000</f>
        <v>84818.913546023992</v>
      </c>
      <c r="X8" s="36">
        <f t="shared" ref="X8" si="42">X7*8784/1000</f>
        <v>85188.551278622384</v>
      </c>
      <c r="Y8" s="36">
        <f t="shared" ref="Y8" si="43">Y7*8760/1000</f>
        <v>85080.122791344009</v>
      </c>
      <c r="Z8" s="37">
        <f>Y8*(1+Z9)</f>
        <v>84926.12963578479</v>
      </c>
      <c r="AA8" s="37">
        <f t="shared" ref="AA8" si="44">Z8*(1+AA9)</f>
        <v>84772.415204458463</v>
      </c>
      <c r="AB8" s="37">
        <f t="shared" ref="AB8" si="45">AA8*(1+AB9)</f>
        <v>84618.978992880278</v>
      </c>
      <c r="AC8" s="37">
        <f t="shared" ref="AC8" si="46">AB8*(1+AC9)</f>
        <v>84465.820497478591</v>
      </c>
      <c r="AD8" s="37">
        <f t="shared" ref="AD8" si="47">AC8*(1+AD9)</f>
        <v>84312.939215593215</v>
      </c>
      <c r="AE8" s="37">
        <f t="shared" ref="AE8" si="48">AD8*(1+AE9)</f>
        <v>84160.334645473777</v>
      </c>
      <c r="AF8" s="37">
        <f t="shared" ref="AF8" si="49">AE8*(1+AF9)</f>
        <v>84008.006286278047</v>
      </c>
      <c r="AG8" s="37">
        <f t="shared" ref="AG8" si="50">AF8*(1+AG9)</f>
        <v>83855.953638070321</v>
      </c>
      <c r="AH8" s="37">
        <f t="shared" ref="AH8" si="51">AG8*(1+AH9)</f>
        <v>83704.176201819748</v>
      </c>
      <c r="AI8" s="34" t="s">
        <v>4419</v>
      </c>
      <c r="AJ8" s="11" t="s">
        <v>4344</v>
      </c>
    </row>
    <row r="9" spans="1:36" s="6" customFormat="1" ht="20" x14ac:dyDescent="0.2">
      <c r="B9" s="22"/>
      <c r="C9" s="22"/>
      <c r="D9" s="74"/>
      <c r="E9" s="74">
        <f>(E8-D8)/D8</f>
        <v>5.0663581978184274E-3</v>
      </c>
      <c r="F9" s="74">
        <f t="shared" ref="F9" si="52">(F8-E8)/E8</f>
        <v>1.7634226442737808E-2</v>
      </c>
      <c r="G9" s="74">
        <f t="shared" ref="G9" si="53">(G8-F8)/F8</f>
        <v>1.1281719430474971E-2</v>
      </c>
      <c r="H9" s="74">
        <f t="shared" ref="H9" si="54">(H8-G8)/G8</f>
        <v>8.0444504023015825E-3</v>
      </c>
      <c r="I9" s="74">
        <f t="shared" ref="I9" si="55">(I8-H8)/H8</f>
        <v>3.2686548365665866E-3</v>
      </c>
      <c r="J9" s="74">
        <f t="shared" ref="J9" si="56">(J8-I8)/I8</f>
        <v>-2.8671226050416706E-3</v>
      </c>
      <c r="K9" s="74">
        <f t="shared" ref="K9" si="57">(K8-J8)/J8</f>
        <v>-1.1476371613600362E-3</v>
      </c>
      <c r="L9" s="74">
        <f t="shared" ref="L9" si="58">(L8-K8)/K8</f>
        <v>5.1323988475999501E-3</v>
      </c>
      <c r="M9" s="74">
        <f t="shared" ref="M9" si="59">(M8-L8)/L8</f>
        <v>-2.8304804402032625E-3</v>
      </c>
      <c r="N9" s="74">
        <f t="shared" ref="N9" si="60">(N8-M8)/M8</f>
        <v>-1.4263436999946016E-6</v>
      </c>
      <c r="O9" s="74">
        <f t="shared" ref="O9" si="61">(O8-N8)/N8</f>
        <v>-1.7965092397421785E-3</v>
      </c>
      <c r="P9" s="74">
        <f t="shared" ref="P9" si="62">(P8-O8)/O8</f>
        <v>2.1491651739476095E-3</v>
      </c>
      <c r="Q9" s="74">
        <f t="shared" ref="Q9" si="63">(Q8-P8)/P8</f>
        <v>-6.9190371501776362E-3</v>
      </c>
      <c r="R9" s="74">
        <f t="shared" ref="R9" si="64">(R8-Q8)/Q8</f>
        <v>-7.5392841834317076E-3</v>
      </c>
      <c r="S9" s="74">
        <f t="shared" ref="S9" si="65">(S8-R8)/R8</f>
        <v>-4.6505658851919316E-3</v>
      </c>
      <c r="T9" s="74">
        <f t="shared" ref="T9" si="66">(T8-S8)/S8</f>
        <v>2.019900098726218E-3</v>
      </c>
      <c r="U9" s="74">
        <f t="shared" ref="U9" si="67">(U8-T8)/T8</f>
        <v>-8.709898686003633E-3</v>
      </c>
      <c r="V9" s="74">
        <f t="shared" ref="V9" si="68">(V8-U8)/U8</f>
        <v>1.0934468155106116E-3</v>
      </c>
      <c r="W9" s="74">
        <f t="shared" ref="W9" si="69">(W8-V8)/V8</f>
        <v>1.4728511244680817E-3</v>
      </c>
      <c r="X9" s="74">
        <f>(X8-W8)/W8</f>
        <v>4.3579635383778088E-3</v>
      </c>
      <c r="Y9" s="74">
        <f t="shared" ref="Y9" si="70">(Y8-X8)/X8</f>
        <v>-1.2728058600708367E-3</v>
      </c>
      <c r="Z9" s="91">
        <f>$AI9</f>
        <v>-1.8099780595860482E-3</v>
      </c>
      <c r="AA9" s="91">
        <f t="shared" ref="AA9:AH9" si="71">$AI9</f>
        <v>-1.8099780595860482E-3</v>
      </c>
      <c r="AB9" s="91">
        <f t="shared" si="71"/>
        <v>-1.8099780595860482E-3</v>
      </c>
      <c r="AC9" s="91">
        <f t="shared" si="71"/>
        <v>-1.8099780595860482E-3</v>
      </c>
      <c r="AD9" s="91">
        <f t="shared" si="71"/>
        <v>-1.8099780595860482E-3</v>
      </c>
      <c r="AE9" s="91">
        <f t="shared" si="71"/>
        <v>-1.8099780595860482E-3</v>
      </c>
      <c r="AF9" s="91">
        <f t="shared" si="71"/>
        <v>-1.8099780595860482E-3</v>
      </c>
      <c r="AG9" s="91">
        <f t="shared" si="71"/>
        <v>-1.8099780595860482E-3</v>
      </c>
      <c r="AH9" s="91">
        <f t="shared" si="71"/>
        <v>-1.8099780595860482E-3</v>
      </c>
      <c r="AI9" s="91">
        <f>(Y8/O8)^(1/(10))-1</f>
        <v>-1.8099780595860482E-3</v>
      </c>
      <c r="AJ9" s="79" t="s">
        <v>2458</v>
      </c>
    </row>
    <row r="10" spans="1:36" s="2" customFormat="1" ht="19" x14ac:dyDescent="0.25"/>
    <row r="11" spans="1:36" s="48" customFormat="1" ht="20" x14ac:dyDescent="0.2">
      <c r="B11" s="22" t="s">
        <v>4415</v>
      </c>
      <c r="C11" s="22" t="s">
        <v>4416</v>
      </c>
      <c r="D11" s="36">
        <v>9462</v>
      </c>
      <c r="E11" s="308">
        <v>9652.7911594007019</v>
      </c>
      <c r="F11" s="308">
        <v>9828.8856141860524</v>
      </c>
      <c r="G11" s="308">
        <v>9942.9176063892501</v>
      </c>
      <c r="H11" s="308">
        <v>10021.514204783658</v>
      </c>
      <c r="I11" s="308">
        <v>10096.576311900693</v>
      </c>
      <c r="J11" s="308">
        <v>10151.999414036558</v>
      </c>
      <c r="K11" s="308">
        <v>10171.67945904453</v>
      </c>
      <c r="L11" s="308">
        <v>10203.610269839428</v>
      </c>
      <c r="M11" s="308">
        <v>10197.002014316175</v>
      </c>
      <c r="N11" s="308">
        <v>10224.74552441547</v>
      </c>
      <c r="O11" s="308">
        <v>10266.259264973798</v>
      </c>
      <c r="P11" s="308">
        <v>10320.625934038044</v>
      </c>
      <c r="Q11" s="308">
        <v>10341.794135565089</v>
      </c>
      <c r="R11" s="308">
        <v>10368.776684318504</v>
      </c>
      <c r="S11" s="308">
        <v>10420.678707930374</v>
      </c>
      <c r="T11" s="308">
        <v>10520.409658490415</v>
      </c>
      <c r="U11" s="308">
        <v>10650.900928529731</v>
      </c>
      <c r="V11" s="308">
        <v>10795.804307103906</v>
      </c>
      <c r="W11" s="308">
        <v>10967.601102233986</v>
      </c>
      <c r="X11" s="308">
        <v>11177.395886535734</v>
      </c>
      <c r="Y11" s="308">
        <v>11395.662829990906</v>
      </c>
      <c r="Z11" s="37"/>
      <c r="AA11" s="37"/>
      <c r="AB11" s="37"/>
      <c r="AC11" s="37"/>
      <c r="AD11" s="37"/>
      <c r="AE11" s="37"/>
      <c r="AF11" s="37"/>
      <c r="AG11" s="37"/>
      <c r="AH11" s="37"/>
      <c r="AI11" s="34"/>
      <c r="AJ11" s="11" t="s">
        <v>4421</v>
      </c>
    </row>
    <row r="12" spans="1:36" s="48" customFormat="1" ht="20" x14ac:dyDescent="0.2">
      <c r="B12" s="22" t="s">
        <v>4417</v>
      </c>
      <c r="C12" s="22" t="s">
        <v>4423</v>
      </c>
      <c r="D12" s="36">
        <f>D11*8784/1000</f>
        <v>83114.207999999999</v>
      </c>
      <c r="E12" s="36">
        <f>E11*8760/1000</f>
        <v>84558.450556350144</v>
      </c>
      <c r="F12" s="36">
        <f t="shared" ref="F12" si="72">F11*8760/1000</f>
        <v>86101.037980269815</v>
      </c>
      <c r="G12" s="36">
        <f t="shared" ref="G12" si="73">G11*8760/1000</f>
        <v>87099.958231969838</v>
      </c>
      <c r="H12" s="36">
        <f t="shared" ref="H12" si="74">H11*8784/1000</f>
        <v>88028.980774819662</v>
      </c>
      <c r="I12" s="36">
        <f t="shared" ref="I12" si="75">I11*8760/1000</f>
        <v>88446.008492250068</v>
      </c>
      <c r="J12" s="36">
        <f t="shared" ref="J12" si="76">J11*8760/1000</f>
        <v>88931.514866960249</v>
      </c>
      <c r="K12" s="36">
        <f t="shared" ref="K12" si="77">K11*8760/1000</f>
        <v>89103.912061230076</v>
      </c>
      <c r="L12" s="36">
        <f t="shared" ref="L12" si="78">L11*8784/1000</f>
        <v>89628.512610269536</v>
      </c>
      <c r="M12" s="36">
        <f t="shared" ref="M12" si="79">M11*8760/1000</f>
        <v>89325.737645409681</v>
      </c>
      <c r="N12" s="36">
        <f t="shared" ref="N12" si="80">N11*8760/1000</f>
        <v>89568.770793879507</v>
      </c>
      <c r="O12" s="36">
        <f t="shared" ref="O12" si="81">O11*8760/1000</f>
        <v>89932.431161170462</v>
      </c>
      <c r="P12" s="36">
        <f t="shared" ref="P12" si="82">P11*8784/1000</f>
        <v>90656.378204590175</v>
      </c>
      <c r="Q12" s="36">
        <f t="shared" ref="Q12" si="83">Q11*8760/1000</f>
        <v>90594.116627550189</v>
      </c>
      <c r="R12" s="36">
        <f t="shared" ref="R12" si="84">R11*8760/1000</f>
        <v>90830.483754630084</v>
      </c>
      <c r="S12" s="36">
        <f t="shared" ref="S12" si="85">S11*8760/1000</f>
        <v>91285.145481470085</v>
      </c>
      <c r="T12" s="36">
        <f t="shared" ref="T12" si="86">T11*8784/1000</f>
        <v>92411.278440179798</v>
      </c>
      <c r="U12" s="36">
        <f t="shared" ref="U12" si="87">U11*8760/1000</f>
        <v>93301.892133920439</v>
      </c>
      <c r="V12" s="36">
        <f t="shared" ref="V12" si="88">V11*8760/1000</f>
        <v>94571.245730230221</v>
      </c>
      <c r="W12" s="36">
        <f t="shared" ref="W12" si="89">W11*8760/1000</f>
        <v>96076.185655569716</v>
      </c>
      <c r="X12" s="36">
        <f t="shared" ref="X12" si="90">X11*8784/1000</f>
        <v>98182.245467329893</v>
      </c>
      <c r="Y12" s="36">
        <f t="shared" ref="Y12" si="91">Y11*8760/1000</f>
        <v>99826.006390720344</v>
      </c>
      <c r="Z12" s="37">
        <f>Y12*(1+Z13)</f>
        <v>100873.34757553697</v>
      </c>
      <c r="AA12" s="37">
        <f t="shared" ref="AA12" si="92">Z12*(1+AA13)</f>
        <v>101931.67711496251</v>
      </c>
      <c r="AB12" s="37">
        <f t="shared" ref="AB12" si="93">AA12*(1+AB13)</f>
        <v>103001.11029515087</v>
      </c>
      <c r="AC12" s="37">
        <f t="shared" ref="AC12" si="94">AB12*(1+AC13)</f>
        <v>104081.76361179982</v>
      </c>
      <c r="AD12" s="37">
        <f t="shared" ref="AD12" si="95">AC12*(1+AD13)</f>
        <v>105173.75478284119</v>
      </c>
      <c r="AE12" s="37">
        <f t="shared" ref="AE12" si="96">AD12*(1+AE13)</f>
        <v>106277.20276126413</v>
      </c>
      <c r="AF12" s="37">
        <f t="shared" ref="AF12" si="97">AE12*(1+AF13)</f>
        <v>107392.22774807284</v>
      </c>
      <c r="AG12" s="37">
        <f t="shared" ref="AG12" si="98">AF12*(1+AG13)</f>
        <v>108518.95120538045</v>
      </c>
      <c r="AH12" s="37">
        <f t="shared" ref="AH12" si="99">AG12*(1+AH13)</f>
        <v>109657.49586964007</v>
      </c>
      <c r="AI12" s="34" t="s">
        <v>4419</v>
      </c>
      <c r="AJ12" s="79" t="s">
        <v>4344</v>
      </c>
    </row>
    <row r="13" spans="1:36" s="6" customFormat="1" ht="20" x14ac:dyDescent="0.2">
      <c r="B13" s="22"/>
      <c r="C13" s="22"/>
      <c r="D13" s="74"/>
      <c r="E13" s="74">
        <f>(E12-D12)/D12</f>
        <v>1.7376602522039861E-2</v>
      </c>
      <c r="F13" s="74">
        <f t="shared" ref="F13" si="100">(F12-E12)/E12</f>
        <v>1.8242853479105363E-2</v>
      </c>
      <c r="G13" s="74">
        <f t="shared" ref="G13" si="101">(G12-F12)/F12</f>
        <v>1.1601721362858914E-2</v>
      </c>
      <c r="H13" s="74">
        <f t="shared" ref="H13" si="102">(H12-G12)/G12</f>
        <v>1.066616519350784E-2</v>
      </c>
      <c r="I13" s="74">
        <f t="shared" ref="I13" si="103">(I12-H12)/H12</f>
        <v>4.7373911836736341E-3</v>
      </c>
      <c r="J13" s="74">
        <f t="shared" ref="J13" si="104">(J12-I12)/I12</f>
        <v>5.4892966114205473E-3</v>
      </c>
      <c r="K13" s="74">
        <f t="shared" ref="K13" si="105">(K12-J12)/J12</f>
        <v>1.9385388242596452E-3</v>
      </c>
      <c r="L13" s="74">
        <f t="shared" ref="L13" si="106">(L12-K12)/K12</f>
        <v>5.8875142168726222E-3</v>
      </c>
      <c r="M13" s="74">
        <f t="shared" ref="M13" si="107">(M12-L12)/L12</f>
        <v>-3.3781098898339082E-3</v>
      </c>
      <c r="N13" s="74">
        <f t="shared" ref="N13" si="108">(N12-M12)/M12</f>
        <v>2.7207516542945057E-3</v>
      </c>
      <c r="O13" s="74">
        <f t="shared" ref="O13" si="109">(O12-N12)/N12</f>
        <v>4.0601245731933721E-3</v>
      </c>
      <c r="P13" s="74">
        <f t="shared" ref="P13" si="110">(P12-O12)/O12</f>
        <v>8.049899619885819E-3</v>
      </c>
      <c r="Q13" s="74">
        <f t="shared" ref="Q13" si="111">(Q12-P12)/P12</f>
        <v>-6.8678650386271088E-4</v>
      </c>
      <c r="R13" s="74">
        <f t="shared" ref="R13" si="112">(R12-Q12)/Q12</f>
        <v>2.6090781154326573E-3</v>
      </c>
      <c r="S13" s="74">
        <f t="shared" ref="S13" si="113">(S12-R12)/R12</f>
        <v>5.0056072371939125E-3</v>
      </c>
      <c r="T13" s="74">
        <f t="shared" ref="T13" si="114">(T12-S12)/S12</f>
        <v>1.2336431658952731E-2</v>
      </c>
      <c r="U13" s="74">
        <f t="shared" ref="U13" si="115">(U12-T12)/T12</f>
        <v>9.6374999759056262E-3</v>
      </c>
      <c r="V13" s="74">
        <f t="shared" ref="V13" si="116">(V12-U12)/U12</f>
        <v>1.3604800152260805E-2</v>
      </c>
      <c r="W13" s="74">
        <f t="shared" ref="W13" si="117">(W12-V12)/V12</f>
        <v>1.5913292816639217E-2</v>
      </c>
      <c r="X13" s="74">
        <f>(X12-W12)/W12</f>
        <v>2.1920726737740596E-2</v>
      </c>
      <c r="Y13" s="74">
        <f t="shared" ref="Y13" si="118">(Y12-X12)/X12</f>
        <v>1.6741936544295191E-2</v>
      </c>
      <c r="Z13" s="91">
        <f>$AI13</f>
        <v>1.0491666677692413E-2</v>
      </c>
      <c r="AA13" s="91">
        <f t="shared" ref="AA13:AH13" si="119">$AI13</f>
        <v>1.0491666677692413E-2</v>
      </c>
      <c r="AB13" s="91">
        <f t="shared" si="119"/>
        <v>1.0491666677692413E-2</v>
      </c>
      <c r="AC13" s="91">
        <f t="shared" si="119"/>
        <v>1.0491666677692413E-2</v>
      </c>
      <c r="AD13" s="91">
        <f t="shared" si="119"/>
        <v>1.0491666677692413E-2</v>
      </c>
      <c r="AE13" s="91">
        <f t="shared" si="119"/>
        <v>1.0491666677692413E-2</v>
      </c>
      <c r="AF13" s="91">
        <f t="shared" si="119"/>
        <v>1.0491666677692413E-2</v>
      </c>
      <c r="AG13" s="91">
        <f t="shared" si="119"/>
        <v>1.0491666677692413E-2</v>
      </c>
      <c r="AH13" s="91">
        <f t="shared" si="119"/>
        <v>1.0491666677692413E-2</v>
      </c>
      <c r="AI13" s="91">
        <f>(Y12/O12)^(1/(10))-1</f>
        <v>1.0491666677692413E-2</v>
      </c>
      <c r="AJ13" s="79" t="s">
        <v>2459</v>
      </c>
    </row>
    <row r="14" spans="1:36" s="6" customFormat="1" x14ac:dyDescent="0.2">
      <c r="B14" s="23"/>
      <c r="C14" s="23"/>
      <c r="X14" s="61"/>
      <c r="Y14" s="61"/>
      <c r="Z14" s="61"/>
      <c r="AA14" s="61"/>
      <c r="AB14" s="61"/>
      <c r="AC14" s="61"/>
      <c r="AD14" s="61"/>
      <c r="AE14" s="61"/>
      <c r="AF14" s="61"/>
      <c r="AG14" s="61"/>
      <c r="AH14" s="61"/>
    </row>
    <row r="15" spans="1:36" s="48" customFormat="1" ht="20" x14ac:dyDescent="0.2">
      <c r="B15" s="11" t="s">
        <v>2379</v>
      </c>
      <c r="C15" s="22" t="s">
        <v>4423</v>
      </c>
      <c r="D15" s="37">
        <f>D4</f>
        <v>83114.207999999999</v>
      </c>
      <c r="E15" s="37">
        <f t="shared" ref="E15:AH15" si="120">E4</f>
        <v>84441.871731292995</v>
      </c>
      <c r="F15" s="37">
        <f t="shared" si="120"/>
        <v>86016.918002452003</v>
      </c>
      <c r="G15" s="37">
        <f t="shared" si="120"/>
        <v>87017.748321360006</v>
      </c>
      <c r="H15" s="37">
        <f t="shared" si="120"/>
        <v>87785.58785496901</v>
      </c>
      <c r="I15" s="37">
        <f t="shared" si="120"/>
        <v>88274.235577656</v>
      </c>
      <c r="J15" s="37">
        <f t="shared" si="120"/>
        <v>89018.854503195005</v>
      </c>
      <c r="K15" s="37">
        <f t="shared" si="120"/>
        <v>89809.394096472999</v>
      </c>
      <c r="L15" s="37">
        <f t="shared" si="120"/>
        <v>90866.784687401989</v>
      </c>
      <c r="M15" s="37">
        <f t="shared" si="120"/>
        <v>90779.460839894004</v>
      </c>
      <c r="N15" s="37">
        <f t="shared" si="120"/>
        <v>91021.576799777002</v>
      </c>
      <c r="O15" s="37">
        <f t="shared" si="120"/>
        <v>91830.543105504999</v>
      </c>
      <c r="P15" s="37">
        <f t="shared" si="120"/>
        <v>92732.527964876994</v>
      </c>
      <c r="Q15" s="37">
        <f t="shared" si="120"/>
        <v>92644.332800650009</v>
      </c>
      <c r="R15" s="37">
        <f t="shared" si="120"/>
        <v>92282.715774728</v>
      </c>
      <c r="S15" s="37">
        <f t="shared" si="120"/>
        <v>92503.314638551994</v>
      </c>
      <c r="T15" s="37">
        <f t="shared" si="120"/>
        <v>92560.119989567</v>
      </c>
      <c r="U15" s="37">
        <f t="shared" si="120"/>
        <v>92316.069176645993</v>
      </c>
      <c r="V15" s="37">
        <f t="shared" si="120"/>
        <v>92479.863846818</v>
      </c>
      <c r="W15" s="37">
        <f t="shared" si="120"/>
        <v>92664.364212541012</v>
      </c>
      <c r="X15" s="37">
        <f t="shared" si="120"/>
        <v>93109.755865170999</v>
      </c>
      <c r="Y15" s="37">
        <f t="shared" si="120"/>
        <v>92986.405917728</v>
      </c>
      <c r="Z15" s="37">
        <f t="shared" si="120"/>
        <v>93102.789376130313</v>
      </c>
      <c r="AA15" s="37">
        <f t="shared" si="120"/>
        <v>93219.318502162816</v>
      </c>
      <c r="AB15" s="37">
        <f t="shared" si="120"/>
        <v>93335.993478145741</v>
      </c>
      <c r="AC15" s="37">
        <f t="shared" si="120"/>
        <v>93452.814486627496</v>
      </c>
      <c r="AD15" s="37">
        <f t="shared" si="120"/>
        <v>93569.781710384996</v>
      </c>
      <c r="AE15" s="37">
        <f t="shared" si="120"/>
        <v>93686.895332423897</v>
      </c>
      <c r="AF15" s="37">
        <f t="shared" si="120"/>
        <v>93804.155535978934</v>
      </c>
      <c r="AG15" s="37">
        <f t="shared" si="120"/>
        <v>93921.562504514164</v>
      </c>
      <c r="AH15" s="37">
        <f t="shared" si="120"/>
        <v>94039.116421723273</v>
      </c>
      <c r="AI15" s="6"/>
      <c r="AJ15" s="6"/>
    </row>
    <row r="16" spans="1:36" s="6" customFormat="1" x14ac:dyDescent="0.2">
      <c r="B16" s="185"/>
      <c r="C16" s="185"/>
      <c r="E16" s="307"/>
      <c r="X16" s="61"/>
      <c r="Y16" s="61"/>
      <c r="Z16" s="61"/>
      <c r="AA16" s="61"/>
      <c r="AB16" s="61"/>
      <c r="AC16" s="61"/>
      <c r="AD16" s="61"/>
      <c r="AE16" s="61"/>
      <c r="AF16" s="61"/>
      <c r="AG16" s="61"/>
      <c r="AH16" s="61"/>
    </row>
    <row r="17" spans="1:34" s="6" customFormat="1" x14ac:dyDescent="0.2">
      <c r="B17" s="185"/>
      <c r="C17" s="185"/>
      <c r="E17" s="307"/>
      <c r="X17" s="61"/>
      <c r="Y17" s="61"/>
      <c r="Z17" s="61"/>
      <c r="AA17" s="61"/>
      <c r="AB17" s="61"/>
      <c r="AC17" s="61"/>
      <c r="AD17" s="61"/>
      <c r="AE17" s="61"/>
      <c r="AF17" s="61"/>
      <c r="AG17" s="61"/>
      <c r="AH17" s="61"/>
    </row>
    <row r="18" spans="1:34" s="6" customFormat="1" x14ac:dyDescent="0.2">
      <c r="B18" s="185"/>
      <c r="C18" s="185"/>
      <c r="E18" s="307"/>
      <c r="X18" s="61"/>
      <c r="Y18" s="61"/>
      <c r="Z18" s="61"/>
      <c r="AA18" s="61"/>
      <c r="AB18" s="61"/>
      <c r="AC18" s="61"/>
      <c r="AD18" s="61"/>
      <c r="AE18" s="61"/>
      <c r="AF18" s="61"/>
      <c r="AG18" s="61"/>
      <c r="AH18" s="61"/>
    </row>
    <row r="19" spans="1:34" s="6" customFormat="1" x14ac:dyDescent="0.2">
      <c r="B19" s="185"/>
      <c r="C19" s="185"/>
      <c r="E19" s="307"/>
      <c r="X19" s="61"/>
      <c r="Y19" s="61"/>
      <c r="Z19" s="61"/>
      <c r="AA19" s="61"/>
      <c r="AB19" s="61"/>
      <c r="AC19" s="61"/>
      <c r="AD19" s="61"/>
      <c r="AE19" s="61"/>
      <c r="AF19" s="61"/>
      <c r="AG19" s="61"/>
      <c r="AH19" s="61"/>
    </row>
    <row r="20" spans="1:34" x14ac:dyDescent="0.2">
      <c r="E20" s="307"/>
    </row>
    <row r="21" spans="1:34" s="6" customFormat="1" ht="19" x14ac:dyDescent="0.25">
      <c r="A21" s="49" t="s">
        <v>37</v>
      </c>
      <c r="B21" s="23"/>
      <c r="C21" s="23"/>
      <c r="E21" s="307"/>
      <c r="X21" s="61"/>
      <c r="Y21" s="61"/>
      <c r="Z21" s="61"/>
      <c r="AA21" s="61"/>
      <c r="AB21" s="61"/>
      <c r="AC21" s="61"/>
      <c r="AD21" s="61"/>
      <c r="AE21" s="61"/>
      <c r="AF21" s="61"/>
      <c r="AG21" s="61"/>
      <c r="AH21" s="61"/>
    </row>
    <row r="22" spans="1:34" s="7" customFormat="1" ht="19" x14ac:dyDescent="0.25">
      <c r="A22" s="7" t="s">
        <v>4420</v>
      </c>
      <c r="B22" s="19"/>
      <c r="C22" s="19"/>
      <c r="E22" s="307"/>
      <c r="X22" s="222"/>
      <c r="Y22" s="222"/>
      <c r="Z22" s="222"/>
      <c r="AA22" s="222"/>
      <c r="AB22" s="222"/>
      <c r="AC22" s="222"/>
      <c r="AD22" s="222"/>
      <c r="AE22" s="222"/>
      <c r="AF22" s="222"/>
      <c r="AG22" s="222"/>
      <c r="AH22" s="222"/>
    </row>
    <row r="23" spans="1:34" x14ac:dyDescent="0.2">
      <c r="E23" s="307"/>
    </row>
    <row r="24" spans="1:34" x14ac:dyDescent="0.2">
      <c r="E24" s="307"/>
    </row>
    <row r="25" spans="1:34" x14ac:dyDescent="0.2">
      <c r="E25" s="307"/>
    </row>
    <row r="26" spans="1:34" x14ac:dyDescent="0.2">
      <c r="E26" s="307"/>
    </row>
    <row r="27" spans="1:34" x14ac:dyDescent="0.2">
      <c r="E27" s="307"/>
    </row>
    <row r="28" spans="1:34" x14ac:dyDescent="0.2">
      <c r="E28" s="307"/>
    </row>
    <row r="29" spans="1:34" x14ac:dyDescent="0.2">
      <c r="E29" s="307"/>
    </row>
    <row r="30" spans="1:34" x14ac:dyDescent="0.2">
      <c r="E30" s="307"/>
    </row>
    <row r="31" spans="1:34" x14ac:dyDescent="0.2">
      <c r="E31" s="307"/>
    </row>
    <row r="32" spans="1:34" x14ac:dyDescent="0.2">
      <c r="E32" s="307"/>
    </row>
    <row r="33" spans="5:5" x14ac:dyDescent="0.2">
      <c r="E33" s="307"/>
    </row>
    <row r="34" spans="5:5" x14ac:dyDescent="0.2">
      <c r="E34" s="307"/>
    </row>
    <row r="35" spans="5:5" x14ac:dyDescent="0.2">
      <c r="E35" s="30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6FFC9-C9BE-DD41-80C8-354CD1319F3F}">
  <dimension ref="A1:AJ34"/>
  <sheetViews>
    <sheetView workbookViewId="0">
      <selection activeCell="E18" sqref="E18"/>
    </sheetView>
  </sheetViews>
  <sheetFormatPr baseColWidth="10" defaultRowHeight="16" x14ac:dyDescent="0.2"/>
  <cols>
    <col min="1" max="1" width="4.83203125" style="183" customWidth="1"/>
    <col min="2" max="2" width="49.83203125" style="183" customWidth="1"/>
    <col min="3" max="21" width="10.83203125" style="183"/>
    <col min="22" max="23" width="10.83203125" style="183" customWidth="1"/>
    <col min="24" max="34" width="10.83203125" style="197" customWidth="1"/>
    <col min="35" max="35" width="16.83203125" style="183" customWidth="1"/>
    <col min="36" max="36" width="37.83203125" style="183" customWidth="1"/>
    <col min="37" max="16384" width="10.83203125" style="183"/>
  </cols>
  <sheetData>
    <row r="1" spans="1:36" s="17" customFormat="1" ht="21" x14ac:dyDescent="0.25">
      <c r="A1" s="47" t="s">
        <v>75</v>
      </c>
      <c r="B1" s="311" t="s">
        <v>2460</v>
      </c>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s="17" customFormat="1" ht="21" x14ac:dyDescent="0.2">
      <c r="A2" s="310"/>
      <c r="B2" s="22"/>
      <c r="C2" s="10" t="s">
        <v>76</v>
      </c>
      <c r="D2" s="10">
        <v>2020</v>
      </c>
      <c r="E2" s="10">
        <v>2021</v>
      </c>
      <c r="F2" s="10">
        <v>2022</v>
      </c>
      <c r="G2" s="10">
        <v>2023</v>
      </c>
      <c r="H2" s="10">
        <v>2024</v>
      </c>
      <c r="I2" s="10">
        <v>2025</v>
      </c>
      <c r="J2" s="10">
        <v>2026</v>
      </c>
      <c r="K2" s="10">
        <v>2027</v>
      </c>
      <c r="L2" s="10">
        <v>2028</v>
      </c>
      <c r="M2" s="10">
        <v>2029</v>
      </c>
      <c r="N2" s="10">
        <v>2030</v>
      </c>
      <c r="O2" s="10">
        <v>2031</v>
      </c>
      <c r="P2" s="10">
        <v>2032</v>
      </c>
      <c r="Q2" s="10">
        <v>2033</v>
      </c>
      <c r="R2" s="10">
        <v>2034</v>
      </c>
      <c r="S2" s="10">
        <v>2035</v>
      </c>
      <c r="T2" s="10">
        <v>2036</v>
      </c>
      <c r="U2" s="10">
        <v>2037</v>
      </c>
      <c r="V2" s="10">
        <v>2038</v>
      </c>
      <c r="W2" s="10">
        <v>2039</v>
      </c>
      <c r="X2" s="42">
        <f>W2+1</f>
        <v>2040</v>
      </c>
      <c r="Y2" s="42">
        <f t="shared" ref="Y2:AH2" si="0">X2+1</f>
        <v>2041</v>
      </c>
      <c r="Z2" s="42">
        <f t="shared" si="0"/>
        <v>2042</v>
      </c>
      <c r="AA2" s="42">
        <f t="shared" si="0"/>
        <v>2043</v>
      </c>
      <c r="AB2" s="42">
        <f t="shared" si="0"/>
        <v>2044</v>
      </c>
      <c r="AC2" s="42">
        <f t="shared" si="0"/>
        <v>2045</v>
      </c>
      <c r="AD2" s="42">
        <f t="shared" si="0"/>
        <v>2046</v>
      </c>
      <c r="AE2" s="42">
        <f t="shared" si="0"/>
        <v>2047</v>
      </c>
      <c r="AF2" s="42">
        <f t="shared" si="0"/>
        <v>2048</v>
      </c>
      <c r="AG2" s="42">
        <f t="shared" si="0"/>
        <v>2049</v>
      </c>
      <c r="AH2" s="42">
        <f t="shared" si="0"/>
        <v>2050</v>
      </c>
      <c r="AI2" s="10" t="s">
        <v>4418</v>
      </c>
      <c r="AJ2" s="10" t="s">
        <v>32</v>
      </c>
    </row>
    <row r="3" spans="1:36" s="48" customFormat="1" ht="20" x14ac:dyDescent="0.2">
      <c r="B3" s="11" t="s">
        <v>4417</v>
      </c>
      <c r="C3" s="22" t="s">
        <v>181</v>
      </c>
      <c r="D3" s="36">
        <v>11569.004338000001</v>
      </c>
      <c r="E3" s="36">
        <v>11771.34123</v>
      </c>
      <c r="F3" s="36">
        <v>11900.705465999999</v>
      </c>
      <c r="G3" s="36">
        <v>11961.120799</v>
      </c>
      <c r="H3" s="36">
        <v>12064.838025999999</v>
      </c>
      <c r="I3" s="36">
        <v>12154.344327999999</v>
      </c>
      <c r="J3" s="36">
        <v>12256.875109000001</v>
      </c>
      <c r="K3" s="36">
        <v>12373.244146000001</v>
      </c>
      <c r="L3" s="36">
        <v>12362.08279</v>
      </c>
      <c r="M3" s="36">
        <v>12413.369611</v>
      </c>
      <c r="N3" s="36">
        <v>12547.872343999999</v>
      </c>
      <c r="O3" s="36">
        <v>12621.943302</v>
      </c>
      <c r="P3" s="36">
        <v>12689.126338</v>
      </c>
      <c r="Q3" s="36">
        <v>12632.586998000001</v>
      </c>
      <c r="R3" s="36">
        <v>12666.688338</v>
      </c>
      <c r="S3" s="36">
        <v>12666.202655999999</v>
      </c>
      <c r="T3" s="36">
        <v>12711.336101000001</v>
      </c>
      <c r="U3" s="36">
        <v>12765.686018</v>
      </c>
      <c r="V3" s="36">
        <v>12819.760236</v>
      </c>
      <c r="W3" s="36">
        <v>12832.452090999999</v>
      </c>
      <c r="X3" s="36">
        <v>12916.886925999999</v>
      </c>
      <c r="Y3" s="36">
        <v>13013.61609</v>
      </c>
      <c r="Z3" s="37">
        <f t="shared" ref="Z3:AH3" si="1">Y3*(1+Z4)</f>
        <v>13053.445707945912</v>
      </c>
      <c r="AA3" s="37">
        <f t="shared" si="1"/>
        <v>13093.397228862892</v>
      </c>
      <c r="AB3" s="37">
        <f t="shared" si="1"/>
        <v>13133.471025848528</v>
      </c>
      <c r="AC3" s="37">
        <f t="shared" si="1"/>
        <v>13173.667473142314</v>
      </c>
      <c r="AD3" s="37">
        <f t="shared" si="1"/>
        <v>13213.986946129146</v>
      </c>
      <c r="AE3" s="37">
        <f t="shared" si="1"/>
        <v>13254.429821342825</v>
      </c>
      <c r="AF3" s="37">
        <f t="shared" si="1"/>
        <v>13294.996476469578</v>
      </c>
      <c r="AG3" s="37">
        <f t="shared" si="1"/>
        <v>13335.687290351581</v>
      </c>
      <c r="AH3" s="37">
        <f t="shared" si="1"/>
        <v>13376.502642990499</v>
      </c>
      <c r="AI3" s="34" t="s">
        <v>4419</v>
      </c>
      <c r="AJ3" s="11" t="s">
        <v>4344</v>
      </c>
    </row>
    <row r="4" spans="1:36" s="6" customFormat="1" ht="20" x14ac:dyDescent="0.2">
      <c r="B4" s="11"/>
      <c r="C4" s="22"/>
      <c r="D4" s="74"/>
      <c r="E4" s="74">
        <f>(E3-D3)/D3</f>
        <v>1.7489568340414201E-2</v>
      </c>
      <c r="F4" s="74">
        <f t="shared" ref="F4:W4" si="2">(F3-E3)/E3</f>
        <v>1.0989761784350162E-2</v>
      </c>
      <c r="G4" s="74">
        <f t="shared" si="2"/>
        <v>5.0766177830890644E-3</v>
      </c>
      <c r="H4" s="74">
        <f t="shared" si="2"/>
        <v>8.671196348812929E-3</v>
      </c>
      <c r="I4" s="74">
        <f t="shared" si="2"/>
        <v>7.4187736136292646E-3</v>
      </c>
      <c r="J4" s="74">
        <f t="shared" si="2"/>
        <v>8.4357311454309244E-3</v>
      </c>
      <c r="K4" s="74">
        <f t="shared" si="2"/>
        <v>9.4941847710068219E-3</v>
      </c>
      <c r="L4" s="74">
        <f t="shared" si="2"/>
        <v>-9.0205574773280018E-4</v>
      </c>
      <c r="M4" s="74">
        <f t="shared" si="2"/>
        <v>4.1487200717897545E-3</v>
      </c>
      <c r="N4" s="74">
        <f t="shared" si="2"/>
        <v>1.0835312023643517E-2</v>
      </c>
      <c r="O4" s="74">
        <f t="shared" si="2"/>
        <v>5.9030691394799427E-3</v>
      </c>
      <c r="P4" s="74">
        <f t="shared" si="2"/>
        <v>5.3227173021253328E-3</v>
      </c>
      <c r="Q4" s="74">
        <f t="shared" si="2"/>
        <v>-4.4557315053820185E-3</v>
      </c>
      <c r="R4" s="74">
        <f t="shared" si="2"/>
        <v>2.6994739878219878E-3</v>
      </c>
      <c r="S4" s="74">
        <f t="shared" si="2"/>
        <v>-3.8343250188244412E-5</v>
      </c>
      <c r="T4" s="74">
        <f t="shared" si="2"/>
        <v>3.5632972427313502E-3</v>
      </c>
      <c r="U4" s="74">
        <f t="shared" si="2"/>
        <v>4.2757045025128273E-3</v>
      </c>
      <c r="V4" s="74">
        <f t="shared" si="2"/>
        <v>4.2359038067953008E-3</v>
      </c>
      <c r="W4" s="74">
        <f t="shared" si="2"/>
        <v>9.9002280591475498E-4</v>
      </c>
      <c r="X4" s="74">
        <f>(X3-W3)/W3</f>
        <v>6.5797896147391918E-3</v>
      </c>
      <c r="Y4" s="74">
        <f t="shared" ref="Y4" si="3">(Y3-X3)/X3</f>
        <v>7.4885817731590717E-3</v>
      </c>
      <c r="Z4" s="91">
        <f>$AI4</f>
        <v>3.0606111068942621E-3</v>
      </c>
      <c r="AA4" s="91">
        <f t="shared" ref="AA4:AH4" si="4">$AI4</f>
        <v>3.0606111068942621E-3</v>
      </c>
      <c r="AB4" s="91">
        <f t="shared" si="4"/>
        <v>3.0606111068942621E-3</v>
      </c>
      <c r="AC4" s="91">
        <f t="shared" si="4"/>
        <v>3.0606111068942621E-3</v>
      </c>
      <c r="AD4" s="91">
        <f t="shared" si="4"/>
        <v>3.0606111068942621E-3</v>
      </c>
      <c r="AE4" s="91">
        <f t="shared" si="4"/>
        <v>3.0606111068942621E-3</v>
      </c>
      <c r="AF4" s="91">
        <f t="shared" si="4"/>
        <v>3.0606111068942621E-3</v>
      </c>
      <c r="AG4" s="91">
        <f t="shared" si="4"/>
        <v>3.0606111068942621E-3</v>
      </c>
      <c r="AH4" s="91">
        <f t="shared" si="4"/>
        <v>3.0606111068942621E-3</v>
      </c>
      <c r="AI4" s="91">
        <f>(Y3/O3)^(1/(10))-1</f>
        <v>3.0606111068942621E-3</v>
      </c>
      <c r="AJ4" s="309" t="s">
        <v>2457</v>
      </c>
    </row>
    <row r="5" spans="1:36" s="2" customFormat="1" ht="19" x14ac:dyDescent="0.25"/>
    <row r="6" spans="1:36" s="48" customFormat="1" ht="20" x14ac:dyDescent="0.2">
      <c r="B6" s="11" t="s">
        <v>4417</v>
      </c>
      <c r="C6" s="22" t="s">
        <v>181</v>
      </c>
      <c r="D6" s="36">
        <v>11446.320299999999</v>
      </c>
      <c r="E6" s="36">
        <v>11636.71831</v>
      </c>
      <c r="F6" s="36">
        <v>11791.533100000001</v>
      </c>
      <c r="G6" s="36">
        <v>11847.97789</v>
      </c>
      <c r="H6" s="36">
        <v>11925.2156</v>
      </c>
      <c r="I6" s="36">
        <v>11870.4933</v>
      </c>
      <c r="J6" s="36">
        <v>11871.537780000001</v>
      </c>
      <c r="K6" s="36">
        <v>11923.214529999999</v>
      </c>
      <c r="L6" s="36">
        <v>11929.826429999999</v>
      </c>
      <c r="M6" s="36">
        <v>11953.6216</v>
      </c>
      <c r="N6" s="36">
        <v>11959.380880000001</v>
      </c>
      <c r="O6" s="36">
        <v>11935.53887</v>
      </c>
      <c r="P6" s="36">
        <v>11939.672280000001</v>
      </c>
      <c r="Q6" s="36">
        <v>11885.219520000001</v>
      </c>
      <c r="R6" s="36">
        <v>11863.467549999999</v>
      </c>
      <c r="S6" s="36">
        <v>11883.925880000001</v>
      </c>
      <c r="T6" s="36">
        <v>11813.08041</v>
      </c>
      <c r="U6" s="36">
        <v>11848.98914</v>
      </c>
      <c r="V6" s="36">
        <v>11911.338159999999</v>
      </c>
      <c r="W6" s="36">
        <v>11952.65821</v>
      </c>
      <c r="X6" s="36">
        <v>12014.723169999999</v>
      </c>
      <c r="Y6" s="36">
        <v>12083.30314</v>
      </c>
      <c r="Z6" s="37">
        <f>Y6*(1+Z7)</f>
        <v>12098.1798097514</v>
      </c>
      <c r="AA6" s="37">
        <f t="shared" ref="AA6:AH6" si="5">Z6*(1+AA7)</f>
        <v>12113.074795297771</v>
      </c>
      <c r="AB6" s="37">
        <f t="shared" si="5"/>
        <v>12127.988119189076</v>
      </c>
      <c r="AC6" s="37">
        <f t="shared" si="5"/>
        <v>12142.919804003041</v>
      </c>
      <c r="AD6" s="37">
        <f t="shared" si="5"/>
        <v>12157.869872345187</v>
      </c>
      <c r="AE6" s="37">
        <f t="shared" si="5"/>
        <v>12172.83834684887</v>
      </c>
      <c r="AF6" s="37">
        <f t="shared" si="5"/>
        <v>12187.82525017531</v>
      </c>
      <c r="AG6" s="37">
        <f t="shared" si="5"/>
        <v>12202.830605013625</v>
      </c>
      <c r="AH6" s="37">
        <f t="shared" si="5"/>
        <v>12217.854434080869</v>
      </c>
      <c r="AI6" s="34" t="s">
        <v>4419</v>
      </c>
      <c r="AJ6" s="11" t="s">
        <v>4344</v>
      </c>
    </row>
    <row r="7" spans="1:36" s="6" customFormat="1" ht="20" x14ac:dyDescent="0.2">
      <c r="B7" s="22"/>
      <c r="C7" s="22"/>
      <c r="D7" s="74"/>
      <c r="E7" s="74">
        <f>(E6-D6)/D6</f>
        <v>1.6633992847465643E-2</v>
      </c>
      <c r="F7" s="74">
        <f t="shared" ref="F7:W7" si="6">(F6-E6)/E6</f>
        <v>1.3303990513112313E-2</v>
      </c>
      <c r="G7" s="74">
        <f t="shared" si="6"/>
        <v>4.7868915366060041E-3</v>
      </c>
      <c r="H7" s="74">
        <f t="shared" si="6"/>
        <v>6.5190626381224134E-3</v>
      </c>
      <c r="I7" s="74">
        <f t="shared" si="6"/>
        <v>-4.5887891536316918E-3</v>
      </c>
      <c r="J7" s="74">
        <f t="shared" si="6"/>
        <v>8.7989603599748973E-5</v>
      </c>
      <c r="K7" s="74">
        <f t="shared" si="6"/>
        <v>4.3529954549829785E-3</v>
      </c>
      <c r="L7" s="74">
        <f t="shared" si="6"/>
        <v>5.5454005154093944E-4</v>
      </c>
      <c r="M7" s="74">
        <f t="shared" si="6"/>
        <v>1.9945948199349651E-3</v>
      </c>
      <c r="N7" s="74">
        <f t="shared" si="6"/>
        <v>4.8180210087963774E-4</v>
      </c>
      <c r="O7" s="74">
        <f t="shared" si="6"/>
        <v>-1.9935822965444594E-3</v>
      </c>
      <c r="P7" s="74">
        <f t="shared" si="6"/>
        <v>3.4631113391869566E-4</v>
      </c>
      <c r="Q7" s="74">
        <f t="shared" si="6"/>
        <v>-4.5606578407694888E-3</v>
      </c>
      <c r="R7" s="74">
        <f t="shared" si="6"/>
        <v>-1.8301698141458614E-3</v>
      </c>
      <c r="S7" s="74">
        <f t="shared" si="6"/>
        <v>1.7244814733784388E-3</v>
      </c>
      <c r="T7" s="74">
        <f t="shared" si="6"/>
        <v>-5.9614533711649332E-3</v>
      </c>
      <c r="U7" s="74">
        <f t="shared" si="6"/>
        <v>3.0397431282700627E-3</v>
      </c>
      <c r="V7" s="74">
        <f t="shared" si="6"/>
        <v>5.2619695455303336E-3</v>
      </c>
      <c r="W7" s="74">
        <f t="shared" si="6"/>
        <v>3.4689679232480348E-3</v>
      </c>
      <c r="X7" s="74">
        <f>(X6-W6)/W6</f>
        <v>5.1925654452391222E-3</v>
      </c>
      <c r="Y7" s="74">
        <f t="shared" ref="Y7" si="7">(Y6-X6)/X6</f>
        <v>5.7079941859368441E-3</v>
      </c>
      <c r="Z7" s="91">
        <f>$AI7</f>
        <v>1.2311757454923633E-3</v>
      </c>
      <c r="AA7" s="91">
        <f t="shared" ref="AA7:AH7" si="8">$AI7</f>
        <v>1.2311757454923633E-3</v>
      </c>
      <c r="AB7" s="91">
        <f t="shared" si="8"/>
        <v>1.2311757454923633E-3</v>
      </c>
      <c r="AC7" s="91">
        <f t="shared" si="8"/>
        <v>1.2311757454923633E-3</v>
      </c>
      <c r="AD7" s="91">
        <f t="shared" si="8"/>
        <v>1.2311757454923633E-3</v>
      </c>
      <c r="AE7" s="91">
        <f t="shared" si="8"/>
        <v>1.2311757454923633E-3</v>
      </c>
      <c r="AF7" s="91">
        <f t="shared" si="8"/>
        <v>1.2311757454923633E-3</v>
      </c>
      <c r="AG7" s="91">
        <f t="shared" si="8"/>
        <v>1.2311757454923633E-3</v>
      </c>
      <c r="AH7" s="91">
        <f t="shared" si="8"/>
        <v>1.2311757454923633E-3</v>
      </c>
      <c r="AI7" s="91">
        <f>(Y6/O6)^(1/(10))-1</f>
        <v>1.2311757454923633E-3</v>
      </c>
      <c r="AJ7" s="79" t="s">
        <v>2458</v>
      </c>
    </row>
    <row r="8" spans="1:36" s="2" customFormat="1" ht="19" x14ac:dyDescent="0.25"/>
    <row r="9" spans="1:36" s="48" customFormat="1" ht="20" x14ac:dyDescent="0.2">
      <c r="B9" s="11" t="s">
        <v>4417</v>
      </c>
      <c r="C9" s="22" t="s">
        <v>181</v>
      </c>
      <c r="D9" s="36">
        <v>11592.1021</v>
      </c>
      <c r="E9" s="36">
        <v>11804.896909999999</v>
      </c>
      <c r="F9" s="36">
        <v>11948.70889</v>
      </c>
      <c r="G9" s="36">
        <v>12068.52297</v>
      </c>
      <c r="H9" s="36">
        <v>12189.03868</v>
      </c>
      <c r="I9" s="36">
        <v>12287.723959999999</v>
      </c>
      <c r="J9" s="36">
        <v>12343.87414</v>
      </c>
      <c r="K9" s="36">
        <v>12454.09671</v>
      </c>
      <c r="L9" s="36">
        <v>12453.36224</v>
      </c>
      <c r="M9" s="36">
        <v>12600.457039999999</v>
      </c>
      <c r="N9" s="36">
        <v>12768.26591</v>
      </c>
      <c r="O9" s="36">
        <v>12980.570089999999</v>
      </c>
      <c r="P9" s="36">
        <v>13158.61219</v>
      </c>
      <c r="Q9" s="36">
        <v>13400.23899</v>
      </c>
      <c r="R9" s="36">
        <v>13660.498960000001</v>
      </c>
      <c r="S9" s="36">
        <v>13948.50621</v>
      </c>
      <c r="T9" s="36">
        <v>14274.5378</v>
      </c>
      <c r="U9" s="36">
        <v>14713.690930000001</v>
      </c>
      <c r="V9" s="36">
        <v>15234.31637</v>
      </c>
      <c r="W9" s="36">
        <v>15857.84649</v>
      </c>
      <c r="X9" s="36">
        <v>16583.494790000001</v>
      </c>
      <c r="Y9" s="36">
        <v>17463.891540000001</v>
      </c>
      <c r="Z9" s="37">
        <f>Y9*(1+Z10)</f>
        <v>17989.775819978309</v>
      </c>
      <c r="AA9" s="37">
        <f t="shared" ref="AA9:AH9" si="9">Z9*(1+AA10)</f>
        <v>18531.495876037501</v>
      </c>
      <c r="AB9" s="37">
        <f t="shared" si="9"/>
        <v>19089.52856556547</v>
      </c>
      <c r="AC9" s="37">
        <f t="shared" si="9"/>
        <v>19664.365105395911</v>
      </c>
      <c r="AD9" s="37">
        <f t="shared" si="9"/>
        <v>20256.511504209477</v>
      </c>
      <c r="AE9" s="37">
        <f t="shared" si="9"/>
        <v>20866.489007955672</v>
      </c>
      <c r="AF9" s="37">
        <f t="shared" si="9"/>
        <v>21494.834558687606</v>
      </c>
      <c r="AG9" s="37">
        <f t="shared" si="9"/>
        <v>22142.101267213457</v>
      </c>
      <c r="AH9" s="37">
        <f t="shared" si="9"/>
        <v>22808.858899980758</v>
      </c>
      <c r="AI9" s="34" t="s">
        <v>4419</v>
      </c>
      <c r="AJ9" s="79" t="s">
        <v>4344</v>
      </c>
    </row>
    <row r="10" spans="1:36" s="6" customFormat="1" ht="20" x14ac:dyDescent="0.2">
      <c r="B10" s="22"/>
      <c r="C10" s="22"/>
      <c r="D10" s="74"/>
      <c r="E10" s="74">
        <f>(E9-D9)/D9</f>
        <v>1.835687851645125E-2</v>
      </c>
      <c r="F10" s="74">
        <f t="shared" ref="F10:W10" si="10">(F9-E9)/E9</f>
        <v>1.2182400328983508E-2</v>
      </c>
      <c r="G10" s="74">
        <f t="shared" si="10"/>
        <v>1.0027366228687166E-2</v>
      </c>
      <c r="H10" s="74">
        <f t="shared" si="10"/>
        <v>9.9859535669425559E-3</v>
      </c>
      <c r="I10" s="74">
        <f t="shared" si="10"/>
        <v>8.0962315889541257E-3</v>
      </c>
      <c r="J10" s="74">
        <f t="shared" si="10"/>
        <v>4.5696159990886182E-3</v>
      </c>
      <c r="K10" s="74">
        <f t="shared" si="10"/>
        <v>8.9293335908883394E-3</v>
      </c>
      <c r="L10" s="74">
        <f t="shared" si="10"/>
        <v>-5.8974168669308421E-5</v>
      </c>
      <c r="M10" s="74">
        <f t="shared" si="10"/>
        <v>1.1811653524984023E-2</v>
      </c>
      <c r="N10" s="74">
        <f t="shared" si="10"/>
        <v>1.3317681213252306E-2</v>
      </c>
      <c r="O10" s="74">
        <f t="shared" si="10"/>
        <v>1.662748735783489E-2</v>
      </c>
      <c r="P10" s="74">
        <f t="shared" si="10"/>
        <v>1.3716046272664175E-2</v>
      </c>
      <c r="Q10" s="74">
        <f t="shared" si="10"/>
        <v>1.8362635550854395E-2</v>
      </c>
      <c r="R10" s="74">
        <f t="shared" si="10"/>
        <v>1.9422039427373004E-2</v>
      </c>
      <c r="S10" s="74">
        <f t="shared" si="10"/>
        <v>2.1083215982324464E-2</v>
      </c>
      <c r="T10" s="74">
        <f t="shared" si="10"/>
        <v>2.337394306540589E-2</v>
      </c>
      <c r="U10" s="74">
        <f t="shared" si="10"/>
        <v>3.0764788054994018E-2</v>
      </c>
      <c r="V10" s="74">
        <f t="shared" si="10"/>
        <v>3.5383741746164286E-2</v>
      </c>
      <c r="W10" s="74">
        <f t="shared" si="10"/>
        <v>4.0929314112701433E-2</v>
      </c>
      <c r="X10" s="74">
        <f>(X9-W9)/W9</f>
        <v>4.5759574003796571E-2</v>
      </c>
      <c r="Y10" s="74">
        <f t="shared" ref="Y10" si="11">(Y9-X9)/X9</f>
        <v>5.308873438009503E-2</v>
      </c>
      <c r="Z10" s="91">
        <f>$AI10</f>
        <v>3.0112662963681425E-2</v>
      </c>
      <c r="AA10" s="91">
        <f t="shared" ref="AA10:AH10" si="12">$AI10</f>
        <v>3.0112662963681425E-2</v>
      </c>
      <c r="AB10" s="91">
        <f t="shared" si="12"/>
        <v>3.0112662963681425E-2</v>
      </c>
      <c r="AC10" s="91">
        <f t="shared" si="12"/>
        <v>3.0112662963681425E-2</v>
      </c>
      <c r="AD10" s="91">
        <f t="shared" si="12"/>
        <v>3.0112662963681425E-2</v>
      </c>
      <c r="AE10" s="91">
        <f t="shared" si="12"/>
        <v>3.0112662963681425E-2</v>
      </c>
      <c r="AF10" s="91">
        <f t="shared" si="12"/>
        <v>3.0112662963681425E-2</v>
      </c>
      <c r="AG10" s="91">
        <f t="shared" si="12"/>
        <v>3.0112662963681425E-2</v>
      </c>
      <c r="AH10" s="91">
        <f t="shared" si="12"/>
        <v>3.0112662963681425E-2</v>
      </c>
      <c r="AI10" s="91">
        <f>(Y9/O9)^(1/(10))-1</f>
        <v>3.0112662963681425E-2</v>
      </c>
      <c r="AJ10" s="79" t="s">
        <v>2459</v>
      </c>
    </row>
    <row r="11" spans="1:36" s="2" customFormat="1" ht="19" x14ac:dyDescent="0.25"/>
    <row r="12" spans="1:36" s="48" customFormat="1" ht="20" x14ac:dyDescent="0.2">
      <c r="B12" s="11" t="s">
        <v>2379</v>
      </c>
      <c r="C12" s="22" t="s">
        <v>181</v>
      </c>
      <c r="D12" s="37">
        <f>D3</f>
        <v>11569.004338000001</v>
      </c>
      <c r="E12" s="37">
        <f t="shared" ref="E12:AH12" si="13">E3</f>
        <v>11771.34123</v>
      </c>
      <c r="F12" s="37">
        <f t="shared" si="13"/>
        <v>11900.705465999999</v>
      </c>
      <c r="G12" s="37">
        <f t="shared" si="13"/>
        <v>11961.120799</v>
      </c>
      <c r="H12" s="37">
        <f t="shared" si="13"/>
        <v>12064.838025999999</v>
      </c>
      <c r="I12" s="37">
        <f t="shared" si="13"/>
        <v>12154.344327999999</v>
      </c>
      <c r="J12" s="37">
        <f t="shared" si="13"/>
        <v>12256.875109000001</v>
      </c>
      <c r="K12" s="37">
        <f t="shared" si="13"/>
        <v>12373.244146000001</v>
      </c>
      <c r="L12" s="37">
        <f t="shared" si="13"/>
        <v>12362.08279</v>
      </c>
      <c r="M12" s="37">
        <f t="shared" si="13"/>
        <v>12413.369611</v>
      </c>
      <c r="N12" s="37">
        <f t="shared" si="13"/>
        <v>12547.872343999999</v>
      </c>
      <c r="O12" s="37">
        <f t="shared" si="13"/>
        <v>12621.943302</v>
      </c>
      <c r="P12" s="37">
        <f t="shared" si="13"/>
        <v>12689.126338</v>
      </c>
      <c r="Q12" s="37">
        <f t="shared" si="13"/>
        <v>12632.586998000001</v>
      </c>
      <c r="R12" s="37">
        <f t="shared" si="13"/>
        <v>12666.688338</v>
      </c>
      <c r="S12" s="37">
        <f t="shared" si="13"/>
        <v>12666.202655999999</v>
      </c>
      <c r="T12" s="37">
        <f t="shared" si="13"/>
        <v>12711.336101000001</v>
      </c>
      <c r="U12" s="37">
        <f t="shared" si="13"/>
        <v>12765.686018</v>
      </c>
      <c r="V12" s="37">
        <f t="shared" si="13"/>
        <v>12819.760236</v>
      </c>
      <c r="W12" s="37">
        <f t="shared" si="13"/>
        <v>12832.452090999999</v>
      </c>
      <c r="X12" s="37">
        <f t="shared" si="13"/>
        <v>12916.886925999999</v>
      </c>
      <c r="Y12" s="37">
        <f t="shared" si="13"/>
        <v>13013.61609</v>
      </c>
      <c r="Z12" s="37">
        <f t="shared" si="13"/>
        <v>13053.445707945912</v>
      </c>
      <c r="AA12" s="37">
        <f t="shared" si="13"/>
        <v>13093.397228862892</v>
      </c>
      <c r="AB12" s="37">
        <f t="shared" si="13"/>
        <v>13133.471025848528</v>
      </c>
      <c r="AC12" s="37">
        <f t="shared" si="13"/>
        <v>13173.667473142314</v>
      </c>
      <c r="AD12" s="37">
        <f t="shared" si="13"/>
        <v>13213.986946129146</v>
      </c>
      <c r="AE12" s="37">
        <f t="shared" si="13"/>
        <v>13254.429821342825</v>
      </c>
      <c r="AF12" s="37">
        <f t="shared" si="13"/>
        <v>13294.996476469578</v>
      </c>
      <c r="AG12" s="37">
        <f t="shared" si="13"/>
        <v>13335.687290351581</v>
      </c>
      <c r="AH12" s="37">
        <f t="shared" si="13"/>
        <v>13376.502642990499</v>
      </c>
      <c r="AI12" s="6"/>
      <c r="AJ12" s="6"/>
    </row>
    <row r="13" spans="1:36" s="6" customFormat="1" x14ac:dyDescent="0.2">
      <c r="B13" s="185"/>
      <c r="C13" s="185"/>
      <c r="E13" s="307"/>
      <c r="X13" s="61"/>
      <c r="Y13" s="61"/>
      <c r="Z13" s="61"/>
      <c r="AA13" s="61"/>
      <c r="AB13" s="61"/>
      <c r="AC13" s="61"/>
      <c r="AD13" s="61"/>
      <c r="AE13" s="61"/>
      <c r="AF13" s="61"/>
      <c r="AG13" s="61"/>
      <c r="AH13" s="61"/>
    </row>
    <row r="14" spans="1:36" s="6" customFormat="1" x14ac:dyDescent="0.2">
      <c r="B14" s="185"/>
      <c r="C14" s="185"/>
      <c r="E14" s="307"/>
      <c r="F14" s="307"/>
      <c r="X14" s="61"/>
      <c r="Y14" s="61"/>
      <c r="Z14" s="61"/>
      <c r="AA14" s="61"/>
      <c r="AB14" s="61"/>
      <c r="AC14" s="61"/>
      <c r="AD14" s="61"/>
      <c r="AE14" s="61"/>
      <c r="AF14" s="61"/>
      <c r="AG14" s="61"/>
      <c r="AH14" s="61"/>
    </row>
    <row r="15" spans="1:36" s="6" customFormat="1" x14ac:dyDescent="0.2">
      <c r="B15" s="185"/>
      <c r="C15" s="185"/>
      <c r="E15" s="307"/>
      <c r="F15" s="307"/>
      <c r="X15" s="61"/>
      <c r="Y15" s="61"/>
      <c r="Z15" s="61"/>
      <c r="AA15" s="61"/>
      <c r="AB15" s="61"/>
      <c r="AC15" s="61"/>
      <c r="AD15" s="61"/>
      <c r="AE15" s="61"/>
      <c r="AF15" s="61"/>
      <c r="AG15" s="61"/>
      <c r="AH15" s="61"/>
    </row>
    <row r="16" spans="1:36" x14ac:dyDescent="0.2">
      <c r="E16" s="307"/>
      <c r="F16" s="307"/>
    </row>
    <row r="17" spans="1:34" s="6" customFormat="1" ht="19" x14ac:dyDescent="0.25">
      <c r="A17" s="49" t="s">
        <v>37</v>
      </c>
      <c r="B17" s="185"/>
      <c r="C17" s="185"/>
      <c r="E17" s="307"/>
      <c r="F17" s="307"/>
      <c r="X17" s="61"/>
      <c r="Y17" s="61"/>
      <c r="Z17" s="61"/>
      <c r="AA17" s="61"/>
      <c r="AB17" s="61"/>
      <c r="AC17" s="61"/>
      <c r="AD17" s="61"/>
      <c r="AE17" s="61"/>
      <c r="AF17" s="61"/>
      <c r="AG17" s="61"/>
      <c r="AH17" s="61"/>
    </row>
    <row r="18" spans="1:34" s="7" customFormat="1" ht="19" x14ac:dyDescent="0.25">
      <c r="A18" s="7" t="s">
        <v>4420</v>
      </c>
      <c r="B18" s="19"/>
      <c r="C18" s="19"/>
      <c r="E18" s="307"/>
      <c r="F18" s="307"/>
      <c r="X18" s="222"/>
      <c r="Y18" s="222"/>
      <c r="Z18" s="222"/>
      <c r="AA18" s="222"/>
      <c r="AB18" s="222"/>
      <c r="AC18" s="222"/>
      <c r="AD18" s="222"/>
      <c r="AE18" s="222"/>
      <c r="AF18" s="222"/>
      <c r="AG18" s="222"/>
      <c r="AH18" s="222"/>
    </row>
    <row r="19" spans="1:34" x14ac:dyDescent="0.2">
      <c r="E19" s="307"/>
      <c r="F19" s="307"/>
    </row>
    <row r="20" spans="1:34" x14ac:dyDescent="0.2">
      <c r="E20" s="307"/>
      <c r="F20" s="307"/>
    </row>
    <row r="21" spans="1:34" x14ac:dyDescent="0.2">
      <c r="E21" s="307"/>
      <c r="F21" s="307"/>
    </row>
    <row r="22" spans="1:34" x14ac:dyDescent="0.2">
      <c r="E22" s="307"/>
      <c r="F22" s="307"/>
    </row>
    <row r="23" spans="1:34" x14ac:dyDescent="0.2">
      <c r="E23" s="307"/>
      <c r="F23" s="307"/>
    </row>
    <row r="24" spans="1:34" x14ac:dyDescent="0.2">
      <c r="E24" s="307"/>
      <c r="F24" s="307"/>
    </row>
    <row r="25" spans="1:34" x14ac:dyDescent="0.2">
      <c r="E25" s="307"/>
      <c r="F25" s="307"/>
    </row>
    <row r="26" spans="1:34" x14ac:dyDescent="0.2">
      <c r="E26" s="307"/>
      <c r="F26" s="307"/>
    </row>
    <row r="27" spans="1:34" x14ac:dyDescent="0.2">
      <c r="E27" s="307"/>
      <c r="F27" s="307"/>
    </row>
    <row r="28" spans="1:34" x14ac:dyDescent="0.2">
      <c r="E28" s="307"/>
      <c r="F28" s="307"/>
    </row>
    <row r="29" spans="1:34" x14ac:dyDescent="0.2">
      <c r="E29" s="307"/>
      <c r="F29" s="307"/>
    </row>
    <row r="30" spans="1:34" x14ac:dyDescent="0.2">
      <c r="E30" s="307"/>
      <c r="F30" s="307"/>
    </row>
    <row r="31" spans="1:34" x14ac:dyDescent="0.2">
      <c r="E31" s="307"/>
      <c r="F31" s="307"/>
    </row>
    <row r="32" spans="1:34" x14ac:dyDescent="0.2">
      <c r="F32" s="307"/>
    </row>
    <row r="33" spans="6:6" x14ac:dyDescent="0.2">
      <c r="F33" s="307"/>
    </row>
    <row r="34" spans="6:6" x14ac:dyDescent="0.2">
      <c r="F34" s="307"/>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045F9-5D7D-F449-8A82-4B39251EA49B}">
  <sheetPr codeName="Sheet14"/>
  <dimension ref="A1:B3"/>
  <sheetViews>
    <sheetView workbookViewId="0">
      <selection activeCell="B1" sqref="B1"/>
    </sheetView>
  </sheetViews>
  <sheetFormatPr baseColWidth="10" defaultRowHeight="16" x14ac:dyDescent="0.2"/>
  <cols>
    <col min="1" max="1" width="4.83203125" style="52" customWidth="1"/>
    <col min="2" max="16384" width="10.83203125" style="52"/>
  </cols>
  <sheetData>
    <row r="1" spans="1:2" ht="21" x14ac:dyDescent="0.2">
      <c r="A1" s="114" t="s">
        <v>75</v>
      </c>
      <c r="B1" s="312" t="s">
        <v>343</v>
      </c>
    </row>
    <row r="3" spans="1:2" ht="19" x14ac:dyDescent="0.25">
      <c r="B3" s="2" t="s">
        <v>4424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55822-6CC2-4649-838D-030F6D08DFB9}">
  <dimension ref="A1:AI107"/>
  <sheetViews>
    <sheetView topLeftCell="A2" workbookViewId="0">
      <selection activeCell="D9" sqref="D9"/>
    </sheetView>
  </sheetViews>
  <sheetFormatPr baseColWidth="10" defaultRowHeight="19" x14ac:dyDescent="0.2"/>
  <cols>
    <col min="1" max="1" width="4.83203125" style="52" customWidth="1"/>
    <col min="2" max="4" width="12.83203125" style="52" customWidth="1"/>
    <col min="5" max="5" width="4.83203125" style="52" customWidth="1"/>
    <col min="6" max="7" width="10.83203125" style="52"/>
    <col min="8" max="11" width="12.83203125" style="52" customWidth="1"/>
    <col min="12" max="12" width="4.83203125" style="183" customWidth="1"/>
    <col min="13" max="20" width="12.83203125" style="183" customWidth="1"/>
    <col min="21" max="21" width="33.83203125" style="183" customWidth="1"/>
    <col min="22" max="22" width="4.83203125" style="183" customWidth="1"/>
    <col min="23" max="23" width="18.83203125" style="183" customWidth="1"/>
    <col min="24" max="24" width="18.33203125" style="183" customWidth="1"/>
    <col min="25" max="25" width="10.83203125" style="183"/>
    <col min="26" max="26" width="4.83203125" style="183" customWidth="1"/>
    <col min="27" max="27" width="10.83203125" style="29"/>
    <col min="28" max="30" width="10.83203125" style="27"/>
    <col min="31" max="35" width="10.83203125" style="183"/>
    <col min="36" max="16384" width="10.83203125" style="52"/>
  </cols>
  <sheetData>
    <row r="1" spans="1:34" s="183" customFormat="1" ht="21" x14ac:dyDescent="0.2">
      <c r="A1" s="12" t="s">
        <v>75</v>
      </c>
      <c r="B1" s="12" t="s">
        <v>2464</v>
      </c>
      <c r="AA1" s="29"/>
      <c r="AB1" s="27"/>
      <c r="AC1" s="27"/>
      <c r="AD1" s="27"/>
    </row>
    <row r="2" spans="1:34" s="183" customFormat="1" ht="21" x14ac:dyDescent="0.2">
      <c r="A2" s="12"/>
      <c r="AA2" s="29"/>
      <c r="AB2" s="27"/>
      <c r="AC2" s="27"/>
      <c r="AD2" s="27"/>
    </row>
    <row r="3" spans="1:34" ht="21" x14ac:dyDescent="0.2">
      <c r="B3" s="12" t="s">
        <v>2418</v>
      </c>
      <c r="E3" s="12"/>
      <c r="F3" s="12" t="s">
        <v>2419</v>
      </c>
      <c r="M3" s="12" t="s">
        <v>2465</v>
      </c>
      <c r="N3" s="35"/>
      <c r="O3" s="35"/>
      <c r="P3" s="35"/>
      <c r="Q3" s="35"/>
      <c r="W3" s="12" t="s">
        <v>2466</v>
      </c>
      <c r="X3" s="12"/>
      <c r="AA3" s="12" t="s">
        <v>2420</v>
      </c>
    </row>
    <row r="4" spans="1:34" ht="60" x14ac:dyDescent="0.2">
      <c r="B4" s="10" t="s">
        <v>30</v>
      </c>
      <c r="C4" s="10" t="s">
        <v>30</v>
      </c>
      <c r="D4" s="10" t="s">
        <v>544</v>
      </c>
      <c r="F4" s="10" t="s">
        <v>30</v>
      </c>
      <c r="G4" s="10" t="s">
        <v>30</v>
      </c>
      <c r="H4" s="10" t="s">
        <v>2421</v>
      </c>
      <c r="I4" s="10" t="s">
        <v>2422</v>
      </c>
      <c r="J4" s="10" t="s">
        <v>2423</v>
      </c>
      <c r="K4" s="10" t="s">
        <v>2424</v>
      </c>
      <c r="M4" s="13" t="s">
        <v>30</v>
      </c>
      <c r="N4" s="13" t="s">
        <v>2434</v>
      </c>
      <c r="O4" s="13" t="s">
        <v>2435</v>
      </c>
      <c r="P4" s="13" t="s">
        <v>453</v>
      </c>
      <c r="Q4" s="13" t="s">
        <v>454</v>
      </c>
      <c r="R4" s="13" t="s">
        <v>2467</v>
      </c>
      <c r="S4" s="13" t="s">
        <v>2219</v>
      </c>
      <c r="T4" s="13" t="s">
        <v>2220</v>
      </c>
      <c r="U4" s="13" t="s">
        <v>32</v>
      </c>
      <c r="W4" s="13" t="s">
        <v>2468</v>
      </c>
      <c r="X4" s="13" t="s">
        <v>2469</v>
      </c>
      <c r="Y4" s="13" t="s">
        <v>545</v>
      </c>
      <c r="AA4" s="13" t="s">
        <v>500</v>
      </c>
      <c r="AB4" s="13" t="s">
        <v>2470</v>
      </c>
      <c r="AC4" s="13" t="s">
        <v>500</v>
      </c>
      <c r="AD4" s="13" t="s">
        <v>2470</v>
      </c>
      <c r="AE4" s="13" t="s">
        <v>500</v>
      </c>
      <c r="AF4" s="13" t="s">
        <v>2470</v>
      </c>
      <c r="AG4" s="13" t="s">
        <v>500</v>
      </c>
      <c r="AH4" s="13" t="s">
        <v>2470</v>
      </c>
    </row>
    <row r="5" spans="1:34" ht="20" x14ac:dyDescent="0.2">
      <c r="B5" s="10" t="s">
        <v>2425</v>
      </c>
      <c r="C5" s="10" t="s">
        <v>49</v>
      </c>
      <c r="D5" s="10" t="s">
        <v>2426</v>
      </c>
      <c r="F5" s="10" t="s">
        <v>2425</v>
      </c>
      <c r="G5" s="10" t="s">
        <v>49</v>
      </c>
      <c r="H5" s="10" t="s">
        <v>2427</v>
      </c>
      <c r="I5" s="10" t="s">
        <v>2427</v>
      </c>
      <c r="J5" s="10" t="s">
        <v>20</v>
      </c>
      <c r="K5" s="10" t="s">
        <v>20</v>
      </c>
      <c r="M5" s="10" t="s">
        <v>49</v>
      </c>
      <c r="N5" s="10" t="s">
        <v>50</v>
      </c>
      <c r="O5" s="10" t="s">
        <v>50</v>
      </c>
      <c r="P5" s="10" t="s">
        <v>66</v>
      </c>
      <c r="Q5" s="10" t="s">
        <v>66</v>
      </c>
      <c r="R5" s="10" t="s">
        <v>66</v>
      </c>
      <c r="S5" s="10" t="s">
        <v>20</v>
      </c>
      <c r="T5" s="10" t="s">
        <v>20</v>
      </c>
      <c r="U5" s="10"/>
      <c r="W5" s="10"/>
      <c r="X5" s="10"/>
      <c r="Y5" s="10"/>
    </row>
    <row r="6" spans="1:34" ht="20" x14ac:dyDescent="0.2">
      <c r="B6" s="151">
        <v>63000</v>
      </c>
      <c r="C6" s="151">
        <f t="shared" ref="C6:C23" si="0">B6/1000</f>
        <v>63</v>
      </c>
      <c r="D6" s="249">
        <v>0.38</v>
      </c>
      <c r="F6" s="151">
        <v>63000</v>
      </c>
      <c r="G6" s="151">
        <f t="shared" ref="G6:G23" si="1">F6/1000</f>
        <v>63</v>
      </c>
      <c r="H6" s="250">
        <v>400</v>
      </c>
      <c r="I6" s="250">
        <v>366</v>
      </c>
      <c r="J6" s="250">
        <f>$F6*$F6/H6/10^6</f>
        <v>9.9224999999999994</v>
      </c>
      <c r="K6" s="250">
        <f>$F6*$F6/I6/10^6</f>
        <v>10.844262295081968</v>
      </c>
      <c r="M6" s="259">
        <v>69</v>
      </c>
      <c r="N6" s="151">
        <v>500</v>
      </c>
      <c r="O6" s="151">
        <f>N6*$W$6</f>
        <v>650</v>
      </c>
      <c r="P6" s="151">
        <f t="shared" ref="P6:P17" si="2">(SQRT(3)*N6*M6)/1000</f>
        <v>59.755752861126261</v>
      </c>
      <c r="Q6" s="151">
        <f t="shared" ref="Q6:Q17" si="3">(SQRT(3)*O6*$M6)/1000</f>
        <v>77.682478719464143</v>
      </c>
      <c r="R6" s="209"/>
      <c r="S6" s="151">
        <f>P6*$Y$6</f>
        <v>53.780177575013639</v>
      </c>
      <c r="T6" s="151">
        <f>Q6*$Y$6</f>
        <v>69.914230847517729</v>
      </c>
      <c r="U6" s="11" t="s">
        <v>2471</v>
      </c>
      <c r="W6" s="58">
        <v>1.3</v>
      </c>
      <c r="X6" s="58">
        <v>1.2</v>
      </c>
      <c r="Y6" s="58">
        <v>0.9</v>
      </c>
      <c r="AA6" s="10">
        <v>1980</v>
      </c>
      <c r="AB6" s="260">
        <v>44.033333333333331</v>
      </c>
      <c r="AC6" s="10">
        <v>1990</v>
      </c>
      <c r="AD6" s="260">
        <v>78.358333333333334</v>
      </c>
      <c r="AE6" s="10">
        <v>2000</v>
      </c>
      <c r="AF6" s="260">
        <v>95.375</v>
      </c>
      <c r="AG6" s="10">
        <v>2010</v>
      </c>
      <c r="AH6" s="260">
        <v>116.46666666666668</v>
      </c>
    </row>
    <row r="7" spans="1:34" x14ac:dyDescent="0.2">
      <c r="B7" s="151">
        <v>66000</v>
      </c>
      <c r="C7" s="151">
        <f t="shared" si="0"/>
        <v>66</v>
      </c>
      <c r="D7" s="249">
        <f>(D$14-D$6)*(C7-C$6)/(C$14-C$6)+D$6</f>
        <v>0.38214285714285717</v>
      </c>
      <c r="F7" s="151">
        <v>66000</v>
      </c>
      <c r="G7" s="151">
        <f t="shared" si="1"/>
        <v>66</v>
      </c>
      <c r="H7" s="250">
        <v>400</v>
      </c>
      <c r="I7" s="250">
        <v>366</v>
      </c>
      <c r="J7" s="250">
        <f>$F7*$F7/H7/10^6</f>
        <v>10.89</v>
      </c>
      <c r="K7" s="250">
        <f>$F7*$F7/I7/10^6</f>
        <v>11.901639344262295</v>
      </c>
      <c r="M7" s="151">
        <v>115</v>
      </c>
      <c r="N7" s="151">
        <v>600</v>
      </c>
      <c r="O7" s="151">
        <f t="shared" ref="O7:O17" si="4">N7*$W$6</f>
        <v>780</v>
      </c>
      <c r="P7" s="151">
        <f t="shared" si="2"/>
        <v>119.51150572225254</v>
      </c>
      <c r="Q7" s="151">
        <f t="shared" si="3"/>
        <v>155.36495743892829</v>
      </c>
      <c r="R7" s="209">
        <v>125</v>
      </c>
      <c r="S7" s="151">
        <f t="shared" ref="S7:T17" si="5">P7*$Y$6</f>
        <v>107.56035515002729</v>
      </c>
      <c r="T7" s="151">
        <f t="shared" si="5"/>
        <v>139.82846169503546</v>
      </c>
      <c r="U7" s="11"/>
      <c r="AA7" s="10">
        <v>1981</v>
      </c>
      <c r="AB7" s="260">
        <v>49.524999999999999</v>
      </c>
      <c r="AC7" s="10">
        <v>1991</v>
      </c>
      <c r="AD7" s="260">
        <v>82.766666666666666</v>
      </c>
      <c r="AE7" s="10">
        <v>2001</v>
      </c>
      <c r="AF7" s="260">
        <v>97.783333333333346</v>
      </c>
      <c r="AG7" s="10">
        <v>2011</v>
      </c>
      <c r="AH7" s="260">
        <v>119.85833333333333</v>
      </c>
    </row>
    <row r="8" spans="1:34" x14ac:dyDescent="0.2">
      <c r="B8" s="151">
        <v>69000</v>
      </c>
      <c r="C8" s="151">
        <f t="shared" si="0"/>
        <v>69</v>
      </c>
      <c r="D8" s="249">
        <f t="shared" ref="D8:D13" si="6">(D$14-D$6)*(C8-C$6)/(C$14-C$6)+D$6</f>
        <v>0.38428571428571429</v>
      </c>
      <c r="F8" s="251">
        <v>69000</v>
      </c>
      <c r="G8" s="251">
        <f t="shared" si="1"/>
        <v>69</v>
      </c>
      <c r="H8" s="251">
        <v>400</v>
      </c>
      <c r="I8" s="251">
        <v>366</v>
      </c>
      <c r="J8" s="251">
        <v>12</v>
      </c>
      <c r="K8" s="251">
        <v>13</v>
      </c>
      <c r="M8" s="151">
        <v>120</v>
      </c>
      <c r="N8" s="151">
        <v>610</v>
      </c>
      <c r="O8" s="151">
        <f t="shared" si="4"/>
        <v>793</v>
      </c>
      <c r="P8" s="151">
        <f t="shared" si="2"/>
        <v>126.78611911404181</v>
      </c>
      <c r="Q8" s="151">
        <f t="shared" si="3"/>
        <v>164.82195484825436</v>
      </c>
      <c r="R8" s="209"/>
      <c r="S8" s="151">
        <f t="shared" si="5"/>
        <v>114.10750720263763</v>
      </c>
      <c r="T8" s="151">
        <f t="shared" si="5"/>
        <v>148.33975936342893</v>
      </c>
      <c r="U8" s="11"/>
      <c r="AA8" s="10">
        <v>1982</v>
      </c>
      <c r="AB8" s="260">
        <v>54.858333333333341</v>
      </c>
      <c r="AC8" s="10">
        <v>1992</v>
      </c>
      <c r="AD8" s="260">
        <v>84.000000000000014</v>
      </c>
      <c r="AE8" s="10">
        <v>2002</v>
      </c>
      <c r="AF8" s="260">
        <v>99.991666666666674</v>
      </c>
      <c r="AG8" s="10">
        <v>2012</v>
      </c>
      <c r="AH8" s="260">
        <v>121.67500000000001</v>
      </c>
    </row>
    <row r="9" spans="1:34" x14ac:dyDescent="0.2">
      <c r="B9" s="151">
        <v>72000</v>
      </c>
      <c r="C9" s="151">
        <f t="shared" si="0"/>
        <v>72</v>
      </c>
      <c r="D9" s="249">
        <f t="shared" si="6"/>
        <v>0.38642857142857145</v>
      </c>
      <c r="F9" s="151">
        <v>72000</v>
      </c>
      <c r="G9" s="151">
        <f t="shared" si="1"/>
        <v>72</v>
      </c>
      <c r="H9" s="250">
        <v>400</v>
      </c>
      <c r="I9" s="250">
        <v>366</v>
      </c>
      <c r="J9" s="250">
        <f t="shared" ref="J9:K11" si="7">$F9*$F9/H9/10^6</f>
        <v>12.96</v>
      </c>
      <c r="K9" s="250">
        <f t="shared" si="7"/>
        <v>14.163934426229508</v>
      </c>
      <c r="M9" s="151">
        <v>138</v>
      </c>
      <c r="N9" s="151">
        <v>650</v>
      </c>
      <c r="O9" s="151">
        <f t="shared" si="4"/>
        <v>845</v>
      </c>
      <c r="P9" s="151">
        <f t="shared" si="2"/>
        <v>155.36495743892829</v>
      </c>
      <c r="Q9" s="151">
        <f t="shared" si="3"/>
        <v>201.97444467060674</v>
      </c>
      <c r="R9" s="209">
        <v>150</v>
      </c>
      <c r="S9" s="151">
        <f t="shared" si="5"/>
        <v>139.82846169503546</v>
      </c>
      <c r="T9" s="151">
        <f t="shared" si="5"/>
        <v>181.77700020354607</v>
      </c>
      <c r="U9" s="11"/>
      <c r="AA9" s="10">
        <v>1983</v>
      </c>
      <c r="AB9" s="260">
        <v>58.07500000000001</v>
      </c>
      <c r="AC9" s="10">
        <v>1993</v>
      </c>
      <c r="AD9" s="260">
        <v>85.566666666666663</v>
      </c>
      <c r="AE9" s="10">
        <v>2003</v>
      </c>
      <c r="AF9" s="260">
        <v>102.75</v>
      </c>
      <c r="AG9" s="10">
        <v>2013</v>
      </c>
      <c r="AH9" s="260">
        <v>122.81666666666666</v>
      </c>
    </row>
    <row r="10" spans="1:34" x14ac:dyDescent="0.2">
      <c r="B10" s="151">
        <v>115000</v>
      </c>
      <c r="C10" s="151">
        <f t="shared" si="0"/>
        <v>115</v>
      </c>
      <c r="D10" s="249">
        <f t="shared" si="6"/>
        <v>0.41714285714285715</v>
      </c>
      <c r="F10" s="151">
        <v>115000</v>
      </c>
      <c r="G10" s="151">
        <f t="shared" si="1"/>
        <v>115</v>
      </c>
      <c r="H10" s="250">
        <v>403</v>
      </c>
      <c r="I10" s="250">
        <v>366</v>
      </c>
      <c r="J10" s="250">
        <f t="shared" si="7"/>
        <v>32.816377171215883</v>
      </c>
      <c r="K10" s="250">
        <f t="shared" si="7"/>
        <v>36.133879781420767</v>
      </c>
      <c r="M10" s="151">
        <v>161</v>
      </c>
      <c r="N10" s="151">
        <v>700</v>
      </c>
      <c r="O10" s="151">
        <f t="shared" si="4"/>
        <v>910</v>
      </c>
      <c r="P10" s="151">
        <f t="shared" si="2"/>
        <v>195.20212601301245</v>
      </c>
      <c r="Q10" s="151">
        <f t="shared" si="3"/>
        <v>253.76276381691622</v>
      </c>
      <c r="R10" s="209"/>
      <c r="S10" s="151">
        <f t="shared" si="5"/>
        <v>175.68191341171121</v>
      </c>
      <c r="T10" s="151">
        <f t="shared" si="5"/>
        <v>228.38648743522461</v>
      </c>
      <c r="U10" s="11"/>
      <c r="AA10" s="10">
        <v>1984</v>
      </c>
      <c r="AB10" s="260">
        <v>60.574999999999996</v>
      </c>
      <c r="AC10" s="10">
        <v>1994</v>
      </c>
      <c r="AD10" s="260">
        <v>85.708333333333329</v>
      </c>
      <c r="AE10" s="10">
        <v>2004</v>
      </c>
      <c r="AF10" s="260">
        <v>104.65833333333335</v>
      </c>
      <c r="AG10" s="10">
        <v>2014</v>
      </c>
      <c r="AH10" s="260">
        <v>125.15833333333336</v>
      </c>
    </row>
    <row r="11" spans="1:34" x14ac:dyDescent="0.2">
      <c r="B11" s="151">
        <v>120000</v>
      </c>
      <c r="C11" s="151">
        <f t="shared" si="0"/>
        <v>120</v>
      </c>
      <c r="D11" s="249">
        <f t="shared" si="6"/>
        <v>0.42071428571428571</v>
      </c>
      <c r="F11" s="151">
        <v>120000</v>
      </c>
      <c r="G11" s="151">
        <f t="shared" si="1"/>
        <v>120</v>
      </c>
      <c r="H11" s="250">
        <v>403</v>
      </c>
      <c r="I11" s="250">
        <v>366</v>
      </c>
      <c r="J11" s="250">
        <f t="shared" si="7"/>
        <v>35.732009925558316</v>
      </c>
      <c r="K11" s="250">
        <f t="shared" si="7"/>
        <v>39.344262295081968</v>
      </c>
      <c r="M11" s="151">
        <v>230</v>
      </c>
      <c r="N11" s="151">
        <v>1000</v>
      </c>
      <c r="O11" s="151">
        <f t="shared" si="4"/>
        <v>1300</v>
      </c>
      <c r="P11" s="151">
        <f t="shared" si="2"/>
        <v>398.37168574084171</v>
      </c>
      <c r="Q11" s="151">
        <f t="shared" si="3"/>
        <v>517.88319146309425</v>
      </c>
      <c r="R11" s="209">
        <v>400</v>
      </c>
      <c r="S11" s="151">
        <f t="shared" si="5"/>
        <v>358.53451716675755</v>
      </c>
      <c r="T11" s="151">
        <f t="shared" si="5"/>
        <v>466.09487231678486</v>
      </c>
      <c r="U11" s="11"/>
      <c r="AA11" s="10">
        <v>1985</v>
      </c>
      <c r="AB11" s="260">
        <v>62.975000000000001</v>
      </c>
      <c r="AC11" s="10">
        <v>1995</v>
      </c>
      <c r="AD11" s="260">
        <v>87.550000000000011</v>
      </c>
      <c r="AE11" s="10">
        <v>2005</v>
      </c>
      <c r="AF11" s="260">
        <v>106.97500000000001</v>
      </c>
      <c r="AG11" s="10">
        <v>2015</v>
      </c>
      <c r="AH11" s="260">
        <v>126.6</v>
      </c>
    </row>
    <row r="12" spans="1:34" x14ac:dyDescent="0.2">
      <c r="B12" s="151">
        <v>138000</v>
      </c>
      <c r="C12" s="151">
        <f t="shared" si="0"/>
        <v>138</v>
      </c>
      <c r="D12" s="249">
        <f t="shared" si="6"/>
        <v>0.43357142857142861</v>
      </c>
      <c r="F12" s="251">
        <v>138000</v>
      </c>
      <c r="G12" s="251">
        <f t="shared" si="1"/>
        <v>138</v>
      </c>
      <c r="H12" s="251">
        <v>405</v>
      </c>
      <c r="I12" s="251">
        <v>366</v>
      </c>
      <c r="J12" s="251">
        <v>47</v>
      </c>
      <c r="K12" s="251">
        <v>52</v>
      </c>
      <c r="M12" s="151">
        <v>240</v>
      </c>
      <c r="N12" s="151">
        <v>1025</v>
      </c>
      <c r="O12" s="151">
        <f t="shared" si="4"/>
        <v>1332.5</v>
      </c>
      <c r="P12" s="151">
        <f t="shared" si="2"/>
        <v>426.08449866194377</v>
      </c>
      <c r="Q12" s="151">
        <f t="shared" si="3"/>
        <v>553.90984826052693</v>
      </c>
      <c r="R12" s="209"/>
      <c r="S12" s="151">
        <f t="shared" si="5"/>
        <v>383.47604879574942</v>
      </c>
      <c r="T12" s="151">
        <f t="shared" si="5"/>
        <v>498.51886343447427</v>
      </c>
      <c r="U12" s="11"/>
      <c r="AA12" s="10">
        <v>1986</v>
      </c>
      <c r="AB12" s="260">
        <v>65.61666666666666</v>
      </c>
      <c r="AC12" s="10">
        <v>1996</v>
      </c>
      <c r="AD12" s="260">
        <v>88.924999999999997</v>
      </c>
      <c r="AE12" s="10">
        <v>2006</v>
      </c>
      <c r="AF12" s="260">
        <v>109.11666666666667</v>
      </c>
      <c r="AG12" s="10">
        <v>2016</v>
      </c>
      <c r="AH12" s="260">
        <v>128.37499999999997</v>
      </c>
    </row>
    <row r="13" spans="1:34" x14ac:dyDescent="0.2">
      <c r="B13" s="151">
        <v>144000</v>
      </c>
      <c r="C13" s="151">
        <f t="shared" si="0"/>
        <v>144</v>
      </c>
      <c r="D13" s="249">
        <f t="shared" si="6"/>
        <v>0.43785714285714289</v>
      </c>
      <c r="F13" s="151">
        <v>144000</v>
      </c>
      <c r="G13" s="151">
        <f t="shared" si="1"/>
        <v>144</v>
      </c>
      <c r="H13" s="250">
        <v>405</v>
      </c>
      <c r="I13" s="250">
        <v>366</v>
      </c>
      <c r="J13" s="250">
        <f>$F13*$F13/H13/10^6</f>
        <v>51.2</v>
      </c>
      <c r="K13" s="250">
        <f>$F13*$F13/I13/10^6</f>
        <v>56.655737704918032</v>
      </c>
      <c r="M13" s="151">
        <v>315</v>
      </c>
      <c r="N13" s="151">
        <v>1150</v>
      </c>
      <c r="O13" s="151">
        <f t="shared" si="4"/>
        <v>1495</v>
      </c>
      <c r="P13" s="151">
        <f t="shared" si="2"/>
        <v>627.43540504182567</v>
      </c>
      <c r="Q13" s="151">
        <f t="shared" si="3"/>
        <v>815.6660265543735</v>
      </c>
      <c r="R13" s="209"/>
      <c r="S13" s="151">
        <f t="shared" si="5"/>
        <v>564.69186453764314</v>
      </c>
      <c r="T13" s="151">
        <f t="shared" si="5"/>
        <v>734.09942389893615</v>
      </c>
      <c r="U13" s="11"/>
      <c r="AA13" s="10">
        <v>1987</v>
      </c>
      <c r="AB13" s="260">
        <v>68.475000000000009</v>
      </c>
      <c r="AC13" s="10">
        <v>1997</v>
      </c>
      <c r="AD13" s="260">
        <v>90.366666666666674</v>
      </c>
      <c r="AE13" s="10">
        <v>2007</v>
      </c>
      <c r="AF13" s="260">
        <v>111.45</v>
      </c>
      <c r="AG13" s="10">
        <v>2017</v>
      </c>
      <c r="AH13" s="260">
        <v>130.42499999999998</v>
      </c>
    </row>
    <row r="14" spans="1:34" x14ac:dyDescent="0.2">
      <c r="B14" s="151">
        <v>161000</v>
      </c>
      <c r="C14" s="151">
        <f t="shared" si="0"/>
        <v>161</v>
      </c>
      <c r="D14" s="249">
        <v>0.45</v>
      </c>
      <c r="F14" s="151">
        <v>161000</v>
      </c>
      <c r="G14" s="151">
        <f t="shared" si="1"/>
        <v>161</v>
      </c>
      <c r="H14" s="250">
        <v>403</v>
      </c>
      <c r="I14" s="250">
        <v>366</v>
      </c>
      <c r="J14" s="250">
        <f>$F14*$F14/H14/10^6</f>
        <v>64.320099255583131</v>
      </c>
      <c r="K14" s="250">
        <f>$F14*$F14/I14/10^6</f>
        <v>70.822404371584696</v>
      </c>
      <c r="M14" s="151">
        <v>345</v>
      </c>
      <c r="N14" s="151">
        <v>1300</v>
      </c>
      <c r="O14" s="151">
        <f t="shared" si="4"/>
        <v>1690</v>
      </c>
      <c r="P14" s="151">
        <f t="shared" si="2"/>
        <v>776.82478719464143</v>
      </c>
      <c r="Q14" s="151">
        <f t="shared" si="3"/>
        <v>1009.8722233530337</v>
      </c>
      <c r="R14" s="209">
        <v>800</v>
      </c>
      <c r="S14" s="151">
        <f t="shared" si="5"/>
        <v>699.14230847517729</v>
      </c>
      <c r="T14" s="151">
        <f t="shared" si="5"/>
        <v>908.88500101773036</v>
      </c>
      <c r="U14" s="11"/>
      <c r="AA14" s="10">
        <v>1988</v>
      </c>
      <c r="AB14" s="260">
        <v>71.233333333333334</v>
      </c>
      <c r="AC14" s="10">
        <v>1998</v>
      </c>
      <c r="AD14" s="260">
        <v>91.266666666666666</v>
      </c>
      <c r="AE14" s="10">
        <v>2008</v>
      </c>
      <c r="AF14" s="260">
        <v>114.09166666666665</v>
      </c>
      <c r="AG14" s="10">
        <v>2018</v>
      </c>
      <c r="AH14" s="260">
        <v>133.38333333333335</v>
      </c>
    </row>
    <row r="15" spans="1:34" x14ac:dyDescent="0.2">
      <c r="B15" s="151">
        <v>230000</v>
      </c>
      <c r="C15" s="151">
        <f t="shared" si="0"/>
        <v>230</v>
      </c>
      <c r="D15" s="249">
        <v>0.48</v>
      </c>
      <c r="F15" s="251">
        <v>230000</v>
      </c>
      <c r="G15" s="251">
        <f t="shared" si="1"/>
        <v>230</v>
      </c>
      <c r="H15" s="251">
        <v>395</v>
      </c>
      <c r="I15" s="251">
        <v>365</v>
      </c>
      <c r="J15" s="251">
        <v>134</v>
      </c>
      <c r="K15" s="251">
        <v>145</v>
      </c>
      <c r="M15" s="151">
        <v>500</v>
      </c>
      <c r="N15" s="151">
        <v>1800</v>
      </c>
      <c r="O15" s="151">
        <f t="shared" si="4"/>
        <v>2340</v>
      </c>
      <c r="P15" s="151">
        <f t="shared" si="2"/>
        <v>1558.8457268119894</v>
      </c>
      <c r="Q15" s="151">
        <f t="shared" si="3"/>
        <v>2026.4994448555863</v>
      </c>
      <c r="R15" s="209">
        <v>1600</v>
      </c>
      <c r="S15" s="151">
        <f t="shared" si="5"/>
        <v>1402.9611541307904</v>
      </c>
      <c r="T15" s="151">
        <f t="shared" si="5"/>
        <v>1823.8495003700277</v>
      </c>
      <c r="U15" s="11"/>
      <c r="AA15" s="10">
        <v>1989</v>
      </c>
      <c r="AB15" s="260">
        <v>74.783333333333331</v>
      </c>
      <c r="AC15" s="10">
        <v>1999</v>
      </c>
      <c r="AD15" s="260">
        <v>92.850000000000009</v>
      </c>
      <c r="AE15" s="10">
        <v>2009</v>
      </c>
      <c r="AF15" s="260">
        <v>114.43333333333334</v>
      </c>
      <c r="AG15" s="10">
        <v>2019</v>
      </c>
      <c r="AH15" s="260">
        <v>136</v>
      </c>
    </row>
    <row r="16" spans="1:34" x14ac:dyDescent="0.2">
      <c r="B16" s="151">
        <v>240000</v>
      </c>
      <c r="C16" s="151">
        <f t="shared" si="0"/>
        <v>240</v>
      </c>
      <c r="D16" s="249">
        <f>(D$21-D$15)*(C16-C$15)/(C$21-C$15)+D$15</f>
        <v>0.47685185185185186</v>
      </c>
      <c r="F16" s="151">
        <v>240000</v>
      </c>
      <c r="G16" s="151">
        <f t="shared" si="1"/>
        <v>240</v>
      </c>
      <c r="H16" s="250">
        <v>394</v>
      </c>
      <c r="I16" s="250">
        <v>363</v>
      </c>
      <c r="J16" s="250">
        <f t="shared" ref="J16:K18" si="8">$F16*$F16/H16/10^6</f>
        <v>146.19289340101523</v>
      </c>
      <c r="K16" s="250">
        <f t="shared" si="8"/>
        <v>158.67768595041323</v>
      </c>
      <c r="M16" s="151">
        <v>735</v>
      </c>
      <c r="N16" s="151">
        <v>2500</v>
      </c>
      <c r="O16" s="151">
        <f t="shared" si="4"/>
        <v>3250</v>
      </c>
      <c r="P16" s="151">
        <f t="shared" si="2"/>
        <v>3182.6433589078119</v>
      </c>
      <c r="Q16" s="151">
        <f t="shared" si="3"/>
        <v>4137.4363665801557</v>
      </c>
      <c r="R16" s="209">
        <v>3200</v>
      </c>
      <c r="S16" s="151">
        <f t="shared" si="5"/>
        <v>2864.3790230170307</v>
      </c>
      <c r="T16" s="151">
        <f t="shared" si="5"/>
        <v>3723.6927299221402</v>
      </c>
      <c r="U16" s="11"/>
    </row>
    <row r="17" spans="1:30" x14ac:dyDescent="0.2">
      <c r="B17" s="151">
        <v>287000</v>
      </c>
      <c r="C17" s="151">
        <f t="shared" si="0"/>
        <v>287</v>
      </c>
      <c r="D17" s="249">
        <f t="shared" ref="D17:D20" si="9">(D$21-D$15)*(C17-C$15)/(C$21-C$15)+D$15</f>
        <v>0.46205555555555555</v>
      </c>
      <c r="F17" s="151">
        <v>287000</v>
      </c>
      <c r="G17" s="151">
        <f t="shared" si="1"/>
        <v>287</v>
      </c>
      <c r="H17" s="250">
        <v>385</v>
      </c>
      <c r="I17" s="250">
        <v>340</v>
      </c>
      <c r="J17" s="250">
        <f t="shared" si="8"/>
        <v>213.94545454545454</v>
      </c>
      <c r="K17" s="250">
        <f t="shared" si="8"/>
        <v>242.26176470588234</v>
      </c>
      <c r="M17" s="151">
        <v>765</v>
      </c>
      <c r="N17" s="151">
        <v>2600</v>
      </c>
      <c r="O17" s="151">
        <f t="shared" si="4"/>
        <v>3380</v>
      </c>
      <c r="P17" s="151">
        <f t="shared" si="2"/>
        <v>3445.0490562544969</v>
      </c>
      <c r="Q17" s="151">
        <f t="shared" si="3"/>
        <v>4478.5637731308452</v>
      </c>
      <c r="R17" s="209"/>
      <c r="S17" s="151">
        <f t="shared" si="5"/>
        <v>3100.5441506290472</v>
      </c>
      <c r="T17" s="151">
        <f t="shared" si="5"/>
        <v>4030.7073958177607</v>
      </c>
      <c r="U17" s="11"/>
      <c r="AA17" s="35" t="s">
        <v>37</v>
      </c>
    </row>
    <row r="18" spans="1:30" x14ac:dyDescent="0.25">
      <c r="B18" s="151">
        <v>315000</v>
      </c>
      <c r="C18" s="151">
        <f t="shared" si="0"/>
        <v>315</v>
      </c>
      <c r="D18" s="249">
        <f t="shared" si="9"/>
        <v>0.45324074074074072</v>
      </c>
      <c r="F18" s="151">
        <v>315000</v>
      </c>
      <c r="G18" s="151">
        <f t="shared" si="1"/>
        <v>315</v>
      </c>
      <c r="H18" s="250">
        <v>375</v>
      </c>
      <c r="I18" s="250">
        <v>310</v>
      </c>
      <c r="J18" s="250">
        <f t="shared" si="8"/>
        <v>264.60000000000002</v>
      </c>
      <c r="K18" s="250">
        <f t="shared" si="8"/>
        <v>320.08064516129036</v>
      </c>
      <c r="M18" s="6"/>
      <c r="N18" s="6"/>
      <c r="O18" s="6"/>
      <c r="P18" s="6"/>
      <c r="Q18" s="6"/>
      <c r="R18" s="6"/>
      <c r="S18" s="6"/>
      <c r="T18" s="6"/>
      <c r="U18" s="6"/>
      <c r="X18" s="6"/>
      <c r="AA18" s="2" t="s">
        <v>2472</v>
      </c>
    </row>
    <row r="19" spans="1:30" x14ac:dyDescent="0.2">
      <c r="B19" s="151">
        <v>345000</v>
      </c>
      <c r="C19" s="151">
        <f t="shared" si="0"/>
        <v>345</v>
      </c>
      <c r="D19" s="249">
        <f t="shared" si="9"/>
        <v>0.4437962962962963</v>
      </c>
      <c r="F19" s="251">
        <v>345000</v>
      </c>
      <c r="G19" s="251">
        <f t="shared" si="1"/>
        <v>345</v>
      </c>
      <c r="H19" s="251">
        <v>366</v>
      </c>
      <c r="I19" s="251">
        <v>280</v>
      </c>
      <c r="J19" s="251">
        <v>325</v>
      </c>
      <c r="K19" s="251">
        <v>425</v>
      </c>
      <c r="M19" s="35" t="s">
        <v>470</v>
      </c>
      <c r="N19" s="6"/>
      <c r="O19" s="6"/>
      <c r="P19" s="6"/>
      <c r="Q19" s="6"/>
      <c r="R19" s="6"/>
      <c r="S19" s="6"/>
      <c r="T19" s="6"/>
      <c r="U19" s="6"/>
      <c r="X19" s="6"/>
    </row>
    <row r="20" spans="1:30" x14ac:dyDescent="0.25">
      <c r="B20" s="151">
        <v>360000</v>
      </c>
      <c r="C20" s="151">
        <f t="shared" si="0"/>
        <v>360</v>
      </c>
      <c r="D20" s="249">
        <f t="shared" si="9"/>
        <v>0.43907407407407406</v>
      </c>
      <c r="F20" s="151">
        <v>360000</v>
      </c>
      <c r="G20" s="151">
        <f t="shared" si="1"/>
        <v>360</v>
      </c>
      <c r="H20" s="250">
        <v>360</v>
      </c>
      <c r="I20" s="250">
        <v>275</v>
      </c>
      <c r="J20" s="250">
        <f>$F20*$F20/H20/10^6</f>
        <v>360</v>
      </c>
      <c r="K20" s="250">
        <f>$F20*$F20/I20/10^6</f>
        <v>471.27272727272725</v>
      </c>
      <c r="M20" s="2" t="s">
        <v>2473</v>
      </c>
    </row>
    <row r="21" spans="1:30" x14ac:dyDescent="0.25">
      <c r="B21" s="151">
        <v>500000</v>
      </c>
      <c r="C21" s="151">
        <f t="shared" si="0"/>
        <v>500</v>
      </c>
      <c r="D21" s="249">
        <v>0.39500000000000002</v>
      </c>
      <c r="F21" s="251">
        <v>500000</v>
      </c>
      <c r="G21" s="251">
        <f t="shared" si="1"/>
        <v>500</v>
      </c>
      <c r="H21" s="251">
        <v>294</v>
      </c>
      <c r="I21" s="251">
        <v>233</v>
      </c>
      <c r="J21" s="251">
        <v>850</v>
      </c>
      <c r="K21" s="251">
        <v>1075</v>
      </c>
      <c r="M21" s="2" t="s">
        <v>2474</v>
      </c>
    </row>
    <row r="22" spans="1:30" x14ac:dyDescent="0.2">
      <c r="B22" s="151">
        <v>735000</v>
      </c>
      <c r="C22" s="151">
        <f t="shared" si="0"/>
        <v>735</v>
      </c>
      <c r="D22" s="249">
        <v>0.38</v>
      </c>
      <c r="F22" s="151">
        <v>735000</v>
      </c>
      <c r="G22" s="151">
        <f t="shared" si="1"/>
        <v>735</v>
      </c>
      <c r="H22" s="250">
        <v>270</v>
      </c>
      <c r="I22" s="250">
        <v>250</v>
      </c>
      <c r="J22" s="250">
        <f>$F22*$F22/H22/10^6</f>
        <v>2000.8333333333333</v>
      </c>
      <c r="K22" s="250">
        <f>$F22*$F22/I22/10^6</f>
        <v>2160.9</v>
      </c>
    </row>
    <row r="23" spans="1:30" x14ac:dyDescent="0.2">
      <c r="B23" s="151">
        <v>765000</v>
      </c>
      <c r="C23" s="151">
        <f t="shared" si="0"/>
        <v>765</v>
      </c>
      <c r="D23" s="249">
        <f>((C$23-C$21)/(C$22-C$21))*(D$22-D$21)+D$21</f>
        <v>0.37808510638297871</v>
      </c>
      <c r="F23" s="251">
        <v>765000</v>
      </c>
      <c r="G23" s="251">
        <f t="shared" si="1"/>
        <v>765</v>
      </c>
      <c r="H23" s="251">
        <v>266</v>
      </c>
      <c r="I23" s="251">
        <v>254</v>
      </c>
      <c r="J23" s="251">
        <v>2200</v>
      </c>
      <c r="K23" s="251">
        <v>2300</v>
      </c>
    </row>
    <row r="25" spans="1:30" x14ac:dyDescent="0.2">
      <c r="A25" s="35" t="s">
        <v>37</v>
      </c>
      <c r="AA25" s="27"/>
      <c r="AB25" s="183"/>
      <c r="AC25" s="183"/>
      <c r="AD25" s="183"/>
    </row>
    <row r="26" spans="1:30" x14ac:dyDescent="0.25">
      <c r="A26" s="2" t="s">
        <v>2428</v>
      </c>
      <c r="AA26" s="27"/>
      <c r="AB26" s="183"/>
      <c r="AC26" s="183"/>
      <c r="AD26" s="183"/>
    </row>
    <row r="27" spans="1:30" x14ac:dyDescent="0.25">
      <c r="A27" s="2" t="s">
        <v>2429</v>
      </c>
    </row>
    <row r="28" spans="1:30" x14ac:dyDescent="0.25">
      <c r="A28" s="2" t="s">
        <v>2430</v>
      </c>
    </row>
    <row r="29" spans="1:30" x14ac:dyDescent="0.25">
      <c r="A29" s="2" t="s">
        <v>2431</v>
      </c>
    </row>
    <row r="30" spans="1:30" x14ac:dyDescent="0.25">
      <c r="A30" s="2" t="s">
        <v>2432</v>
      </c>
    </row>
    <row r="32" spans="1:30" x14ac:dyDescent="0.25">
      <c r="B32" s="2"/>
      <c r="C32" s="2"/>
      <c r="F32" s="2"/>
    </row>
    <row r="46" spans="27:30" x14ac:dyDescent="0.25">
      <c r="AA46" s="2"/>
      <c r="AB46" s="2"/>
      <c r="AC46" s="2"/>
      <c r="AD46" s="2"/>
    </row>
    <row r="102" spans="1:31" x14ac:dyDescent="0.2">
      <c r="A102" s="28"/>
      <c r="AE102" s="28"/>
    </row>
    <row r="103" spans="1:31" x14ac:dyDescent="0.2">
      <c r="A103" s="28"/>
      <c r="AE103" s="28"/>
    </row>
    <row r="104" spans="1:31" x14ac:dyDescent="0.25">
      <c r="Z104" s="2"/>
    </row>
    <row r="105" spans="1:31" x14ac:dyDescent="0.25">
      <c r="Z105" s="2"/>
    </row>
    <row r="106" spans="1:31" s="2" customFormat="1" x14ac:dyDescent="0.25">
      <c r="B106" s="52"/>
      <c r="C106" s="52"/>
      <c r="D106" s="52"/>
      <c r="E106" s="52"/>
      <c r="F106" s="52"/>
      <c r="G106" s="52"/>
      <c r="H106" s="52"/>
      <c r="I106" s="52"/>
      <c r="J106" s="52"/>
      <c r="K106" s="52"/>
      <c r="L106" s="183"/>
      <c r="M106" s="183"/>
      <c r="N106" s="183"/>
      <c r="O106" s="183"/>
      <c r="P106" s="183"/>
      <c r="Q106" s="183"/>
      <c r="R106" s="183"/>
      <c r="S106" s="183"/>
      <c r="T106" s="183"/>
      <c r="U106" s="183"/>
      <c r="W106" s="183"/>
      <c r="X106" s="183"/>
      <c r="Y106" s="183"/>
      <c r="Z106" s="183"/>
      <c r="AA106" s="29"/>
      <c r="AB106" s="27"/>
      <c r="AC106" s="27"/>
      <c r="AD106" s="27"/>
    </row>
    <row r="107" spans="1:31" s="2" customFormat="1" x14ac:dyDescent="0.25">
      <c r="B107" s="52"/>
      <c r="C107" s="52"/>
      <c r="D107" s="52"/>
      <c r="E107" s="52"/>
      <c r="F107" s="52"/>
      <c r="G107" s="52"/>
      <c r="H107" s="52"/>
      <c r="I107" s="52"/>
      <c r="J107" s="52"/>
      <c r="K107" s="52"/>
      <c r="L107" s="183"/>
      <c r="M107" s="183"/>
      <c r="N107" s="183"/>
      <c r="O107" s="183"/>
      <c r="P107" s="183"/>
      <c r="Q107" s="183"/>
      <c r="R107" s="183"/>
      <c r="S107" s="183"/>
      <c r="T107" s="183"/>
      <c r="U107" s="183"/>
      <c r="W107" s="183"/>
      <c r="X107" s="183"/>
      <c r="Y107" s="183"/>
      <c r="Z107" s="183"/>
      <c r="AA107" s="29"/>
      <c r="AB107" s="27"/>
      <c r="AC107" s="27"/>
      <c r="AD107" s="27"/>
    </row>
  </sheetData>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A4D9D-CD01-CE41-ACC3-EF6D7993672D}">
  <dimension ref="A1:AK36"/>
  <sheetViews>
    <sheetView zoomScaleNormal="100" workbookViewId="0">
      <pane xSplit="3" ySplit="3" topLeftCell="D4" activePane="bottomRight" state="frozen"/>
      <selection pane="topRight" activeCell="C1" sqref="C1"/>
      <selection pane="bottomLeft" activeCell="A2" sqref="A2"/>
      <selection pane="bottomRight" activeCell="B23" sqref="B23"/>
    </sheetView>
  </sheetViews>
  <sheetFormatPr baseColWidth="10" defaultRowHeight="19" x14ac:dyDescent="0.25"/>
  <cols>
    <col min="1" max="1" width="4.83203125" style="2" customWidth="1"/>
    <col min="2" max="2" width="63.5" style="2" customWidth="1"/>
    <col min="3" max="3" width="13.5" style="152" customWidth="1"/>
    <col min="4" max="4" width="150.6640625" style="153" customWidth="1"/>
    <col min="5" max="5" width="210.83203125" style="154" customWidth="1"/>
    <col min="6" max="7" width="57.6640625" style="154" customWidth="1"/>
    <col min="8" max="8" width="114" style="154" customWidth="1"/>
    <col min="9" max="16384" width="10.83203125" style="2"/>
  </cols>
  <sheetData>
    <row r="1" spans="1:8" ht="21" x14ac:dyDescent="0.25">
      <c r="A1" s="12" t="s">
        <v>75</v>
      </c>
      <c r="B1" s="12" t="s">
        <v>498</v>
      </c>
    </row>
    <row r="2" spans="1:8" ht="21" x14ac:dyDescent="0.25">
      <c r="A2" s="30"/>
      <c r="B2" s="114"/>
    </row>
    <row r="3" spans="1:8" s="155" customFormat="1" ht="21" x14ac:dyDescent="0.25">
      <c r="B3" s="10" t="s">
        <v>499</v>
      </c>
      <c r="C3" s="10" t="s">
        <v>500</v>
      </c>
      <c r="D3" s="10" t="s">
        <v>501</v>
      </c>
      <c r="E3" s="10" t="s">
        <v>502</v>
      </c>
      <c r="F3" s="10" t="s">
        <v>503</v>
      </c>
      <c r="G3" s="10" t="s">
        <v>504</v>
      </c>
      <c r="H3" s="10" t="s">
        <v>32</v>
      </c>
    </row>
    <row r="4" spans="1:8" ht="20" x14ac:dyDescent="0.25">
      <c r="B4" s="156" t="s">
        <v>523</v>
      </c>
      <c r="C4" s="22">
        <v>2019</v>
      </c>
      <c r="D4" s="11" t="s">
        <v>537</v>
      </c>
      <c r="E4" s="11" t="s">
        <v>538</v>
      </c>
      <c r="F4" s="11"/>
      <c r="G4" s="11" t="s">
        <v>2379</v>
      </c>
      <c r="H4" s="11"/>
    </row>
    <row r="5" spans="1:8" ht="20" x14ac:dyDescent="0.25">
      <c r="B5" s="157" t="s">
        <v>523</v>
      </c>
      <c r="C5" s="22">
        <v>2019</v>
      </c>
      <c r="D5" s="11" t="s">
        <v>539</v>
      </c>
      <c r="E5" s="11" t="s">
        <v>540</v>
      </c>
      <c r="F5" s="11"/>
      <c r="G5" s="11" t="s">
        <v>2379</v>
      </c>
      <c r="H5" s="11"/>
    </row>
    <row r="6" spans="1:8" ht="20" x14ac:dyDescent="0.25">
      <c r="B6" s="134" t="s">
        <v>541</v>
      </c>
      <c r="C6" s="22">
        <v>2021</v>
      </c>
      <c r="D6" s="158"/>
      <c r="E6" s="158" t="s">
        <v>542</v>
      </c>
      <c r="F6" s="158"/>
      <c r="G6" s="11" t="s">
        <v>2379</v>
      </c>
      <c r="H6" s="158"/>
    </row>
    <row r="7" spans="1:8" s="159" customFormat="1" ht="20" x14ac:dyDescent="0.2">
      <c r="B7" s="160" t="s">
        <v>523</v>
      </c>
      <c r="C7" s="22">
        <v>2019</v>
      </c>
      <c r="D7" s="11" t="s">
        <v>2377</v>
      </c>
      <c r="E7" s="11" t="s">
        <v>2378</v>
      </c>
      <c r="F7" s="11"/>
      <c r="G7" s="11" t="s">
        <v>2379</v>
      </c>
      <c r="H7" s="11"/>
    </row>
    <row r="8" spans="1:8" s="159" customFormat="1" ht="20" x14ac:dyDescent="0.2">
      <c r="B8" s="109" t="s">
        <v>505</v>
      </c>
      <c r="C8" s="22">
        <v>2019</v>
      </c>
      <c r="D8" s="11" t="s">
        <v>506</v>
      </c>
      <c r="E8" s="11" t="s">
        <v>507</v>
      </c>
      <c r="F8" s="11"/>
      <c r="G8" s="11"/>
      <c r="H8" s="11"/>
    </row>
    <row r="9" spans="1:8" ht="20" x14ac:dyDescent="0.25">
      <c r="B9" s="161" t="s">
        <v>508</v>
      </c>
      <c r="C9" s="22">
        <v>2020</v>
      </c>
      <c r="D9" s="11"/>
      <c r="E9" s="11"/>
      <c r="F9" s="11"/>
      <c r="G9" s="11"/>
      <c r="H9" s="11"/>
    </row>
    <row r="10" spans="1:8" ht="20" x14ac:dyDescent="0.25">
      <c r="B10" s="162" t="s">
        <v>509</v>
      </c>
      <c r="C10" s="22"/>
      <c r="D10" s="11"/>
      <c r="E10" s="11"/>
      <c r="F10" s="11"/>
      <c r="G10" s="11"/>
      <c r="H10" s="11"/>
    </row>
    <row r="11" spans="1:8" s="159" customFormat="1" ht="20" x14ac:dyDescent="0.2">
      <c r="B11" s="163" t="s">
        <v>2373</v>
      </c>
      <c r="C11" s="22">
        <v>2020</v>
      </c>
      <c r="D11" s="11" t="s">
        <v>2374</v>
      </c>
      <c r="E11" s="11" t="s">
        <v>2375</v>
      </c>
      <c r="F11" s="11"/>
      <c r="G11" s="11" t="s">
        <v>2376</v>
      </c>
      <c r="H11" s="11"/>
    </row>
    <row r="12" spans="1:8" s="159" customFormat="1" ht="20" x14ac:dyDescent="0.2">
      <c r="B12" s="164" t="s">
        <v>2382</v>
      </c>
      <c r="C12" s="22">
        <v>2020</v>
      </c>
      <c r="D12" s="11" t="s">
        <v>2383</v>
      </c>
      <c r="E12" s="11" t="s">
        <v>2384</v>
      </c>
      <c r="F12" s="11"/>
      <c r="G12" s="11" t="s">
        <v>2379</v>
      </c>
      <c r="H12" s="11"/>
    </row>
    <row r="13" spans="1:8" s="159" customFormat="1" ht="20" x14ac:dyDescent="0.2">
      <c r="B13" s="165" t="s">
        <v>523</v>
      </c>
      <c r="C13" s="22">
        <v>2021</v>
      </c>
      <c r="D13" s="11" t="s">
        <v>4243</v>
      </c>
      <c r="E13" s="166" t="s">
        <v>4244</v>
      </c>
      <c r="F13" s="11"/>
      <c r="G13" s="11" t="s">
        <v>2379</v>
      </c>
      <c r="H13" s="11" t="s">
        <v>4245</v>
      </c>
    </row>
    <row r="14" spans="1:8" x14ac:dyDescent="0.25">
      <c r="B14" s="167"/>
      <c r="C14" s="168"/>
      <c r="D14" s="158"/>
      <c r="E14" s="158"/>
      <c r="F14" s="158"/>
      <c r="G14" s="158"/>
      <c r="H14" s="158"/>
    </row>
    <row r="15" spans="1:8" ht="20" x14ac:dyDescent="0.25">
      <c r="B15" s="169" t="s">
        <v>4307</v>
      </c>
      <c r="C15" s="22">
        <v>2020</v>
      </c>
      <c r="D15" s="11" t="s">
        <v>4308</v>
      </c>
      <c r="E15" s="158" t="s">
        <v>4309</v>
      </c>
      <c r="F15" s="158"/>
      <c r="G15" s="158" t="s">
        <v>4310</v>
      </c>
      <c r="H15" s="158"/>
    </row>
    <row r="16" spans="1:8" s="159" customFormat="1" x14ac:dyDescent="0.2">
      <c r="B16" s="170"/>
      <c r="C16" s="22"/>
      <c r="D16" s="11"/>
      <c r="E16" s="11"/>
      <c r="F16" s="11"/>
      <c r="G16" s="11"/>
      <c r="H16" s="11"/>
    </row>
    <row r="17" spans="2:19" s="159" customFormat="1" x14ac:dyDescent="0.2">
      <c r="B17" s="171"/>
      <c r="C17" s="22"/>
      <c r="D17" s="11"/>
      <c r="E17" s="11"/>
      <c r="F17" s="11"/>
      <c r="G17" s="11"/>
      <c r="H17" s="11"/>
    </row>
    <row r="18" spans="2:19" s="159" customFormat="1" ht="20" x14ac:dyDescent="0.2">
      <c r="B18" s="43" t="s">
        <v>510</v>
      </c>
      <c r="C18" s="22">
        <v>2019</v>
      </c>
      <c r="D18" s="11" t="s">
        <v>2490</v>
      </c>
      <c r="E18" s="11" t="s">
        <v>511</v>
      </c>
      <c r="F18" s="11"/>
      <c r="G18" s="11" t="s">
        <v>2381</v>
      </c>
      <c r="H18" s="11" t="s">
        <v>512</v>
      </c>
    </row>
    <row r="19" spans="2:19" s="159" customFormat="1" ht="20" x14ac:dyDescent="0.2">
      <c r="B19" s="44" t="s">
        <v>510</v>
      </c>
      <c r="C19" s="22">
        <v>2019</v>
      </c>
      <c r="D19" s="11" t="s">
        <v>2491</v>
      </c>
      <c r="E19" s="11" t="s">
        <v>516</v>
      </c>
      <c r="F19" s="11"/>
      <c r="G19" s="11" t="s">
        <v>2381</v>
      </c>
      <c r="H19" s="11" t="s">
        <v>517</v>
      </c>
    </row>
    <row r="20" spans="2:19" ht="20" x14ac:dyDescent="0.25">
      <c r="B20" s="172" t="s">
        <v>513</v>
      </c>
      <c r="C20" s="22">
        <v>2019</v>
      </c>
      <c r="D20" s="11" t="s">
        <v>514</v>
      </c>
      <c r="E20" s="11" t="s">
        <v>515</v>
      </c>
      <c r="F20" s="11"/>
      <c r="G20" s="11" t="s">
        <v>2380</v>
      </c>
      <c r="H20" s="11"/>
    </row>
    <row r="21" spans="2:19" s="159" customFormat="1" ht="20" x14ac:dyDescent="0.2">
      <c r="B21" s="173" t="s">
        <v>520</v>
      </c>
      <c r="C21" s="22">
        <v>2019</v>
      </c>
      <c r="D21" s="11" t="s">
        <v>519</v>
      </c>
      <c r="E21" s="11" t="s">
        <v>518</v>
      </c>
      <c r="F21" s="11"/>
      <c r="G21" s="11" t="s">
        <v>2379</v>
      </c>
      <c r="H21" s="11"/>
    </row>
    <row r="22" spans="2:19" s="159" customFormat="1" ht="20" x14ac:dyDescent="0.2">
      <c r="B22" s="174" t="s">
        <v>520</v>
      </c>
      <c r="C22" s="22">
        <v>2019</v>
      </c>
      <c r="D22" s="11" t="s">
        <v>521</v>
      </c>
      <c r="E22" s="11" t="s">
        <v>522</v>
      </c>
      <c r="F22" s="11"/>
      <c r="G22" s="11" t="s">
        <v>2379</v>
      </c>
      <c r="H22" s="11"/>
    </row>
    <row r="23" spans="2:19" s="159" customFormat="1" ht="20" x14ac:dyDescent="0.2">
      <c r="B23" s="179" t="s">
        <v>523</v>
      </c>
      <c r="C23" s="22">
        <v>2021</v>
      </c>
      <c r="D23" s="11" t="s">
        <v>4413</v>
      </c>
      <c r="E23" s="11" t="s">
        <v>524</v>
      </c>
      <c r="F23" s="11"/>
      <c r="G23" s="11" t="s">
        <v>2379</v>
      </c>
      <c r="H23" s="11" t="s">
        <v>4414</v>
      </c>
    </row>
    <row r="24" spans="2:19" s="52" customFormat="1" ht="20" x14ac:dyDescent="0.25">
      <c r="B24" s="69" t="s">
        <v>168</v>
      </c>
      <c r="C24" s="22">
        <v>2019</v>
      </c>
      <c r="D24" s="11" t="s">
        <v>525</v>
      </c>
      <c r="E24" s="11" t="s">
        <v>526</v>
      </c>
      <c r="F24" s="11"/>
      <c r="G24" s="11" t="s">
        <v>2379</v>
      </c>
      <c r="H24" s="11"/>
      <c r="K24" s="2"/>
      <c r="L24" s="2"/>
      <c r="M24" s="2"/>
      <c r="N24" s="2"/>
      <c r="O24" s="2"/>
      <c r="P24" s="2"/>
      <c r="Q24" s="2"/>
      <c r="R24" s="2"/>
      <c r="S24" s="103"/>
    </row>
    <row r="25" spans="2:19" s="159" customFormat="1" ht="20" x14ac:dyDescent="0.2">
      <c r="B25" s="175" t="s">
        <v>527</v>
      </c>
      <c r="C25" s="180">
        <v>2010</v>
      </c>
      <c r="D25" s="11" t="s">
        <v>528</v>
      </c>
      <c r="E25" s="11"/>
      <c r="F25" s="11"/>
      <c r="G25" s="11" t="s">
        <v>2379</v>
      </c>
      <c r="H25" s="11"/>
    </row>
    <row r="26" spans="2:19" ht="20" x14ac:dyDescent="0.25">
      <c r="B26" s="83" t="s">
        <v>168</v>
      </c>
      <c r="C26" s="22">
        <v>2017</v>
      </c>
      <c r="D26" s="11" t="s">
        <v>529</v>
      </c>
      <c r="E26" s="166" t="s">
        <v>2489</v>
      </c>
      <c r="F26" s="11"/>
      <c r="G26" s="11" t="s">
        <v>2379</v>
      </c>
      <c r="H26" s="11"/>
    </row>
    <row r="27" spans="2:19" ht="20" x14ac:dyDescent="0.25">
      <c r="B27" s="87" t="s">
        <v>523</v>
      </c>
      <c r="C27" s="22">
        <v>2020</v>
      </c>
      <c r="D27" s="11" t="s">
        <v>2090</v>
      </c>
      <c r="E27" s="11" t="s">
        <v>2091</v>
      </c>
      <c r="F27" s="11"/>
      <c r="G27" s="11" t="s">
        <v>2379</v>
      </c>
      <c r="H27" s="11" t="s">
        <v>530</v>
      </c>
    </row>
    <row r="28" spans="2:19" ht="20" x14ac:dyDescent="0.25">
      <c r="B28" s="176" t="s">
        <v>179</v>
      </c>
      <c r="C28" s="22">
        <v>2019</v>
      </c>
      <c r="D28" s="11" t="s">
        <v>531</v>
      </c>
      <c r="E28" s="11" t="s">
        <v>532</v>
      </c>
      <c r="F28" s="11"/>
      <c r="G28" s="11" t="s">
        <v>2379</v>
      </c>
      <c r="H28" s="11"/>
    </row>
    <row r="29" spans="2:19" ht="20" x14ac:dyDescent="0.25">
      <c r="B29" s="177" t="s">
        <v>523</v>
      </c>
      <c r="C29" s="22">
        <v>2018</v>
      </c>
      <c r="D29" s="11" t="s">
        <v>533</v>
      </c>
      <c r="E29" s="11" t="s">
        <v>534</v>
      </c>
      <c r="F29" s="11"/>
      <c r="G29" s="11" t="s">
        <v>2379</v>
      </c>
      <c r="H29" s="11"/>
    </row>
    <row r="30" spans="2:19" ht="20" x14ac:dyDescent="0.25">
      <c r="B30" s="178" t="s">
        <v>192</v>
      </c>
      <c r="C30" s="22">
        <v>2017</v>
      </c>
      <c r="D30" s="11" t="s">
        <v>535</v>
      </c>
      <c r="E30" s="11" t="s">
        <v>536</v>
      </c>
      <c r="F30" s="11"/>
      <c r="G30" s="11" t="s">
        <v>2379</v>
      </c>
      <c r="H30" s="11"/>
    </row>
    <row r="31" spans="2:19" ht="20" x14ac:dyDescent="0.25">
      <c r="B31" s="253" t="s">
        <v>2438</v>
      </c>
      <c r="C31" s="22">
        <v>2017</v>
      </c>
      <c r="D31" s="11" t="s">
        <v>2439</v>
      </c>
      <c r="E31" s="11"/>
      <c r="F31" s="11"/>
      <c r="G31" s="11"/>
      <c r="H31" s="11"/>
    </row>
    <row r="32" spans="2:19" ht="20" x14ac:dyDescent="0.25">
      <c r="B32" s="254" t="s">
        <v>2440</v>
      </c>
      <c r="C32" s="22">
        <v>2017</v>
      </c>
      <c r="D32" s="11" t="s">
        <v>2441</v>
      </c>
      <c r="E32" s="11" t="s">
        <v>2442</v>
      </c>
      <c r="F32" s="11"/>
      <c r="G32" s="11"/>
      <c r="H32" s="11"/>
    </row>
    <row r="33" spans="2:37" ht="20" x14ac:dyDescent="0.25">
      <c r="B33" s="255" t="s">
        <v>2443</v>
      </c>
      <c r="C33" s="22">
        <v>1979</v>
      </c>
      <c r="D33" s="11" t="s">
        <v>2444</v>
      </c>
      <c r="E33" s="11" t="s">
        <v>2445</v>
      </c>
      <c r="F33" s="11"/>
      <c r="G33" s="11"/>
      <c r="H33" s="11"/>
    </row>
    <row r="34" spans="2:37" x14ac:dyDescent="0.25">
      <c r="B34" s="256"/>
      <c r="C34" s="22"/>
      <c r="D34" s="11"/>
      <c r="E34" s="11"/>
      <c r="F34" s="11"/>
      <c r="G34" s="11"/>
      <c r="H34" s="11"/>
    </row>
    <row r="35" spans="2:37" x14ac:dyDescent="0.25">
      <c r="B35" s="277"/>
      <c r="C35" s="22"/>
      <c r="D35" s="11"/>
      <c r="E35" s="11"/>
      <c r="F35" s="11"/>
      <c r="G35" s="11"/>
      <c r="H35" s="11"/>
      <c r="J35" s="183"/>
      <c r="K35" s="20"/>
      <c r="L35" s="16"/>
      <c r="M35" s="20"/>
      <c r="N35" s="20"/>
      <c r="O35" s="20"/>
      <c r="P35" s="20"/>
      <c r="Q35" s="16"/>
      <c r="R35" s="20"/>
      <c r="S35" s="20"/>
      <c r="T35" s="103"/>
      <c r="U35" s="103"/>
      <c r="V35" s="104"/>
      <c r="W35" s="104"/>
      <c r="Y35" s="9"/>
      <c r="AF35" s="4"/>
      <c r="AJ35" s="183"/>
      <c r="AK35" s="183"/>
    </row>
    <row r="36" spans="2:37" ht="20" x14ac:dyDescent="0.25">
      <c r="B36" s="257" t="s">
        <v>4295</v>
      </c>
      <c r="C36" s="22">
        <v>2021</v>
      </c>
      <c r="D36" s="11" t="s">
        <v>4296</v>
      </c>
      <c r="E36" s="11" t="s">
        <v>4297</v>
      </c>
      <c r="F36" s="11"/>
      <c r="G36" s="11" t="s">
        <v>2380</v>
      </c>
      <c r="H36" s="11"/>
    </row>
  </sheetData>
  <autoFilter ref="B3:H3" xr:uid="{4394770A-2345-D74B-BD81-DB7567B27015}">
    <sortState xmlns:xlrd2="http://schemas.microsoft.com/office/spreadsheetml/2017/richdata2" ref="B4:H206">
      <sortCondition ref="G3:G206"/>
    </sortState>
  </autoFilter>
  <conditionalFormatting sqref="D18:D19">
    <cfRule type="duplicateValues" dxfId="1"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378B0-B29E-FA45-97AC-8D13E113C512}">
  <sheetPr codeName="Sheet3"/>
  <dimension ref="A1:AI255"/>
  <sheetViews>
    <sheetView zoomScaleNormal="100" workbookViewId="0">
      <pane xSplit="2" ySplit="3" topLeftCell="C213" activePane="bottomRight" state="frozen"/>
      <selection pane="topRight" activeCell="C1" sqref="C1"/>
      <selection pane="bottomLeft" activeCell="A5" sqref="A5"/>
      <selection pane="bottomRight" activeCell="K229" sqref="K229"/>
    </sheetView>
  </sheetViews>
  <sheetFormatPr baseColWidth="10" defaultRowHeight="19" x14ac:dyDescent="0.25"/>
  <cols>
    <col min="1" max="1" width="4.83203125" style="2" customWidth="1"/>
    <col min="2" max="2" width="43.83203125" style="2" customWidth="1"/>
    <col min="3" max="3" width="24.83203125" style="183" customWidth="1"/>
    <col min="4" max="4" width="44.6640625" style="2" customWidth="1"/>
    <col min="5" max="5" width="24.83203125" style="4" customWidth="1"/>
    <col min="6" max="7" width="15.83203125" style="52" customWidth="1"/>
    <col min="8" max="8" width="15.83203125" style="4" customWidth="1"/>
    <col min="9" max="9" width="24.83203125" style="4" customWidth="1"/>
    <col min="10" max="10" width="40.83203125" style="183" customWidth="1"/>
    <col min="11" max="11" width="37.83203125" style="183" customWidth="1"/>
    <col min="12" max="12" width="12.83203125" style="2" customWidth="1"/>
    <col min="13" max="14" width="12.83203125" style="60" customWidth="1"/>
    <col min="15" max="15" width="5" style="8" customWidth="1"/>
    <col min="16" max="16" width="24.83203125" style="4" customWidth="1"/>
    <col min="17" max="17" width="24.83203125" style="60" customWidth="1"/>
    <col min="18" max="18" width="12.83203125" style="2" customWidth="1"/>
    <col min="19" max="20" width="12.83203125" style="46" customWidth="1"/>
    <col min="21" max="22" width="15.6640625" style="8" customWidth="1"/>
    <col min="23" max="23" width="16.83203125" style="46" customWidth="1"/>
    <col min="24" max="24" width="4.83203125" style="46" customWidth="1"/>
    <col min="25" max="25" width="150.83203125" style="46" customWidth="1"/>
    <col min="26" max="26" width="43.33203125" style="2" customWidth="1"/>
    <col min="27" max="16384" width="10.83203125" style="2"/>
  </cols>
  <sheetData>
    <row r="1" spans="1:26" ht="21" x14ac:dyDescent="0.25">
      <c r="A1" s="30" t="s">
        <v>75</v>
      </c>
      <c r="B1" s="12" t="s">
        <v>64</v>
      </c>
      <c r="D1" s="56"/>
      <c r="F1" s="293"/>
      <c r="G1" s="293"/>
      <c r="J1" s="270"/>
      <c r="K1" s="12"/>
      <c r="P1" s="35" t="s">
        <v>29</v>
      </c>
      <c r="Q1" s="223"/>
      <c r="R1" s="15"/>
      <c r="S1" s="63"/>
      <c r="T1" s="63"/>
      <c r="Y1" s="181"/>
    </row>
    <row r="2" spans="1:26" s="5" customFormat="1" ht="60" x14ac:dyDescent="0.2">
      <c r="A2" s="3"/>
      <c r="B2" s="13" t="s">
        <v>19</v>
      </c>
      <c r="C2" s="13" t="s">
        <v>2487</v>
      </c>
      <c r="D2" s="13" t="s">
        <v>14</v>
      </c>
      <c r="E2" s="13" t="s">
        <v>22</v>
      </c>
      <c r="F2" s="13" t="s">
        <v>15</v>
      </c>
      <c r="G2" s="13" t="s">
        <v>16</v>
      </c>
      <c r="H2" s="13" t="s">
        <v>2227</v>
      </c>
      <c r="I2" s="13" t="s">
        <v>2585</v>
      </c>
      <c r="J2" s="13" t="s">
        <v>2231</v>
      </c>
      <c r="K2" s="13" t="s">
        <v>2232</v>
      </c>
      <c r="L2" s="13" t="s">
        <v>2233</v>
      </c>
      <c r="M2" s="13" t="s">
        <v>18</v>
      </c>
      <c r="N2" s="13" t="s">
        <v>59</v>
      </c>
      <c r="O2" s="8"/>
      <c r="P2" s="13" t="s">
        <v>204</v>
      </c>
      <c r="Q2" s="13" t="s">
        <v>2234</v>
      </c>
      <c r="R2" s="13" t="s">
        <v>17</v>
      </c>
      <c r="S2" s="13" t="s">
        <v>2235</v>
      </c>
      <c r="T2" s="13" t="s">
        <v>2236</v>
      </c>
      <c r="U2" s="13" t="s">
        <v>347</v>
      </c>
      <c r="V2" s="13" t="s">
        <v>348</v>
      </c>
      <c r="W2" s="13" t="s">
        <v>31</v>
      </c>
      <c r="X2" s="42"/>
      <c r="Y2" s="13" t="s">
        <v>489</v>
      </c>
      <c r="Z2" s="13" t="s">
        <v>32</v>
      </c>
    </row>
    <row r="3" spans="1:26" s="3" customFormat="1" ht="20" x14ac:dyDescent="0.2">
      <c r="B3" s="10"/>
      <c r="C3" s="183"/>
      <c r="D3" s="10"/>
      <c r="E3" s="10"/>
      <c r="F3" s="52"/>
      <c r="G3" s="52"/>
      <c r="H3" s="10"/>
      <c r="I3" s="10"/>
      <c r="J3" s="197"/>
      <c r="K3" s="52"/>
      <c r="L3" s="10" t="s">
        <v>205</v>
      </c>
      <c r="M3" s="10"/>
      <c r="N3" s="10"/>
      <c r="O3" s="8"/>
      <c r="P3" s="10"/>
      <c r="Q3" s="42"/>
      <c r="R3" s="10" t="s">
        <v>20</v>
      </c>
      <c r="S3" s="42"/>
      <c r="T3" s="42" t="s">
        <v>20</v>
      </c>
      <c r="U3" s="42" t="s">
        <v>26</v>
      </c>
      <c r="V3" s="42" t="s">
        <v>21</v>
      </c>
      <c r="W3" s="42"/>
      <c r="X3" s="42"/>
      <c r="Y3" s="42"/>
      <c r="Z3" s="10"/>
    </row>
    <row r="4" spans="1:26" s="6" customFormat="1" ht="20" x14ac:dyDescent="0.2">
      <c r="B4" s="134" t="s">
        <v>405</v>
      </c>
      <c r="C4" s="135" t="s">
        <v>4031</v>
      </c>
      <c r="D4" s="134" t="s">
        <v>267</v>
      </c>
      <c r="E4" s="135" t="s">
        <v>217</v>
      </c>
      <c r="F4" s="127">
        <v>54.127889000000003</v>
      </c>
      <c r="G4" s="127">
        <v>-115.665862</v>
      </c>
      <c r="H4" s="22" t="s">
        <v>2228</v>
      </c>
      <c r="I4" s="22" t="s">
        <v>2379</v>
      </c>
      <c r="J4" s="96" t="s">
        <v>3352</v>
      </c>
      <c r="K4" s="22" t="s">
        <v>2653</v>
      </c>
      <c r="L4" s="95">
        <v>240</v>
      </c>
      <c r="M4" s="65">
        <v>2014</v>
      </c>
      <c r="N4" s="93">
        <f>M4+30</f>
        <v>2044</v>
      </c>
      <c r="O4" s="99"/>
      <c r="P4" s="148" t="s">
        <v>311</v>
      </c>
      <c r="Q4" s="67" t="s">
        <v>2588</v>
      </c>
      <c r="R4" s="106">
        <v>63</v>
      </c>
      <c r="S4" s="242">
        <f>System!C$7</f>
        <v>0.94</v>
      </c>
      <c r="T4" s="243">
        <f t="shared" ref="T4:T67" si="0">R4*S4</f>
        <v>59.22</v>
      </c>
      <c r="U4" s="219">
        <f>System!D$7</f>
        <v>0.3</v>
      </c>
      <c r="V4" s="247">
        <f t="shared" ref="V4:V67" si="1">U4*R4*24*365/1000</f>
        <v>165.56399999999999</v>
      </c>
      <c r="W4" s="37">
        <v>9</v>
      </c>
      <c r="X4" s="68"/>
      <c r="Y4" s="11"/>
      <c r="Z4" s="11"/>
    </row>
    <row r="5" spans="1:26" s="6" customFormat="1" ht="20" x14ac:dyDescent="0.2">
      <c r="B5" s="134" t="s">
        <v>265</v>
      </c>
      <c r="C5" s="135" t="s">
        <v>4032</v>
      </c>
      <c r="D5" s="134" t="s">
        <v>265</v>
      </c>
      <c r="E5" s="135" t="s">
        <v>286</v>
      </c>
      <c r="F5" s="127">
        <v>53.798212955339501</v>
      </c>
      <c r="G5" s="127">
        <v>-113.08447219224701</v>
      </c>
      <c r="H5" s="22" t="s">
        <v>2228</v>
      </c>
      <c r="I5" s="22" t="s">
        <v>2379</v>
      </c>
      <c r="J5" s="96" t="s">
        <v>3443</v>
      </c>
      <c r="K5" s="22" t="s">
        <v>3247</v>
      </c>
      <c r="L5" s="95">
        <v>144</v>
      </c>
      <c r="M5" s="62">
        <v>2000</v>
      </c>
      <c r="N5" s="93">
        <f>M5+30</f>
        <v>2030</v>
      </c>
      <c r="O5" s="99"/>
      <c r="P5" s="148" t="s">
        <v>332</v>
      </c>
      <c r="Q5" s="67" t="s">
        <v>2587</v>
      </c>
      <c r="R5" s="53">
        <v>80</v>
      </c>
      <c r="S5" s="242">
        <f>System!C$6</f>
        <v>0.94</v>
      </c>
      <c r="T5" s="243">
        <f t="shared" si="0"/>
        <v>75.199999999999989</v>
      </c>
      <c r="U5" s="219">
        <f>System!D$6</f>
        <v>0.3</v>
      </c>
      <c r="V5" s="247">
        <f t="shared" si="1"/>
        <v>210.24</v>
      </c>
      <c r="W5" s="122">
        <v>1</v>
      </c>
      <c r="X5" s="68"/>
      <c r="Y5" s="11"/>
      <c r="Z5" s="107"/>
    </row>
    <row r="6" spans="1:26" s="6" customFormat="1" ht="20" x14ac:dyDescent="0.2">
      <c r="B6" s="162" t="s">
        <v>4231</v>
      </c>
      <c r="C6" s="135" t="s">
        <v>4033</v>
      </c>
      <c r="D6" s="162" t="s">
        <v>2281</v>
      </c>
      <c r="E6" s="229" t="s">
        <v>356</v>
      </c>
      <c r="F6" s="127">
        <v>49.843411469294502</v>
      </c>
      <c r="G6" s="127">
        <v>-111.563074891052</v>
      </c>
      <c r="H6" s="67" t="s">
        <v>2228</v>
      </c>
      <c r="I6" s="22" t="s">
        <v>2379</v>
      </c>
      <c r="J6" s="96" t="s">
        <v>3438</v>
      </c>
      <c r="K6" s="67" t="s">
        <v>2690</v>
      </c>
      <c r="L6" s="95">
        <v>138</v>
      </c>
      <c r="M6" s="228">
        <v>2022</v>
      </c>
      <c r="N6" s="228">
        <v>2042</v>
      </c>
      <c r="O6" s="99"/>
      <c r="P6" s="229" t="s">
        <v>334</v>
      </c>
      <c r="Q6" s="67" t="s">
        <v>2240</v>
      </c>
      <c r="R6" s="182">
        <v>11</v>
      </c>
      <c r="S6" s="219">
        <f>System!C$12</f>
        <v>0</v>
      </c>
      <c r="T6" s="245">
        <f t="shared" si="0"/>
        <v>0</v>
      </c>
      <c r="U6" s="219">
        <f>System!D$12</f>
        <v>0.18</v>
      </c>
      <c r="V6" s="247">
        <f t="shared" si="1"/>
        <v>17.344799999999999</v>
      </c>
      <c r="W6" s="122"/>
      <c r="X6" s="68"/>
      <c r="Y6" s="79" t="s">
        <v>2280</v>
      </c>
      <c r="Z6" s="120"/>
    </row>
    <row r="7" spans="1:26" s="6" customFormat="1" ht="20" x14ac:dyDescent="0.2">
      <c r="B7" s="134" t="s">
        <v>406</v>
      </c>
      <c r="C7" s="135" t="s">
        <v>4035</v>
      </c>
      <c r="D7" s="134" t="s">
        <v>271</v>
      </c>
      <c r="E7" s="135" t="s">
        <v>264</v>
      </c>
      <c r="F7" s="127">
        <v>54.921896356065297</v>
      </c>
      <c r="G7" s="127">
        <v>-112.859331216386</v>
      </c>
      <c r="H7" s="22" t="s">
        <v>2228</v>
      </c>
      <c r="I7" s="22" t="s">
        <v>2379</v>
      </c>
      <c r="J7" s="96" t="s">
        <v>3417</v>
      </c>
      <c r="K7" s="22" t="s">
        <v>2597</v>
      </c>
      <c r="L7" s="95">
        <v>138</v>
      </c>
      <c r="M7" s="64">
        <v>2012</v>
      </c>
      <c r="N7" s="93">
        <f>M7+30</f>
        <v>2042</v>
      </c>
      <c r="O7" s="99"/>
      <c r="P7" s="148" t="s">
        <v>455</v>
      </c>
      <c r="Q7" s="67" t="s">
        <v>2586</v>
      </c>
      <c r="R7" s="53">
        <v>131</v>
      </c>
      <c r="S7" s="242">
        <f>System!C$8</f>
        <v>0.97</v>
      </c>
      <c r="T7" s="243">
        <f t="shared" si="0"/>
        <v>127.07</v>
      </c>
      <c r="U7" s="219">
        <f>System!D$8</f>
        <v>0.55000000000000004</v>
      </c>
      <c r="V7" s="247">
        <f t="shared" si="1"/>
        <v>631.15800000000013</v>
      </c>
      <c r="W7" s="37">
        <v>4</v>
      </c>
      <c r="X7" s="68"/>
      <c r="Y7" s="11"/>
      <c r="Z7" s="11"/>
    </row>
    <row r="8" spans="1:26" s="6" customFormat="1" ht="20" x14ac:dyDescent="0.2">
      <c r="B8" s="134" t="s">
        <v>400</v>
      </c>
      <c r="C8" s="135" t="s">
        <v>4034</v>
      </c>
      <c r="D8" s="134" t="s">
        <v>272</v>
      </c>
      <c r="E8" s="135" t="s">
        <v>206</v>
      </c>
      <c r="F8" s="127">
        <v>49.5829242433459</v>
      </c>
      <c r="G8" s="127">
        <v>-113.435077273433</v>
      </c>
      <c r="H8" s="22" t="s">
        <v>2228</v>
      </c>
      <c r="I8" s="22" t="s">
        <v>2379</v>
      </c>
      <c r="J8" s="96" t="s">
        <v>3358</v>
      </c>
      <c r="K8" s="22" t="s">
        <v>2654</v>
      </c>
      <c r="L8" s="95">
        <v>138</v>
      </c>
      <c r="M8" s="64">
        <v>2010</v>
      </c>
      <c r="N8" s="64">
        <v>2030</v>
      </c>
      <c r="O8" s="99"/>
      <c r="P8" s="148" t="s">
        <v>116</v>
      </c>
      <c r="Q8" s="67" t="s">
        <v>2239</v>
      </c>
      <c r="R8" s="53">
        <v>68</v>
      </c>
      <c r="S8" s="219">
        <f>System!C$11</f>
        <v>0.09</v>
      </c>
      <c r="T8" s="245">
        <f t="shared" si="0"/>
        <v>6.12</v>
      </c>
      <c r="U8" s="219">
        <f>System!D$11</f>
        <v>0.33</v>
      </c>
      <c r="V8" s="247">
        <f t="shared" si="1"/>
        <v>196.57440000000003</v>
      </c>
      <c r="W8" s="122"/>
      <c r="X8" s="68"/>
      <c r="Y8" s="11"/>
      <c r="Z8" s="11"/>
    </row>
    <row r="9" spans="1:26" s="6" customFormat="1" ht="20" x14ac:dyDescent="0.2">
      <c r="B9" s="134" t="s">
        <v>365</v>
      </c>
      <c r="C9" s="135" t="s">
        <v>4211</v>
      </c>
      <c r="D9" s="134" t="s">
        <v>266</v>
      </c>
      <c r="E9" s="135" t="s">
        <v>368</v>
      </c>
      <c r="F9" s="127">
        <v>50.484749999999998</v>
      </c>
      <c r="G9" s="127">
        <v>-111.745385</v>
      </c>
      <c r="H9" s="22" t="s">
        <v>2228</v>
      </c>
      <c r="I9" s="22" t="s">
        <v>2379</v>
      </c>
      <c r="J9" s="96" t="s">
        <v>3879</v>
      </c>
      <c r="K9" s="22" t="s">
        <v>2598</v>
      </c>
      <c r="L9" s="95">
        <v>138</v>
      </c>
      <c r="M9" s="64">
        <v>2012</v>
      </c>
      <c r="N9" s="93">
        <f>M9+30</f>
        <v>2042</v>
      </c>
      <c r="O9" s="99"/>
      <c r="P9" s="148" t="s">
        <v>311</v>
      </c>
      <c r="Q9" s="67" t="s">
        <v>2588</v>
      </c>
      <c r="R9" s="53">
        <v>10</v>
      </c>
      <c r="S9" s="242">
        <f>System!C$7</f>
        <v>0.94</v>
      </c>
      <c r="T9" s="243">
        <f t="shared" si="0"/>
        <v>9.3999999999999986</v>
      </c>
      <c r="U9" s="219">
        <f>System!D$7</f>
        <v>0.3</v>
      </c>
      <c r="V9" s="247">
        <f t="shared" si="1"/>
        <v>26.28</v>
      </c>
      <c r="W9" s="122">
        <v>1</v>
      </c>
      <c r="X9" s="68"/>
      <c r="Y9" s="11"/>
      <c r="Z9" s="11"/>
    </row>
    <row r="10" spans="1:26" s="6" customFormat="1" ht="20" x14ac:dyDescent="0.2">
      <c r="B10" s="162" t="s">
        <v>2282</v>
      </c>
      <c r="C10" s="135" t="s">
        <v>4036</v>
      </c>
      <c r="D10" s="162" t="s">
        <v>2283</v>
      </c>
      <c r="E10" s="229" t="s">
        <v>239</v>
      </c>
      <c r="F10" s="127">
        <v>50.953250455780903</v>
      </c>
      <c r="G10" s="127">
        <v>-113.985423176962</v>
      </c>
      <c r="H10" s="67" t="s">
        <v>2228</v>
      </c>
      <c r="I10" s="22" t="s">
        <v>2379</v>
      </c>
      <c r="J10" s="96" t="s">
        <v>1803</v>
      </c>
      <c r="K10" s="67" t="s">
        <v>2599</v>
      </c>
      <c r="L10" s="95">
        <v>144</v>
      </c>
      <c r="M10" s="228">
        <v>2022</v>
      </c>
      <c r="N10" s="228">
        <v>2042</v>
      </c>
      <c r="O10" s="99"/>
      <c r="P10" s="229" t="s">
        <v>334</v>
      </c>
      <c r="Q10" s="67" t="s">
        <v>2240</v>
      </c>
      <c r="R10" s="182">
        <v>27</v>
      </c>
      <c r="S10" s="219">
        <f>System!C$12</f>
        <v>0</v>
      </c>
      <c r="T10" s="245">
        <f t="shared" si="0"/>
        <v>0</v>
      </c>
      <c r="U10" s="219">
        <f>System!D$12</f>
        <v>0.18</v>
      </c>
      <c r="V10" s="247">
        <f t="shared" si="1"/>
        <v>42.573599999999999</v>
      </c>
      <c r="W10" s="122"/>
      <c r="X10" s="68"/>
      <c r="Y10" s="79" t="s">
        <v>2284</v>
      </c>
      <c r="Z10" s="120"/>
    </row>
    <row r="11" spans="1:26" s="6" customFormat="1" ht="20" x14ac:dyDescent="0.2">
      <c r="B11" s="134" t="s">
        <v>108</v>
      </c>
      <c r="C11" s="135" t="s">
        <v>4037</v>
      </c>
      <c r="D11" s="134" t="s">
        <v>272</v>
      </c>
      <c r="E11" s="135" t="s">
        <v>238</v>
      </c>
      <c r="F11" s="127">
        <v>51.034269374847597</v>
      </c>
      <c r="G11" s="127">
        <v>-115.04104022372</v>
      </c>
      <c r="H11" s="22" t="s">
        <v>2228</v>
      </c>
      <c r="I11" s="22" t="s">
        <v>2379</v>
      </c>
      <c r="J11" s="96" t="s">
        <v>3368</v>
      </c>
      <c r="K11" s="22" t="s">
        <v>2655</v>
      </c>
      <c r="L11" s="95">
        <v>138</v>
      </c>
      <c r="M11" s="64">
        <v>1954</v>
      </c>
      <c r="N11" s="72">
        <v>2034</v>
      </c>
      <c r="O11" s="99"/>
      <c r="P11" s="148" t="s">
        <v>140</v>
      </c>
      <c r="Q11" s="67" t="s">
        <v>2238</v>
      </c>
      <c r="R11" s="53">
        <v>11.2</v>
      </c>
      <c r="S11" s="242">
        <f>System!C$10</f>
        <v>0.3</v>
      </c>
      <c r="T11" s="243">
        <f t="shared" si="0"/>
        <v>3.36</v>
      </c>
      <c r="U11" s="242">
        <f>System!D$9</f>
        <v>0.24</v>
      </c>
      <c r="V11" s="248">
        <f t="shared" si="1"/>
        <v>23.546880000000002</v>
      </c>
      <c r="W11" s="122">
        <v>1</v>
      </c>
      <c r="X11" s="68"/>
      <c r="Y11" s="11"/>
      <c r="Z11" s="11"/>
    </row>
    <row r="12" spans="1:26" s="6" customFormat="1" ht="20" x14ac:dyDescent="0.2">
      <c r="B12" s="134" t="s">
        <v>380</v>
      </c>
      <c r="C12" s="135" t="s">
        <v>4212</v>
      </c>
      <c r="D12" s="134" t="s">
        <v>306</v>
      </c>
      <c r="E12" s="135" t="s">
        <v>277</v>
      </c>
      <c r="F12" s="127">
        <v>57.2417173969761</v>
      </c>
      <c r="G12" s="127">
        <v>-110.85579434318301</v>
      </c>
      <c r="H12" s="22" t="s">
        <v>2228</v>
      </c>
      <c r="I12" s="22" t="s">
        <v>2379</v>
      </c>
      <c r="J12" s="96" t="s">
        <v>457</v>
      </c>
      <c r="K12" s="22" t="s">
        <v>3235</v>
      </c>
      <c r="L12" s="95">
        <v>144</v>
      </c>
      <c r="M12" s="62">
        <v>1967</v>
      </c>
      <c r="N12" s="93">
        <f>M12+30+30</f>
        <v>2027</v>
      </c>
      <c r="O12" s="132"/>
      <c r="P12" s="148" t="s">
        <v>332</v>
      </c>
      <c r="Q12" s="67" t="s">
        <v>2587</v>
      </c>
      <c r="R12" s="137">
        <v>50</v>
      </c>
      <c r="S12" s="242">
        <f>System!C$6</f>
        <v>0.94</v>
      </c>
      <c r="T12" s="243">
        <f t="shared" si="0"/>
        <v>47</v>
      </c>
      <c r="U12" s="219">
        <f>System!D$6</f>
        <v>0.3</v>
      </c>
      <c r="V12" s="247">
        <f t="shared" si="1"/>
        <v>131.4</v>
      </c>
      <c r="W12" s="122">
        <v>1</v>
      </c>
      <c r="X12" s="68"/>
      <c r="Y12" s="11" t="s">
        <v>4401</v>
      </c>
      <c r="Z12" s="79"/>
    </row>
    <row r="13" spans="1:26" s="6" customFormat="1" ht="20" x14ac:dyDescent="0.2">
      <c r="B13" s="134" t="s">
        <v>4182</v>
      </c>
      <c r="C13" s="135" t="s">
        <v>2574</v>
      </c>
      <c r="D13" s="134" t="s">
        <v>273</v>
      </c>
      <c r="E13" s="135" t="s">
        <v>210</v>
      </c>
      <c r="F13" s="127">
        <v>52.468838377882101</v>
      </c>
      <c r="G13" s="127">
        <v>-112.134045282923</v>
      </c>
      <c r="H13" s="22" t="s">
        <v>2228</v>
      </c>
      <c r="I13" s="22" t="s">
        <v>2379</v>
      </c>
      <c r="J13" s="96" t="s">
        <v>3373</v>
      </c>
      <c r="K13" s="22" t="s">
        <v>2656</v>
      </c>
      <c r="L13" s="95">
        <v>240</v>
      </c>
      <c r="M13" s="64">
        <v>1975</v>
      </c>
      <c r="N13" s="306">
        <v>2021</v>
      </c>
      <c r="O13" s="111"/>
      <c r="P13" s="148" t="s">
        <v>456</v>
      </c>
      <c r="Q13" s="67" t="s">
        <v>2237</v>
      </c>
      <c r="R13" s="53">
        <v>148</v>
      </c>
      <c r="S13" s="241">
        <f>System!C$4</f>
        <v>0.9</v>
      </c>
      <c r="T13" s="244">
        <f t="shared" si="0"/>
        <v>133.20000000000002</v>
      </c>
      <c r="U13" s="219">
        <f>System!D$4</f>
        <v>0.55000000000000004</v>
      </c>
      <c r="V13" s="247">
        <f t="shared" si="1"/>
        <v>713.06399999999996</v>
      </c>
      <c r="W13" s="122">
        <v>2</v>
      </c>
      <c r="X13" s="68"/>
      <c r="Y13" s="11" t="s">
        <v>4300</v>
      </c>
      <c r="Z13" s="107"/>
    </row>
    <row r="14" spans="1:26" s="6" customFormat="1" ht="20" x14ac:dyDescent="0.2">
      <c r="B14" s="134" t="s">
        <v>4183</v>
      </c>
      <c r="C14" s="135" t="s">
        <v>2580</v>
      </c>
      <c r="D14" s="134" t="s">
        <v>273</v>
      </c>
      <c r="E14" s="135" t="s">
        <v>210</v>
      </c>
      <c r="F14" s="127">
        <v>52.468838377882101</v>
      </c>
      <c r="G14" s="127">
        <v>-112.134045282923</v>
      </c>
      <c r="H14" s="22" t="s">
        <v>2228</v>
      </c>
      <c r="I14" s="22" t="s">
        <v>2379</v>
      </c>
      <c r="J14" s="96" t="s">
        <v>3373</v>
      </c>
      <c r="K14" s="22" t="s">
        <v>2656</v>
      </c>
      <c r="L14" s="95">
        <v>240</v>
      </c>
      <c r="M14" s="64">
        <v>1981</v>
      </c>
      <c r="N14" s="306">
        <v>2022</v>
      </c>
      <c r="O14" s="111"/>
      <c r="P14" s="148" t="s">
        <v>456</v>
      </c>
      <c r="Q14" s="67" t="s">
        <v>2237</v>
      </c>
      <c r="R14" s="53">
        <v>407</v>
      </c>
      <c r="S14" s="241">
        <f>System!C$4</f>
        <v>0.9</v>
      </c>
      <c r="T14" s="244">
        <f t="shared" si="0"/>
        <v>366.3</v>
      </c>
      <c r="U14" s="219">
        <f>System!D$4</f>
        <v>0.55000000000000004</v>
      </c>
      <c r="V14" s="247">
        <f t="shared" si="1"/>
        <v>1960.9260000000002</v>
      </c>
      <c r="W14" s="122">
        <v>2</v>
      </c>
      <c r="X14" s="68"/>
      <c r="Y14" s="11" t="s">
        <v>4300</v>
      </c>
      <c r="Z14" s="107"/>
    </row>
    <row r="15" spans="1:26" s="6" customFormat="1" ht="20" x14ac:dyDescent="0.2">
      <c r="B15" s="134" t="s">
        <v>4184</v>
      </c>
      <c r="C15" s="135" t="s">
        <v>2578</v>
      </c>
      <c r="D15" s="134" t="s">
        <v>273</v>
      </c>
      <c r="E15" s="135" t="s">
        <v>210</v>
      </c>
      <c r="F15" s="127">
        <v>52.468838377882101</v>
      </c>
      <c r="G15" s="127">
        <v>-112.134045282923</v>
      </c>
      <c r="H15" s="22" t="s">
        <v>2228</v>
      </c>
      <c r="I15" s="22" t="s">
        <v>2379</v>
      </c>
      <c r="J15" s="96" t="s">
        <v>3373</v>
      </c>
      <c r="K15" s="22" t="s">
        <v>2656</v>
      </c>
      <c r="L15" s="95">
        <v>240</v>
      </c>
      <c r="M15" s="306">
        <v>2022</v>
      </c>
      <c r="N15" s="306">
        <v>2025</v>
      </c>
      <c r="O15" s="111"/>
      <c r="P15" s="229" t="s">
        <v>333</v>
      </c>
      <c r="Q15" s="67" t="s">
        <v>2587</v>
      </c>
      <c r="R15" s="53">
        <v>148</v>
      </c>
      <c r="S15" s="242">
        <f>System!C$5</f>
        <v>0.94</v>
      </c>
      <c r="T15" s="243">
        <f t="shared" si="0"/>
        <v>139.12</v>
      </c>
      <c r="U15" s="219">
        <f>System!D$5</f>
        <v>0.6</v>
      </c>
      <c r="V15" s="247">
        <f t="shared" si="1"/>
        <v>777.88799999999992</v>
      </c>
      <c r="W15" s="122">
        <v>2</v>
      </c>
      <c r="X15" s="68"/>
      <c r="Y15" s="11" t="s">
        <v>4300</v>
      </c>
      <c r="Z15" s="107"/>
    </row>
    <row r="16" spans="1:26" s="6" customFormat="1" ht="20" x14ac:dyDescent="0.2">
      <c r="B16" s="134" t="s">
        <v>4185</v>
      </c>
      <c r="C16" s="135" t="s">
        <v>2581</v>
      </c>
      <c r="D16" s="134" t="s">
        <v>273</v>
      </c>
      <c r="E16" s="135" t="s">
        <v>210</v>
      </c>
      <c r="F16" s="127">
        <v>52.468838377882101</v>
      </c>
      <c r="G16" s="127">
        <v>-112.134045282923</v>
      </c>
      <c r="H16" s="22" t="s">
        <v>2228</v>
      </c>
      <c r="I16" s="22" t="s">
        <v>2379</v>
      </c>
      <c r="J16" s="96" t="s">
        <v>3373</v>
      </c>
      <c r="K16" s="22" t="s">
        <v>2656</v>
      </c>
      <c r="L16" s="95">
        <v>240</v>
      </c>
      <c r="M16" s="306">
        <v>2021</v>
      </c>
      <c r="N16" s="306">
        <v>2032</v>
      </c>
      <c r="O16" s="111"/>
      <c r="P16" s="229" t="s">
        <v>333</v>
      </c>
      <c r="Q16" s="67" t="s">
        <v>2587</v>
      </c>
      <c r="R16" s="53">
        <v>407</v>
      </c>
      <c r="S16" s="242">
        <f>System!C$5</f>
        <v>0.94</v>
      </c>
      <c r="T16" s="243">
        <f t="shared" si="0"/>
        <v>382.58</v>
      </c>
      <c r="U16" s="219">
        <f>System!D$5</f>
        <v>0.6</v>
      </c>
      <c r="V16" s="247">
        <f t="shared" si="1"/>
        <v>2139.1919999999996</v>
      </c>
      <c r="W16" s="122">
        <v>2</v>
      </c>
      <c r="X16" s="68"/>
      <c r="Y16" s="11" t="s">
        <v>4300</v>
      </c>
      <c r="Z16" s="107"/>
    </row>
    <row r="17" spans="1:26" s="61" customFormat="1" ht="20" x14ac:dyDescent="0.2">
      <c r="B17" s="134" t="s">
        <v>2406</v>
      </c>
      <c r="C17" s="135" t="s">
        <v>4060</v>
      </c>
      <c r="D17" s="134" t="s">
        <v>274</v>
      </c>
      <c r="E17" s="135" t="s">
        <v>251</v>
      </c>
      <c r="F17" s="127">
        <v>55.071545999999998</v>
      </c>
      <c r="G17" s="127">
        <v>-118.692105</v>
      </c>
      <c r="H17" s="22" t="s">
        <v>2228</v>
      </c>
      <c r="I17" s="22" t="s">
        <v>2379</v>
      </c>
      <c r="J17" s="96" t="s">
        <v>3378</v>
      </c>
      <c r="K17" s="22" t="s">
        <v>2600</v>
      </c>
      <c r="L17" s="95">
        <v>144</v>
      </c>
      <c r="M17" s="64">
        <v>2002</v>
      </c>
      <c r="N17" s="93">
        <f>M17+30</f>
        <v>2032</v>
      </c>
      <c r="O17" s="113"/>
      <c r="P17" s="148" t="s">
        <v>332</v>
      </c>
      <c r="Q17" s="67" t="s">
        <v>2587</v>
      </c>
      <c r="R17" s="53">
        <v>64</v>
      </c>
      <c r="S17" s="242">
        <f>System!C$6</f>
        <v>0.94</v>
      </c>
      <c r="T17" s="243">
        <f t="shared" si="0"/>
        <v>60.16</v>
      </c>
      <c r="U17" s="219">
        <f>System!D$6</f>
        <v>0.3</v>
      </c>
      <c r="V17" s="247">
        <f t="shared" si="1"/>
        <v>168.19199999999998</v>
      </c>
      <c r="W17" s="37">
        <v>2</v>
      </c>
      <c r="X17" s="68"/>
      <c r="Y17" s="11"/>
      <c r="Z17" s="11"/>
    </row>
    <row r="18" spans="1:26" s="6" customFormat="1" ht="20" x14ac:dyDescent="0.2">
      <c r="B18" s="134" t="s">
        <v>2407</v>
      </c>
      <c r="C18" s="135" t="s">
        <v>2545</v>
      </c>
      <c r="D18" s="134" t="s">
        <v>274</v>
      </c>
      <c r="E18" s="135" t="s">
        <v>251</v>
      </c>
      <c r="F18" s="127">
        <v>55.071545999999998</v>
      </c>
      <c r="G18" s="127">
        <v>-118.692105</v>
      </c>
      <c r="H18" s="22" t="s">
        <v>2228</v>
      </c>
      <c r="I18" s="22" t="s">
        <v>2379</v>
      </c>
      <c r="J18" s="96" t="s">
        <v>3378</v>
      </c>
      <c r="K18" s="205" t="s">
        <v>2600</v>
      </c>
      <c r="L18" s="95">
        <v>138</v>
      </c>
      <c r="M18" s="64">
        <v>2002</v>
      </c>
      <c r="N18" s="93">
        <f>M18+30</f>
        <v>2032</v>
      </c>
      <c r="O18" s="113"/>
      <c r="P18" s="148" t="s">
        <v>332</v>
      </c>
      <c r="Q18" s="67" t="s">
        <v>2587</v>
      </c>
      <c r="R18" s="53">
        <v>36</v>
      </c>
      <c r="S18" s="242">
        <f>System!C$6</f>
        <v>0.94</v>
      </c>
      <c r="T18" s="243">
        <f t="shared" si="0"/>
        <v>33.839999999999996</v>
      </c>
      <c r="U18" s="219">
        <f>System!D$6</f>
        <v>0.3</v>
      </c>
      <c r="V18" s="247">
        <f t="shared" si="1"/>
        <v>94.608000000000004</v>
      </c>
      <c r="W18" s="37">
        <v>2</v>
      </c>
      <c r="X18" s="68"/>
      <c r="Y18" s="11"/>
      <c r="Z18" s="11"/>
    </row>
    <row r="19" spans="1:26" s="6" customFormat="1" ht="20" x14ac:dyDescent="0.2">
      <c r="B19" s="134" t="s">
        <v>106</v>
      </c>
      <c r="C19" s="135" t="s">
        <v>4038</v>
      </c>
      <c r="D19" s="134" t="s">
        <v>272</v>
      </c>
      <c r="E19" s="135" t="s">
        <v>239</v>
      </c>
      <c r="F19" s="127">
        <v>51.101046339476099</v>
      </c>
      <c r="G19" s="127">
        <v>-114.28233645987901</v>
      </c>
      <c r="H19" s="22" t="s">
        <v>2228</v>
      </c>
      <c r="I19" s="22" t="s">
        <v>2379</v>
      </c>
      <c r="J19" s="96" t="s">
        <v>3380</v>
      </c>
      <c r="K19" s="22" t="s">
        <v>2657</v>
      </c>
      <c r="L19" s="95">
        <v>138</v>
      </c>
      <c r="M19" s="64">
        <v>1954</v>
      </c>
      <c r="N19" s="72">
        <v>2034</v>
      </c>
      <c r="O19" s="99"/>
      <c r="P19" s="148" t="s">
        <v>331</v>
      </c>
      <c r="Q19" s="67" t="s">
        <v>462</v>
      </c>
      <c r="R19" s="53">
        <v>17</v>
      </c>
      <c r="S19" s="242">
        <f>System!C$9</f>
        <v>1</v>
      </c>
      <c r="T19" s="243">
        <f t="shared" si="0"/>
        <v>17</v>
      </c>
      <c r="U19" s="242">
        <f>System!D$9</f>
        <v>0.24</v>
      </c>
      <c r="V19" s="248">
        <f t="shared" si="1"/>
        <v>35.7408</v>
      </c>
      <c r="W19" s="122">
        <v>1</v>
      </c>
      <c r="X19" s="68"/>
      <c r="Y19" s="11"/>
      <c r="Z19" s="107"/>
    </row>
    <row r="20" spans="1:26" s="6" customFormat="1" ht="20" x14ac:dyDescent="0.2">
      <c r="B20" s="134" t="s">
        <v>370</v>
      </c>
      <c r="C20" s="135" t="s">
        <v>4039</v>
      </c>
      <c r="D20" s="134" t="s">
        <v>354</v>
      </c>
      <c r="E20" s="135" t="s">
        <v>407</v>
      </c>
      <c r="F20" s="127">
        <v>52.775131999999999</v>
      </c>
      <c r="G20" s="127">
        <v>-111.6923</v>
      </c>
      <c r="H20" s="22" t="s">
        <v>2228</v>
      </c>
      <c r="I20" s="22" t="s">
        <v>2379</v>
      </c>
      <c r="J20" s="96" t="s">
        <v>3826</v>
      </c>
      <c r="K20" s="22" t="s">
        <v>2601</v>
      </c>
      <c r="L20" s="95">
        <v>144</v>
      </c>
      <c r="M20" s="136">
        <v>2012</v>
      </c>
      <c r="N20" s="93">
        <f>M20+30</f>
        <v>2042</v>
      </c>
      <c r="O20" s="99"/>
      <c r="P20" s="148" t="s">
        <v>311</v>
      </c>
      <c r="Q20" s="67" t="s">
        <v>2588</v>
      </c>
      <c r="R20" s="137">
        <v>5</v>
      </c>
      <c r="S20" s="242">
        <f>System!C$7</f>
        <v>0.94</v>
      </c>
      <c r="T20" s="243">
        <f t="shared" si="0"/>
        <v>4.6999999999999993</v>
      </c>
      <c r="U20" s="219">
        <f>System!D$7</f>
        <v>0.3</v>
      </c>
      <c r="V20" s="247">
        <f t="shared" si="1"/>
        <v>13.14</v>
      </c>
      <c r="W20" s="37">
        <v>1</v>
      </c>
      <c r="X20" s="68"/>
      <c r="Y20" s="11"/>
      <c r="Z20" s="79"/>
    </row>
    <row r="21" spans="1:26" s="61" customFormat="1" ht="20" x14ac:dyDescent="0.2">
      <c r="B21" s="109" t="s">
        <v>2408</v>
      </c>
      <c r="C21" s="135" t="s">
        <v>4040</v>
      </c>
      <c r="D21" s="109" t="s">
        <v>272</v>
      </c>
      <c r="E21" s="123" t="s">
        <v>240</v>
      </c>
      <c r="F21" s="118">
        <v>49.315034900000001</v>
      </c>
      <c r="G21" s="118">
        <v>-113.5743066</v>
      </c>
      <c r="H21" s="22" t="s">
        <v>2228</v>
      </c>
      <c r="I21" s="22" t="s">
        <v>2379</v>
      </c>
      <c r="J21" s="96" t="s">
        <v>3582</v>
      </c>
      <c r="K21" s="22" t="s">
        <v>2602</v>
      </c>
      <c r="L21" s="95">
        <v>138</v>
      </c>
      <c r="M21" s="64">
        <v>1986</v>
      </c>
      <c r="N21" s="72">
        <v>2034</v>
      </c>
      <c r="O21" s="99"/>
      <c r="P21" s="149" t="s">
        <v>140</v>
      </c>
      <c r="Q21" s="67" t="s">
        <v>2238</v>
      </c>
      <c r="R21" s="53">
        <v>2.7</v>
      </c>
      <c r="S21" s="242">
        <f>System!C$10</f>
        <v>0.3</v>
      </c>
      <c r="T21" s="243">
        <f t="shared" si="0"/>
        <v>0.81</v>
      </c>
      <c r="U21" s="242">
        <f>System!D$9</f>
        <v>0.24</v>
      </c>
      <c r="V21" s="248">
        <f t="shared" si="1"/>
        <v>5.6764799999999997</v>
      </c>
      <c r="W21" s="122">
        <v>1</v>
      </c>
      <c r="X21" s="68"/>
      <c r="Y21" s="11"/>
      <c r="Z21" s="11"/>
    </row>
    <row r="22" spans="1:26" s="6" customFormat="1" ht="20" x14ac:dyDescent="0.2">
      <c r="A22" s="61"/>
      <c r="B22" s="134" t="s">
        <v>207</v>
      </c>
      <c r="C22" s="135" t="s">
        <v>2500</v>
      </c>
      <c r="D22" s="134" t="s">
        <v>272</v>
      </c>
      <c r="E22" s="135" t="s">
        <v>241</v>
      </c>
      <c r="F22" s="118">
        <v>52.308113599999999</v>
      </c>
      <c r="G22" s="118">
        <v>-116.3244505</v>
      </c>
      <c r="H22" s="22" t="s">
        <v>2228</v>
      </c>
      <c r="I22" s="22" t="s">
        <v>2379</v>
      </c>
      <c r="J22" s="96" t="s">
        <v>3391</v>
      </c>
      <c r="K22" s="22" t="s">
        <v>2658</v>
      </c>
      <c r="L22" s="95">
        <v>144</v>
      </c>
      <c r="M22" s="64">
        <v>1972</v>
      </c>
      <c r="N22" s="72">
        <v>2034</v>
      </c>
      <c r="O22" s="99"/>
      <c r="P22" s="148" t="s">
        <v>331</v>
      </c>
      <c r="Q22" s="67" t="s">
        <v>462</v>
      </c>
      <c r="R22" s="53">
        <v>60</v>
      </c>
      <c r="S22" s="242">
        <f>System!C$9</f>
        <v>1</v>
      </c>
      <c r="T22" s="243">
        <f t="shared" si="0"/>
        <v>60</v>
      </c>
      <c r="U22" s="242">
        <f>System!D$9</f>
        <v>0.24</v>
      </c>
      <c r="V22" s="248">
        <f t="shared" si="1"/>
        <v>126.14399999999999</v>
      </c>
      <c r="W22" s="122">
        <v>2</v>
      </c>
      <c r="X22" s="68"/>
      <c r="Y22" s="11"/>
      <c r="Z22" s="107"/>
    </row>
    <row r="23" spans="1:26" s="6" customFormat="1" ht="20" x14ac:dyDescent="0.2">
      <c r="B23" s="134" t="s">
        <v>208</v>
      </c>
      <c r="C23" s="135" t="s">
        <v>2532</v>
      </c>
      <c r="D23" s="134" t="s">
        <v>272</v>
      </c>
      <c r="E23" s="135" t="s">
        <v>241</v>
      </c>
      <c r="F23" s="118">
        <v>52.308113599999999</v>
      </c>
      <c r="G23" s="118">
        <v>-116.3244505</v>
      </c>
      <c r="H23" s="22" t="s">
        <v>2228</v>
      </c>
      <c r="I23" s="22" t="s">
        <v>2379</v>
      </c>
      <c r="J23" s="96" t="s">
        <v>3391</v>
      </c>
      <c r="K23" s="22" t="s">
        <v>2658</v>
      </c>
      <c r="L23" s="95">
        <v>144</v>
      </c>
      <c r="M23" s="64">
        <v>1972</v>
      </c>
      <c r="N23" s="72">
        <v>2034</v>
      </c>
      <c r="O23" s="99"/>
      <c r="P23" s="148" t="s">
        <v>331</v>
      </c>
      <c r="Q23" s="67" t="s">
        <v>462</v>
      </c>
      <c r="R23" s="53">
        <v>60</v>
      </c>
      <c r="S23" s="242">
        <f>System!C$9</f>
        <v>1</v>
      </c>
      <c r="T23" s="243">
        <f t="shared" si="0"/>
        <v>60</v>
      </c>
      <c r="U23" s="242">
        <f>System!D$9</f>
        <v>0.24</v>
      </c>
      <c r="V23" s="248">
        <f t="shared" si="1"/>
        <v>126.14399999999999</v>
      </c>
      <c r="W23" s="122">
        <v>2</v>
      </c>
      <c r="X23" s="68"/>
      <c r="Y23" s="11"/>
      <c r="Z23" s="11"/>
    </row>
    <row r="24" spans="1:26" s="6" customFormat="1" ht="20" x14ac:dyDescent="0.2">
      <c r="B24" s="134" t="s">
        <v>382</v>
      </c>
      <c r="C24" s="135" t="s">
        <v>4041</v>
      </c>
      <c r="D24" s="134" t="s">
        <v>408</v>
      </c>
      <c r="E24" s="135" t="s">
        <v>382</v>
      </c>
      <c r="F24" s="127">
        <v>52.381335</v>
      </c>
      <c r="G24" s="127">
        <v>-113.796712</v>
      </c>
      <c r="H24" s="22" t="s">
        <v>2228</v>
      </c>
      <c r="I24" s="22" t="s">
        <v>2379</v>
      </c>
      <c r="J24" s="96" t="s">
        <v>3402</v>
      </c>
      <c r="K24" s="22" t="s">
        <v>2603</v>
      </c>
      <c r="L24" s="95">
        <v>144</v>
      </c>
      <c r="M24" s="136">
        <v>2019</v>
      </c>
      <c r="N24" s="93">
        <f>M24+30</f>
        <v>2049</v>
      </c>
      <c r="O24" s="99"/>
      <c r="P24" s="148" t="s">
        <v>332</v>
      </c>
      <c r="Q24" s="67" t="s">
        <v>2587</v>
      </c>
      <c r="R24" s="137">
        <v>6</v>
      </c>
      <c r="S24" s="242">
        <f>System!C$6</f>
        <v>0.94</v>
      </c>
      <c r="T24" s="243">
        <f t="shared" si="0"/>
        <v>5.64</v>
      </c>
      <c r="U24" s="219">
        <f>System!D$6</f>
        <v>0.3</v>
      </c>
      <c r="V24" s="247">
        <f t="shared" si="1"/>
        <v>15.767999999999999</v>
      </c>
      <c r="W24" s="37">
        <v>1</v>
      </c>
      <c r="X24" s="68"/>
      <c r="Y24" s="11"/>
      <c r="Z24" s="79"/>
    </row>
    <row r="25" spans="1:26" s="6" customFormat="1" ht="20" x14ac:dyDescent="0.2">
      <c r="B25" s="134" t="s">
        <v>2301</v>
      </c>
      <c r="C25" s="135" t="s">
        <v>4042</v>
      </c>
      <c r="D25" s="134" t="s">
        <v>256</v>
      </c>
      <c r="E25" s="135" t="s">
        <v>242</v>
      </c>
      <c r="F25" s="118">
        <v>50.152487899999997</v>
      </c>
      <c r="G25" s="118">
        <v>-112.8226365</v>
      </c>
      <c r="H25" s="22" t="s">
        <v>2228</v>
      </c>
      <c r="I25" s="22" t="s">
        <v>2379</v>
      </c>
      <c r="J25" s="96" t="s">
        <v>3405</v>
      </c>
      <c r="K25" s="22" t="s">
        <v>2604</v>
      </c>
      <c r="L25" s="95">
        <v>240</v>
      </c>
      <c r="M25" s="64">
        <v>2014</v>
      </c>
      <c r="N25" s="64">
        <v>2034</v>
      </c>
      <c r="O25" s="99"/>
      <c r="P25" s="148" t="s">
        <v>116</v>
      </c>
      <c r="Q25" s="67" t="s">
        <v>2239</v>
      </c>
      <c r="R25" s="53">
        <v>300</v>
      </c>
      <c r="S25" s="219">
        <f>System!C$11</f>
        <v>0.09</v>
      </c>
      <c r="T25" s="245">
        <f t="shared" si="0"/>
        <v>27</v>
      </c>
      <c r="U25" s="219">
        <f>System!D$11</f>
        <v>0.33</v>
      </c>
      <c r="V25" s="247">
        <f t="shared" si="1"/>
        <v>867.24</v>
      </c>
      <c r="W25" s="37"/>
      <c r="X25" s="68"/>
      <c r="Y25" s="11"/>
      <c r="Z25" s="11"/>
    </row>
    <row r="26" spans="1:26" s="6" customFormat="1" ht="20" x14ac:dyDescent="0.2">
      <c r="B26" s="134" t="s">
        <v>2409</v>
      </c>
      <c r="C26" s="135" t="s">
        <v>4043</v>
      </c>
      <c r="D26" s="134" t="s">
        <v>272</v>
      </c>
      <c r="E26" s="135" t="s">
        <v>206</v>
      </c>
      <c r="F26" s="118">
        <v>49.6686665</v>
      </c>
      <c r="G26" s="118">
        <v>-113.452164</v>
      </c>
      <c r="H26" s="22" t="s">
        <v>2228</v>
      </c>
      <c r="I26" s="22" t="s">
        <v>2379</v>
      </c>
      <c r="J26" s="96" t="s">
        <v>3408</v>
      </c>
      <c r="K26" s="22" t="s">
        <v>2605</v>
      </c>
      <c r="L26" s="95">
        <v>144</v>
      </c>
      <c r="M26" s="108">
        <v>2009</v>
      </c>
      <c r="N26" s="108">
        <v>2029</v>
      </c>
      <c r="O26" s="99"/>
      <c r="P26" s="148" t="s">
        <v>116</v>
      </c>
      <c r="Q26" s="67" t="s">
        <v>2239</v>
      </c>
      <c r="R26" s="110">
        <v>66</v>
      </c>
      <c r="S26" s="219">
        <f>System!C$11</f>
        <v>0.09</v>
      </c>
      <c r="T26" s="245">
        <f t="shared" si="0"/>
        <v>5.9399999999999995</v>
      </c>
      <c r="U26" s="219">
        <f>System!D$11</f>
        <v>0.33</v>
      </c>
      <c r="V26" s="247">
        <f t="shared" si="1"/>
        <v>190.79280000000003</v>
      </c>
      <c r="W26" s="122"/>
      <c r="X26" s="68"/>
      <c r="Y26" s="11"/>
      <c r="Z26" s="11"/>
    </row>
    <row r="27" spans="1:26" s="6" customFormat="1" ht="20" x14ac:dyDescent="0.2">
      <c r="B27" s="109" t="s">
        <v>2300</v>
      </c>
      <c r="C27" s="135" t="s">
        <v>4044</v>
      </c>
      <c r="D27" s="109" t="s">
        <v>279</v>
      </c>
      <c r="E27" s="123" t="s">
        <v>243</v>
      </c>
      <c r="F27" s="118">
        <v>50.100425600000001</v>
      </c>
      <c r="G27" s="118">
        <v>-110.7275681</v>
      </c>
      <c r="H27" s="22" t="s">
        <v>2228</v>
      </c>
      <c r="I27" s="22" t="s">
        <v>2379</v>
      </c>
      <c r="J27" s="96" t="s">
        <v>3714</v>
      </c>
      <c r="K27" s="22" t="s">
        <v>2697</v>
      </c>
      <c r="L27" s="95">
        <v>138</v>
      </c>
      <c r="M27" s="108">
        <v>2014</v>
      </c>
      <c r="N27" s="108">
        <v>2034</v>
      </c>
      <c r="O27" s="132"/>
      <c r="P27" s="123" t="s">
        <v>116</v>
      </c>
      <c r="Q27" s="67" t="s">
        <v>2239</v>
      </c>
      <c r="R27" s="110">
        <v>6</v>
      </c>
      <c r="S27" s="219">
        <f>System!C$11</f>
        <v>0.09</v>
      </c>
      <c r="T27" s="245">
        <f t="shared" si="0"/>
        <v>0.54</v>
      </c>
      <c r="U27" s="219">
        <f>System!D$11</f>
        <v>0.33</v>
      </c>
      <c r="V27" s="247">
        <f t="shared" si="1"/>
        <v>17.344799999999999</v>
      </c>
      <c r="W27" s="37"/>
      <c r="X27" s="68"/>
      <c r="Y27" s="11"/>
      <c r="Z27" s="11"/>
    </row>
    <row r="28" spans="1:26" s="6" customFormat="1" ht="20" x14ac:dyDescent="0.2">
      <c r="B28" s="134" t="s">
        <v>4232</v>
      </c>
      <c r="C28" s="135" t="s">
        <v>2501</v>
      </c>
      <c r="D28" s="134" t="s">
        <v>272</v>
      </c>
      <c r="E28" s="135" t="s">
        <v>244</v>
      </c>
      <c r="F28" s="118">
        <v>52.910127000000003</v>
      </c>
      <c r="G28" s="118">
        <v>-115.3753924</v>
      </c>
      <c r="H28" s="22" t="s">
        <v>2228</v>
      </c>
      <c r="I28" s="22" t="s">
        <v>2379</v>
      </c>
      <c r="J28" s="96" t="s">
        <v>3419</v>
      </c>
      <c r="K28" s="22" t="s">
        <v>2659</v>
      </c>
      <c r="L28" s="95">
        <v>240</v>
      </c>
      <c r="M28" s="64">
        <v>1966</v>
      </c>
      <c r="N28" s="72">
        <v>2034</v>
      </c>
      <c r="O28" s="99"/>
      <c r="P28" s="148" t="s">
        <v>331</v>
      </c>
      <c r="Q28" s="67" t="s">
        <v>462</v>
      </c>
      <c r="R28" s="53">
        <v>162</v>
      </c>
      <c r="S28" s="242">
        <f>System!C$9</f>
        <v>1</v>
      </c>
      <c r="T28" s="243">
        <f t="shared" si="0"/>
        <v>162</v>
      </c>
      <c r="U28" s="242">
        <f>System!D$9</f>
        <v>0.24</v>
      </c>
      <c r="V28" s="248">
        <f t="shared" si="1"/>
        <v>340.58879999999999</v>
      </c>
      <c r="W28" s="122">
        <v>2</v>
      </c>
      <c r="X28" s="68"/>
      <c r="Y28" s="11"/>
      <c r="Z28" s="107"/>
    </row>
    <row r="29" spans="1:26" s="6" customFormat="1" ht="20" x14ac:dyDescent="0.2">
      <c r="B29" s="134" t="s">
        <v>4233</v>
      </c>
      <c r="C29" s="135" t="s">
        <v>2533</v>
      </c>
      <c r="D29" s="134" t="s">
        <v>272</v>
      </c>
      <c r="E29" s="135" t="s">
        <v>244</v>
      </c>
      <c r="F29" s="118">
        <v>52.910127000000003</v>
      </c>
      <c r="G29" s="118">
        <v>-115.3753924</v>
      </c>
      <c r="H29" s="22" t="s">
        <v>2228</v>
      </c>
      <c r="I29" s="22" t="s">
        <v>2379</v>
      </c>
      <c r="J29" s="96" t="s">
        <v>3419</v>
      </c>
      <c r="K29" s="22" t="s">
        <v>2659</v>
      </c>
      <c r="L29" s="95">
        <v>240</v>
      </c>
      <c r="M29" s="64">
        <v>1966</v>
      </c>
      <c r="N29" s="72">
        <v>2034</v>
      </c>
      <c r="O29" s="99"/>
      <c r="P29" s="148" t="s">
        <v>331</v>
      </c>
      <c r="Q29" s="67" t="s">
        <v>462</v>
      </c>
      <c r="R29" s="53">
        <v>200</v>
      </c>
      <c r="S29" s="242">
        <f>System!C$9</f>
        <v>1</v>
      </c>
      <c r="T29" s="243">
        <f t="shared" si="0"/>
        <v>200</v>
      </c>
      <c r="U29" s="242">
        <f>System!D$9</f>
        <v>0.24</v>
      </c>
      <c r="V29" s="248">
        <f t="shared" si="1"/>
        <v>420.48</v>
      </c>
      <c r="W29" s="122">
        <v>2</v>
      </c>
      <c r="X29" s="68"/>
      <c r="Y29" s="11"/>
      <c r="Z29" s="107"/>
    </row>
    <row r="30" spans="1:26" s="6" customFormat="1" ht="20" x14ac:dyDescent="0.2">
      <c r="B30" s="134" t="s">
        <v>368</v>
      </c>
      <c r="C30" s="135" t="s">
        <v>4220</v>
      </c>
      <c r="D30" s="134" t="s">
        <v>367</v>
      </c>
      <c r="E30" s="135" t="s">
        <v>368</v>
      </c>
      <c r="F30" s="127">
        <v>50.583294000000002</v>
      </c>
      <c r="G30" s="127">
        <v>-111.88075499999999</v>
      </c>
      <c r="H30" s="22" t="s">
        <v>2228</v>
      </c>
      <c r="I30" s="22" t="s">
        <v>2379</v>
      </c>
      <c r="J30" s="96" t="s">
        <v>3429</v>
      </c>
      <c r="K30" s="22" t="s">
        <v>2660</v>
      </c>
      <c r="L30" s="95">
        <v>138</v>
      </c>
      <c r="M30" s="136">
        <v>2017</v>
      </c>
      <c r="N30" s="136">
        <v>2037</v>
      </c>
      <c r="O30" s="132"/>
      <c r="P30" s="229" t="s">
        <v>334</v>
      </c>
      <c r="Q30" s="67" t="s">
        <v>2240</v>
      </c>
      <c r="R30" s="137">
        <v>17</v>
      </c>
      <c r="S30" s="219">
        <f>System!C$12</f>
        <v>0</v>
      </c>
      <c r="T30" s="245">
        <f t="shared" si="0"/>
        <v>0</v>
      </c>
      <c r="U30" s="219">
        <f>System!D$12</f>
        <v>0.18</v>
      </c>
      <c r="V30" s="247">
        <f t="shared" si="1"/>
        <v>26.805599999999998</v>
      </c>
      <c r="W30" s="122"/>
      <c r="X30" s="68"/>
      <c r="Y30" s="11"/>
      <c r="Z30" s="120"/>
    </row>
    <row r="31" spans="1:26" s="61" customFormat="1" ht="20" x14ac:dyDescent="0.2">
      <c r="B31" s="134" t="s">
        <v>381</v>
      </c>
      <c r="C31" s="135" t="s">
        <v>4064</v>
      </c>
      <c r="D31" s="134" t="s">
        <v>359</v>
      </c>
      <c r="E31" s="135" t="s">
        <v>360</v>
      </c>
      <c r="F31" s="127">
        <v>52.953384</v>
      </c>
      <c r="G31" s="127">
        <v>-114.795485</v>
      </c>
      <c r="H31" s="22" t="s">
        <v>2228</v>
      </c>
      <c r="I31" s="22" t="s">
        <v>2379</v>
      </c>
      <c r="J31" s="96" t="s">
        <v>3432</v>
      </c>
      <c r="K31" s="205" t="s">
        <v>2661</v>
      </c>
      <c r="L31" s="95">
        <v>144</v>
      </c>
      <c r="M31" s="64">
        <v>2001</v>
      </c>
      <c r="N31" s="93">
        <f>M31+30</f>
        <v>2031</v>
      </c>
      <c r="O31" s="99"/>
      <c r="P31" s="148" t="s">
        <v>332</v>
      </c>
      <c r="Q31" s="67" t="s">
        <v>2587</v>
      </c>
      <c r="R31" s="53">
        <v>6</v>
      </c>
      <c r="S31" s="242">
        <f>System!C$6</f>
        <v>0.94</v>
      </c>
      <c r="T31" s="243">
        <f t="shared" si="0"/>
        <v>5.64</v>
      </c>
      <c r="U31" s="219">
        <f>System!D$6</f>
        <v>0.3</v>
      </c>
      <c r="V31" s="247">
        <f t="shared" si="1"/>
        <v>15.767999999999999</v>
      </c>
      <c r="W31" s="122">
        <v>3</v>
      </c>
      <c r="X31" s="68"/>
      <c r="Y31" s="11"/>
      <c r="Z31" s="107"/>
    </row>
    <row r="32" spans="1:26" s="6" customFormat="1" ht="20" x14ac:dyDescent="0.2">
      <c r="B32" s="162" t="s">
        <v>2289</v>
      </c>
      <c r="C32" s="135" t="s">
        <v>4045</v>
      </c>
      <c r="D32" s="162" t="s">
        <v>2270</v>
      </c>
      <c r="E32" s="229" t="s">
        <v>2272</v>
      </c>
      <c r="F32" s="127">
        <v>50.748608536409201</v>
      </c>
      <c r="G32" s="127">
        <v>-111.048863618471</v>
      </c>
      <c r="H32" s="22" t="s">
        <v>2228</v>
      </c>
      <c r="I32" s="22" t="s">
        <v>2379</v>
      </c>
      <c r="J32" s="96" t="s">
        <v>3642</v>
      </c>
      <c r="K32" s="67" t="s">
        <v>2683</v>
      </c>
      <c r="L32" s="95">
        <v>144</v>
      </c>
      <c r="M32" s="228">
        <v>2022</v>
      </c>
      <c r="N32" s="228">
        <v>2042</v>
      </c>
      <c r="O32" s="132"/>
      <c r="P32" s="229" t="s">
        <v>116</v>
      </c>
      <c r="Q32" s="67" t="s">
        <v>2239</v>
      </c>
      <c r="R32" s="182">
        <v>48</v>
      </c>
      <c r="S32" s="219">
        <f>System!C$11</f>
        <v>0.09</v>
      </c>
      <c r="T32" s="245">
        <f t="shared" si="0"/>
        <v>4.32</v>
      </c>
      <c r="U32" s="219">
        <f>System!D$11</f>
        <v>0.33</v>
      </c>
      <c r="V32" s="247">
        <f t="shared" si="1"/>
        <v>138.75839999999999</v>
      </c>
      <c r="W32" s="37"/>
      <c r="X32" s="266"/>
      <c r="Y32" s="11" t="s">
        <v>2290</v>
      </c>
      <c r="Z32" s="107"/>
    </row>
    <row r="33" spans="2:26" s="6" customFormat="1" ht="20" x14ac:dyDescent="0.2">
      <c r="B33" s="134" t="s">
        <v>2298</v>
      </c>
      <c r="C33" s="135" t="s">
        <v>4046</v>
      </c>
      <c r="D33" s="134" t="s">
        <v>434</v>
      </c>
      <c r="E33" s="135" t="s">
        <v>435</v>
      </c>
      <c r="F33" s="118">
        <v>52.509074200000001</v>
      </c>
      <c r="G33" s="118">
        <v>-110.0831039</v>
      </c>
      <c r="H33" s="22" t="s">
        <v>2228</v>
      </c>
      <c r="I33" s="22" t="s">
        <v>2379</v>
      </c>
      <c r="J33" s="96" t="s">
        <v>3606</v>
      </c>
      <c r="K33" s="22" t="s">
        <v>2606</v>
      </c>
      <c r="L33" s="95">
        <v>138</v>
      </c>
      <c r="M33" s="64">
        <v>2014</v>
      </c>
      <c r="N33" s="64">
        <v>2034</v>
      </c>
      <c r="O33" s="132"/>
      <c r="P33" s="148" t="s">
        <v>116</v>
      </c>
      <c r="Q33" s="67" t="s">
        <v>2239</v>
      </c>
      <c r="R33" s="53">
        <v>57.5</v>
      </c>
      <c r="S33" s="219">
        <f>System!C$11</f>
        <v>0.09</v>
      </c>
      <c r="T33" s="245">
        <f t="shared" si="0"/>
        <v>5.1749999999999998</v>
      </c>
      <c r="U33" s="219">
        <f>System!D$11</f>
        <v>0.33</v>
      </c>
      <c r="V33" s="247">
        <f t="shared" si="1"/>
        <v>166.221</v>
      </c>
      <c r="W33" s="122"/>
      <c r="X33" s="68"/>
      <c r="Y33" s="11"/>
      <c r="Z33" s="107"/>
    </row>
    <row r="34" spans="2:26" s="61" customFormat="1" ht="20" x14ac:dyDescent="0.2">
      <c r="B34" s="162" t="s">
        <v>2320</v>
      </c>
      <c r="C34" s="135" t="s">
        <v>4047</v>
      </c>
      <c r="D34" s="162" t="s">
        <v>2319</v>
      </c>
      <c r="E34" s="229" t="s">
        <v>2322</v>
      </c>
      <c r="F34" s="127">
        <v>49.813767186178097</v>
      </c>
      <c r="G34" s="127">
        <v>-110.205720690628</v>
      </c>
      <c r="H34" s="22" t="s">
        <v>2228</v>
      </c>
      <c r="I34" s="22" t="s">
        <v>2379</v>
      </c>
      <c r="J34" s="96" t="s">
        <v>3767</v>
      </c>
      <c r="K34" s="67" t="s">
        <v>2607</v>
      </c>
      <c r="L34" s="95">
        <v>144</v>
      </c>
      <c r="M34" s="228">
        <v>2024</v>
      </c>
      <c r="N34" s="228">
        <v>2044</v>
      </c>
      <c r="O34" s="132"/>
      <c r="P34" s="229" t="s">
        <v>116</v>
      </c>
      <c r="Q34" s="67" t="s">
        <v>2239</v>
      </c>
      <c r="R34" s="182">
        <v>202</v>
      </c>
      <c r="S34" s="219">
        <f>System!C$11</f>
        <v>0.09</v>
      </c>
      <c r="T34" s="245">
        <f t="shared" si="0"/>
        <v>18.18</v>
      </c>
      <c r="U34" s="219">
        <f>System!D$11</f>
        <v>0.33</v>
      </c>
      <c r="V34" s="247">
        <f t="shared" si="1"/>
        <v>583.94159999999999</v>
      </c>
      <c r="W34" s="37"/>
      <c r="X34" s="68"/>
      <c r="Y34" s="11" t="s">
        <v>2321</v>
      </c>
      <c r="Z34" s="11"/>
    </row>
    <row r="35" spans="2:26" s="6" customFormat="1" ht="20" x14ac:dyDescent="0.2">
      <c r="B35" s="162" t="s">
        <v>356</v>
      </c>
      <c r="C35" s="135" t="s">
        <v>4048</v>
      </c>
      <c r="D35" s="162" t="s">
        <v>2262</v>
      </c>
      <c r="E35" s="229" t="s">
        <v>356</v>
      </c>
      <c r="F35" s="127">
        <v>49.827376437863201</v>
      </c>
      <c r="G35" s="127">
        <v>-111.538204131699</v>
      </c>
      <c r="H35" s="67" t="s">
        <v>2228</v>
      </c>
      <c r="I35" s="22" t="s">
        <v>2379</v>
      </c>
      <c r="J35" s="96" t="s">
        <v>3438</v>
      </c>
      <c r="K35" s="67" t="s">
        <v>2690</v>
      </c>
      <c r="L35" s="95">
        <v>138</v>
      </c>
      <c r="M35" s="228">
        <v>2022</v>
      </c>
      <c r="N35" s="228">
        <v>2042</v>
      </c>
      <c r="O35" s="99"/>
      <c r="P35" s="229" t="s">
        <v>334</v>
      </c>
      <c r="Q35" s="67" t="s">
        <v>2240</v>
      </c>
      <c r="R35" s="182">
        <v>20</v>
      </c>
      <c r="S35" s="219">
        <f>System!C$12</f>
        <v>0</v>
      </c>
      <c r="T35" s="245">
        <f t="shared" si="0"/>
        <v>0</v>
      </c>
      <c r="U35" s="219">
        <f>System!D$12</f>
        <v>0.18</v>
      </c>
      <c r="V35" s="247">
        <f t="shared" si="1"/>
        <v>31.535999999999998</v>
      </c>
      <c r="W35" s="122"/>
      <c r="X35" s="68"/>
      <c r="Y35" s="79" t="s">
        <v>2268</v>
      </c>
      <c r="Z35" s="120"/>
    </row>
    <row r="36" spans="2:26" s="61" customFormat="1" ht="20" x14ac:dyDescent="0.2">
      <c r="B36" s="134" t="s">
        <v>397</v>
      </c>
      <c r="C36" s="135" t="s">
        <v>4049</v>
      </c>
      <c r="D36" s="134" t="s">
        <v>283</v>
      </c>
      <c r="E36" s="135" t="s">
        <v>239</v>
      </c>
      <c r="F36" s="118">
        <v>51.180500000000002</v>
      </c>
      <c r="G36" s="118">
        <v>-113.93729999999999</v>
      </c>
      <c r="H36" s="22" t="s">
        <v>2228</v>
      </c>
      <c r="I36" s="67" t="s">
        <v>2379</v>
      </c>
      <c r="J36" s="96" t="s">
        <v>4248</v>
      </c>
      <c r="K36" s="205" t="s">
        <v>4249</v>
      </c>
      <c r="L36" s="95">
        <v>240</v>
      </c>
      <c r="M36" s="64">
        <v>2003</v>
      </c>
      <c r="N36" s="93">
        <f t="shared" ref="N36:N43" si="2">M36+30</f>
        <v>2033</v>
      </c>
      <c r="O36" s="131"/>
      <c r="P36" s="148" t="s">
        <v>333</v>
      </c>
      <c r="Q36" s="67" t="s">
        <v>2587</v>
      </c>
      <c r="R36" s="53">
        <v>300</v>
      </c>
      <c r="S36" s="242">
        <f>System!C$5</f>
        <v>0.94</v>
      </c>
      <c r="T36" s="243">
        <f t="shared" si="0"/>
        <v>282</v>
      </c>
      <c r="U36" s="219">
        <f>System!D$5</f>
        <v>0.6</v>
      </c>
      <c r="V36" s="247">
        <f t="shared" si="1"/>
        <v>1576.8</v>
      </c>
      <c r="W36" s="122">
        <v>1</v>
      </c>
      <c r="X36" s="68"/>
      <c r="Y36" s="11"/>
      <c r="Z36" s="11"/>
    </row>
    <row r="37" spans="2:26" s="6" customFormat="1" ht="20" x14ac:dyDescent="0.2">
      <c r="B37" s="134" t="s">
        <v>410</v>
      </c>
      <c r="C37" s="135" t="s">
        <v>4221</v>
      </c>
      <c r="D37" s="134" t="s">
        <v>409</v>
      </c>
      <c r="E37" s="135" t="s">
        <v>410</v>
      </c>
      <c r="F37" s="127">
        <v>52.983085000000003</v>
      </c>
      <c r="G37" s="127">
        <v>-112.769724</v>
      </c>
      <c r="H37" s="22" t="s">
        <v>2228</v>
      </c>
      <c r="I37" s="67" t="s">
        <v>2379</v>
      </c>
      <c r="J37" s="96" t="s">
        <v>3521</v>
      </c>
      <c r="K37" s="22" t="s">
        <v>2662</v>
      </c>
      <c r="L37" s="95">
        <v>138</v>
      </c>
      <c r="M37" s="55">
        <v>2015</v>
      </c>
      <c r="N37" s="93">
        <f t="shared" si="2"/>
        <v>2045</v>
      </c>
      <c r="O37" s="130"/>
      <c r="P37" s="148" t="s">
        <v>332</v>
      </c>
      <c r="Q37" s="67" t="s">
        <v>2587</v>
      </c>
      <c r="R37" s="53">
        <v>10</v>
      </c>
      <c r="S37" s="242">
        <f>System!C$6</f>
        <v>0.94</v>
      </c>
      <c r="T37" s="243">
        <f t="shared" si="0"/>
        <v>9.3999999999999986</v>
      </c>
      <c r="U37" s="219">
        <f>System!D$6</f>
        <v>0.3</v>
      </c>
      <c r="V37" s="247">
        <f t="shared" si="1"/>
        <v>26.28</v>
      </c>
      <c r="W37" s="128">
        <v>1</v>
      </c>
      <c r="X37" s="68"/>
      <c r="Y37" s="11"/>
      <c r="Z37" s="116"/>
    </row>
    <row r="38" spans="2:26" s="6" customFormat="1" ht="20" x14ac:dyDescent="0.2">
      <c r="B38" s="134" t="s">
        <v>439</v>
      </c>
      <c r="C38" s="135" t="s">
        <v>4050</v>
      </c>
      <c r="D38" s="134" t="s">
        <v>353</v>
      </c>
      <c r="E38" s="135" t="s">
        <v>243</v>
      </c>
      <c r="F38" s="127">
        <v>50.057363000000002</v>
      </c>
      <c r="G38" s="127">
        <v>-110.726225</v>
      </c>
      <c r="H38" s="22" t="s">
        <v>2228</v>
      </c>
      <c r="I38" s="22" t="s">
        <v>2379</v>
      </c>
      <c r="J38" s="96" t="s">
        <v>3714</v>
      </c>
      <c r="K38" s="22" t="s">
        <v>2697</v>
      </c>
      <c r="L38" s="95">
        <v>138</v>
      </c>
      <c r="M38" s="64">
        <v>2000</v>
      </c>
      <c r="N38" s="93">
        <f t="shared" si="2"/>
        <v>2030</v>
      </c>
      <c r="O38" s="132"/>
      <c r="P38" s="148" t="s">
        <v>455</v>
      </c>
      <c r="Q38" s="67" t="s">
        <v>2586</v>
      </c>
      <c r="R38" s="53">
        <v>36</v>
      </c>
      <c r="S38" s="242">
        <f>System!C$8</f>
        <v>0.97</v>
      </c>
      <c r="T38" s="243">
        <f t="shared" si="0"/>
        <v>34.92</v>
      </c>
      <c r="U38" s="246">
        <f>System!D$8</f>
        <v>0.55000000000000004</v>
      </c>
      <c r="V38" s="235">
        <f t="shared" si="1"/>
        <v>173.44800000000004</v>
      </c>
      <c r="W38" s="122">
        <v>1</v>
      </c>
      <c r="X38" s="68"/>
      <c r="Y38" s="11"/>
      <c r="Z38" s="107" t="s">
        <v>366</v>
      </c>
    </row>
    <row r="39" spans="2:26" s="6" customFormat="1" ht="20" x14ac:dyDescent="0.2">
      <c r="B39" s="134" t="s">
        <v>314</v>
      </c>
      <c r="C39" s="135" t="s">
        <v>2513</v>
      </c>
      <c r="D39" s="134" t="s">
        <v>274</v>
      </c>
      <c r="E39" s="135" t="s">
        <v>275</v>
      </c>
      <c r="F39" s="118">
        <v>50.846600000000002</v>
      </c>
      <c r="G39" s="118">
        <v>-113.58159999999999</v>
      </c>
      <c r="H39" s="22" t="s">
        <v>2228</v>
      </c>
      <c r="I39" s="22" t="s">
        <v>2379</v>
      </c>
      <c r="J39" s="96" t="s">
        <v>4371</v>
      </c>
      <c r="K39" s="22" t="s">
        <v>4372</v>
      </c>
      <c r="L39" s="95">
        <v>138</v>
      </c>
      <c r="M39" s="64">
        <v>2001</v>
      </c>
      <c r="N39" s="93">
        <f t="shared" si="2"/>
        <v>2031</v>
      </c>
      <c r="O39" s="99"/>
      <c r="P39" s="148" t="s">
        <v>332</v>
      </c>
      <c r="Q39" s="67" t="s">
        <v>2587</v>
      </c>
      <c r="R39" s="53">
        <v>40</v>
      </c>
      <c r="S39" s="242">
        <f>System!C$6</f>
        <v>0.94</v>
      </c>
      <c r="T39" s="243">
        <f t="shared" si="0"/>
        <v>37.599999999999994</v>
      </c>
      <c r="U39" s="219">
        <f>System!D$6</f>
        <v>0.3</v>
      </c>
      <c r="V39" s="247">
        <f t="shared" si="1"/>
        <v>105.12</v>
      </c>
      <c r="W39" s="122">
        <v>1</v>
      </c>
      <c r="X39" s="68"/>
      <c r="Y39" s="11"/>
      <c r="Z39" s="107"/>
    </row>
    <row r="40" spans="2:26" s="61" customFormat="1" ht="20" x14ac:dyDescent="0.2">
      <c r="B40" s="134" t="s">
        <v>315</v>
      </c>
      <c r="C40" s="135" t="s">
        <v>2546</v>
      </c>
      <c r="D40" s="134" t="s">
        <v>274</v>
      </c>
      <c r="E40" s="135" t="s">
        <v>275</v>
      </c>
      <c r="F40" s="118">
        <v>50.846600000000002</v>
      </c>
      <c r="G40" s="118">
        <v>-113.58159999999999</v>
      </c>
      <c r="H40" s="22" t="s">
        <v>2228</v>
      </c>
      <c r="I40" s="22" t="s">
        <v>2379</v>
      </c>
      <c r="J40" s="96" t="s">
        <v>4371</v>
      </c>
      <c r="K40" s="22" t="s">
        <v>4372</v>
      </c>
      <c r="L40" s="95">
        <v>138</v>
      </c>
      <c r="M40" s="64">
        <v>2001</v>
      </c>
      <c r="N40" s="93">
        <f t="shared" si="2"/>
        <v>2031</v>
      </c>
      <c r="O40" s="99"/>
      <c r="P40" s="148" t="s">
        <v>332</v>
      </c>
      <c r="Q40" s="67" t="s">
        <v>2587</v>
      </c>
      <c r="R40" s="53">
        <v>40</v>
      </c>
      <c r="S40" s="242">
        <f>System!C$6</f>
        <v>0.94</v>
      </c>
      <c r="T40" s="243">
        <f t="shared" si="0"/>
        <v>37.599999999999994</v>
      </c>
      <c r="U40" s="219">
        <f>System!D$6</f>
        <v>0.3</v>
      </c>
      <c r="V40" s="247">
        <f t="shared" si="1"/>
        <v>105.12</v>
      </c>
      <c r="W40" s="122">
        <v>1</v>
      </c>
      <c r="X40" s="68"/>
      <c r="Y40" s="11"/>
      <c r="Z40" s="107"/>
    </row>
    <row r="41" spans="2:26" s="6" customFormat="1" ht="20" x14ac:dyDescent="0.2">
      <c r="B41" s="134" t="s">
        <v>2410</v>
      </c>
      <c r="C41" s="135" t="s">
        <v>4061</v>
      </c>
      <c r="D41" s="134" t="s">
        <v>354</v>
      </c>
      <c r="E41" s="135" t="s">
        <v>217</v>
      </c>
      <c r="F41" s="127">
        <v>54.128165000000003</v>
      </c>
      <c r="G41" s="127">
        <v>-115.665136</v>
      </c>
      <c r="H41" s="22" t="s">
        <v>2228</v>
      </c>
      <c r="I41" s="22" t="s">
        <v>2379</v>
      </c>
      <c r="J41" s="96" t="s">
        <v>3930</v>
      </c>
      <c r="K41" s="22" t="s">
        <v>2609</v>
      </c>
      <c r="L41" s="95">
        <v>144</v>
      </c>
      <c r="M41" s="65">
        <v>2014</v>
      </c>
      <c r="N41" s="93">
        <f t="shared" si="2"/>
        <v>2044</v>
      </c>
      <c r="O41" s="99"/>
      <c r="P41" s="148" t="s">
        <v>311</v>
      </c>
      <c r="Q41" s="67" t="s">
        <v>2588</v>
      </c>
      <c r="R41" s="53">
        <v>15</v>
      </c>
      <c r="S41" s="242">
        <f>System!C$7</f>
        <v>0.94</v>
      </c>
      <c r="T41" s="243">
        <f t="shared" si="0"/>
        <v>14.1</v>
      </c>
      <c r="U41" s="219">
        <f>System!D$7</f>
        <v>0.3</v>
      </c>
      <c r="V41" s="247">
        <f t="shared" si="1"/>
        <v>39.42</v>
      </c>
      <c r="W41" s="37">
        <v>1</v>
      </c>
      <c r="X41" s="68"/>
      <c r="Y41" s="11"/>
      <c r="Z41" s="11"/>
    </row>
    <row r="42" spans="2:26" s="6" customFormat="1" ht="20" x14ac:dyDescent="0.2">
      <c r="B42" s="162" t="s">
        <v>2390</v>
      </c>
      <c r="C42" s="135" t="s">
        <v>2509</v>
      </c>
      <c r="D42" s="162" t="s">
        <v>2391</v>
      </c>
      <c r="E42" s="229" t="s">
        <v>415</v>
      </c>
      <c r="F42" s="127">
        <v>53.524086390275997</v>
      </c>
      <c r="G42" s="127">
        <v>-116.59915766010501</v>
      </c>
      <c r="H42" s="22" t="s">
        <v>2228</v>
      </c>
      <c r="I42" s="22" t="s">
        <v>2379</v>
      </c>
      <c r="J42" s="96" t="s">
        <v>3387</v>
      </c>
      <c r="K42" s="22" t="s">
        <v>2610</v>
      </c>
      <c r="L42" s="95">
        <v>240</v>
      </c>
      <c r="M42" s="228">
        <v>2023</v>
      </c>
      <c r="N42" s="93">
        <f t="shared" si="2"/>
        <v>2053</v>
      </c>
      <c r="O42" s="131"/>
      <c r="P42" s="229" t="s">
        <v>333</v>
      </c>
      <c r="Q42" s="67" t="s">
        <v>2587</v>
      </c>
      <c r="R42" s="182">
        <v>900</v>
      </c>
      <c r="S42" s="242">
        <f>System!C$5</f>
        <v>0.94</v>
      </c>
      <c r="T42" s="243">
        <f t="shared" si="0"/>
        <v>846</v>
      </c>
      <c r="U42" s="219">
        <f>System!D$5</f>
        <v>0.6</v>
      </c>
      <c r="V42" s="247">
        <f t="shared" si="1"/>
        <v>4730.3999999999996</v>
      </c>
      <c r="W42" s="37">
        <v>2</v>
      </c>
      <c r="X42" s="68"/>
      <c r="Y42" s="11" t="s">
        <v>2393</v>
      </c>
      <c r="Z42" s="11"/>
    </row>
    <row r="43" spans="2:26" s="6" customFormat="1" ht="20" x14ac:dyDescent="0.2">
      <c r="B43" s="162" t="s">
        <v>2392</v>
      </c>
      <c r="C43" s="135" t="s">
        <v>2541</v>
      </c>
      <c r="D43" s="162" t="s">
        <v>2391</v>
      </c>
      <c r="E43" s="229" t="s">
        <v>415</v>
      </c>
      <c r="F43" s="127">
        <v>53.524086390275997</v>
      </c>
      <c r="G43" s="127">
        <v>-116.59915766010501</v>
      </c>
      <c r="H43" s="22" t="s">
        <v>2228</v>
      </c>
      <c r="I43" s="22" t="s">
        <v>2379</v>
      </c>
      <c r="J43" s="96" t="s">
        <v>3387</v>
      </c>
      <c r="K43" s="205" t="s">
        <v>2610</v>
      </c>
      <c r="L43" s="95">
        <v>240</v>
      </c>
      <c r="M43" s="228">
        <v>2023</v>
      </c>
      <c r="N43" s="93">
        <f t="shared" si="2"/>
        <v>2053</v>
      </c>
      <c r="O43" s="131"/>
      <c r="P43" s="229" t="s">
        <v>333</v>
      </c>
      <c r="Q43" s="67" t="s">
        <v>2587</v>
      </c>
      <c r="R43" s="182">
        <v>900</v>
      </c>
      <c r="S43" s="242">
        <f>System!C$5</f>
        <v>0.94</v>
      </c>
      <c r="T43" s="243">
        <f t="shared" si="0"/>
        <v>846</v>
      </c>
      <c r="U43" s="219">
        <f>System!D$5</f>
        <v>0.6</v>
      </c>
      <c r="V43" s="247">
        <f t="shared" si="1"/>
        <v>4730.3999999999996</v>
      </c>
      <c r="W43" s="122">
        <v>2</v>
      </c>
      <c r="X43" s="68"/>
      <c r="Y43" s="11" t="s">
        <v>2393</v>
      </c>
      <c r="Z43" s="107"/>
    </row>
    <row r="44" spans="2:26" s="6" customFormat="1" ht="20" x14ac:dyDescent="0.2">
      <c r="B44" s="134" t="s">
        <v>2388</v>
      </c>
      <c r="C44" s="135" t="s">
        <v>2502</v>
      </c>
      <c r="D44" s="134" t="s">
        <v>272</v>
      </c>
      <c r="E44" s="135" t="s">
        <v>245</v>
      </c>
      <c r="F44" s="118">
        <v>51.2001858</v>
      </c>
      <c r="G44" s="118">
        <v>-115.502093</v>
      </c>
      <c r="H44" s="22" t="s">
        <v>2228</v>
      </c>
      <c r="I44" s="22" t="s">
        <v>2379</v>
      </c>
      <c r="J44" s="96" t="s">
        <v>3452</v>
      </c>
      <c r="K44" s="22" t="s">
        <v>2664</v>
      </c>
      <c r="L44" s="95">
        <v>138</v>
      </c>
      <c r="M44" s="64">
        <v>1954</v>
      </c>
      <c r="N44" s="72">
        <v>2034</v>
      </c>
      <c r="O44" s="132"/>
      <c r="P44" s="148" t="s">
        <v>331</v>
      </c>
      <c r="Q44" s="67" t="s">
        <v>462</v>
      </c>
      <c r="R44" s="53">
        <v>17</v>
      </c>
      <c r="S44" s="242">
        <f>System!C$9</f>
        <v>1</v>
      </c>
      <c r="T44" s="243">
        <f t="shared" si="0"/>
        <v>17</v>
      </c>
      <c r="U44" s="242">
        <f>System!D$9</f>
        <v>0.24</v>
      </c>
      <c r="V44" s="248">
        <f t="shared" si="1"/>
        <v>35.7408</v>
      </c>
      <c r="W44" s="122">
        <v>2</v>
      </c>
      <c r="X44" s="68"/>
      <c r="Y44" s="11"/>
      <c r="Z44" s="107"/>
    </row>
    <row r="45" spans="2:26" s="6" customFormat="1" ht="20" x14ac:dyDescent="0.2">
      <c r="B45" s="134" t="s">
        <v>2389</v>
      </c>
      <c r="C45" s="135" t="s">
        <v>2534</v>
      </c>
      <c r="D45" s="134" t="s">
        <v>272</v>
      </c>
      <c r="E45" s="135" t="s">
        <v>245</v>
      </c>
      <c r="F45" s="118">
        <v>51.2001858</v>
      </c>
      <c r="G45" s="118">
        <v>-115.502093</v>
      </c>
      <c r="H45" s="22" t="s">
        <v>2228</v>
      </c>
      <c r="I45" s="22" t="s">
        <v>2379</v>
      </c>
      <c r="J45" s="96" t="s">
        <v>3452</v>
      </c>
      <c r="K45" s="22" t="s">
        <v>2664</v>
      </c>
      <c r="L45" s="95">
        <v>138</v>
      </c>
      <c r="M45" s="64">
        <v>1954</v>
      </c>
      <c r="N45" s="72">
        <v>2034</v>
      </c>
      <c r="O45" s="99"/>
      <c r="P45" s="148" t="s">
        <v>331</v>
      </c>
      <c r="Q45" s="67" t="s">
        <v>462</v>
      </c>
      <c r="R45" s="53">
        <v>18</v>
      </c>
      <c r="S45" s="242">
        <f>System!C$9</f>
        <v>1</v>
      </c>
      <c r="T45" s="243">
        <f t="shared" si="0"/>
        <v>18</v>
      </c>
      <c r="U45" s="242">
        <f>System!D$9</f>
        <v>0.24</v>
      </c>
      <c r="V45" s="248">
        <f t="shared" si="1"/>
        <v>37.843200000000003</v>
      </c>
      <c r="W45" s="121">
        <v>2</v>
      </c>
      <c r="X45" s="68"/>
      <c r="Y45" s="11"/>
      <c r="Z45" s="115"/>
    </row>
    <row r="46" spans="2:26" s="6" customFormat="1" ht="20" x14ac:dyDescent="0.2">
      <c r="B46" s="134" t="s">
        <v>2297</v>
      </c>
      <c r="C46" s="135" t="s">
        <v>4222</v>
      </c>
      <c r="D46" s="134" t="s">
        <v>272</v>
      </c>
      <c r="E46" s="135" t="s">
        <v>226</v>
      </c>
      <c r="F46" s="118">
        <v>49.515999899999997</v>
      </c>
      <c r="G46" s="118">
        <v>-114.0275553</v>
      </c>
      <c r="H46" s="22" t="s">
        <v>2228</v>
      </c>
      <c r="I46" s="22" t="s">
        <v>2379</v>
      </c>
      <c r="J46" s="96" t="s">
        <v>3455</v>
      </c>
      <c r="K46" s="22" t="s">
        <v>2665</v>
      </c>
      <c r="L46" s="95">
        <v>138</v>
      </c>
      <c r="M46" s="64">
        <v>2001</v>
      </c>
      <c r="N46" s="64">
        <v>2021</v>
      </c>
      <c r="O46" s="99"/>
      <c r="P46" s="148" t="s">
        <v>116</v>
      </c>
      <c r="Q46" s="67" t="s">
        <v>2239</v>
      </c>
      <c r="R46" s="53">
        <v>39.6</v>
      </c>
      <c r="S46" s="219">
        <f>System!C$11</f>
        <v>0.09</v>
      </c>
      <c r="T46" s="245">
        <f t="shared" si="0"/>
        <v>3.5640000000000001</v>
      </c>
      <c r="U46" s="219">
        <f>System!D$11</f>
        <v>0.33</v>
      </c>
      <c r="V46" s="247">
        <f t="shared" si="1"/>
        <v>114.47568000000003</v>
      </c>
      <c r="W46" s="122"/>
      <c r="X46" s="68"/>
      <c r="Y46" s="11"/>
      <c r="Z46" s="107"/>
    </row>
    <row r="47" spans="2:26" s="6" customFormat="1" ht="20" x14ac:dyDescent="0.2">
      <c r="B47" s="134" t="s">
        <v>2327</v>
      </c>
      <c r="C47" s="135" t="s">
        <v>2524</v>
      </c>
      <c r="D47" s="134" t="s">
        <v>257</v>
      </c>
      <c r="E47" s="135" t="s">
        <v>226</v>
      </c>
      <c r="F47" s="118">
        <v>49.556113699999997</v>
      </c>
      <c r="G47" s="118">
        <v>-113.9629544</v>
      </c>
      <c r="H47" s="22" t="s">
        <v>2228</v>
      </c>
      <c r="I47" s="22" t="s">
        <v>2379</v>
      </c>
      <c r="J47" s="96" t="s">
        <v>3456</v>
      </c>
      <c r="K47" s="22" t="s">
        <v>2666</v>
      </c>
      <c r="L47" s="95">
        <v>240</v>
      </c>
      <c r="M47" s="64">
        <v>2012</v>
      </c>
      <c r="N47" s="64">
        <v>2032</v>
      </c>
      <c r="O47" s="132"/>
      <c r="P47" s="148" t="s">
        <v>116</v>
      </c>
      <c r="Q47" s="67" t="s">
        <v>2239</v>
      </c>
      <c r="R47" s="53">
        <v>77</v>
      </c>
      <c r="S47" s="219">
        <f>System!C$11</f>
        <v>0.09</v>
      </c>
      <c r="T47" s="245">
        <f t="shared" si="0"/>
        <v>6.93</v>
      </c>
      <c r="U47" s="219">
        <f>System!D$11</f>
        <v>0.33</v>
      </c>
      <c r="V47" s="247">
        <f t="shared" si="1"/>
        <v>222.5916</v>
      </c>
      <c r="W47" s="122"/>
      <c r="X47" s="68"/>
      <c r="Y47" s="11" t="s">
        <v>2329</v>
      </c>
      <c r="Z47" s="107"/>
    </row>
    <row r="48" spans="2:26" s="6" customFormat="1" ht="20" x14ac:dyDescent="0.2">
      <c r="B48" s="134" t="s">
        <v>2328</v>
      </c>
      <c r="C48" s="135" t="s">
        <v>2557</v>
      </c>
      <c r="D48" s="134" t="s">
        <v>257</v>
      </c>
      <c r="E48" s="135" t="s">
        <v>226</v>
      </c>
      <c r="F48" s="118">
        <v>49.556113699999997</v>
      </c>
      <c r="G48" s="118">
        <v>-113.9629544</v>
      </c>
      <c r="H48" s="22" t="s">
        <v>2228</v>
      </c>
      <c r="I48" s="22" t="s">
        <v>2379</v>
      </c>
      <c r="J48" s="96" t="s">
        <v>3456</v>
      </c>
      <c r="K48" s="22" t="s">
        <v>2666</v>
      </c>
      <c r="L48" s="95">
        <v>240</v>
      </c>
      <c r="M48" s="64">
        <v>2019</v>
      </c>
      <c r="N48" s="64">
        <v>2039</v>
      </c>
      <c r="O48" s="99"/>
      <c r="P48" s="148" t="s">
        <v>116</v>
      </c>
      <c r="Q48" s="67" t="s">
        <v>2239</v>
      </c>
      <c r="R48" s="53">
        <v>29</v>
      </c>
      <c r="S48" s="219">
        <f>System!C$11</f>
        <v>0.09</v>
      </c>
      <c r="T48" s="245">
        <f t="shared" si="0"/>
        <v>2.61</v>
      </c>
      <c r="U48" s="219">
        <f>System!D$11</f>
        <v>0.33</v>
      </c>
      <c r="V48" s="247">
        <f t="shared" si="1"/>
        <v>83.833199999999991</v>
      </c>
      <c r="W48" s="122"/>
      <c r="X48" s="68"/>
      <c r="Y48" s="11" t="s">
        <v>2329</v>
      </c>
      <c r="Z48" s="107"/>
    </row>
    <row r="49" spans="2:28" s="6" customFormat="1" ht="20" x14ac:dyDescent="0.2">
      <c r="B49" s="134" t="s">
        <v>218</v>
      </c>
      <c r="C49" s="135" t="s">
        <v>4063</v>
      </c>
      <c r="D49" s="134" t="s">
        <v>276</v>
      </c>
      <c r="E49" s="135" t="s">
        <v>275</v>
      </c>
      <c r="F49" s="118">
        <v>51.005600000000001</v>
      </c>
      <c r="G49" s="118">
        <v>-113.1716</v>
      </c>
      <c r="H49" s="22" t="s">
        <v>2228</v>
      </c>
      <c r="I49" s="22" t="s">
        <v>2379</v>
      </c>
      <c r="J49" s="96" t="s">
        <v>218</v>
      </c>
      <c r="K49" s="22" t="s">
        <v>2611</v>
      </c>
      <c r="L49" s="95">
        <v>144</v>
      </c>
      <c r="M49" s="64">
        <v>2001</v>
      </c>
      <c r="N49" s="93">
        <f>M49+30</f>
        <v>2031</v>
      </c>
      <c r="O49" s="131"/>
      <c r="P49" s="148" t="s">
        <v>333</v>
      </c>
      <c r="Q49" s="67" t="s">
        <v>2587</v>
      </c>
      <c r="R49" s="53">
        <v>120</v>
      </c>
      <c r="S49" s="242">
        <f>System!C$5</f>
        <v>0.94</v>
      </c>
      <c r="T49" s="243">
        <f t="shared" si="0"/>
        <v>112.8</v>
      </c>
      <c r="U49" s="219">
        <f>System!D$5</f>
        <v>0.6</v>
      </c>
      <c r="V49" s="247">
        <f t="shared" si="1"/>
        <v>630.72</v>
      </c>
      <c r="W49" s="122">
        <v>1</v>
      </c>
      <c r="X49" s="266"/>
      <c r="Y49" s="11"/>
      <c r="Z49" s="107"/>
    </row>
    <row r="50" spans="2:28" s="6" customFormat="1" ht="20" x14ac:dyDescent="0.2">
      <c r="B50" s="162" t="s">
        <v>2396</v>
      </c>
      <c r="C50" s="135" t="s">
        <v>4051</v>
      </c>
      <c r="D50" s="162" t="s">
        <v>367</v>
      </c>
      <c r="E50" s="229" t="s">
        <v>2396</v>
      </c>
      <c r="F50" s="127">
        <v>50.221113643185198</v>
      </c>
      <c r="G50" s="127">
        <v>-110.44612081463301</v>
      </c>
      <c r="H50" s="67" t="s">
        <v>2228</v>
      </c>
      <c r="I50" s="22" t="s">
        <v>2379</v>
      </c>
      <c r="J50" s="96" t="s">
        <v>3459</v>
      </c>
      <c r="K50" s="22" t="s">
        <v>2612</v>
      </c>
      <c r="L50" s="95">
        <v>138</v>
      </c>
      <c r="M50" s="228">
        <v>2022</v>
      </c>
      <c r="N50" s="228">
        <v>2042</v>
      </c>
      <c r="O50" s="99"/>
      <c r="P50" s="229" t="s">
        <v>334</v>
      </c>
      <c r="Q50" s="67" t="s">
        <v>2240</v>
      </c>
      <c r="R50" s="182">
        <v>15</v>
      </c>
      <c r="S50" s="219">
        <f>System!C$12</f>
        <v>0</v>
      </c>
      <c r="T50" s="245">
        <f t="shared" si="0"/>
        <v>0</v>
      </c>
      <c r="U50" s="219">
        <f>System!D$12</f>
        <v>0.18</v>
      </c>
      <c r="V50" s="247">
        <f t="shared" si="1"/>
        <v>23.652000000000001</v>
      </c>
      <c r="W50" s="122"/>
      <c r="X50" s="68"/>
      <c r="Y50" s="79" t="s">
        <v>2397</v>
      </c>
      <c r="Z50" s="120"/>
    </row>
    <row r="51" spans="2:28" s="6" customFormat="1" ht="20" x14ac:dyDescent="0.2">
      <c r="B51" s="134" t="s">
        <v>2411</v>
      </c>
      <c r="C51" s="135" t="s">
        <v>4052</v>
      </c>
      <c r="D51" s="134" t="s">
        <v>142</v>
      </c>
      <c r="E51" s="135" t="s">
        <v>246</v>
      </c>
      <c r="F51" s="118">
        <v>49.675572699999996</v>
      </c>
      <c r="G51" s="118">
        <v>-112.34457260000001</v>
      </c>
      <c r="H51" s="22" t="s">
        <v>2228</v>
      </c>
      <c r="I51" s="22" t="s">
        <v>2379</v>
      </c>
      <c r="J51" s="96" t="s">
        <v>3468</v>
      </c>
      <c r="K51" s="22" t="s">
        <v>2667</v>
      </c>
      <c r="L51" s="95">
        <v>138</v>
      </c>
      <c r="M51" s="64">
        <v>1994</v>
      </c>
      <c r="N51" s="72">
        <v>2034</v>
      </c>
      <c r="O51" s="99"/>
      <c r="P51" s="148" t="s">
        <v>140</v>
      </c>
      <c r="Q51" s="67" t="s">
        <v>2238</v>
      </c>
      <c r="R51" s="53">
        <v>12</v>
      </c>
      <c r="S51" s="242">
        <f>System!C$10</f>
        <v>0.3</v>
      </c>
      <c r="T51" s="243">
        <f t="shared" si="0"/>
        <v>3.5999999999999996</v>
      </c>
      <c r="U51" s="242">
        <f>System!D$9</f>
        <v>0.24</v>
      </c>
      <c r="V51" s="248">
        <f t="shared" si="1"/>
        <v>25.228800000000003</v>
      </c>
      <c r="W51" s="122">
        <v>1</v>
      </c>
      <c r="X51" s="68"/>
      <c r="Y51" s="11"/>
      <c r="Z51" s="11"/>
    </row>
    <row r="52" spans="2:28" s="6" customFormat="1" ht="20" x14ac:dyDescent="0.2">
      <c r="B52" s="134" t="s">
        <v>4213</v>
      </c>
      <c r="C52" s="135" t="s">
        <v>4062</v>
      </c>
      <c r="D52" s="134" t="s">
        <v>261</v>
      </c>
      <c r="E52" s="135" t="s">
        <v>214</v>
      </c>
      <c r="F52" s="118">
        <v>49.693289</v>
      </c>
      <c r="G52" s="118">
        <v>-112.32920129999999</v>
      </c>
      <c r="H52" s="22" t="s">
        <v>2228</v>
      </c>
      <c r="I52" s="22" t="s">
        <v>2379</v>
      </c>
      <c r="J52" s="96" t="s">
        <v>3617</v>
      </c>
      <c r="K52" s="22" t="s">
        <v>2613</v>
      </c>
      <c r="L52" s="95">
        <v>138</v>
      </c>
      <c r="M52" s="64">
        <v>2004</v>
      </c>
      <c r="N52" s="64">
        <v>2024</v>
      </c>
      <c r="O52" s="99"/>
      <c r="P52" s="148" t="s">
        <v>116</v>
      </c>
      <c r="Q52" s="67" t="s">
        <v>2239</v>
      </c>
      <c r="R52" s="53">
        <v>30</v>
      </c>
      <c r="S52" s="219">
        <f>System!C$11</f>
        <v>0.09</v>
      </c>
      <c r="T52" s="245">
        <f t="shared" si="0"/>
        <v>2.6999999999999997</v>
      </c>
      <c r="U52" s="219">
        <f>System!D$11</f>
        <v>0.33</v>
      </c>
      <c r="V52" s="247">
        <f t="shared" si="1"/>
        <v>86.724000000000018</v>
      </c>
      <c r="W52" s="37"/>
      <c r="X52" s="266"/>
      <c r="Y52" s="11"/>
      <c r="Z52" s="107"/>
    </row>
    <row r="53" spans="2:28" s="6" customFormat="1" ht="20" x14ac:dyDescent="0.2">
      <c r="B53" s="134" t="s">
        <v>349</v>
      </c>
      <c r="C53" s="135" t="s">
        <v>4065</v>
      </c>
      <c r="D53" s="134" t="s">
        <v>411</v>
      </c>
      <c r="E53" s="135" t="s">
        <v>349</v>
      </c>
      <c r="F53" s="127">
        <v>55.562792000000002</v>
      </c>
      <c r="G53" s="127">
        <v>-110.913507</v>
      </c>
      <c r="H53" s="22" t="s">
        <v>2228</v>
      </c>
      <c r="I53" s="22" t="s">
        <v>2379</v>
      </c>
      <c r="J53" s="96" t="s">
        <v>3472</v>
      </c>
      <c r="K53" s="22" t="s">
        <v>2668</v>
      </c>
      <c r="L53" s="95">
        <v>240</v>
      </c>
      <c r="M53" s="228">
        <v>2000</v>
      </c>
      <c r="N53" s="93">
        <f>M53+30</f>
        <v>2030</v>
      </c>
      <c r="O53" s="99"/>
      <c r="P53" s="148" t="s">
        <v>332</v>
      </c>
      <c r="Q53" s="67" t="s">
        <v>2587</v>
      </c>
      <c r="R53" s="137">
        <v>100</v>
      </c>
      <c r="S53" s="242">
        <f>System!C$6</f>
        <v>0.94</v>
      </c>
      <c r="T53" s="243">
        <f t="shared" si="0"/>
        <v>94</v>
      </c>
      <c r="U53" s="219">
        <f>System!D$6</f>
        <v>0.3</v>
      </c>
      <c r="V53" s="247">
        <f t="shared" si="1"/>
        <v>262.8</v>
      </c>
      <c r="W53" s="37">
        <v>1</v>
      </c>
      <c r="X53" s="68"/>
      <c r="Y53" s="11" t="s">
        <v>4402</v>
      </c>
      <c r="Z53" s="79"/>
    </row>
    <row r="54" spans="2:28" s="6" customFormat="1" ht="20" x14ac:dyDescent="0.2">
      <c r="B54" s="162" t="s">
        <v>2269</v>
      </c>
      <c r="C54" s="135" t="s">
        <v>4053</v>
      </c>
      <c r="D54" s="162" t="s">
        <v>2270</v>
      </c>
      <c r="E54" s="229" t="s">
        <v>2273</v>
      </c>
      <c r="F54" s="127">
        <v>50.2556901004154</v>
      </c>
      <c r="G54" s="127">
        <v>-113.24236047633801</v>
      </c>
      <c r="H54" s="67" t="s">
        <v>2228</v>
      </c>
      <c r="I54" s="22" t="s">
        <v>2379</v>
      </c>
      <c r="J54" s="96" t="s">
        <v>3527</v>
      </c>
      <c r="K54" s="67" t="s">
        <v>2614</v>
      </c>
      <c r="L54" s="95">
        <v>138</v>
      </c>
      <c r="M54" s="228">
        <v>2022</v>
      </c>
      <c r="N54" s="228">
        <v>2042</v>
      </c>
      <c r="O54" s="99"/>
      <c r="P54" s="229" t="s">
        <v>334</v>
      </c>
      <c r="Q54" s="67" t="s">
        <v>2240</v>
      </c>
      <c r="R54" s="182">
        <v>132</v>
      </c>
      <c r="S54" s="219">
        <f>System!C$12</f>
        <v>0</v>
      </c>
      <c r="T54" s="245">
        <f t="shared" si="0"/>
        <v>0</v>
      </c>
      <c r="U54" s="219">
        <f>System!D$12</f>
        <v>0.18</v>
      </c>
      <c r="V54" s="247">
        <f t="shared" si="1"/>
        <v>208.13759999999999</v>
      </c>
      <c r="W54" s="122"/>
      <c r="X54" s="68"/>
      <c r="Y54" s="79" t="s">
        <v>2271</v>
      </c>
      <c r="Z54" s="120"/>
    </row>
    <row r="55" spans="2:28" s="6" customFormat="1" ht="20" x14ac:dyDescent="0.2">
      <c r="B55" s="134" t="s">
        <v>219</v>
      </c>
      <c r="C55" s="135" t="s">
        <v>2519</v>
      </c>
      <c r="D55" s="134" t="s">
        <v>258</v>
      </c>
      <c r="E55" s="135" t="s">
        <v>247</v>
      </c>
      <c r="F55" s="118">
        <v>53.595620599999997</v>
      </c>
      <c r="G55" s="118">
        <v>-113.3321823</v>
      </c>
      <c r="H55" s="22" t="s">
        <v>2228</v>
      </c>
      <c r="I55" s="22" t="s">
        <v>2379</v>
      </c>
      <c r="J55" s="96" t="s">
        <v>3475</v>
      </c>
      <c r="K55" s="22" t="s">
        <v>2669</v>
      </c>
      <c r="L55" s="95">
        <v>240</v>
      </c>
      <c r="M55" s="64">
        <v>2008</v>
      </c>
      <c r="N55" s="93">
        <f>M55+30</f>
        <v>2038</v>
      </c>
      <c r="O55" s="99"/>
      <c r="P55" s="148" t="s">
        <v>311</v>
      </c>
      <c r="Q55" s="67" t="s">
        <v>2588</v>
      </c>
      <c r="R55" s="53">
        <v>48</v>
      </c>
      <c r="S55" s="242">
        <f>System!C$7</f>
        <v>0.94</v>
      </c>
      <c r="T55" s="243">
        <f t="shared" si="0"/>
        <v>45.12</v>
      </c>
      <c r="U55" s="219">
        <f>System!D$7</f>
        <v>0.3</v>
      </c>
      <c r="V55" s="247">
        <f t="shared" si="1"/>
        <v>126.14399999999999</v>
      </c>
      <c r="W55" s="122">
        <v>1</v>
      </c>
      <c r="X55" s="68"/>
      <c r="Y55" s="11"/>
      <c r="Z55" s="107"/>
    </row>
    <row r="56" spans="2:28" s="6" customFormat="1" ht="20" x14ac:dyDescent="0.2">
      <c r="B56" s="134" t="s">
        <v>220</v>
      </c>
      <c r="C56" s="135" t="s">
        <v>2552</v>
      </c>
      <c r="D56" s="134" t="s">
        <v>258</v>
      </c>
      <c r="E56" s="135" t="s">
        <v>247</v>
      </c>
      <c r="F56" s="118">
        <v>53.595620599999997</v>
      </c>
      <c r="G56" s="118">
        <v>-113.3321823</v>
      </c>
      <c r="H56" s="22" t="s">
        <v>2228</v>
      </c>
      <c r="I56" s="22" t="s">
        <v>2379</v>
      </c>
      <c r="J56" s="96" t="s">
        <v>3475</v>
      </c>
      <c r="K56" s="22" t="s">
        <v>2669</v>
      </c>
      <c r="L56" s="95">
        <v>240</v>
      </c>
      <c r="M56" s="64">
        <v>2008</v>
      </c>
      <c r="N56" s="93">
        <f>M56+30</f>
        <v>2038</v>
      </c>
      <c r="O56" s="99"/>
      <c r="P56" s="148" t="s">
        <v>311</v>
      </c>
      <c r="Q56" s="67" t="s">
        <v>2588</v>
      </c>
      <c r="R56" s="53">
        <v>101</v>
      </c>
      <c r="S56" s="242">
        <f>System!C$7</f>
        <v>0.94</v>
      </c>
      <c r="T56" s="243">
        <f t="shared" si="0"/>
        <v>94.94</v>
      </c>
      <c r="U56" s="219">
        <f>System!D$7</f>
        <v>0.3</v>
      </c>
      <c r="V56" s="247">
        <f t="shared" si="1"/>
        <v>265.428</v>
      </c>
      <c r="W56" s="122">
        <v>1</v>
      </c>
      <c r="X56" s="68"/>
      <c r="Y56" s="11"/>
      <c r="Z56" s="107"/>
    </row>
    <row r="57" spans="2:28" s="6" customFormat="1" ht="20" x14ac:dyDescent="0.2">
      <c r="B57" s="134" t="s">
        <v>221</v>
      </c>
      <c r="C57" s="135" t="s">
        <v>2570</v>
      </c>
      <c r="D57" s="134" t="s">
        <v>258</v>
      </c>
      <c r="E57" s="135" t="s">
        <v>247</v>
      </c>
      <c r="F57" s="118">
        <v>53.595620599999997</v>
      </c>
      <c r="G57" s="118">
        <v>-113.3321823</v>
      </c>
      <c r="H57" s="22" t="s">
        <v>2228</v>
      </c>
      <c r="I57" s="22" t="s">
        <v>2379</v>
      </c>
      <c r="J57" s="96" t="s">
        <v>3475</v>
      </c>
      <c r="K57" s="22" t="s">
        <v>2669</v>
      </c>
      <c r="L57" s="95">
        <v>240</v>
      </c>
      <c r="M57" s="64">
        <v>2010</v>
      </c>
      <c r="N57" s="93">
        <f>M57+30</f>
        <v>2040</v>
      </c>
      <c r="O57" s="99"/>
      <c r="P57" s="148" t="s">
        <v>311</v>
      </c>
      <c r="Q57" s="67" t="s">
        <v>2588</v>
      </c>
      <c r="R57" s="53">
        <v>101</v>
      </c>
      <c r="S57" s="242">
        <f>System!C$7</f>
        <v>0.94</v>
      </c>
      <c r="T57" s="243">
        <f t="shared" si="0"/>
        <v>94.94</v>
      </c>
      <c r="U57" s="219">
        <f>System!D$7</f>
        <v>0.3</v>
      </c>
      <c r="V57" s="247">
        <f t="shared" si="1"/>
        <v>265.428</v>
      </c>
      <c r="W57" s="37">
        <v>1</v>
      </c>
      <c r="X57" s="68"/>
      <c r="Y57" s="11"/>
      <c r="Z57" s="11"/>
    </row>
    <row r="58" spans="2:28" s="61" customFormat="1" ht="20" x14ac:dyDescent="0.2">
      <c r="B58" s="134" t="s">
        <v>357</v>
      </c>
      <c r="C58" s="135" t="s">
        <v>4054</v>
      </c>
      <c r="D58" s="134" t="s">
        <v>358</v>
      </c>
      <c r="E58" s="135" t="s">
        <v>2359</v>
      </c>
      <c r="F58" s="118">
        <v>49.736168902780797</v>
      </c>
      <c r="G58" s="118">
        <v>-112.562196244354</v>
      </c>
      <c r="H58" s="22" t="s">
        <v>2228</v>
      </c>
      <c r="I58" s="22" t="s">
        <v>2379</v>
      </c>
      <c r="J58" s="96" t="s">
        <v>3480</v>
      </c>
      <c r="K58" s="22" t="s">
        <v>2670</v>
      </c>
      <c r="L58" s="95">
        <v>138</v>
      </c>
      <c r="M58" s="64">
        <v>2019</v>
      </c>
      <c r="N58" s="93">
        <f>M58+30</f>
        <v>2049</v>
      </c>
      <c r="O58" s="131"/>
      <c r="P58" s="148" t="s">
        <v>332</v>
      </c>
      <c r="Q58" s="67" t="s">
        <v>2587</v>
      </c>
      <c r="R58" s="53">
        <v>5</v>
      </c>
      <c r="S58" s="242">
        <f>System!C$6</f>
        <v>0.94</v>
      </c>
      <c r="T58" s="243">
        <f t="shared" si="0"/>
        <v>4.6999999999999993</v>
      </c>
      <c r="U58" s="219">
        <f>System!D$6</f>
        <v>0.3</v>
      </c>
      <c r="V58" s="247">
        <f t="shared" si="1"/>
        <v>13.14</v>
      </c>
      <c r="W58" s="122">
        <v>1</v>
      </c>
      <c r="X58" s="68"/>
      <c r="Y58" s="11"/>
      <c r="Z58" s="58"/>
    </row>
    <row r="59" spans="2:28" s="6" customFormat="1" ht="20" x14ac:dyDescent="0.2">
      <c r="B59" s="134" t="s">
        <v>2293</v>
      </c>
      <c r="C59" s="135" t="s">
        <v>4066</v>
      </c>
      <c r="D59" s="134" t="s">
        <v>272</v>
      </c>
      <c r="E59" s="135" t="s">
        <v>226</v>
      </c>
      <c r="F59" s="118">
        <v>49.561855399999999</v>
      </c>
      <c r="G59" s="118">
        <v>-114.10749939999999</v>
      </c>
      <c r="H59" s="22" t="s">
        <v>2228</v>
      </c>
      <c r="I59" s="22" t="s">
        <v>2379</v>
      </c>
      <c r="J59" s="96" t="s">
        <v>3776</v>
      </c>
      <c r="K59" s="205" t="s">
        <v>2615</v>
      </c>
      <c r="L59" s="95">
        <v>138</v>
      </c>
      <c r="M59" s="64">
        <v>2001</v>
      </c>
      <c r="N59" s="64">
        <v>2021</v>
      </c>
      <c r="O59" s="132"/>
      <c r="P59" s="148" t="s">
        <v>116</v>
      </c>
      <c r="Q59" s="67" t="s">
        <v>2239</v>
      </c>
      <c r="R59" s="53">
        <v>21.4</v>
      </c>
      <c r="S59" s="219">
        <f>System!C$11</f>
        <v>0.09</v>
      </c>
      <c r="T59" s="245">
        <f t="shared" si="0"/>
        <v>1.9259999999999997</v>
      </c>
      <c r="U59" s="219">
        <f>System!D$11</f>
        <v>0.33</v>
      </c>
      <c r="V59" s="247">
        <f t="shared" si="1"/>
        <v>61.863120000000002</v>
      </c>
      <c r="W59" s="122"/>
      <c r="X59" s="68"/>
      <c r="Y59" s="11"/>
      <c r="Z59" s="11"/>
    </row>
    <row r="60" spans="2:28" s="6" customFormat="1" ht="20" x14ac:dyDescent="0.2">
      <c r="B60" s="134" t="s">
        <v>416</v>
      </c>
      <c r="C60" s="135" t="s">
        <v>2520</v>
      </c>
      <c r="D60" s="134" t="s">
        <v>283</v>
      </c>
      <c r="E60" s="135" t="s">
        <v>284</v>
      </c>
      <c r="F60" s="118">
        <v>51.397199999999998</v>
      </c>
      <c r="G60" s="118">
        <v>-114.0147</v>
      </c>
      <c r="H60" s="22" t="s">
        <v>2228</v>
      </c>
      <c r="I60" s="22" t="s">
        <v>2379</v>
      </c>
      <c r="J60" s="96" t="s">
        <v>3860</v>
      </c>
      <c r="K60" s="22" t="s">
        <v>2616</v>
      </c>
      <c r="L60" s="95">
        <v>138</v>
      </c>
      <c r="M60" s="64">
        <v>2010</v>
      </c>
      <c r="N60" s="93">
        <f>M60+30</f>
        <v>2040</v>
      </c>
      <c r="O60" s="99"/>
      <c r="P60" s="148" t="s">
        <v>311</v>
      </c>
      <c r="Q60" s="67" t="s">
        <v>2588</v>
      </c>
      <c r="R60" s="53">
        <v>48</v>
      </c>
      <c r="S60" s="242">
        <f>System!C$7</f>
        <v>0.94</v>
      </c>
      <c r="T60" s="243">
        <f t="shared" si="0"/>
        <v>45.12</v>
      </c>
      <c r="U60" s="219">
        <f>System!D$7</f>
        <v>0.3</v>
      </c>
      <c r="V60" s="247">
        <f t="shared" si="1"/>
        <v>126.14399999999999</v>
      </c>
      <c r="W60" s="37">
        <v>1</v>
      </c>
      <c r="X60" s="266"/>
      <c r="Y60" s="11"/>
      <c r="Z60" s="107"/>
    </row>
    <row r="61" spans="2:28" s="6" customFormat="1" ht="20" x14ac:dyDescent="0.2">
      <c r="B61" s="134" t="s">
        <v>417</v>
      </c>
      <c r="C61" s="135" t="s">
        <v>2553</v>
      </c>
      <c r="D61" s="134" t="s">
        <v>283</v>
      </c>
      <c r="E61" s="135" t="s">
        <v>284</v>
      </c>
      <c r="F61" s="118">
        <v>51.397199999999998</v>
      </c>
      <c r="G61" s="118">
        <v>-114.0147</v>
      </c>
      <c r="H61" s="22" t="s">
        <v>2228</v>
      </c>
      <c r="I61" s="22" t="s">
        <v>2379</v>
      </c>
      <c r="J61" s="96" t="s">
        <v>3860</v>
      </c>
      <c r="K61" s="22" t="s">
        <v>2616</v>
      </c>
      <c r="L61" s="95">
        <v>138</v>
      </c>
      <c r="M61" s="64">
        <v>2010</v>
      </c>
      <c r="N61" s="93">
        <f>M61+30</f>
        <v>2040</v>
      </c>
      <c r="O61" s="99"/>
      <c r="P61" s="148" t="s">
        <v>311</v>
      </c>
      <c r="Q61" s="67" t="s">
        <v>2588</v>
      </c>
      <c r="R61" s="53">
        <v>48</v>
      </c>
      <c r="S61" s="242">
        <f>System!C$7</f>
        <v>0.94</v>
      </c>
      <c r="T61" s="243">
        <f t="shared" si="0"/>
        <v>45.12</v>
      </c>
      <c r="U61" s="219">
        <f>System!D$7</f>
        <v>0.3</v>
      </c>
      <c r="V61" s="247">
        <f t="shared" si="1"/>
        <v>126.14399999999999</v>
      </c>
      <c r="W61" s="122">
        <v>1</v>
      </c>
      <c r="X61" s="68"/>
      <c r="Y61" s="11"/>
      <c r="Z61" s="11"/>
      <c r="AB61" s="61"/>
    </row>
    <row r="62" spans="2:28" s="6" customFormat="1" ht="20" x14ac:dyDescent="0.2">
      <c r="B62" s="134" t="s">
        <v>418</v>
      </c>
      <c r="C62" s="135" t="s">
        <v>2571</v>
      </c>
      <c r="D62" s="134" t="s">
        <v>283</v>
      </c>
      <c r="E62" s="135" t="s">
        <v>284</v>
      </c>
      <c r="F62" s="118">
        <v>51.397199999999998</v>
      </c>
      <c r="G62" s="118">
        <v>-114.0147</v>
      </c>
      <c r="H62" s="22" t="s">
        <v>2228</v>
      </c>
      <c r="I62" s="22" t="s">
        <v>2379</v>
      </c>
      <c r="J62" s="96" t="s">
        <v>3860</v>
      </c>
      <c r="K62" s="22" t="s">
        <v>2616</v>
      </c>
      <c r="L62" s="95">
        <v>138</v>
      </c>
      <c r="M62" s="64">
        <v>2010</v>
      </c>
      <c r="N62" s="93">
        <f>M62+30</f>
        <v>2040</v>
      </c>
      <c r="O62" s="132"/>
      <c r="P62" s="148" t="s">
        <v>311</v>
      </c>
      <c r="Q62" s="67" t="s">
        <v>2588</v>
      </c>
      <c r="R62" s="53">
        <v>48</v>
      </c>
      <c r="S62" s="242">
        <f>System!C$7</f>
        <v>0.94</v>
      </c>
      <c r="T62" s="243">
        <f t="shared" si="0"/>
        <v>45.12</v>
      </c>
      <c r="U62" s="219">
        <f>System!D$7</f>
        <v>0.3</v>
      </c>
      <c r="V62" s="247">
        <f t="shared" si="1"/>
        <v>126.14399999999999</v>
      </c>
      <c r="W62" s="122">
        <v>1</v>
      </c>
      <c r="X62" s="68"/>
      <c r="Y62" s="11"/>
      <c r="Z62" s="11"/>
    </row>
    <row r="63" spans="2:28" s="6" customFormat="1" ht="20" x14ac:dyDescent="0.2">
      <c r="B63" s="134" t="s">
        <v>419</v>
      </c>
      <c r="C63" s="135" t="s">
        <v>4055</v>
      </c>
      <c r="D63" s="134" t="s">
        <v>228</v>
      </c>
      <c r="E63" s="135" t="s">
        <v>227</v>
      </c>
      <c r="F63" s="118">
        <v>56.371079999999999</v>
      </c>
      <c r="G63" s="118">
        <v>-117.18558</v>
      </c>
      <c r="H63" s="22" t="s">
        <v>2228</v>
      </c>
      <c r="I63" s="22" t="s">
        <v>2379</v>
      </c>
      <c r="J63" s="96" t="s">
        <v>3502</v>
      </c>
      <c r="K63" s="22" t="s">
        <v>2671</v>
      </c>
      <c r="L63" s="95">
        <v>144</v>
      </c>
      <c r="M63" s="64">
        <v>2011</v>
      </c>
      <c r="N63" s="93">
        <f>M63+30</f>
        <v>2041</v>
      </c>
      <c r="O63" s="99"/>
      <c r="P63" s="148" t="s">
        <v>455</v>
      </c>
      <c r="Q63" s="67" t="s">
        <v>2586</v>
      </c>
      <c r="R63" s="53">
        <v>25.1</v>
      </c>
      <c r="S63" s="242">
        <f>System!C$8</f>
        <v>0.97</v>
      </c>
      <c r="T63" s="243">
        <f t="shared" si="0"/>
        <v>24.347000000000001</v>
      </c>
      <c r="U63" s="246">
        <f>System!D$8</f>
        <v>0.55000000000000004</v>
      </c>
      <c r="V63" s="235">
        <f t="shared" si="1"/>
        <v>120.93180000000002</v>
      </c>
      <c r="W63" s="37">
        <v>1</v>
      </c>
      <c r="X63" s="68"/>
      <c r="Y63" s="11"/>
      <c r="Z63" s="11"/>
    </row>
    <row r="64" spans="2:28" s="6" customFormat="1" ht="20" x14ac:dyDescent="0.2">
      <c r="B64" s="162" t="s">
        <v>2286</v>
      </c>
      <c r="C64" s="135" t="s">
        <v>4056</v>
      </c>
      <c r="D64" s="162" t="s">
        <v>2283</v>
      </c>
      <c r="E64" s="229" t="s">
        <v>239</v>
      </c>
      <c r="F64" s="127">
        <v>50.948720183280699</v>
      </c>
      <c r="G64" s="127">
        <v>-113.96113418828099</v>
      </c>
      <c r="H64" s="67" t="s">
        <v>2228</v>
      </c>
      <c r="I64" s="22" t="s">
        <v>2379</v>
      </c>
      <c r="J64" s="96" t="s">
        <v>1803</v>
      </c>
      <c r="K64" s="67" t="s">
        <v>2599</v>
      </c>
      <c r="L64" s="95">
        <v>144</v>
      </c>
      <c r="M64" s="228">
        <v>2022</v>
      </c>
      <c r="N64" s="228">
        <v>2042</v>
      </c>
      <c r="O64" s="99"/>
      <c r="P64" s="229" t="s">
        <v>334</v>
      </c>
      <c r="Q64" s="67" t="s">
        <v>2240</v>
      </c>
      <c r="R64" s="182">
        <v>35</v>
      </c>
      <c r="S64" s="219">
        <f>System!C$12</f>
        <v>0</v>
      </c>
      <c r="T64" s="245">
        <f t="shared" si="0"/>
        <v>0</v>
      </c>
      <c r="U64" s="219">
        <f>System!D$12</f>
        <v>0.18</v>
      </c>
      <c r="V64" s="247">
        <f t="shared" si="1"/>
        <v>55.187999999999995</v>
      </c>
      <c r="W64" s="122"/>
      <c r="X64" s="68"/>
      <c r="Y64" s="79" t="s">
        <v>2285</v>
      </c>
      <c r="Z64" s="120"/>
    </row>
    <row r="65" spans="2:26" s="6" customFormat="1" ht="20" x14ac:dyDescent="0.2">
      <c r="B65" s="134" t="s">
        <v>373</v>
      </c>
      <c r="C65" s="135" t="s">
        <v>4223</v>
      </c>
      <c r="D65" s="134" t="s">
        <v>412</v>
      </c>
      <c r="E65" s="135" t="s">
        <v>413</v>
      </c>
      <c r="F65" s="127">
        <v>55.050243000000002</v>
      </c>
      <c r="G65" s="127">
        <v>-119.61700999999999</v>
      </c>
      <c r="H65" s="22" t="s">
        <v>2228</v>
      </c>
      <c r="I65" s="22" t="s">
        <v>2379</v>
      </c>
      <c r="J65" s="96" t="s">
        <v>3537</v>
      </c>
      <c r="K65" s="205" t="s">
        <v>2617</v>
      </c>
      <c r="L65" s="95">
        <v>144</v>
      </c>
      <c r="M65" s="228">
        <v>2001</v>
      </c>
      <c r="N65" s="93">
        <f>M65+30</f>
        <v>2031</v>
      </c>
      <c r="O65" s="99"/>
      <c r="P65" s="148" t="s">
        <v>311</v>
      </c>
      <c r="Q65" s="67" t="s">
        <v>2588</v>
      </c>
      <c r="R65" s="137">
        <v>21.3</v>
      </c>
      <c r="S65" s="242">
        <f>System!C$7</f>
        <v>0.94</v>
      </c>
      <c r="T65" s="243">
        <f t="shared" si="0"/>
        <v>20.021999999999998</v>
      </c>
      <c r="U65" s="219">
        <f>System!D$7</f>
        <v>0.3</v>
      </c>
      <c r="V65" s="247">
        <f t="shared" si="1"/>
        <v>55.976399999999991</v>
      </c>
      <c r="W65" s="37">
        <v>1</v>
      </c>
      <c r="X65" s="68"/>
      <c r="Y65" s="11" t="s">
        <v>4403</v>
      </c>
      <c r="Z65" s="79"/>
    </row>
    <row r="66" spans="2:26" s="6" customFormat="1" ht="20" x14ac:dyDescent="0.2">
      <c r="B66" s="134" t="s">
        <v>2412</v>
      </c>
      <c r="C66" s="135" t="s">
        <v>2506</v>
      </c>
      <c r="D66" s="134" t="s">
        <v>143</v>
      </c>
      <c r="E66" s="135" t="s">
        <v>248</v>
      </c>
      <c r="F66" s="118">
        <v>52.052730699999998</v>
      </c>
      <c r="G66" s="118">
        <v>-114.22290649999999</v>
      </c>
      <c r="H66" s="22" t="s">
        <v>2228</v>
      </c>
      <c r="I66" s="22" t="s">
        <v>2379</v>
      </c>
      <c r="J66" s="96" t="s">
        <v>3793</v>
      </c>
      <c r="K66" s="205" t="s">
        <v>2618</v>
      </c>
      <c r="L66" s="95">
        <v>240</v>
      </c>
      <c r="M66" s="64">
        <v>1992</v>
      </c>
      <c r="N66" s="72">
        <v>2034</v>
      </c>
      <c r="O66" s="99"/>
      <c r="P66" s="148" t="s">
        <v>140</v>
      </c>
      <c r="Q66" s="67" t="s">
        <v>2238</v>
      </c>
      <c r="R66" s="53">
        <v>5.6</v>
      </c>
      <c r="S66" s="242">
        <f>System!C$10</f>
        <v>0.3</v>
      </c>
      <c r="T66" s="243">
        <f t="shared" si="0"/>
        <v>1.68</v>
      </c>
      <c r="U66" s="242">
        <f>System!D$9</f>
        <v>0.24</v>
      </c>
      <c r="V66" s="248">
        <f t="shared" si="1"/>
        <v>11.773440000000001</v>
      </c>
      <c r="W66" s="122">
        <v>3</v>
      </c>
      <c r="X66" s="68"/>
      <c r="Y66" s="11"/>
      <c r="Z66" s="11"/>
    </row>
    <row r="67" spans="2:26" s="61" customFormat="1" ht="20" x14ac:dyDescent="0.2">
      <c r="B67" s="134" t="s">
        <v>2413</v>
      </c>
      <c r="C67" s="135" t="s">
        <v>2538</v>
      </c>
      <c r="D67" s="134" t="s">
        <v>143</v>
      </c>
      <c r="E67" s="135" t="s">
        <v>248</v>
      </c>
      <c r="F67" s="117">
        <v>52.052730699999998</v>
      </c>
      <c r="G67" s="117">
        <v>-114.22290649999999</v>
      </c>
      <c r="H67" s="22" t="s">
        <v>2228</v>
      </c>
      <c r="I67" s="22" t="s">
        <v>2379</v>
      </c>
      <c r="J67" s="96" t="s">
        <v>3793</v>
      </c>
      <c r="K67" s="205" t="s">
        <v>2618</v>
      </c>
      <c r="L67" s="95">
        <v>240</v>
      </c>
      <c r="M67" s="64">
        <v>1992</v>
      </c>
      <c r="N67" s="72">
        <v>2034</v>
      </c>
      <c r="O67" s="99"/>
      <c r="P67" s="148" t="s">
        <v>140</v>
      </c>
      <c r="Q67" s="67" t="s">
        <v>2238</v>
      </c>
      <c r="R67" s="53">
        <v>5.6</v>
      </c>
      <c r="S67" s="242">
        <f>System!C$10</f>
        <v>0.3</v>
      </c>
      <c r="T67" s="243">
        <f t="shared" si="0"/>
        <v>1.68</v>
      </c>
      <c r="U67" s="242">
        <f>System!D$9</f>
        <v>0.24</v>
      </c>
      <c r="V67" s="248">
        <f t="shared" si="1"/>
        <v>11.773440000000001</v>
      </c>
      <c r="W67" s="122">
        <v>3</v>
      </c>
      <c r="X67" s="68"/>
      <c r="Y67" s="11"/>
      <c r="Z67" s="11"/>
    </row>
    <row r="68" spans="2:26" s="6" customFormat="1" ht="20" x14ac:dyDescent="0.2">
      <c r="B68" s="134" t="s">
        <v>2414</v>
      </c>
      <c r="C68" s="135" t="s">
        <v>2564</v>
      </c>
      <c r="D68" s="134" t="s">
        <v>143</v>
      </c>
      <c r="E68" s="135" t="s">
        <v>248</v>
      </c>
      <c r="F68" s="118">
        <v>52.052730699999998</v>
      </c>
      <c r="G68" s="118">
        <v>-114.22290649999999</v>
      </c>
      <c r="H68" s="22" t="s">
        <v>2228</v>
      </c>
      <c r="I68" s="22" t="s">
        <v>2379</v>
      </c>
      <c r="J68" s="96" t="s">
        <v>3793</v>
      </c>
      <c r="K68" s="205" t="s">
        <v>2618</v>
      </c>
      <c r="L68" s="95">
        <v>240</v>
      </c>
      <c r="M68" s="64">
        <v>1992</v>
      </c>
      <c r="N68" s="72">
        <v>2034</v>
      </c>
      <c r="O68" s="99"/>
      <c r="P68" s="148" t="s">
        <v>140</v>
      </c>
      <c r="Q68" s="67" t="s">
        <v>2238</v>
      </c>
      <c r="R68" s="53">
        <v>5.6</v>
      </c>
      <c r="S68" s="242">
        <f>System!C$10</f>
        <v>0.3</v>
      </c>
      <c r="T68" s="243">
        <f t="shared" ref="T68:T131" si="3">R68*S68</f>
        <v>1.68</v>
      </c>
      <c r="U68" s="242">
        <f>System!D$9</f>
        <v>0.24</v>
      </c>
      <c r="V68" s="248">
        <f t="shared" ref="V68:V131" si="4">U68*R68*24*365/1000</f>
        <v>11.773440000000001</v>
      </c>
      <c r="W68" s="37">
        <v>3</v>
      </c>
      <c r="X68" s="68"/>
      <c r="Y68" s="11"/>
      <c r="Z68" s="11"/>
    </row>
    <row r="69" spans="2:26" s="6" customFormat="1" ht="20" x14ac:dyDescent="0.2">
      <c r="B69" s="134" t="s">
        <v>420</v>
      </c>
      <c r="C69" s="135" t="s">
        <v>2514</v>
      </c>
      <c r="D69" s="134" t="s">
        <v>285</v>
      </c>
      <c r="E69" s="135" t="s">
        <v>286</v>
      </c>
      <c r="F69" s="127">
        <v>53.734031000000002</v>
      </c>
      <c r="G69" s="127">
        <v>-113.17142800000001</v>
      </c>
      <c r="H69" s="22" t="s">
        <v>2228</v>
      </c>
      <c r="I69" s="67" t="s">
        <v>2379</v>
      </c>
      <c r="J69" s="96" t="s">
        <v>3513</v>
      </c>
      <c r="K69" s="22" t="s">
        <v>3251</v>
      </c>
      <c r="L69" s="95">
        <v>144</v>
      </c>
      <c r="M69" s="64">
        <v>1999</v>
      </c>
      <c r="N69" s="93">
        <f>M69+30</f>
        <v>2029</v>
      </c>
      <c r="O69" s="99"/>
      <c r="P69" s="148" t="s">
        <v>332</v>
      </c>
      <c r="Q69" s="67" t="s">
        <v>2587</v>
      </c>
      <c r="R69" s="53">
        <v>110</v>
      </c>
      <c r="S69" s="242">
        <f>System!C$6</f>
        <v>0.94</v>
      </c>
      <c r="T69" s="243">
        <f t="shared" si="3"/>
        <v>103.39999999999999</v>
      </c>
      <c r="U69" s="219">
        <f>System!D$6</f>
        <v>0.3</v>
      </c>
      <c r="V69" s="247">
        <f t="shared" si="4"/>
        <v>289.08</v>
      </c>
      <c r="W69" s="122">
        <v>3</v>
      </c>
      <c r="X69" s="68"/>
      <c r="Y69" s="11"/>
      <c r="Z69" s="107"/>
    </row>
    <row r="70" spans="2:26" s="6" customFormat="1" ht="20" x14ac:dyDescent="0.2">
      <c r="B70" s="134" t="s">
        <v>421</v>
      </c>
      <c r="C70" s="135" t="s">
        <v>2547</v>
      </c>
      <c r="D70" s="134" t="s">
        <v>285</v>
      </c>
      <c r="E70" s="135" t="s">
        <v>286</v>
      </c>
      <c r="F70" s="127">
        <v>53.734031000000002</v>
      </c>
      <c r="G70" s="127">
        <v>-113.17142800000001</v>
      </c>
      <c r="H70" s="22" t="s">
        <v>2228</v>
      </c>
      <c r="I70" s="67" t="s">
        <v>2379</v>
      </c>
      <c r="J70" s="96" t="s">
        <v>3513</v>
      </c>
      <c r="K70" s="22" t="s">
        <v>3251</v>
      </c>
      <c r="L70" s="95">
        <v>144</v>
      </c>
      <c r="M70" s="64">
        <v>1999</v>
      </c>
      <c r="N70" s="93">
        <f>M70+30</f>
        <v>2029</v>
      </c>
      <c r="O70" s="99"/>
      <c r="P70" s="148" t="s">
        <v>332</v>
      </c>
      <c r="Q70" s="67" t="s">
        <v>2587</v>
      </c>
      <c r="R70" s="53">
        <v>110</v>
      </c>
      <c r="S70" s="242">
        <f>System!C$6</f>
        <v>0.94</v>
      </c>
      <c r="T70" s="243">
        <f t="shared" si="3"/>
        <v>103.39999999999999</v>
      </c>
      <c r="U70" s="219">
        <f>System!D$6</f>
        <v>0.3</v>
      </c>
      <c r="V70" s="247">
        <f t="shared" si="4"/>
        <v>289.08</v>
      </c>
      <c r="W70" s="122">
        <v>3</v>
      </c>
      <c r="X70" s="68"/>
      <c r="Y70" s="11"/>
      <c r="Z70" s="11"/>
    </row>
    <row r="71" spans="2:26" s="6" customFormat="1" ht="20" x14ac:dyDescent="0.2">
      <c r="B71" s="134" t="s">
        <v>422</v>
      </c>
      <c r="C71" s="135" t="s">
        <v>2569</v>
      </c>
      <c r="D71" s="134" t="s">
        <v>272</v>
      </c>
      <c r="E71" s="135" t="s">
        <v>286</v>
      </c>
      <c r="F71" s="127">
        <v>53.734031000000002</v>
      </c>
      <c r="G71" s="127">
        <v>-113.17142800000001</v>
      </c>
      <c r="H71" s="22" t="s">
        <v>2228</v>
      </c>
      <c r="I71" s="67" t="s">
        <v>2379</v>
      </c>
      <c r="J71" s="96" t="s">
        <v>3513</v>
      </c>
      <c r="K71" s="22" t="s">
        <v>3251</v>
      </c>
      <c r="L71" s="95">
        <v>144</v>
      </c>
      <c r="M71" s="64">
        <v>1999</v>
      </c>
      <c r="N71" s="93">
        <f>M71+30</f>
        <v>2029</v>
      </c>
      <c r="O71" s="131"/>
      <c r="P71" s="148" t="s">
        <v>332</v>
      </c>
      <c r="Q71" s="67" t="s">
        <v>2587</v>
      </c>
      <c r="R71" s="53">
        <v>129.5</v>
      </c>
      <c r="S71" s="242">
        <f>System!C$6</f>
        <v>0.94</v>
      </c>
      <c r="T71" s="243">
        <f t="shared" si="3"/>
        <v>121.72999999999999</v>
      </c>
      <c r="U71" s="219">
        <f>System!D$6</f>
        <v>0.3</v>
      </c>
      <c r="V71" s="247">
        <f t="shared" si="4"/>
        <v>340.32600000000008</v>
      </c>
      <c r="W71" s="122">
        <v>3</v>
      </c>
      <c r="X71" s="68"/>
      <c r="Y71" s="11"/>
      <c r="Z71" s="11"/>
    </row>
    <row r="72" spans="2:26" s="6" customFormat="1" ht="20" x14ac:dyDescent="0.2">
      <c r="B72" s="162" t="s">
        <v>2287</v>
      </c>
      <c r="C72" s="135" t="s">
        <v>4057</v>
      </c>
      <c r="D72" s="162" t="s">
        <v>2288</v>
      </c>
      <c r="E72" s="229" t="s">
        <v>2287</v>
      </c>
      <c r="F72" s="127">
        <v>51.443850021357299</v>
      </c>
      <c r="G72" s="127">
        <v>-112.66742239692501</v>
      </c>
      <c r="H72" s="67" t="s">
        <v>2228</v>
      </c>
      <c r="I72" s="22" t="s">
        <v>2379</v>
      </c>
      <c r="J72" s="96" t="s">
        <v>3719</v>
      </c>
      <c r="K72" s="67" t="s">
        <v>2619</v>
      </c>
      <c r="L72" s="95">
        <v>144</v>
      </c>
      <c r="M72" s="228">
        <v>2022</v>
      </c>
      <c r="N72" s="228">
        <v>2042</v>
      </c>
      <c r="O72" s="99"/>
      <c r="P72" s="229" t="s">
        <v>334</v>
      </c>
      <c r="Q72" s="67" t="s">
        <v>2240</v>
      </c>
      <c r="R72" s="182">
        <v>14</v>
      </c>
      <c r="S72" s="219">
        <f>System!C$12</f>
        <v>0</v>
      </c>
      <c r="T72" s="245">
        <f t="shared" si="3"/>
        <v>0</v>
      </c>
      <c r="U72" s="219">
        <f>System!D$12</f>
        <v>0.18</v>
      </c>
      <c r="V72" s="247">
        <f t="shared" si="4"/>
        <v>22.075200000000002</v>
      </c>
      <c r="W72" s="122"/>
      <c r="X72" s="68"/>
      <c r="Y72" s="79"/>
      <c r="Z72" s="120"/>
    </row>
    <row r="73" spans="2:26" s="6" customFormat="1" ht="20" x14ac:dyDescent="0.2">
      <c r="B73" s="134" t="s">
        <v>371</v>
      </c>
      <c r="C73" s="135" t="s">
        <v>4058</v>
      </c>
      <c r="D73" s="134" t="s">
        <v>287</v>
      </c>
      <c r="E73" s="135" t="s">
        <v>240</v>
      </c>
      <c r="F73" s="127">
        <v>49.368299999999998</v>
      </c>
      <c r="G73" s="127">
        <v>-113.520467</v>
      </c>
      <c r="H73" s="22" t="s">
        <v>2228</v>
      </c>
      <c r="I73" s="22" t="s">
        <v>2379</v>
      </c>
      <c r="J73" s="96" t="s">
        <v>3584</v>
      </c>
      <c r="K73" s="22" t="s">
        <v>2620</v>
      </c>
      <c r="L73" s="95">
        <v>240</v>
      </c>
      <c r="M73" s="64">
        <v>1999</v>
      </c>
      <c r="N73" s="93">
        <v>2100</v>
      </c>
      <c r="O73" s="132"/>
      <c r="P73" s="148" t="s">
        <v>311</v>
      </c>
      <c r="Q73" s="67" t="s">
        <v>2588</v>
      </c>
      <c r="R73" s="53">
        <v>6</v>
      </c>
      <c r="S73" s="242">
        <f>System!C$7</f>
        <v>0.94</v>
      </c>
      <c r="T73" s="243">
        <f t="shared" si="3"/>
        <v>5.64</v>
      </c>
      <c r="U73" s="219">
        <f>System!D$7</f>
        <v>0.3</v>
      </c>
      <c r="V73" s="247">
        <f t="shared" si="4"/>
        <v>15.767999999999999</v>
      </c>
      <c r="W73" s="122">
        <v>1</v>
      </c>
      <c r="X73" s="68"/>
      <c r="Y73" s="11"/>
      <c r="Z73" s="107"/>
    </row>
    <row r="74" spans="2:26" s="6" customFormat="1" ht="20" x14ac:dyDescent="0.2">
      <c r="B74" s="162" t="s">
        <v>2394</v>
      </c>
      <c r="C74" s="135" t="s">
        <v>4059</v>
      </c>
      <c r="D74" s="162" t="s">
        <v>367</v>
      </c>
      <c r="E74" s="229" t="s">
        <v>275</v>
      </c>
      <c r="F74" s="127">
        <v>51.024129024108603</v>
      </c>
      <c r="G74" s="127">
        <v>-113.149093557093</v>
      </c>
      <c r="H74" s="67" t="s">
        <v>2228</v>
      </c>
      <c r="I74" s="22" t="s">
        <v>2379</v>
      </c>
      <c r="J74" s="96" t="s">
        <v>3737</v>
      </c>
      <c r="K74" s="22" t="s">
        <v>2621</v>
      </c>
      <c r="L74" s="95">
        <v>144</v>
      </c>
      <c r="M74" s="228">
        <v>2022</v>
      </c>
      <c r="N74" s="228">
        <v>2042</v>
      </c>
      <c r="O74" s="99"/>
      <c r="P74" s="229" t="s">
        <v>334</v>
      </c>
      <c r="Q74" s="67" t="s">
        <v>2240</v>
      </c>
      <c r="R74" s="182">
        <v>26</v>
      </c>
      <c r="S74" s="219">
        <f>System!C$12</f>
        <v>0</v>
      </c>
      <c r="T74" s="245">
        <f t="shared" si="3"/>
        <v>0</v>
      </c>
      <c r="U74" s="219">
        <f>System!D$12</f>
        <v>0.18</v>
      </c>
      <c r="V74" s="247">
        <f t="shared" si="4"/>
        <v>40.996799999999993</v>
      </c>
      <c r="W74" s="122"/>
      <c r="X74" s="68"/>
      <c r="Y74" s="79" t="s">
        <v>2395</v>
      </c>
      <c r="Z74" s="120"/>
    </row>
    <row r="75" spans="2:26" s="6" customFormat="1" ht="20" x14ac:dyDescent="0.2">
      <c r="B75" s="134" t="s">
        <v>415</v>
      </c>
      <c r="C75" s="135" t="s">
        <v>4067</v>
      </c>
      <c r="D75" s="134" t="s">
        <v>414</v>
      </c>
      <c r="E75" s="135" t="s">
        <v>415</v>
      </c>
      <c r="F75" s="127">
        <v>53.557743000000002</v>
      </c>
      <c r="G75" s="127">
        <v>-116.547405</v>
      </c>
      <c r="H75" s="22" t="s">
        <v>2228</v>
      </c>
      <c r="I75" s="22" t="s">
        <v>2379</v>
      </c>
      <c r="J75" s="96" t="s">
        <v>3532</v>
      </c>
      <c r="K75" s="205" t="s">
        <v>2672</v>
      </c>
      <c r="L75" s="95">
        <v>138</v>
      </c>
      <c r="M75" s="55">
        <v>2004</v>
      </c>
      <c r="N75" s="93">
        <f t="shared" ref="N75:N80" si="5">M75+30</f>
        <v>2034</v>
      </c>
      <c r="O75" s="126"/>
      <c r="P75" s="148" t="s">
        <v>332</v>
      </c>
      <c r="Q75" s="67" t="s">
        <v>2587</v>
      </c>
      <c r="R75" s="53">
        <v>18</v>
      </c>
      <c r="S75" s="242">
        <f>System!C$6</f>
        <v>0.94</v>
      </c>
      <c r="T75" s="243">
        <f t="shared" si="3"/>
        <v>16.919999999999998</v>
      </c>
      <c r="U75" s="219">
        <f>System!D$6</f>
        <v>0.3</v>
      </c>
      <c r="V75" s="247">
        <f t="shared" si="4"/>
        <v>47.304000000000002</v>
      </c>
      <c r="W75" s="192">
        <v>1</v>
      </c>
      <c r="X75" s="266"/>
      <c r="Y75" s="11"/>
      <c r="Z75" s="107"/>
    </row>
    <row r="76" spans="2:26" s="6" customFormat="1" ht="20" x14ac:dyDescent="0.2">
      <c r="B76" s="134" t="s">
        <v>4069</v>
      </c>
      <c r="C76" s="135" t="s">
        <v>4074</v>
      </c>
      <c r="D76" s="134" t="s">
        <v>306</v>
      </c>
      <c r="E76" s="135" t="s">
        <v>277</v>
      </c>
      <c r="F76" s="118">
        <v>57.241700000000002</v>
      </c>
      <c r="G76" s="118">
        <v>-110.85469999999999</v>
      </c>
      <c r="H76" s="22" t="s">
        <v>2228</v>
      </c>
      <c r="I76" s="22" t="s">
        <v>2379</v>
      </c>
      <c r="J76" s="96" t="s">
        <v>689</v>
      </c>
      <c r="K76" s="22" t="s">
        <v>3216</v>
      </c>
      <c r="L76" s="95">
        <v>144</v>
      </c>
      <c r="M76" s="64">
        <v>2011</v>
      </c>
      <c r="N76" s="93">
        <f t="shared" si="5"/>
        <v>2041</v>
      </c>
      <c r="O76" s="99"/>
      <c r="P76" s="148" t="s">
        <v>332</v>
      </c>
      <c r="Q76" s="67" t="s">
        <v>2587</v>
      </c>
      <c r="R76" s="53">
        <v>85</v>
      </c>
      <c r="S76" s="242">
        <f>System!C$6</f>
        <v>0.94</v>
      </c>
      <c r="T76" s="243">
        <f t="shared" si="3"/>
        <v>79.899999999999991</v>
      </c>
      <c r="U76" s="219">
        <f>System!D$6</f>
        <v>0.3</v>
      </c>
      <c r="V76" s="247">
        <f t="shared" si="4"/>
        <v>223.38</v>
      </c>
      <c r="W76" s="121">
        <v>2</v>
      </c>
      <c r="X76" s="68"/>
      <c r="Y76" s="11"/>
      <c r="Z76" s="11"/>
    </row>
    <row r="77" spans="2:26" s="6" customFormat="1" ht="20" x14ac:dyDescent="0.2">
      <c r="B77" s="134" t="s">
        <v>4070</v>
      </c>
      <c r="C77" s="135" t="s">
        <v>4075</v>
      </c>
      <c r="D77" s="134" t="s">
        <v>306</v>
      </c>
      <c r="E77" s="135" t="s">
        <v>277</v>
      </c>
      <c r="F77" s="118">
        <v>57.241700000000002</v>
      </c>
      <c r="G77" s="118">
        <v>-110.85469999999999</v>
      </c>
      <c r="H77" s="22" t="s">
        <v>2228</v>
      </c>
      <c r="I77" s="22" t="s">
        <v>2379</v>
      </c>
      <c r="J77" s="96" t="s">
        <v>689</v>
      </c>
      <c r="K77" s="22" t="s">
        <v>3216</v>
      </c>
      <c r="L77" s="95">
        <v>144</v>
      </c>
      <c r="M77" s="64">
        <v>2012</v>
      </c>
      <c r="N77" s="93">
        <f t="shared" si="5"/>
        <v>2042</v>
      </c>
      <c r="O77" s="99"/>
      <c r="P77" s="148" t="s">
        <v>332</v>
      </c>
      <c r="Q77" s="67" t="s">
        <v>2587</v>
      </c>
      <c r="R77" s="53">
        <v>85</v>
      </c>
      <c r="S77" s="242">
        <f>System!C$6</f>
        <v>0.94</v>
      </c>
      <c r="T77" s="243">
        <f t="shared" si="3"/>
        <v>79.899999999999991</v>
      </c>
      <c r="U77" s="219">
        <f>System!D$6</f>
        <v>0.3</v>
      </c>
      <c r="V77" s="247">
        <f t="shared" si="4"/>
        <v>223.38</v>
      </c>
      <c r="W77" s="121">
        <v>2</v>
      </c>
      <c r="X77" s="68"/>
      <c r="Y77" s="11"/>
      <c r="Z77" s="11"/>
    </row>
    <row r="78" spans="2:26" s="6" customFormat="1" ht="20" x14ac:dyDescent="0.2">
      <c r="B78" s="134" t="s">
        <v>4071</v>
      </c>
      <c r="C78" s="135" t="s">
        <v>4076</v>
      </c>
      <c r="D78" s="134" t="s">
        <v>306</v>
      </c>
      <c r="E78" s="135" t="s">
        <v>277</v>
      </c>
      <c r="F78" s="118">
        <v>57.241700000000002</v>
      </c>
      <c r="G78" s="118">
        <v>-110.8569</v>
      </c>
      <c r="H78" s="22" t="s">
        <v>2228</v>
      </c>
      <c r="I78" s="22" t="s">
        <v>2379</v>
      </c>
      <c r="J78" s="96" t="s">
        <v>689</v>
      </c>
      <c r="K78" s="205" t="s">
        <v>3216</v>
      </c>
      <c r="L78" s="95">
        <v>144</v>
      </c>
      <c r="M78" s="64">
        <v>2012</v>
      </c>
      <c r="N78" s="93">
        <f t="shared" si="5"/>
        <v>2042</v>
      </c>
      <c r="O78" s="99"/>
      <c r="P78" s="148" t="s">
        <v>332</v>
      </c>
      <c r="Q78" s="67" t="s">
        <v>2587</v>
      </c>
      <c r="R78" s="53">
        <v>90</v>
      </c>
      <c r="S78" s="242">
        <f>System!C$6</f>
        <v>0.94</v>
      </c>
      <c r="T78" s="243">
        <f t="shared" si="3"/>
        <v>84.6</v>
      </c>
      <c r="U78" s="219">
        <f>System!D$6</f>
        <v>0.3</v>
      </c>
      <c r="V78" s="247">
        <f t="shared" si="4"/>
        <v>236.52</v>
      </c>
      <c r="W78" s="122">
        <v>2</v>
      </c>
      <c r="X78" s="68"/>
      <c r="Y78" s="11"/>
      <c r="Z78" s="11"/>
    </row>
    <row r="79" spans="2:26" s="6" customFormat="1" ht="20" x14ac:dyDescent="0.2">
      <c r="B79" s="134" t="s">
        <v>4072</v>
      </c>
      <c r="C79" s="135" t="s">
        <v>4077</v>
      </c>
      <c r="D79" s="134" t="s">
        <v>306</v>
      </c>
      <c r="E79" s="135" t="s">
        <v>277</v>
      </c>
      <c r="F79" s="118">
        <v>57.241700000000002</v>
      </c>
      <c r="G79" s="118">
        <v>-110.8569</v>
      </c>
      <c r="H79" s="22" t="s">
        <v>2228</v>
      </c>
      <c r="I79" s="22" t="s">
        <v>2379</v>
      </c>
      <c r="J79" s="96" t="s">
        <v>689</v>
      </c>
      <c r="K79" s="205" t="s">
        <v>3216</v>
      </c>
      <c r="L79" s="95">
        <v>144</v>
      </c>
      <c r="M79" s="64">
        <v>2012</v>
      </c>
      <c r="N79" s="93">
        <f t="shared" si="5"/>
        <v>2042</v>
      </c>
      <c r="O79" s="132"/>
      <c r="P79" s="148" t="s">
        <v>332</v>
      </c>
      <c r="Q79" s="67" t="s">
        <v>2587</v>
      </c>
      <c r="R79" s="53">
        <v>89</v>
      </c>
      <c r="S79" s="242">
        <f>System!C$6</f>
        <v>0.94</v>
      </c>
      <c r="T79" s="243">
        <f t="shared" si="3"/>
        <v>83.66</v>
      </c>
      <c r="U79" s="219">
        <f>System!D$6</f>
        <v>0.3</v>
      </c>
      <c r="V79" s="247">
        <f t="shared" si="4"/>
        <v>233.89199999999997</v>
      </c>
      <c r="W79" s="122">
        <v>2</v>
      </c>
      <c r="X79" s="68"/>
      <c r="Y79" s="11"/>
      <c r="Z79" s="11"/>
    </row>
    <row r="80" spans="2:26" s="6" customFormat="1" ht="20" x14ac:dyDescent="0.2">
      <c r="B80" s="134" t="s">
        <v>4068</v>
      </c>
      <c r="C80" s="135" t="s">
        <v>4073</v>
      </c>
      <c r="D80" s="134" t="s">
        <v>306</v>
      </c>
      <c r="E80" s="135" t="s">
        <v>277</v>
      </c>
      <c r="F80" s="118">
        <v>57.235599999999998</v>
      </c>
      <c r="G80" s="118">
        <v>-110.85</v>
      </c>
      <c r="H80" s="22" t="s">
        <v>2228</v>
      </c>
      <c r="I80" s="22" t="s">
        <v>2379</v>
      </c>
      <c r="J80" s="96" t="s">
        <v>689</v>
      </c>
      <c r="K80" s="204" t="s">
        <v>3216</v>
      </c>
      <c r="L80" s="95">
        <v>144</v>
      </c>
      <c r="M80" s="64">
        <v>2007</v>
      </c>
      <c r="N80" s="93">
        <f t="shared" si="5"/>
        <v>2037</v>
      </c>
      <c r="O80" s="132"/>
      <c r="P80" s="148" t="s">
        <v>332</v>
      </c>
      <c r="Q80" s="67" t="s">
        <v>2587</v>
      </c>
      <c r="R80" s="53">
        <v>96</v>
      </c>
      <c r="S80" s="242">
        <f>System!C$6</f>
        <v>0.94</v>
      </c>
      <c r="T80" s="243">
        <f t="shared" si="3"/>
        <v>90.24</v>
      </c>
      <c r="U80" s="219">
        <f>System!D$6</f>
        <v>0.3</v>
      </c>
      <c r="V80" s="247">
        <f t="shared" si="4"/>
        <v>252.28799999999998</v>
      </c>
      <c r="W80" s="122">
        <v>1</v>
      </c>
      <c r="X80" s="68"/>
      <c r="Y80" s="11"/>
      <c r="Z80" s="11"/>
    </row>
    <row r="81" spans="2:26" s="6" customFormat="1" ht="20" x14ac:dyDescent="0.2">
      <c r="B81" s="134" t="s">
        <v>383</v>
      </c>
      <c r="C81" s="135" t="s">
        <v>4078</v>
      </c>
      <c r="D81" s="134" t="s">
        <v>306</v>
      </c>
      <c r="E81" s="135" t="s">
        <v>277</v>
      </c>
      <c r="F81" s="127">
        <v>57.395439000000003</v>
      </c>
      <c r="G81" s="127">
        <v>-111.571416</v>
      </c>
      <c r="H81" s="22" t="s">
        <v>2228</v>
      </c>
      <c r="I81" s="22" t="s">
        <v>2379</v>
      </c>
      <c r="J81" s="212" t="s">
        <v>3566</v>
      </c>
      <c r="K81" s="203" t="s">
        <v>2673</v>
      </c>
      <c r="L81" s="95">
        <v>240</v>
      </c>
      <c r="M81" s="228">
        <v>2018</v>
      </c>
      <c r="N81" s="228">
        <v>2068</v>
      </c>
      <c r="O81" s="132"/>
      <c r="P81" s="148" t="s">
        <v>332</v>
      </c>
      <c r="Q81" s="67" t="s">
        <v>2587</v>
      </c>
      <c r="R81" s="137">
        <v>199</v>
      </c>
      <c r="S81" s="242">
        <f>System!C$6</f>
        <v>0.94</v>
      </c>
      <c r="T81" s="243">
        <f t="shared" si="3"/>
        <v>187.06</v>
      </c>
      <c r="U81" s="219">
        <f>System!D$6</f>
        <v>0.3</v>
      </c>
      <c r="V81" s="247">
        <f t="shared" si="4"/>
        <v>522.97199999999998</v>
      </c>
      <c r="W81" s="122">
        <v>1</v>
      </c>
      <c r="X81" s="68"/>
      <c r="Y81" s="11" t="s">
        <v>4404</v>
      </c>
      <c r="Z81" s="79"/>
    </row>
    <row r="82" spans="2:26" s="6" customFormat="1" ht="20" x14ac:dyDescent="0.2">
      <c r="B82" s="162" t="s">
        <v>2302</v>
      </c>
      <c r="C82" s="135" t="s">
        <v>4079</v>
      </c>
      <c r="D82" s="162" t="s">
        <v>306</v>
      </c>
      <c r="E82" s="229" t="s">
        <v>2303</v>
      </c>
      <c r="F82" s="125">
        <v>49.6935884670863</v>
      </c>
      <c r="G82" s="125">
        <v>-111.13281578821299</v>
      </c>
      <c r="H82" s="22" t="s">
        <v>2228</v>
      </c>
      <c r="I82" s="22" t="s">
        <v>2379</v>
      </c>
      <c r="J82" s="96" t="s">
        <v>3934</v>
      </c>
      <c r="K82" s="22" t="s">
        <v>2622</v>
      </c>
      <c r="L82" s="95">
        <v>240</v>
      </c>
      <c r="M82" s="228">
        <v>2023</v>
      </c>
      <c r="N82" s="228">
        <v>2043</v>
      </c>
      <c r="O82" s="132"/>
      <c r="P82" s="229" t="s">
        <v>116</v>
      </c>
      <c r="Q82" s="67" t="s">
        <v>2239</v>
      </c>
      <c r="R82" s="182">
        <v>203</v>
      </c>
      <c r="S82" s="219">
        <f>System!C$11</f>
        <v>0.09</v>
      </c>
      <c r="T82" s="245">
        <f t="shared" si="3"/>
        <v>18.27</v>
      </c>
      <c r="U82" s="219">
        <f>System!D$11</f>
        <v>0.33</v>
      </c>
      <c r="V82" s="247">
        <f t="shared" si="4"/>
        <v>586.83240000000001</v>
      </c>
      <c r="W82" s="122"/>
      <c r="X82" s="68"/>
      <c r="Y82" s="11" t="s">
        <v>2304</v>
      </c>
      <c r="Z82" s="11"/>
    </row>
    <row r="83" spans="2:26" s="61" customFormat="1" ht="20" x14ac:dyDescent="0.2">
      <c r="B83" s="134" t="s">
        <v>4186</v>
      </c>
      <c r="C83" s="135" t="s">
        <v>2515</v>
      </c>
      <c r="D83" s="134" t="s">
        <v>411</v>
      </c>
      <c r="E83" s="135" t="s">
        <v>282</v>
      </c>
      <c r="F83" s="118">
        <v>55.067399999999999</v>
      </c>
      <c r="G83" s="118">
        <v>-110.536</v>
      </c>
      <c r="H83" s="22" t="s">
        <v>2228</v>
      </c>
      <c r="I83" s="22" t="s">
        <v>2379</v>
      </c>
      <c r="J83" s="96" t="s">
        <v>3569</v>
      </c>
      <c r="K83" s="205" t="s">
        <v>2674</v>
      </c>
      <c r="L83" s="95">
        <v>144</v>
      </c>
      <c r="M83" s="64">
        <v>2003</v>
      </c>
      <c r="N83" s="93">
        <f>M83+30</f>
        <v>2033</v>
      </c>
      <c r="O83" s="132"/>
      <c r="P83" s="148" t="s">
        <v>332</v>
      </c>
      <c r="Q83" s="67" t="s">
        <v>2587</v>
      </c>
      <c r="R83" s="53">
        <v>47</v>
      </c>
      <c r="S83" s="242">
        <f>System!C$6</f>
        <v>0.94</v>
      </c>
      <c r="T83" s="243">
        <f t="shared" si="3"/>
        <v>44.18</v>
      </c>
      <c r="U83" s="219">
        <f>System!D$6</f>
        <v>0.3</v>
      </c>
      <c r="V83" s="247">
        <f t="shared" si="4"/>
        <v>123.51599999999999</v>
      </c>
      <c r="W83" s="122">
        <v>2</v>
      </c>
      <c r="X83" s="68"/>
      <c r="Y83" s="11"/>
      <c r="Z83" s="11"/>
    </row>
    <row r="84" spans="2:26" s="6" customFormat="1" ht="20" x14ac:dyDescent="0.2">
      <c r="B84" s="134" t="s">
        <v>4187</v>
      </c>
      <c r="C84" s="135" t="s">
        <v>2548</v>
      </c>
      <c r="D84" s="134" t="s">
        <v>411</v>
      </c>
      <c r="E84" s="135" t="s">
        <v>282</v>
      </c>
      <c r="F84" s="118">
        <v>55.067399999999999</v>
      </c>
      <c r="G84" s="118">
        <v>-110.536</v>
      </c>
      <c r="H84" s="22" t="s">
        <v>2228</v>
      </c>
      <c r="I84" s="22" t="s">
        <v>2379</v>
      </c>
      <c r="J84" s="96" t="s">
        <v>3569</v>
      </c>
      <c r="K84" s="205" t="s">
        <v>2674</v>
      </c>
      <c r="L84" s="95">
        <v>144</v>
      </c>
      <c r="M84" s="64">
        <v>2003</v>
      </c>
      <c r="N84" s="93">
        <f>M84+30</f>
        <v>2033</v>
      </c>
      <c r="O84" s="132"/>
      <c r="P84" s="148" t="s">
        <v>332</v>
      </c>
      <c r="Q84" s="67" t="s">
        <v>2587</v>
      </c>
      <c r="R84" s="53">
        <v>47</v>
      </c>
      <c r="S84" s="242">
        <f>System!C$6</f>
        <v>0.94</v>
      </c>
      <c r="T84" s="243">
        <f t="shared" si="3"/>
        <v>44.18</v>
      </c>
      <c r="U84" s="219">
        <f>System!D$6</f>
        <v>0.3</v>
      </c>
      <c r="V84" s="247">
        <f t="shared" si="4"/>
        <v>123.51599999999999</v>
      </c>
      <c r="W84" s="122">
        <v>2</v>
      </c>
      <c r="X84" s="68"/>
      <c r="Y84" s="11"/>
      <c r="Z84" s="11"/>
    </row>
    <row r="85" spans="2:26" s="6" customFormat="1" ht="20" x14ac:dyDescent="0.2">
      <c r="B85" s="134" t="s">
        <v>4214</v>
      </c>
      <c r="C85" s="135" t="s">
        <v>2497</v>
      </c>
      <c r="D85" s="134" t="s">
        <v>290</v>
      </c>
      <c r="E85" s="135" t="s">
        <v>289</v>
      </c>
      <c r="F85" s="118">
        <v>53.3446</v>
      </c>
      <c r="G85" s="118">
        <v>-114.3049</v>
      </c>
      <c r="H85" s="22" t="s">
        <v>2228</v>
      </c>
      <c r="I85" s="22" t="s">
        <v>2379</v>
      </c>
      <c r="J85" s="96" t="s">
        <v>3654</v>
      </c>
      <c r="K85" s="205" t="s">
        <v>2688</v>
      </c>
      <c r="L85" s="95">
        <v>138</v>
      </c>
      <c r="M85" s="64">
        <v>1994</v>
      </c>
      <c r="N85" s="306">
        <v>2021</v>
      </c>
      <c r="O85" s="133"/>
      <c r="P85" s="148" t="s">
        <v>456</v>
      </c>
      <c r="Q85" s="67" t="s">
        <v>2237</v>
      </c>
      <c r="R85" s="53">
        <v>422</v>
      </c>
      <c r="S85" s="241">
        <f>System!C$4</f>
        <v>0.9</v>
      </c>
      <c r="T85" s="244">
        <f t="shared" si="3"/>
        <v>379.8</v>
      </c>
      <c r="U85" s="219">
        <f>System!D$4</f>
        <v>0.55000000000000004</v>
      </c>
      <c r="V85" s="247">
        <f t="shared" si="4"/>
        <v>2033.1960000000001</v>
      </c>
      <c r="W85" s="122">
        <v>3</v>
      </c>
      <c r="X85" s="68"/>
      <c r="Y85" s="11" t="s">
        <v>2241</v>
      </c>
      <c r="Z85" s="11"/>
    </row>
    <row r="86" spans="2:26" s="6" customFormat="1" ht="20" x14ac:dyDescent="0.2">
      <c r="B86" s="134" t="s">
        <v>4215</v>
      </c>
      <c r="C86" s="135" t="s">
        <v>2529</v>
      </c>
      <c r="D86" s="134" t="s">
        <v>290</v>
      </c>
      <c r="E86" s="135" t="s">
        <v>289</v>
      </c>
      <c r="F86" s="118">
        <v>53.3446</v>
      </c>
      <c r="G86" s="118">
        <v>-114.3049</v>
      </c>
      <c r="H86" s="22" t="s">
        <v>2228</v>
      </c>
      <c r="I86" s="22" t="s">
        <v>2379</v>
      </c>
      <c r="J86" s="96" t="s">
        <v>3654</v>
      </c>
      <c r="K86" s="22" t="s">
        <v>2688</v>
      </c>
      <c r="L86" s="95">
        <v>138</v>
      </c>
      <c r="M86" s="64">
        <v>1989</v>
      </c>
      <c r="N86" s="306">
        <v>2021</v>
      </c>
      <c r="O86" s="112"/>
      <c r="P86" s="148" t="s">
        <v>456</v>
      </c>
      <c r="Q86" s="67" t="s">
        <v>2237</v>
      </c>
      <c r="R86" s="53">
        <v>422</v>
      </c>
      <c r="S86" s="241">
        <f>System!C$4</f>
        <v>0.9</v>
      </c>
      <c r="T86" s="244">
        <f t="shared" si="3"/>
        <v>379.8</v>
      </c>
      <c r="U86" s="219">
        <f>System!D$4</f>
        <v>0.55000000000000004</v>
      </c>
      <c r="V86" s="247">
        <f t="shared" si="4"/>
        <v>2033.1960000000001</v>
      </c>
      <c r="W86" s="122">
        <v>3</v>
      </c>
      <c r="X86" s="68"/>
      <c r="Y86" s="11" t="s">
        <v>2241</v>
      </c>
      <c r="Z86" s="107"/>
    </row>
    <row r="87" spans="2:26" s="6" customFormat="1" ht="20" x14ac:dyDescent="0.2">
      <c r="B87" s="134" t="s">
        <v>4216</v>
      </c>
      <c r="C87" s="135" t="s">
        <v>2561</v>
      </c>
      <c r="D87" s="134" t="s">
        <v>290</v>
      </c>
      <c r="E87" s="135" t="s">
        <v>289</v>
      </c>
      <c r="F87" s="118">
        <v>53.3446</v>
      </c>
      <c r="G87" s="118">
        <v>-114.3049</v>
      </c>
      <c r="H87" s="22" t="s">
        <v>2228</v>
      </c>
      <c r="I87" s="22" t="s">
        <v>2379</v>
      </c>
      <c r="J87" s="96" t="s">
        <v>3654</v>
      </c>
      <c r="K87" s="22" t="s">
        <v>2688</v>
      </c>
      <c r="L87" s="95">
        <v>138</v>
      </c>
      <c r="M87" s="64">
        <v>2004</v>
      </c>
      <c r="N87" s="306">
        <v>2021</v>
      </c>
      <c r="O87" s="112"/>
      <c r="P87" s="148" t="s">
        <v>456</v>
      </c>
      <c r="Q87" s="67" t="s">
        <v>2237</v>
      </c>
      <c r="R87" s="53">
        <v>527</v>
      </c>
      <c r="S87" s="241">
        <f>System!C$4</f>
        <v>0.9</v>
      </c>
      <c r="T87" s="244">
        <f t="shared" si="3"/>
        <v>474.3</v>
      </c>
      <c r="U87" s="219">
        <f>System!D$4</f>
        <v>0.55000000000000004</v>
      </c>
      <c r="V87" s="247">
        <f t="shared" si="4"/>
        <v>2539.0859999999998</v>
      </c>
      <c r="W87" s="122">
        <v>3</v>
      </c>
      <c r="X87" s="266"/>
      <c r="Y87" s="11" t="s">
        <v>2241</v>
      </c>
      <c r="Z87" s="107"/>
    </row>
    <row r="88" spans="2:26" s="6" customFormat="1" ht="20" x14ac:dyDescent="0.2">
      <c r="B88" s="134" t="s">
        <v>4217</v>
      </c>
      <c r="C88" s="135" t="s">
        <v>2510</v>
      </c>
      <c r="D88" s="134" t="s">
        <v>290</v>
      </c>
      <c r="E88" s="135" t="s">
        <v>289</v>
      </c>
      <c r="F88" s="118">
        <v>53.3446</v>
      </c>
      <c r="G88" s="118">
        <v>-114.3049</v>
      </c>
      <c r="H88" s="22" t="s">
        <v>2228</v>
      </c>
      <c r="I88" s="22" t="s">
        <v>2379</v>
      </c>
      <c r="J88" s="96" t="s">
        <v>3654</v>
      </c>
      <c r="K88" s="22" t="s">
        <v>2688</v>
      </c>
      <c r="L88" s="95">
        <v>138</v>
      </c>
      <c r="M88" s="306">
        <v>2022</v>
      </c>
      <c r="N88" s="306">
        <v>2036</v>
      </c>
      <c r="O88" s="133"/>
      <c r="P88" s="229" t="s">
        <v>333</v>
      </c>
      <c r="Q88" s="67" t="s">
        <v>2587</v>
      </c>
      <c r="R88" s="53">
        <v>422</v>
      </c>
      <c r="S88" s="242">
        <f>System!C$5</f>
        <v>0.94</v>
      </c>
      <c r="T88" s="243">
        <f t="shared" si="3"/>
        <v>396.67999999999995</v>
      </c>
      <c r="U88" s="219">
        <f>System!D$5</f>
        <v>0.6</v>
      </c>
      <c r="V88" s="247">
        <f t="shared" si="4"/>
        <v>2218.0319999999997</v>
      </c>
      <c r="W88" s="122">
        <v>3</v>
      </c>
      <c r="X88" s="68"/>
      <c r="Y88" s="11" t="s">
        <v>2241</v>
      </c>
      <c r="Z88" s="11"/>
    </row>
    <row r="89" spans="2:26" s="61" customFormat="1" ht="20" x14ac:dyDescent="0.2">
      <c r="B89" s="134" t="s">
        <v>4218</v>
      </c>
      <c r="C89" s="135" t="s">
        <v>2542</v>
      </c>
      <c r="D89" s="134" t="s">
        <v>290</v>
      </c>
      <c r="E89" s="135" t="s">
        <v>289</v>
      </c>
      <c r="F89" s="118">
        <v>53.3446</v>
      </c>
      <c r="G89" s="118">
        <v>-114.3049</v>
      </c>
      <c r="H89" s="22" t="s">
        <v>2228</v>
      </c>
      <c r="I89" s="22" t="s">
        <v>2379</v>
      </c>
      <c r="J89" s="96" t="s">
        <v>3654</v>
      </c>
      <c r="K89" s="205" t="s">
        <v>2688</v>
      </c>
      <c r="L89" s="95">
        <v>138</v>
      </c>
      <c r="M89" s="306">
        <v>2022</v>
      </c>
      <c r="N89" s="306">
        <v>2036</v>
      </c>
      <c r="O89" s="112"/>
      <c r="P89" s="229" t="s">
        <v>333</v>
      </c>
      <c r="Q89" s="67" t="s">
        <v>2587</v>
      </c>
      <c r="R89" s="53">
        <v>422</v>
      </c>
      <c r="S89" s="242">
        <f>System!C$5</f>
        <v>0.94</v>
      </c>
      <c r="T89" s="243">
        <f t="shared" si="3"/>
        <v>396.67999999999995</v>
      </c>
      <c r="U89" s="219">
        <f>System!D$5</f>
        <v>0.6</v>
      </c>
      <c r="V89" s="247">
        <f t="shared" si="4"/>
        <v>2218.0319999999997</v>
      </c>
      <c r="W89" s="122">
        <v>3</v>
      </c>
      <c r="X89" s="68"/>
      <c r="Y89" s="11" t="s">
        <v>2241</v>
      </c>
      <c r="Z89" s="107"/>
    </row>
    <row r="90" spans="2:26" s="61" customFormat="1" ht="20" x14ac:dyDescent="0.2">
      <c r="B90" s="134" t="s">
        <v>4219</v>
      </c>
      <c r="C90" s="135" t="s">
        <v>2567</v>
      </c>
      <c r="D90" s="134" t="s">
        <v>290</v>
      </c>
      <c r="E90" s="135" t="s">
        <v>289</v>
      </c>
      <c r="F90" s="118">
        <v>53.3446</v>
      </c>
      <c r="G90" s="118">
        <v>-114.3049</v>
      </c>
      <c r="H90" s="22" t="s">
        <v>2228</v>
      </c>
      <c r="I90" s="22" t="s">
        <v>2379</v>
      </c>
      <c r="J90" s="96" t="s">
        <v>3654</v>
      </c>
      <c r="K90" s="205" t="s">
        <v>2688</v>
      </c>
      <c r="L90" s="95">
        <v>138</v>
      </c>
      <c r="M90" s="306">
        <v>2022</v>
      </c>
      <c r="N90" s="306">
        <v>2037</v>
      </c>
      <c r="O90" s="112"/>
      <c r="P90" s="229" t="s">
        <v>333</v>
      </c>
      <c r="Q90" s="67" t="s">
        <v>2587</v>
      </c>
      <c r="R90" s="53">
        <v>527</v>
      </c>
      <c r="S90" s="242">
        <f>System!C$5</f>
        <v>0.94</v>
      </c>
      <c r="T90" s="243">
        <f t="shared" si="3"/>
        <v>495.38</v>
      </c>
      <c r="U90" s="219">
        <f>System!D$5</f>
        <v>0.6</v>
      </c>
      <c r="V90" s="247">
        <f t="shared" si="4"/>
        <v>2769.9119999999994</v>
      </c>
      <c r="W90" s="122">
        <v>3</v>
      </c>
      <c r="X90" s="68"/>
      <c r="Y90" s="11" t="s">
        <v>2241</v>
      </c>
      <c r="Z90" s="11"/>
    </row>
    <row r="91" spans="2:26" s="6" customFormat="1" ht="20" x14ac:dyDescent="0.2">
      <c r="B91" s="134" t="s">
        <v>401</v>
      </c>
      <c r="C91" s="135" t="s">
        <v>4080</v>
      </c>
      <c r="D91" s="134" t="s">
        <v>259</v>
      </c>
      <c r="E91" s="135" t="s">
        <v>249</v>
      </c>
      <c r="F91" s="118">
        <v>51.8723478</v>
      </c>
      <c r="G91" s="118">
        <v>-113.31805199999999</v>
      </c>
      <c r="H91" s="22" t="s">
        <v>2228</v>
      </c>
      <c r="I91" s="22" t="s">
        <v>2379</v>
      </c>
      <c r="J91" s="96" t="s">
        <v>3580</v>
      </c>
      <c r="K91" s="205" t="s">
        <v>2623</v>
      </c>
      <c r="L91" s="95">
        <v>138</v>
      </c>
      <c r="M91" s="64">
        <v>2010</v>
      </c>
      <c r="N91" s="64">
        <v>2030</v>
      </c>
      <c r="O91" s="99"/>
      <c r="P91" s="148" t="s">
        <v>116</v>
      </c>
      <c r="Q91" s="67" t="s">
        <v>2239</v>
      </c>
      <c r="R91" s="53">
        <v>81.599999999999994</v>
      </c>
      <c r="S91" s="219">
        <f>System!C$11</f>
        <v>0.09</v>
      </c>
      <c r="T91" s="245">
        <f t="shared" si="3"/>
        <v>7.3439999999999994</v>
      </c>
      <c r="U91" s="219">
        <f>System!D$11</f>
        <v>0.33</v>
      </c>
      <c r="V91" s="247">
        <f t="shared" si="4"/>
        <v>235.88928000000004</v>
      </c>
      <c r="W91" s="122"/>
      <c r="X91" s="68"/>
      <c r="Y91" s="11"/>
      <c r="Z91" s="11"/>
    </row>
    <row r="92" spans="2:26" s="6" customFormat="1" ht="20" x14ac:dyDescent="0.2">
      <c r="B92" s="134" t="s">
        <v>440</v>
      </c>
      <c r="C92" s="135" t="s">
        <v>2503</v>
      </c>
      <c r="D92" s="134" t="s">
        <v>272</v>
      </c>
      <c r="E92" s="135" t="s">
        <v>250</v>
      </c>
      <c r="F92" s="118">
        <v>51.218796900000001</v>
      </c>
      <c r="G92" s="118">
        <v>-114.7078411</v>
      </c>
      <c r="H92" s="22" t="s">
        <v>2228</v>
      </c>
      <c r="I92" s="22" t="s">
        <v>2379</v>
      </c>
      <c r="J92" s="96" t="s">
        <v>3579</v>
      </c>
      <c r="K92" s="22" t="s">
        <v>2675</v>
      </c>
      <c r="L92" s="95">
        <v>138</v>
      </c>
      <c r="M92" s="64">
        <v>1929</v>
      </c>
      <c r="N92" s="72">
        <v>2034</v>
      </c>
      <c r="O92" s="99"/>
      <c r="P92" s="148" t="s">
        <v>331</v>
      </c>
      <c r="Q92" s="67" t="s">
        <v>462</v>
      </c>
      <c r="R92" s="53">
        <v>16</v>
      </c>
      <c r="S92" s="242">
        <f>System!C$9</f>
        <v>1</v>
      </c>
      <c r="T92" s="243">
        <f t="shared" si="3"/>
        <v>16</v>
      </c>
      <c r="U92" s="242">
        <f>System!D$9</f>
        <v>0.24</v>
      </c>
      <c r="V92" s="248">
        <f t="shared" si="4"/>
        <v>33.638400000000004</v>
      </c>
      <c r="W92" s="122">
        <v>4</v>
      </c>
      <c r="X92" s="68"/>
      <c r="Y92" s="11"/>
      <c r="Z92" s="107"/>
    </row>
    <row r="93" spans="2:26" s="6" customFormat="1" ht="20" x14ac:dyDescent="0.2">
      <c r="B93" s="134" t="s">
        <v>441</v>
      </c>
      <c r="C93" s="135" t="s">
        <v>2535</v>
      </c>
      <c r="D93" s="134" t="s">
        <v>272</v>
      </c>
      <c r="E93" s="135" t="s">
        <v>250</v>
      </c>
      <c r="F93" s="117">
        <v>51.218796900000001</v>
      </c>
      <c r="G93" s="117">
        <v>-114.7078411</v>
      </c>
      <c r="H93" s="22" t="s">
        <v>2228</v>
      </c>
      <c r="I93" s="22" t="s">
        <v>2379</v>
      </c>
      <c r="J93" s="96" t="s">
        <v>3579</v>
      </c>
      <c r="K93" s="22" t="s">
        <v>2675</v>
      </c>
      <c r="L93" s="95">
        <v>138</v>
      </c>
      <c r="M93" s="64">
        <v>1929</v>
      </c>
      <c r="N93" s="72">
        <v>2034</v>
      </c>
      <c r="O93" s="99"/>
      <c r="P93" s="148" t="s">
        <v>331</v>
      </c>
      <c r="Q93" s="67" t="s">
        <v>462</v>
      </c>
      <c r="R93" s="53">
        <v>16</v>
      </c>
      <c r="S93" s="242">
        <f>System!C$9</f>
        <v>1</v>
      </c>
      <c r="T93" s="243">
        <f t="shared" si="3"/>
        <v>16</v>
      </c>
      <c r="U93" s="242">
        <f>System!D$9</f>
        <v>0.24</v>
      </c>
      <c r="V93" s="248">
        <f t="shared" si="4"/>
        <v>33.638400000000004</v>
      </c>
      <c r="W93" s="122">
        <v>4</v>
      </c>
      <c r="X93" s="68"/>
      <c r="Y93" s="11"/>
      <c r="Z93" s="11"/>
    </row>
    <row r="94" spans="2:26" s="6" customFormat="1" ht="20" x14ac:dyDescent="0.2">
      <c r="B94" s="134" t="s">
        <v>442</v>
      </c>
      <c r="C94" s="135" t="s">
        <v>2563</v>
      </c>
      <c r="D94" s="134" t="s">
        <v>272</v>
      </c>
      <c r="E94" s="135" t="s">
        <v>250</v>
      </c>
      <c r="F94" s="118">
        <v>51.218796900000001</v>
      </c>
      <c r="G94" s="118">
        <v>-114.7078411</v>
      </c>
      <c r="H94" s="22" t="s">
        <v>2228</v>
      </c>
      <c r="I94" s="22" t="s">
        <v>2379</v>
      </c>
      <c r="J94" s="96" t="s">
        <v>3579</v>
      </c>
      <c r="K94" s="22" t="s">
        <v>2675</v>
      </c>
      <c r="L94" s="95">
        <v>138</v>
      </c>
      <c r="M94" s="64">
        <v>1929</v>
      </c>
      <c r="N94" s="72">
        <v>2034</v>
      </c>
      <c r="O94" s="99"/>
      <c r="P94" s="148" t="s">
        <v>331</v>
      </c>
      <c r="Q94" s="67" t="s">
        <v>462</v>
      </c>
      <c r="R94" s="53">
        <v>16</v>
      </c>
      <c r="S94" s="242">
        <f>System!C$9</f>
        <v>1</v>
      </c>
      <c r="T94" s="243">
        <f t="shared" si="3"/>
        <v>16</v>
      </c>
      <c r="U94" s="242">
        <f>System!D$9</f>
        <v>0.24</v>
      </c>
      <c r="V94" s="248">
        <f t="shared" si="4"/>
        <v>33.638400000000004</v>
      </c>
      <c r="W94" s="122">
        <v>4</v>
      </c>
      <c r="X94" s="68"/>
      <c r="Y94" s="11"/>
      <c r="Z94" s="11"/>
    </row>
    <row r="95" spans="2:26" s="6" customFormat="1" ht="20" x14ac:dyDescent="0.2">
      <c r="B95" s="134" t="s">
        <v>443</v>
      </c>
      <c r="C95" s="135" t="s">
        <v>2576</v>
      </c>
      <c r="D95" s="134" t="s">
        <v>272</v>
      </c>
      <c r="E95" s="135" t="s">
        <v>250</v>
      </c>
      <c r="F95" s="117">
        <v>51.218796900000001</v>
      </c>
      <c r="G95" s="117">
        <v>-114.7078411</v>
      </c>
      <c r="H95" s="22" t="s">
        <v>2228</v>
      </c>
      <c r="I95" s="22" t="s">
        <v>2379</v>
      </c>
      <c r="J95" s="96" t="s">
        <v>3579</v>
      </c>
      <c r="K95" s="22" t="s">
        <v>2675</v>
      </c>
      <c r="L95" s="95">
        <v>138</v>
      </c>
      <c r="M95" s="64">
        <v>1929</v>
      </c>
      <c r="N95" s="72">
        <v>2034</v>
      </c>
      <c r="O95" s="99"/>
      <c r="P95" s="148" t="s">
        <v>331</v>
      </c>
      <c r="Q95" s="67" t="s">
        <v>462</v>
      </c>
      <c r="R95" s="53">
        <v>28</v>
      </c>
      <c r="S95" s="242">
        <f>System!C$9</f>
        <v>1</v>
      </c>
      <c r="T95" s="243">
        <f t="shared" si="3"/>
        <v>28</v>
      </c>
      <c r="U95" s="242">
        <f>System!D$9</f>
        <v>0.24</v>
      </c>
      <c r="V95" s="248">
        <f t="shared" si="4"/>
        <v>58.867199999999997</v>
      </c>
      <c r="W95" s="122">
        <v>4</v>
      </c>
      <c r="X95" s="68"/>
      <c r="Y95" s="11"/>
      <c r="Z95" s="11"/>
    </row>
    <row r="96" spans="2:26" s="6" customFormat="1" ht="20" x14ac:dyDescent="0.2">
      <c r="B96" s="134" t="s">
        <v>4234</v>
      </c>
      <c r="C96" s="135" t="s">
        <v>4085</v>
      </c>
      <c r="D96" s="134" t="s">
        <v>369</v>
      </c>
      <c r="E96" s="135" t="s">
        <v>4301</v>
      </c>
      <c r="F96" s="127">
        <v>55.025627</v>
      </c>
      <c r="G96" s="127">
        <v>-118.866783</v>
      </c>
      <c r="H96" s="22" t="s">
        <v>2228</v>
      </c>
      <c r="I96" s="22" t="s">
        <v>2379</v>
      </c>
      <c r="J96" s="96" t="s">
        <v>3422</v>
      </c>
      <c r="K96" s="22" t="s">
        <v>2624</v>
      </c>
      <c r="L96" s="95">
        <v>144</v>
      </c>
      <c r="M96" s="64">
        <v>1999</v>
      </c>
      <c r="N96" s="93">
        <f>M96+30</f>
        <v>2029</v>
      </c>
      <c r="O96" s="99"/>
      <c r="P96" s="148" t="s">
        <v>455</v>
      </c>
      <c r="Q96" s="67" t="s">
        <v>2586</v>
      </c>
      <c r="R96" s="53">
        <v>5</v>
      </c>
      <c r="S96" s="242">
        <f>System!C$8</f>
        <v>0.97</v>
      </c>
      <c r="T96" s="243">
        <f t="shared" si="3"/>
        <v>4.8499999999999996</v>
      </c>
      <c r="U96" s="246">
        <f>System!D$8</f>
        <v>0.55000000000000004</v>
      </c>
      <c r="V96" s="235">
        <f t="shared" si="4"/>
        <v>24.09</v>
      </c>
      <c r="W96" s="37">
        <v>1</v>
      </c>
      <c r="X96" s="68"/>
      <c r="Y96" s="11"/>
      <c r="Z96" s="11" t="s">
        <v>366</v>
      </c>
    </row>
    <row r="97" spans="2:26" s="6" customFormat="1" ht="20" x14ac:dyDescent="0.2">
      <c r="B97" s="134" t="s">
        <v>2415</v>
      </c>
      <c r="C97" s="135" t="s">
        <v>4224</v>
      </c>
      <c r="D97" s="134" t="s">
        <v>291</v>
      </c>
      <c r="E97" s="135" t="s">
        <v>251</v>
      </c>
      <c r="F97" s="118">
        <v>55.160200000000003</v>
      </c>
      <c r="G97" s="118">
        <v>-118.8184</v>
      </c>
      <c r="H97" s="22" t="s">
        <v>2228</v>
      </c>
      <c r="I97" s="22" t="s">
        <v>2379</v>
      </c>
      <c r="J97" s="96" t="s">
        <v>894</v>
      </c>
      <c r="K97" s="22" t="s">
        <v>2625</v>
      </c>
      <c r="L97" s="95">
        <v>144</v>
      </c>
      <c r="M97" s="64">
        <v>2004</v>
      </c>
      <c r="N97" s="93">
        <f>M97+30</f>
        <v>2034</v>
      </c>
      <c r="O97" s="99"/>
      <c r="P97" s="148" t="s">
        <v>455</v>
      </c>
      <c r="Q97" s="67" t="s">
        <v>2586</v>
      </c>
      <c r="R97" s="53">
        <v>27</v>
      </c>
      <c r="S97" s="242">
        <f>System!C$8</f>
        <v>0.97</v>
      </c>
      <c r="T97" s="243">
        <f t="shared" si="3"/>
        <v>26.189999999999998</v>
      </c>
      <c r="U97" s="246">
        <f>System!D$8</f>
        <v>0.55000000000000004</v>
      </c>
      <c r="V97" s="235">
        <f t="shared" si="4"/>
        <v>130.08600000000001</v>
      </c>
      <c r="W97" s="122">
        <v>1</v>
      </c>
      <c r="X97" s="266"/>
      <c r="Y97" s="11"/>
      <c r="Z97" s="107"/>
    </row>
    <row r="98" spans="2:26" s="6" customFormat="1" ht="20" x14ac:dyDescent="0.2">
      <c r="B98" s="109" t="s">
        <v>2416</v>
      </c>
      <c r="C98" s="135" t="s">
        <v>4081</v>
      </c>
      <c r="D98" s="109" t="s">
        <v>222</v>
      </c>
      <c r="E98" s="123" t="s">
        <v>209</v>
      </c>
      <c r="F98" s="118">
        <v>50.906065400000003</v>
      </c>
      <c r="G98" s="118">
        <v>-112.70802930000001</v>
      </c>
      <c r="H98" s="22" t="s">
        <v>2228</v>
      </c>
      <c r="I98" s="22" t="s">
        <v>2379</v>
      </c>
      <c r="J98" s="96" t="s">
        <v>3370</v>
      </c>
      <c r="K98" s="22" t="s">
        <v>2626</v>
      </c>
      <c r="L98" s="95">
        <v>144</v>
      </c>
      <c r="M98" s="108">
        <v>2017</v>
      </c>
      <c r="N98" s="108">
        <v>2037</v>
      </c>
      <c r="O98" s="99"/>
      <c r="P98" s="123" t="s">
        <v>334</v>
      </c>
      <c r="Q98" s="67" t="s">
        <v>2240</v>
      </c>
      <c r="R98" s="110">
        <v>2</v>
      </c>
      <c r="S98" s="219">
        <f>System!C$12</f>
        <v>0</v>
      </c>
      <c r="T98" s="245">
        <f t="shared" si="3"/>
        <v>0</v>
      </c>
      <c r="U98" s="219">
        <f>System!D$12</f>
        <v>0.18</v>
      </c>
      <c r="V98" s="247">
        <f t="shared" si="4"/>
        <v>3.1536000000000004</v>
      </c>
      <c r="W98" s="122"/>
      <c r="X98" s="68"/>
      <c r="Y98" s="11"/>
      <c r="Z98" s="107"/>
    </row>
    <row r="99" spans="2:26" s="6" customFormat="1" ht="20" x14ac:dyDescent="0.2">
      <c r="B99" s="134" t="s">
        <v>210</v>
      </c>
      <c r="C99" s="135" t="s">
        <v>4082</v>
      </c>
      <c r="D99" s="134" t="s">
        <v>292</v>
      </c>
      <c r="E99" s="135" t="s">
        <v>210</v>
      </c>
      <c r="F99" s="118">
        <v>52.260947799999997</v>
      </c>
      <c r="G99" s="118">
        <v>-112.0270519</v>
      </c>
      <c r="H99" s="22" t="s">
        <v>2228</v>
      </c>
      <c r="I99" s="22" t="s">
        <v>2379</v>
      </c>
      <c r="J99" s="96" t="s">
        <v>3595</v>
      </c>
      <c r="K99" s="22" t="s">
        <v>2676</v>
      </c>
      <c r="L99" s="95">
        <v>240</v>
      </c>
      <c r="M99" s="64">
        <v>2012</v>
      </c>
      <c r="N99" s="64">
        <v>2032</v>
      </c>
      <c r="O99" s="132"/>
      <c r="P99" s="148" t="s">
        <v>116</v>
      </c>
      <c r="Q99" s="67" t="s">
        <v>2239</v>
      </c>
      <c r="R99" s="53">
        <v>150</v>
      </c>
      <c r="S99" s="219">
        <f>System!C$11</f>
        <v>0.09</v>
      </c>
      <c r="T99" s="245">
        <f t="shared" si="3"/>
        <v>13.5</v>
      </c>
      <c r="U99" s="219">
        <f>System!D$11</f>
        <v>0.33</v>
      </c>
      <c r="V99" s="247">
        <f t="shared" si="4"/>
        <v>433.62</v>
      </c>
      <c r="W99" s="37"/>
      <c r="X99" s="68"/>
      <c r="Y99" s="11"/>
      <c r="Z99" s="11"/>
    </row>
    <row r="100" spans="2:26" s="6" customFormat="1" ht="20" x14ac:dyDescent="0.2">
      <c r="B100" s="134" t="s">
        <v>379</v>
      </c>
      <c r="C100" s="135" t="s">
        <v>4083</v>
      </c>
      <c r="D100" s="134" t="s">
        <v>351</v>
      </c>
      <c r="E100" s="135" t="s">
        <v>352</v>
      </c>
      <c r="F100" s="127">
        <v>51.658399000000003</v>
      </c>
      <c r="G100" s="127">
        <v>-114.136515</v>
      </c>
      <c r="H100" s="22" t="s">
        <v>2228</v>
      </c>
      <c r="I100" s="22" t="s">
        <v>2379</v>
      </c>
      <c r="J100" s="96" t="s">
        <v>3601</v>
      </c>
      <c r="K100" s="22" t="s">
        <v>4266</v>
      </c>
      <c r="L100" s="95">
        <v>144</v>
      </c>
      <c r="M100" s="65">
        <v>1950</v>
      </c>
      <c r="N100" s="93">
        <f>M100+30+30+30</f>
        <v>2040</v>
      </c>
      <c r="O100" s="99"/>
      <c r="P100" s="148" t="s">
        <v>332</v>
      </c>
      <c r="Q100" s="67" t="s">
        <v>2587</v>
      </c>
      <c r="R100" s="53">
        <v>45</v>
      </c>
      <c r="S100" s="242">
        <f>System!C$6</f>
        <v>0.94</v>
      </c>
      <c r="T100" s="243">
        <f t="shared" si="3"/>
        <v>42.3</v>
      </c>
      <c r="U100" s="219">
        <f>System!D$6</f>
        <v>0.3</v>
      </c>
      <c r="V100" s="247">
        <f t="shared" si="4"/>
        <v>118.26</v>
      </c>
      <c r="W100" s="37">
        <v>1</v>
      </c>
      <c r="X100" s="266"/>
      <c r="Y100" s="11"/>
      <c r="Z100" s="107"/>
    </row>
    <row r="101" spans="2:26" s="6" customFormat="1" ht="20" x14ac:dyDescent="0.2">
      <c r="B101" s="162" t="s">
        <v>2278</v>
      </c>
      <c r="C101" s="135" t="s">
        <v>4084</v>
      </c>
      <c r="D101" s="162" t="s">
        <v>2275</v>
      </c>
      <c r="E101" s="229" t="s">
        <v>2278</v>
      </c>
      <c r="F101" s="127">
        <v>50.0774418836886</v>
      </c>
      <c r="G101" s="127">
        <v>-111.759215495934</v>
      </c>
      <c r="H101" s="67" t="s">
        <v>2228</v>
      </c>
      <c r="I101" s="22" t="s">
        <v>2379</v>
      </c>
      <c r="J101" s="96" t="s">
        <v>3605</v>
      </c>
      <c r="K101" s="67" t="s">
        <v>2678</v>
      </c>
      <c r="L101" s="95">
        <v>138</v>
      </c>
      <c r="M101" s="228">
        <v>2022</v>
      </c>
      <c r="N101" s="228">
        <v>2042</v>
      </c>
      <c r="O101" s="99"/>
      <c r="P101" s="229" t="s">
        <v>334</v>
      </c>
      <c r="Q101" s="67" t="s">
        <v>2240</v>
      </c>
      <c r="R101" s="182">
        <v>23</v>
      </c>
      <c r="S101" s="219">
        <f>System!C$12</f>
        <v>0</v>
      </c>
      <c r="T101" s="245">
        <f t="shared" si="3"/>
        <v>0</v>
      </c>
      <c r="U101" s="219">
        <f>System!D$12</f>
        <v>0.18</v>
      </c>
      <c r="V101" s="247">
        <f t="shared" si="4"/>
        <v>36.266399999999997</v>
      </c>
      <c r="W101" s="122"/>
      <c r="X101" s="68"/>
      <c r="Y101" s="79" t="s">
        <v>2279</v>
      </c>
      <c r="Z101" s="120"/>
    </row>
    <row r="102" spans="2:26" s="6" customFormat="1" ht="20" x14ac:dyDescent="0.2">
      <c r="B102" s="109" t="s">
        <v>223</v>
      </c>
      <c r="C102" s="135" t="s">
        <v>2496</v>
      </c>
      <c r="D102" s="109" t="s">
        <v>225</v>
      </c>
      <c r="E102" s="123" t="s">
        <v>193</v>
      </c>
      <c r="F102" s="118">
        <v>53.415282099999999</v>
      </c>
      <c r="G102" s="118">
        <v>-117.57168969999999</v>
      </c>
      <c r="H102" s="22" t="s">
        <v>2228</v>
      </c>
      <c r="I102" s="22" t="s">
        <v>2379</v>
      </c>
      <c r="J102" s="96" t="s">
        <v>3503</v>
      </c>
      <c r="K102" s="22" t="s">
        <v>2627</v>
      </c>
      <c r="L102" s="95">
        <v>144</v>
      </c>
      <c r="M102" s="108">
        <v>1985</v>
      </c>
      <c r="N102" s="93">
        <f>M102+30+30</f>
        <v>2045</v>
      </c>
      <c r="O102" s="99"/>
      <c r="P102" s="123" t="s">
        <v>455</v>
      </c>
      <c r="Q102" s="67" t="s">
        <v>2586</v>
      </c>
      <c r="R102" s="110">
        <v>26</v>
      </c>
      <c r="S102" s="242">
        <f>System!C$8</f>
        <v>0.97</v>
      </c>
      <c r="T102" s="243">
        <f t="shared" si="3"/>
        <v>25.22</v>
      </c>
      <c r="U102" s="246">
        <f>System!D$8</f>
        <v>0.55000000000000004</v>
      </c>
      <c r="V102" s="235">
        <f t="shared" si="4"/>
        <v>125.26800000000001</v>
      </c>
      <c r="W102" s="122">
        <v>2</v>
      </c>
      <c r="X102" s="68"/>
      <c r="Y102" s="11"/>
      <c r="Z102" s="11"/>
    </row>
    <row r="103" spans="2:26" s="6" customFormat="1" ht="20" x14ac:dyDescent="0.2">
      <c r="B103" s="109" t="s">
        <v>224</v>
      </c>
      <c r="C103" s="135" t="s">
        <v>2528</v>
      </c>
      <c r="D103" s="109" t="s">
        <v>225</v>
      </c>
      <c r="E103" s="123" t="s">
        <v>193</v>
      </c>
      <c r="F103" s="117">
        <v>53.415282099999999</v>
      </c>
      <c r="G103" s="117">
        <v>-117.57168969999999</v>
      </c>
      <c r="H103" s="22" t="s">
        <v>2228</v>
      </c>
      <c r="I103" s="67" t="s">
        <v>2379</v>
      </c>
      <c r="J103" s="96" t="s">
        <v>3503</v>
      </c>
      <c r="K103" s="22" t="s">
        <v>2627</v>
      </c>
      <c r="L103" s="95">
        <v>144</v>
      </c>
      <c r="M103" s="108">
        <v>1985</v>
      </c>
      <c r="N103" s="93">
        <f>M103+30+30</f>
        <v>2045</v>
      </c>
      <c r="O103" s="99"/>
      <c r="P103" s="123" t="s">
        <v>455</v>
      </c>
      <c r="Q103" s="67" t="s">
        <v>2586</v>
      </c>
      <c r="R103" s="110">
        <v>26</v>
      </c>
      <c r="S103" s="242">
        <f>System!C$8</f>
        <v>0.97</v>
      </c>
      <c r="T103" s="243">
        <f t="shared" si="3"/>
        <v>25.22</v>
      </c>
      <c r="U103" s="246">
        <f>System!D$8</f>
        <v>0.55000000000000004</v>
      </c>
      <c r="V103" s="235">
        <f t="shared" si="4"/>
        <v>125.26800000000001</v>
      </c>
      <c r="W103" s="37">
        <v>2</v>
      </c>
      <c r="X103" s="68"/>
      <c r="Y103" s="11"/>
      <c r="Z103" s="11"/>
    </row>
    <row r="104" spans="2:26" s="6" customFormat="1" ht="20" x14ac:dyDescent="0.2">
      <c r="B104" s="134" t="s">
        <v>313</v>
      </c>
      <c r="C104" s="135" t="s">
        <v>4086</v>
      </c>
      <c r="D104" s="134" t="s">
        <v>280</v>
      </c>
      <c r="E104" s="135" t="s">
        <v>277</v>
      </c>
      <c r="F104" s="118">
        <v>57.339300000000001</v>
      </c>
      <c r="G104" s="118">
        <v>-111.7578</v>
      </c>
      <c r="H104" s="22" t="s">
        <v>2228</v>
      </c>
      <c r="I104" s="22" t="s">
        <v>2379</v>
      </c>
      <c r="J104" s="96" t="s">
        <v>3620</v>
      </c>
      <c r="K104" s="22" t="s">
        <v>2679</v>
      </c>
      <c r="L104" s="95">
        <v>240</v>
      </c>
      <c r="M104" s="64">
        <v>2007</v>
      </c>
      <c r="N104" s="93">
        <f>M104+30</f>
        <v>2037</v>
      </c>
      <c r="O104" s="131"/>
      <c r="P104" s="148" t="s">
        <v>332</v>
      </c>
      <c r="Q104" s="67" t="s">
        <v>2587</v>
      </c>
      <c r="R104" s="53">
        <v>103</v>
      </c>
      <c r="S104" s="242">
        <f>System!C$6</f>
        <v>0.94</v>
      </c>
      <c r="T104" s="243">
        <f t="shared" si="3"/>
        <v>96.82</v>
      </c>
      <c r="U104" s="219">
        <f>System!D$6</f>
        <v>0.3</v>
      </c>
      <c r="V104" s="247">
        <f t="shared" si="4"/>
        <v>270.68399999999997</v>
      </c>
      <c r="W104" s="122">
        <v>1</v>
      </c>
      <c r="X104" s="68"/>
      <c r="Y104" s="11"/>
      <c r="Z104" s="107"/>
    </row>
    <row r="105" spans="2:26" s="6" customFormat="1" ht="20" x14ac:dyDescent="0.2">
      <c r="B105" s="134" t="s">
        <v>326</v>
      </c>
      <c r="C105" s="135" t="s">
        <v>2507</v>
      </c>
      <c r="D105" s="134" t="s">
        <v>272</v>
      </c>
      <c r="E105" s="135" t="s">
        <v>238</v>
      </c>
      <c r="F105" s="118">
        <v>51.118023000000001</v>
      </c>
      <c r="G105" s="118">
        <v>-115.0342818</v>
      </c>
      <c r="H105" s="22" t="s">
        <v>2228</v>
      </c>
      <c r="I105" s="22" t="s">
        <v>2379</v>
      </c>
      <c r="J105" s="96" t="s">
        <v>3827</v>
      </c>
      <c r="K105" s="22" t="s">
        <v>3071</v>
      </c>
      <c r="L105" s="95">
        <v>72</v>
      </c>
      <c r="M105" s="64">
        <v>1911</v>
      </c>
      <c r="N105" s="72">
        <v>2034</v>
      </c>
      <c r="O105" s="99"/>
      <c r="P105" s="148" t="s">
        <v>140</v>
      </c>
      <c r="Q105" s="67" t="s">
        <v>2238</v>
      </c>
      <c r="R105" s="53">
        <v>5</v>
      </c>
      <c r="S105" s="242">
        <f>System!C$10</f>
        <v>0.3</v>
      </c>
      <c r="T105" s="243">
        <f t="shared" si="3"/>
        <v>1.5</v>
      </c>
      <c r="U105" s="242">
        <f>System!D$9</f>
        <v>0.24</v>
      </c>
      <c r="V105" s="248">
        <f t="shared" si="4"/>
        <v>10.511999999999999</v>
      </c>
      <c r="W105" s="37">
        <v>4</v>
      </c>
      <c r="X105" s="68"/>
      <c r="Y105" s="11"/>
      <c r="Z105" s="11"/>
    </row>
    <row r="106" spans="2:26" s="6" customFormat="1" ht="20" x14ac:dyDescent="0.2">
      <c r="B106" s="134" t="s">
        <v>320</v>
      </c>
      <c r="C106" s="135" t="s">
        <v>2539</v>
      </c>
      <c r="D106" s="134" t="s">
        <v>272</v>
      </c>
      <c r="E106" s="135" t="s">
        <v>238</v>
      </c>
      <c r="F106" s="118">
        <v>51.118023000000001</v>
      </c>
      <c r="G106" s="118">
        <v>-115.0342818</v>
      </c>
      <c r="H106" s="22" t="s">
        <v>2228</v>
      </c>
      <c r="I106" s="22" t="s">
        <v>2379</v>
      </c>
      <c r="J106" s="96" t="s">
        <v>3827</v>
      </c>
      <c r="K106" s="22" t="s">
        <v>3071</v>
      </c>
      <c r="L106" s="95">
        <v>72</v>
      </c>
      <c r="M106" s="64">
        <v>1911</v>
      </c>
      <c r="N106" s="72">
        <v>2034</v>
      </c>
      <c r="O106" s="99"/>
      <c r="P106" s="148" t="s">
        <v>140</v>
      </c>
      <c r="Q106" s="67" t="s">
        <v>2238</v>
      </c>
      <c r="R106" s="53">
        <v>3</v>
      </c>
      <c r="S106" s="242">
        <f>System!C$10</f>
        <v>0.3</v>
      </c>
      <c r="T106" s="243">
        <f t="shared" si="3"/>
        <v>0.89999999999999991</v>
      </c>
      <c r="U106" s="242">
        <f>System!D$9</f>
        <v>0.24</v>
      </c>
      <c r="V106" s="248">
        <f t="shared" si="4"/>
        <v>6.3072000000000008</v>
      </c>
      <c r="W106" s="122">
        <v>4</v>
      </c>
      <c r="X106" s="266"/>
      <c r="Y106" s="11"/>
      <c r="Z106" s="107"/>
    </row>
    <row r="107" spans="2:26" s="61" customFormat="1" ht="20" x14ac:dyDescent="0.2">
      <c r="B107" s="134" t="s">
        <v>321</v>
      </c>
      <c r="C107" s="135" t="s">
        <v>2565</v>
      </c>
      <c r="D107" s="134" t="s">
        <v>272</v>
      </c>
      <c r="E107" s="135" t="s">
        <v>238</v>
      </c>
      <c r="F107" s="118">
        <v>51.118023000000001</v>
      </c>
      <c r="G107" s="118">
        <v>-115.0342818</v>
      </c>
      <c r="H107" s="22" t="s">
        <v>2228</v>
      </c>
      <c r="I107" s="22" t="s">
        <v>2379</v>
      </c>
      <c r="J107" s="96" t="s">
        <v>3827</v>
      </c>
      <c r="K107" s="22" t="s">
        <v>3071</v>
      </c>
      <c r="L107" s="95">
        <v>72</v>
      </c>
      <c r="M107" s="64">
        <v>1911</v>
      </c>
      <c r="N107" s="72">
        <v>2034</v>
      </c>
      <c r="O107" s="99"/>
      <c r="P107" s="148" t="s">
        <v>140</v>
      </c>
      <c r="Q107" s="67" t="s">
        <v>2238</v>
      </c>
      <c r="R107" s="53">
        <v>3</v>
      </c>
      <c r="S107" s="242">
        <f>System!C$10</f>
        <v>0.3</v>
      </c>
      <c r="T107" s="243">
        <f t="shared" si="3"/>
        <v>0.89999999999999991</v>
      </c>
      <c r="U107" s="242">
        <f>System!D$9</f>
        <v>0.24</v>
      </c>
      <c r="V107" s="248">
        <f t="shared" si="4"/>
        <v>6.3072000000000008</v>
      </c>
      <c r="W107" s="122">
        <v>4</v>
      </c>
      <c r="X107" s="68"/>
      <c r="Y107" s="11"/>
      <c r="Z107" s="107"/>
    </row>
    <row r="108" spans="2:26" s="6" customFormat="1" ht="20" x14ac:dyDescent="0.2">
      <c r="B108" s="134" t="s">
        <v>322</v>
      </c>
      <c r="C108" s="135" t="s">
        <v>2577</v>
      </c>
      <c r="D108" s="134" t="s">
        <v>272</v>
      </c>
      <c r="E108" s="135" t="s">
        <v>238</v>
      </c>
      <c r="F108" s="118">
        <v>51.118023000000001</v>
      </c>
      <c r="G108" s="118">
        <v>-115.0342818</v>
      </c>
      <c r="H108" s="22" t="s">
        <v>2228</v>
      </c>
      <c r="I108" s="22" t="s">
        <v>2379</v>
      </c>
      <c r="J108" s="96" t="s">
        <v>3827</v>
      </c>
      <c r="K108" s="22" t="s">
        <v>3071</v>
      </c>
      <c r="L108" s="95">
        <v>72</v>
      </c>
      <c r="M108" s="64">
        <v>1911</v>
      </c>
      <c r="N108" s="72">
        <v>2034</v>
      </c>
      <c r="O108" s="132"/>
      <c r="P108" s="148" t="s">
        <v>140</v>
      </c>
      <c r="Q108" s="67" t="s">
        <v>2238</v>
      </c>
      <c r="R108" s="53">
        <v>5</v>
      </c>
      <c r="S108" s="242">
        <f>System!C$10</f>
        <v>0.3</v>
      </c>
      <c r="T108" s="243">
        <f t="shared" si="3"/>
        <v>1.5</v>
      </c>
      <c r="U108" s="242">
        <f>System!D$9</f>
        <v>0.24</v>
      </c>
      <c r="V108" s="248">
        <f t="shared" si="4"/>
        <v>10.511999999999999</v>
      </c>
      <c r="W108" s="122">
        <v>4</v>
      </c>
      <c r="X108" s="68"/>
      <c r="Y108" s="11"/>
      <c r="Z108" s="11"/>
    </row>
    <row r="109" spans="2:26" s="61" customFormat="1" ht="20" x14ac:dyDescent="0.2">
      <c r="B109" s="134" t="s">
        <v>372</v>
      </c>
      <c r="C109" s="135" t="s">
        <v>4088</v>
      </c>
      <c r="D109" s="134" t="s">
        <v>301</v>
      </c>
      <c r="E109" s="135" t="s">
        <v>270</v>
      </c>
      <c r="F109" s="127">
        <v>54.709330000000001</v>
      </c>
      <c r="G109" s="127">
        <v>-115.388267</v>
      </c>
      <c r="H109" s="22" t="s">
        <v>2228</v>
      </c>
      <c r="I109" s="22" t="s">
        <v>2379</v>
      </c>
      <c r="J109" s="96" t="s">
        <v>3531</v>
      </c>
      <c r="K109" s="205" t="s">
        <v>2841</v>
      </c>
      <c r="L109" s="95">
        <v>138</v>
      </c>
      <c r="M109" s="228">
        <v>2013</v>
      </c>
      <c r="N109" s="93">
        <f>M109+30</f>
        <v>2043</v>
      </c>
      <c r="O109" s="99"/>
      <c r="P109" s="148" t="s">
        <v>311</v>
      </c>
      <c r="Q109" s="67" t="s">
        <v>2588</v>
      </c>
      <c r="R109" s="137">
        <v>7</v>
      </c>
      <c r="S109" s="242">
        <f>System!C$7</f>
        <v>0.94</v>
      </c>
      <c r="T109" s="243">
        <f t="shared" si="3"/>
        <v>6.58</v>
      </c>
      <c r="U109" s="219">
        <f>System!D$7</f>
        <v>0.3</v>
      </c>
      <c r="V109" s="247">
        <f t="shared" si="4"/>
        <v>18.396000000000004</v>
      </c>
      <c r="W109" s="37">
        <v>5</v>
      </c>
      <c r="X109" s="68"/>
      <c r="Y109" s="11" t="s">
        <v>4405</v>
      </c>
      <c r="Z109" s="79"/>
    </row>
    <row r="110" spans="2:26" s="6" customFormat="1" ht="20" x14ac:dyDescent="0.2">
      <c r="B110" s="134" t="s">
        <v>2401</v>
      </c>
      <c r="C110" s="135" t="s">
        <v>4089</v>
      </c>
      <c r="D110" s="134" t="s">
        <v>423</v>
      </c>
      <c r="E110" s="135" t="s">
        <v>424</v>
      </c>
      <c r="F110" s="127">
        <v>54.008208000000003</v>
      </c>
      <c r="G110" s="127">
        <v>-119.1022</v>
      </c>
      <c r="H110" s="22" t="s">
        <v>2228</v>
      </c>
      <c r="I110" s="22" t="s">
        <v>2379</v>
      </c>
      <c r="J110" s="96" t="s">
        <v>3592</v>
      </c>
      <c r="K110" s="205" t="s">
        <v>2680</v>
      </c>
      <c r="L110" s="95">
        <v>144</v>
      </c>
      <c r="M110" s="229">
        <v>2019</v>
      </c>
      <c r="N110" s="93">
        <f>M110+30</f>
        <v>2049</v>
      </c>
      <c r="O110" s="220"/>
      <c r="P110" s="229" t="s">
        <v>311</v>
      </c>
      <c r="Q110" s="67" t="s">
        <v>2588</v>
      </c>
      <c r="R110" s="182">
        <v>204</v>
      </c>
      <c r="S110" s="242">
        <f>System!C$7</f>
        <v>0.94</v>
      </c>
      <c r="T110" s="243">
        <f t="shared" si="3"/>
        <v>191.76</v>
      </c>
      <c r="U110" s="219">
        <f>System!D$7</f>
        <v>0.3</v>
      </c>
      <c r="V110" s="247">
        <f t="shared" si="4"/>
        <v>536.11199999999997</v>
      </c>
      <c r="W110" s="34">
        <v>1</v>
      </c>
      <c r="X110" s="37"/>
      <c r="Y110" s="11" t="s">
        <v>2242</v>
      </c>
      <c r="Z110" s="129"/>
    </row>
    <row r="111" spans="2:26" s="6" customFormat="1" ht="20" x14ac:dyDescent="0.2">
      <c r="B111" s="162" t="s">
        <v>2291</v>
      </c>
      <c r="C111" s="135" t="s">
        <v>4099</v>
      </c>
      <c r="D111" s="162" t="s">
        <v>367</v>
      </c>
      <c r="E111" s="229" t="s">
        <v>2291</v>
      </c>
      <c r="F111" s="127">
        <v>52.048091033294703</v>
      </c>
      <c r="G111" s="127">
        <v>-113.97681205582499</v>
      </c>
      <c r="H111" s="22" t="s">
        <v>2228</v>
      </c>
      <c r="I111" s="22" t="s">
        <v>2379</v>
      </c>
      <c r="J111" s="96" t="s">
        <v>3632</v>
      </c>
      <c r="K111" s="22" t="s">
        <v>2681</v>
      </c>
      <c r="L111" s="95">
        <v>144</v>
      </c>
      <c r="M111" s="136">
        <v>2017</v>
      </c>
      <c r="N111" s="136">
        <v>2037</v>
      </c>
      <c r="O111" s="132"/>
      <c r="P111" s="229" t="s">
        <v>334</v>
      </c>
      <c r="Q111" s="67" t="s">
        <v>2240</v>
      </c>
      <c r="R111" s="137">
        <v>17</v>
      </c>
      <c r="S111" s="219">
        <f>System!C$12</f>
        <v>0</v>
      </c>
      <c r="T111" s="245">
        <f t="shared" si="3"/>
        <v>0</v>
      </c>
      <c r="U111" s="219">
        <f>System!D$12</f>
        <v>0.18</v>
      </c>
      <c r="V111" s="247">
        <f t="shared" si="4"/>
        <v>26.805599999999998</v>
      </c>
      <c r="W111" s="122"/>
      <c r="X111" s="68"/>
      <c r="Y111" s="11" t="s">
        <v>2292</v>
      </c>
      <c r="Z111" s="120"/>
    </row>
    <row r="112" spans="2:26" s="6" customFormat="1" ht="20" x14ac:dyDescent="0.2">
      <c r="B112" s="134" t="s">
        <v>444</v>
      </c>
      <c r="C112" s="135" t="s">
        <v>4090</v>
      </c>
      <c r="D112" s="134" t="s">
        <v>272</v>
      </c>
      <c r="E112" s="135" t="s">
        <v>211</v>
      </c>
      <c r="F112" s="118">
        <v>50.6334667</v>
      </c>
      <c r="G112" s="118">
        <v>-115.13923629999999</v>
      </c>
      <c r="H112" s="22" t="s">
        <v>2228</v>
      </c>
      <c r="I112" s="22" t="s">
        <v>2379</v>
      </c>
      <c r="J112" s="96" t="s">
        <v>3633</v>
      </c>
      <c r="K112" s="22" t="s">
        <v>2682</v>
      </c>
      <c r="L112" s="95">
        <v>144</v>
      </c>
      <c r="M112" s="64">
        <v>1954</v>
      </c>
      <c r="N112" s="72">
        <v>2034</v>
      </c>
      <c r="O112" s="132"/>
      <c r="P112" s="148" t="s">
        <v>140</v>
      </c>
      <c r="Q112" s="67" t="s">
        <v>2238</v>
      </c>
      <c r="R112" s="53">
        <v>5</v>
      </c>
      <c r="S112" s="242">
        <f>System!C$10</f>
        <v>0.3</v>
      </c>
      <c r="T112" s="243">
        <f t="shared" si="3"/>
        <v>1.5</v>
      </c>
      <c r="U112" s="242">
        <f>System!D$9</f>
        <v>0.24</v>
      </c>
      <c r="V112" s="248">
        <f t="shared" si="4"/>
        <v>10.511999999999999</v>
      </c>
      <c r="W112" s="37">
        <v>1</v>
      </c>
      <c r="X112" s="68"/>
      <c r="Y112" s="11"/>
      <c r="Z112" s="11"/>
    </row>
    <row r="113" spans="1:26" s="6" customFormat="1" ht="20" x14ac:dyDescent="0.2">
      <c r="B113" s="162" t="s">
        <v>2316</v>
      </c>
      <c r="C113" s="135" t="s">
        <v>4091</v>
      </c>
      <c r="D113" s="162" t="s">
        <v>2275</v>
      </c>
      <c r="E113" s="229" t="s">
        <v>2272</v>
      </c>
      <c r="F113" s="127">
        <v>50.750862228805701</v>
      </c>
      <c r="G113" s="127">
        <v>-111.138470864741</v>
      </c>
      <c r="H113" s="67" t="s">
        <v>2228</v>
      </c>
      <c r="I113" s="22" t="s">
        <v>2379</v>
      </c>
      <c r="J113" s="96" t="s">
        <v>3642</v>
      </c>
      <c r="K113" s="67" t="s">
        <v>2683</v>
      </c>
      <c r="L113" s="95">
        <v>144</v>
      </c>
      <c r="M113" s="228">
        <v>2022</v>
      </c>
      <c r="N113" s="228">
        <v>2042</v>
      </c>
      <c r="O113" s="99"/>
      <c r="P113" s="229" t="s">
        <v>334</v>
      </c>
      <c r="Q113" s="67" t="s">
        <v>2240</v>
      </c>
      <c r="R113" s="182">
        <v>23</v>
      </c>
      <c r="S113" s="219">
        <f>System!C$12</f>
        <v>0</v>
      </c>
      <c r="T113" s="245">
        <f t="shared" si="3"/>
        <v>0</v>
      </c>
      <c r="U113" s="219">
        <f>System!D$12</f>
        <v>0.18</v>
      </c>
      <c r="V113" s="247">
        <f t="shared" si="4"/>
        <v>36.266399999999997</v>
      </c>
      <c r="W113" s="122"/>
      <c r="X113" s="265"/>
      <c r="Y113" s="79" t="s">
        <v>2274</v>
      </c>
      <c r="Z113" s="291"/>
    </row>
    <row r="114" spans="1:26" s="6" customFormat="1" ht="20" x14ac:dyDescent="0.2">
      <c r="B114" s="162" t="s">
        <v>4188</v>
      </c>
      <c r="C114" s="135" t="s">
        <v>2525</v>
      </c>
      <c r="D114" s="162" t="s">
        <v>2323</v>
      </c>
      <c r="E114" s="229" t="s">
        <v>2272</v>
      </c>
      <c r="F114" s="127">
        <v>50.808790465662597</v>
      </c>
      <c r="G114" s="127">
        <v>-111.075137089523</v>
      </c>
      <c r="H114" s="22" t="s">
        <v>2228</v>
      </c>
      <c r="I114" s="22" t="s">
        <v>2379</v>
      </c>
      <c r="J114" s="96" t="s">
        <v>3642</v>
      </c>
      <c r="K114" s="67" t="s">
        <v>2683</v>
      </c>
      <c r="L114" s="95">
        <v>144</v>
      </c>
      <c r="M114" s="228">
        <v>2024</v>
      </c>
      <c r="N114" s="228">
        <v>2044</v>
      </c>
      <c r="O114" s="132"/>
      <c r="P114" s="229" t="s">
        <v>116</v>
      </c>
      <c r="Q114" s="67" t="s">
        <v>2239</v>
      </c>
      <c r="R114" s="182">
        <v>122</v>
      </c>
      <c r="S114" s="219">
        <f>System!C$11</f>
        <v>0.09</v>
      </c>
      <c r="T114" s="245">
        <f t="shared" si="3"/>
        <v>10.98</v>
      </c>
      <c r="U114" s="219">
        <f>System!D$11</f>
        <v>0.33</v>
      </c>
      <c r="V114" s="247">
        <f t="shared" si="4"/>
        <v>352.67760000000004</v>
      </c>
      <c r="W114" s="37"/>
      <c r="X114" s="266"/>
      <c r="Y114" s="11" t="s">
        <v>2324</v>
      </c>
      <c r="Z114" s="107"/>
    </row>
    <row r="115" spans="1:26" s="6" customFormat="1" ht="20" x14ac:dyDescent="0.2">
      <c r="B115" s="162" t="s">
        <v>4189</v>
      </c>
      <c r="C115" s="135" t="s">
        <v>2558</v>
      </c>
      <c r="D115" s="162" t="s">
        <v>2323</v>
      </c>
      <c r="E115" s="229" t="s">
        <v>2272</v>
      </c>
      <c r="F115" s="127">
        <v>50.808790465662597</v>
      </c>
      <c r="G115" s="127">
        <v>-111.075137089523</v>
      </c>
      <c r="H115" s="22" t="s">
        <v>2228</v>
      </c>
      <c r="I115" s="22" t="s">
        <v>2379</v>
      </c>
      <c r="J115" s="96" t="s">
        <v>3642</v>
      </c>
      <c r="K115" s="67" t="s">
        <v>2683</v>
      </c>
      <c r="L115" s="95">
        <v>144</v>
      </c>
      <c r="M115" s="228">
        <v>2024</v>
      </c>
      <c r="N115" s="228">
        <v>2044</v>
      </c>
      <c r="O115" s="132"/>
      <c r="P115" s="229" t="s">
        <v>116</v>
      </c>
      <c r="Q115" s="67" t="s">
        <v>2239</v>
      </c>
      <c r="R115" s="182">
        <v>71</v>
      </c>
      <c r="S115" s="219">
        <f>System!C$11</f>
        <v>0.09</v>
      </c>
      <c r="T115" s="245">
        <f t="shared" si="3"/>
        <v>6.39</v>
      </c>
      <c r="U115" s="219">
        <f>System!D$11</f>
        <v>0.33</v>
      </c>
      <c r="V115" s="247">
        <f t="shared" si="4"/>
        <v>205.24679999999998</v>
      </c>
      <c r="W115" s="37"/>
      <c r="X115" s="266"/>
      <c r="Y115" s="11" t="s">
        <v>2324</v>
      </c>
      <c r="Z115" s="107"/>
    </row>
    <row r="116" spans="1:26" s="6" customFormat="1" ht="20" x14ac:dyDescent="0.2">
      <c r="B116" s="134" t="s">
        <v>374</v>
      </c>
      <c r="C116" s="135" t="s">
        <v>4100</v>
      </c>
      <c r="D116" s="134" t="s">
        <v>412</v>
      </c>
      <c r="E116" s="135" t="s">
        <v>413</v>
      </c>
      <c r="F116" s="127">
        <v>55.050094999999999</v>
      </c>
      <c r="G116" s="127">
        <v>-119.61597999999999</v>
      </c>
      <c r="H116" s="22" t="s">
        <v>2228</v>
      </c>
      <c r="I116" s="22" t="s">
        <v>2379</v>
      </c>
      <c r="J116" s="96" t="s">
        <v>3537</v>
      </c>
      <c r="K116" s="22" t="s">
        <v>2617</v>
      </c>
      <c r="L116" s="95">
        <v>144</v>
      </c>
      <c r="M116" s="228">
        <v>2001</v>
      </c>
      <c r="N116" s="93">
        <f>M116+30</f>
        <v>2031</v>
      </c>
      <c r="O116" s="99"/>
      <c r="P116" s="148" t="s">
        <v>311</v>
      </c>
      <c r="Q116" s="67" t="s">
        <v>2588</v>
      </c>
      <c r="R116" s="137">
        <v>9</v>
      </c>
      <c r="S116" s="242">
        <f>System!C$7</f>
        <v>0.94</v>
      </c>
      <c r="T116" s="243">
        <f t="shared" si="3"/>
        <v>8.4599999999999991</v>
      </c>
      <c r="U116" s="219">
        <f>System!D$7</f>
        <v>0.3</v>
      </c>
      <c r="V116" s="247">
        <f t="shared" si="4"/>
        <v>23.652000000000001</v>
      </c>
      <c r="W116" s="37">
        <v>1</v>
      </c>
      <c r="X116" s="68"/>
      <c r="Y116" s="11" t="s">
        <v>4403</v>
      </c>
      <c r="Z116" s="79"/>
    </row>
    <row r="117" spans="1:26" s="6" customFormat="1" ht="20" x14ac:dyDescent="0.2">
      <c r="A117" s="61"/>
      <c r="B117" s="134" t="s">
        <v>350</v>
      </c>
      <c r="C117" s="135" t="s">
        <v>4092</v>
      </c>
      <c r="D117" s="134" t="s">
        <v>293</v>
      </c>
      <c r="E117" s="135" t="s">
        <v>294</v>
      </c>
      <c r="F117" s="118">
        <v>52.3078</v>
      </c>
      <c r="G117" s="118">
        <v>-113.5468</v>
      </c>
      <c r="H117" s="22" t="s">
        <v>2228</v>
      </c>
      <c r="I117" s="22" t="s">
        <v>2379</v>
      </c>
      <c r="J117" s="96" t="s">
        <v>3643</v>
      </c>
      <c r="K117" s="22" t="s">
        <v>2684</v>
      </c>
      <c r="L117" s="95">
        <v>144</v>
      </c>
      <c r="M117" s="64">
        <v>1999</v>
      </c>
      <c r="N117" s="93">
        <f>M117+30</f>
        <v>2029</v>
      </c>
      <c r="O117" s="113"/>
      <c r="P117" s="148" t="s">
        <v>332</v>
      </c>
      <c r="Q117" s="67" t="s">
        <v>2587</v>
      </c>
      <c r="R117" s="53">
        <v>504</v>
      </c>
      <c r="S117" s="242">
        <f>System!C$6</f>
        <v>0.94</v>
      </c>
      <c r="T117" s="243">
        <f t="shared" si="3"/>
        <v>473.76</v>
      </c>
      <c r="U117" s="219">
        <f>System!D$6</f>
        <v>0.3</v>
      </c>
      <c r="V117" s="247">
        <f t="shared" si="4"/>
        <v>1324.5119999999999</v>
      </c>
      <c r="W117" s="37">
        <v>1</v>
      </c>
      <c r="X117" s="68"/>
      <c r="Y117" s="11"/>
      <c r="Z117" s="11"/>
    </row>
    <row r="118" spans="1:26" s="6" customFormat="1" ht="20" x14ac:dyDescent="0.2">
      <c r="B118" s="134" t="s">
        <v>362</v>
      </c>
      <c r="C118" s="135" t="s">
        <v>4087</v>
      </c>
      <c r="D118" s="134" t="s">
        <v>354</v>
      </c>
      <c r="E118" s="135" t="s">
        <v>431</v>
      </c>
      <c r="F118" s="127">
        <v>54.575330999999998</v>
      </c>
      <c r="G118" s="127">
        <v>-115.50549100000001</v>
      </c>
      <c r="H118" s="22" t="s">
        <v>2228</v>
      </c>
      <c r="I118" s="22" t="s">
        <v>2379</v>
      </c>
      <c r="J118" s="96" t="s">
        <v>3647</v>
      </c>
      <c r="K118" s="22" t="s">
        <v>3261</v>
      </c>
      <c r="L118" s="95">
        <v>144</v>
      </c>
      <c r="M118" s="62">
        <v>2014</v>
      </c>
      <c r="N118" s="93">
        <f>M118+30</f>
        <v>2044</v>
      </c>
      <c r="O118" s="132"/>
      <c r="P118" s="148" t="s">
        <v>311</v>
      </c>
      <c r="Q118" s="67" t="s">
        <v>2588</v>
      </c>
      <c r="R118" s="53">
        <v>15</v>
      </c>
      <c r="S118" s="242">
        <f>System!C$7</f>
        <v>0.94</v>
      </c>
      <c r="T118" s="243">
        <f t="shared" si="3"/>
        <v>14.1</v>
      </c>
      <c r="U118" s="219">
        <f>System!D$7</f>
        <v>0.3</v>
      </c>
      <c r="V118" s="247">
        <f t="shared" si="4"/>
        <v>39.42</v>
      </c>
      <c r="W118" s="122">
        <v>1</v>
      </c>
      <c r="X118" s="68"/>
      <c r="Y118" s="11"/>
      <c r="Z118" s="11"/>
    </row>
    <row r="119" spans="1:26" s="6" customFormat="1" ht="20" x14ac:dyDescent="0.2">
      <c r="B119" s="134" t="s">
        <v>445</v>
      </c>
      <c r="C119" s="135" t="s">
        <v>2508</v>
      </c>
      <c r="D119" s="134" t="s">
        <v>272</v>
      </c>
      <c r="E119" s="135" t="s">
        <v>238</v>
      </c>
      <c r="F119" s="118">
        <v>51.0969111</v>
      </c>
      <c r="G119" s="118">
        <v>-115.0582473</v>
      </c>
      <c r="H119" s="22" t="s">
        <v>2228</v>
      </c>
      <c r="I119" s="22" t="s">
        <v>2379</v>
      </c>
      <c r="J119" s="96" t="s">
        <v>3651</v>
      </c>
      <c r="K119" s="22" t="s">
        <v>2685</v>
      </c>
      <c r="L119" s="95">
        <v>138</v>
      </c>
      <c r="M119" s="64">
        <v>1954</v>
      </c>
      <c r="N119" s="72">
        <v>2034</v>
      </c>
      <c r="O119" s="99"/>
      <c r="P119" s="148" t="s">
        <v>140</v>
      </c>
      <c r="Q119" s="67" t="s">
        <v>2238</v>
      </c>
      <c r="R119" s="53">
        <v>4.5</v>
      </c>
      <c r="S119" s="242">
        <f>System!C$10</f>
        <v>0.3</v>
      </c>
      <c r="T119" s="243">
        <f t="shared" si="3"/>
        <v>1.3499999999999999</v>
      </c>
      <c r="U119" s="242">
        <f>System!D$9</f>
        <v>0.24</v>
      </c>
      <c r="V119" s="248">
        <f t="shared" si="4"/>
        <v>9.4608000000000008</v>
      </c>
      <c r="W119" s="122">
        <v>3</v>
      </c>
      <c r="X119" s="68"/>
      <c r="Y119" s="11"/>
      <c r="Z119" s="11"/>
    </row>
    <row r="120" spans="1:26" s="6" customFormat="1" ht="20" x14ac:dyDescent="0.2">
      <c r="B120" s="134" t="s">
        <v>446</v>
      </c>
      <c r="C120" s="135" t="s">
        <v>2540</v>
      </c>
      <c r="D120" s="134" t="s">
        <v>272</v>
      </c>
      <c r="E120" s="135" t="s">
        <v>238</v>
      </c>
      <c r="F120" s="118">
        <v>51.0969111</v>
      </c>
      <c r="G120" s="118">
        <v>-115.0582473</v>
      </c>
      <c r="H120" s="22" t="s">
        <v>2228</v>
      </c>
      <c r="I120" s="22" t="s">
        <v>2379</v>
      </c>
      <c r="J120" s="96" t="s">
        <v>3651</v>
      </c>
      <c r="K120" s="22" t="s">
        <v>2685</v>
      </c>
      <c r="L120" s="95">
        <v>138</v>
      </c>
      <c r="M120" s="64">
        <v>1954</v>
      </c>
      <c r="N120" s="72">
        <v>2034</v>
      </c>
      <c r="O120" s="99"/>
      <c r="P120" s="148" t="s">
        <v>140</v>
      </c>
      <c r="Q120" s="67" t="s">
        <v>2238</v>
      </c>
      <c r="R120" s="53">
        <v>4.5</v>
      </c>
      <c r="S120" s="242">
        <f>System!C$10</f>
        <v>0.3</v>
      </c>
      <c r="T120" s="243">
        <f t="shared" si="3"/>
        <v>1.3499999999999999</v>
      </c>
      <c r="U120" s="242">
        <f>System!D$9</f>
        <v>0.24</v>
      </c>
      <c r="V120" s="248">
        <f t="shared" si="4"/>
        <v>9.4608000000000008</v>
      </c>
      <c r="W120" s="122">
        <v>3</v>
      </c>
      <c r="X120" s="68"/>
      <c r="Y120" s="11"/>
      <c r="Z120" s="107"/>
    </row>
    <row r="121" spans="1:26" s="6" customFormat="1" ht="20" x14ac:dyDescent="0.2">
      <c r="B121" s="134" t="s">
        <v>447</v>
      </c>
      <c r="C121" s="135" t="s">
        <v>2566</v>
      </c>
      <c r="D121" s="134" t="s">
        <v>272</v>
      </c>
      <c r="E121" s="135" t="s">
        <v>238</v>
      </c>
      <c r="F121" s="118">
        <v>51.0969111</v>
      </c>
      <c r="G121" s="118">
        <v>-115.0582473</v>
      </c>
      <c r="H121" s="22" t="s">
        <v>2228</v>
      </c>
      <c r="I121" s="22" t="s">
        <v>2379</v>
      </c>
      <c r="J121" s="96" t="s">
        <v>3651</v>
      </c>
      <c r="K121" s="22" t="s">
        <v>2685</v>
      </c>
      <c r="L121" s="95">
        <v>138</v>
      </c>
      <c r="M121" s="64">
        <v>1954</v>
      </c>
      <c r="N121" s="72">
        <v>2034</v>
      </c>
      <c r="O121" s="99"/>
      <c r="P121" s="148" t="s">
        <v>140</v>
      </c>
      <c r="Q121" s="67" t="s">
        <v>2238</v>
      </c>
      <c r="R121" s="53">
        <v>10</v>
      </c>
      <c r="S121" s="242">
        <f>System!C$10</f>
        <v>0.3</v>
      </c>
      <c r="T121" s="243">
        <f t="shared" si="3"/>
        <v>3</v>
      </c>
      <c r="U121" s="242">
        <f>System!D$9</f>
        <v>0.24</v>
      </c>
      <c r="V121" s="248">
        <f t="shared" si="4"/>
        <v>21.023999999999997</v>
      </c>
      <c r="W121" s="122">
        <v>3</v>
      </c>
      <c r="X121" s="68"/>
      <c r="Y121" s="11"/>
      <c r="Z121" s="107"/>
    </row>
    <row r="122" spans="1:26" s="61" customFormat="1" ht="20" x14ac:dyDescent="0.2">
      <c r="B122" s="134" t="s">
        <v>2399</v>
      </c>
      <c r="C122" s="135" t="s">
        <v>4093</v>
      </c>
      <c r="D122" s="134" t="s">
        <v>272</v>
      </c>
      <c r="E122" s="135" t="s">
        <v>2400</v>
      </c>
      <c r="F122" s="127">
        <v>54.098968999999997</v>
      </c>
      <c r="G122" s="127">
        <v>-116.61384</v>
      </c>
      <c r="H122" s="22" t="s">
        <v>2228</v>
      </c>
      <c r="I122" s="22" t="s">
        <v>2379</v>
      </c>
      <c r="J122" s="96" t="s">
        <v>3652</v>
      </c>
      <c r="K122" s="22" t="s">
        <v>2686</v>
      </c>
      <c r="L122" s="95">
        <v>138</v>
      </c>
      <c r="M122" s="228">
        <v>2022</v>
      </c>
      <c r="N122" s="93">
        <f>M122+30</f>
        <v>2052</v>
      </c>
      <c r="O122" s="99"/>
      <c r="P122" s="229" t="s">
        <v>332</v>
      </c>
      <c r="Q122" s="67" t="s">
        <v>2587</v>
      </c>
      <c r="R122" s="182">
        <v>40</v>
      </c>
      <c r="S122" s="242">
        <f>System!C$6</f>
        <v>0.94</v>
      </c>
      <c r="T122" s="243">
        <f t="shared" si="3"/>
        <v>37.599999999999994</v>
      </c>
      <c r="U122" s="219">
        <f>System!D$6</f>
        <v>0.3</v>
      </c>
      <c r="V122" s="247">
        <f t="shared" si="4"/>
        <v>105.12</v>
      </c>
      <c r="W122" s="122">
        <v>1</v>
      </c>
      <c r="X122" s="68"/>
      <c r="Y122" s="11" t="s">
        <v>2405</v>
      </c>
      <c r="Z122" s="107"/>
    </row>
    <row r="123" spans="1:26" s="61" customFormat="1" ht="20" x14ac:dyDescent="0.2">
      <c r="B123" s="134" t="s">
        <v>384</v>
      </c>
      <c r="C123" s="135" t="s">
        <v>4101</v>
      </c>
      <c r="D123" s="134" t="s">
        <v>281</v>
      </c>
      <c r="E123" s="135" t="s">
        <v>277</v>
      </c>
      <c r="F123" s="127">
        <v>57.421036000000001</v>
      </c>
      <c r="G123" s="127">
        <v>-110.9264</v>
      </c>
      <c r="H123" s="22" t="s">
        <v>2228</v>
      </c>
      <c r="I123" s="22" t="s">
        <v>2379</v>
      </c>
      <c r="J123" s="96" t="s">
        <v>3653</v>
      </c>
      <c r="K123" s="22" t="s">
        <v>2687</v>
      </c>
      <c r="L123" s="95">
        <v>240</v>
      </c>
      <c r="M123" s="65">
        <v>1950</v>
      </c>
      <c r="N123" s="93">
        <f>M123+30+30+30</f>
        <v>2040</v>
      </c>
      <c r="O123" s="132"/>
      <c r="P123" s="148" t="s">
        <v>332</v>
      </c>
      <c r="Q123" s="67" t="s">
        <v>2587</v>
      </c>
      <c r="R123" s="53">
        <v>81.099999999999994</v>
      </c>
      <c r="S123" s="242">
        <f>System!C$6</f>
        <v>0.94</v>
      </c>
      <c r="T123" s="243">
        <f t="shared" si="3"/>
        <v>76.233999999999995</v>
      </c>
      <c r="U123" s="219">
        <f>System!D$6</f>
        <v>0.3</v>
      </c>
      <c r="V123" s="247">
        <f t="shared" si="4"/>
        <v>213.13079999999999</v>
      </c>
      <c r="W123" s="122">
        <v>1</v>
      </c>
      <c r="X123" s="266"/>
      <c r="Y123" s="11"/>
      <c r="Z123" s="107"/>
    </row>
    <row r="124" spans="1:26" s="61" customFormat="1" ht="20" x14ac:dyDescent="0.2">
      <c r="B124" s="134" t="s">
        <v>4190</v>
      </c>
      <c r="C124" s="135" t="s">
        <v>2498</v>
      </c>
      <c r="D124" s="134" t="s">
        <v>272</v>
      </c>
      <c r="E124" s="135" t="s">
        <v>289</v>
      </c>
      <c r="F124" s="117">
        <v>53.448700000000002</v>
      </c>
      <c r="G124" s="117">
        <v>-114.45010000000001</v>
      </c>
      <c r="H124" s="22" t="s">
        <v>2228</v>
      </c>
      <c r="I124" s="22" t="s">
        <v>2379</v>
      </c>
      <c r="J124" s="96" t="s">
        <v>3654</v>
      </c>
      <c r="K124" s="22" t="s">
        <v>2688</v>
      </c>
      <c r="L124" s="95">
        <v>240</v>
      </c>
      <c r="M124" s="64">
        <v>2012</v>
      </c>
      <c r="N124" s="306">
        <v>2021</v>
      </c>
      <c r="O124" s="112"/>
      <c r="P124" s="148" t="s">
        <v>456</v>
      </c>
      <c r="Q124" s="67" t="s">
        <v>2237</v>
      </c>
      <c r="R124" s="53">
        <v>434</v>
      </c>
      <c r="S124" s="241">
        <f>System!C$4</f>
        <v>0.9</v>
      </c>
      <c r="T124" s="244">
        <f t="shared" si="3"/>
        <v>390.6</v>
      </c>
      <c r="U124" s="219">
        <f>System!D$4</f>
        <v>0.55000000000000004</v>
      </c>
      <c r="V124" s="247">
        <f t="shared" si="4"/>
        <v>2091.0120000000002</v>
      </c>
      <c r="W124" s="37">
        <v>3</v>
      </c>
      <c r="X124" s="68"/>
      <c r="Y124" s="11" t="s">
        <v>4229</v>
      </c>
      <c r="Z124" s="11"/>
    </row>
    <row r="125" spans="1:26" s="6" customFormat="1" ht="20" x14ac:dyDescent="0.2">
      <c r="B125" s="134" t="s">
        <v>4191</v>
      </c>
      <c r="C125" s="135" t="s">
        <v>2530</v>
      </c>
      <c r="D125" s="134" t="s">
        <v>272</v>
      </c>
      <c r="E125" s="135" t="s">
        <v>289</v>
      </c>
      <c r="F125" s="118">
        <v>53.448700000000002</v>
      </c>
      <c r="G125" s="118">
        <v>-114.45010000000001</v>
      </c>
      <c r="H125" s="22" t="s">
        <v>2228</v>
      </c>
      <c r="I125" s="22" t="s">
        <v>2379</v>
      </c>
      <c r="J125" s="96" t="s">
        <v>3654</v>
      </c>
      <c r="K125" s="22" t="s">
        <v>2688</v>
      </c>
      <c r="L125" s="95">
        <v>240</v>
      </c>
      <c r="M125" s="64">
        <v>2012</v>
      </c>
      <c r="N125" s="306">
        <v>2021</v>
      </c>
      <c r="O125" s="111"/>
      <c r="P125" s="148" t="s">
        <v>456</v>
      </c>
      <c r="Q125" s="67" t="s">
        <v>2237</v>
      </c>
      <c r="R125" s="53">
        <v>434</v>
      </c>
      <c r="S125" s="241">
        <f>System!C$4</f>
        <v>0.9</v>
      </c>
      <c r="T125" s="244">
        <f t="shared" si="3"/>
        <v>390.6</v>
      </c>
      <c r="U125" s="219">
        <f>System!D$4</f>
        <v>0.55000000000000004</v>
      </c>
      <c r="V125" s="247">
        <f t="shared" si="4"/>
        <v>2091.0120000000002</v>
      </c>
      <c r="W125" s="37">
        <v>3</v>
      </c>
      <c r="X125" s="68"/>
      <c r="Y125" s="11" t="s">
        <v>4229</v>
      </c>
      <c r="Z125" s="11"/>
    </row>
    <row r="126" spans="1:26" s="6" customFormat="1" ht="20" x14ac:dyDescent="0.2">
      <c r="B126" s="134" t="s">
        <v>4192</v>
      </c>
      <c r="C126" s="135" t="s">
        <v>2562</v>
      </c>
      <c r="D126" s="134" t="s">
        <v>272</v>
      </c>
      <c r="E126" s="135" t="s">
        <v>289</v>
      </c>
      <c r="F126" s="118">
        <v>53.448700000000002</v>
      </c>
      <c r="G126" s="118">
        <v>-114.45010000000001</v>
      </c>
      <c r="H126" s="22" t="s">
        <v>2228</v>
      </c>
      <c r="I126" s="22" t="s">
        <v>2379</v>
      </c>
      <c r="J126" s="96" t="s">
        <v>3654</v>
      </c>
      <c r="K126" s="22" t="s">
        <v>2688</v>
      </c>
      <c r="L126" s="95">
        <v>240</v>
      </c>
      <c r="M126" s="64">
        <v>2011</v>
      </c>
      <c r="N126" s="306">
        <v>2021</v>
      </c>
      <c r="O126" s="111"/>
      <c r="P126" s="148" t="s">
        <v>456</v>
      </c>
      <c r="Q126" s="67" t="s">
        <v>2237</v>
      </c>
      <c r="R126" s="53">
        <v>498</v>
      </c>
      <c r="S126" s="241">
        <f>System!C$4</f>
        <v>0.9</v>
      </c>
      <c r="T126" s="244">
        <f t="shared" si="3"/>
        <v>448.2</v>
      </c>
      <c r="U126" s="219">
        <f>System!D$4</f>
        <v>0.55000000000000004</v>
      </c>
      <c r="V126" s="247">
        <f t="shared" si="4"/>
        <v>2399.364</v>
      </c>
      <c r="W126" s="37">
        <v>3</v>
      </c>
      <c r="X126" s="68"/>
      <c r="Y126" s="11" t="s">
        <v>4229</v>
      </c>
      <c r="Z126" s="11"/>
    </row>
    <row r="127" spans="1:26" s="6" customFormat="1" ht="20" x14ac:dyDescent="0.2">
      <c r="B127" s="134" t="s">
        <v>4193</v>
      </c>
      <c r="C127" s="135" t="s">
        <v>2511</v>
      </c>
      <c r="D127" s="134" t="s">
        <v>272</v>
      </c>
      <c r="E127" s="135" t="s">
        <v>289</v>
      </c>
      <c r="F127" s="118">
        <v>53.448700000000002</v>
      </c>
      <c r="G127" s="118">
        <v>-114.45010000000001</v>
      </c>
      <c r="H127" s="22" t="s">
        <v>2228</v>
      </c>
      <c r="I127" s="22" t="s">
        <v>2379</v>
      </c>
      <c r="J127" s="96" t="s">
        <v>3654</v>
      </c>
      <c r="K127" s="22" t="s">
        <v>2688</v>
      </c>
      <c r="L127" s="95">
        <v>240</v>
      </c>
      <c r="M127" s="306">
        <v>2022</v>
      </c>
      <c r="N127" s="306">
        <v>2029</v>
      </c>
      <c r="O127" s="112"/>
      <c r="P127" s="229" t="s">
        <v>333</v>
      </c>
      <c r="Q127" s="67" t="s">
        <v>2587</v>
      </c>
      <c r="R127" s="182">
        <v>655</v>
      </c>
      <c r="S127" s="242">
        <f>System!C$5</f>
        <v>0.94</v>
      </c>
      <c r="T127" s="243">
        <f t="shared" si="3"/>
        <v>615.69999999999993</v>
      </c>
      <c r="U127" s="219">
        <f>System!D$5</f>
        <v>0.6</v>
      </c>
      <c r="V127" s="247">
        <f t="shared" si="4"/>
        <v>3442.68</v>
      </c>
      <c r="W127" s="37">
        <v>3</v>
      </c>
      <c r="X127" s="68"/>
      <c r="Y127" s="11" t="s">
        <v>4229</v>
      </c>
      <c r="Z127" s="11"/>
    </row>
    <row r="128" spans="1:26" s="6" customFormat="1" ht="20" x14ac:dyDescent="0.2">
      <c r="B128" s="134" t="s">
        <v>4194</v>
      </c>
      <c r="C128" s="135" t="s">
        <v>2543</v>
      </c>
      <c r="D128" s="134" t="s">
        <v>272</v>
      </c>
      <c r="E128" s="135" t="s">
        <v>289</v>
      </c>
      <c r="F128" s="117">
        <v>53.448700000000002</v>
      </c>
      <c r="G128" s="117">
        <v>-114.45010000000001</v>
      </c>
      <c r="H128" s="22" t="s">
        <v>2228</v>
      </c>
      <c r="I128" s="22" t="s">
        <v>2379</v>
      </c>
      <c r="J128" s="96" t="s">
        <v>3654</v>
      </c>
      <c r="K128" s="205" t="s">
        <v>2688</v>
      </c>
      <c r="L128" s="95">
        <v>240</v>
      </c>
      <c r="M128" s="306">
        <v>2022</v>
      </c>
      <c r="N128" s="306">
        <v>2034</v>
      </c>
      <c r="O128" s="111"/>
      <c r="P128" s="229" t="s">
        <v>333</v>
      </c>
      <c r="Q128" s="67" t="s">
        <v>2587</v>
      </c>
      <c r="R128" s="182">
        <v>406</v>
      </c>
      <c r="S128" s="242">
        <f>System!C$5</f>
        <v>0.94</v>
      </c>
      <c r="T128" s="243">
        <f t="shared" si="3"/>
        <v>381.64</v>
      </c>
      <c r="U128" s="219">
        <f>System!D$5</f>
        <v>0.6</v>
      </c>
      <c r="V128" s="247">
        <f t="shared" si="4"/>
        <v>2133.9360000000001</v>
      </c>
      <c r="W128" s="122">
        <v>3</v>
      </c>
      <c r="X128" s="68"/>
      <c r="Y128" s="11" t="s">
        <v>4229</v>
      </c>
      <c r="Z128" s="11"/>
    </row>
    <row r="129" spans="1:26" s="6" customFormat="1" ht="20" x14ac:dyDescent="0.2">
      <c r="B129" s="134" t="s">
        <v>4195</v>
      </c>
      <c r="C129" s="135" t="s">
        <v>2568</v>
      </c>
      <c r="D129" s="134" t="s">
        <v>272</v>
      </c>
      <c r="E129" s="135" t="s">
        <v>289</v>
      </c>
      <c r="F129" s="118">
        <v>53.448700000000002</v>
      </c>
      <c r="G129" s="118">
        <v>-114.45010000000001</v>
      </c>
      <c r="H129" s="22" t="s">
        <v>2228</v>
      </c>
      <c r="I129" s="22" t="s">
        <v>2379</v>
      </c>
      <c r="J129" s="96" t="s">
        <v>3654</v>
      </c>
      <c r="K129" s="22" t="s">
        <v>2688</v>
      </c>
      <c r="L129" s="95">
        <v>240</v>
      </c>
      <c r="M129" s="306">
        <v>2022</v>
      </c>
      <c r="N129" s="306">
        <v>2034</v>
      </c>
      <c r="O129" s="111"/>
      <c r="P129" s="229" t="s">
        <v>333</v>
      </c>
      <c r="Q129" s="67" t="s">
        <v>2587</v>
      </c>
      <c r="R129" s="53">
        <v>498</v>
      </c>
      <c r="S129" s="242">
        <f>System!C$5</f>
        <v>0.94</v>
      </c>
      <c r="T129" s="243">
        <f t="shared" si="3"/>
        <v>468.11999999999995</v>
      </c>
      <c r="U129" s="219">
        <f>System!D$5</f>
        <v>0.6</v>
      </c>
      <c r="V129" s="247">
        <f t="shared" si="4"/>
        <v>2617.4880000000003</v>
      </c>
      <c r="W129" s="122">
        <v>3</v>
      </c>
      <c r="X129" s="266"/>
      <c r="Y129" s="11" t="s">
        <v>4229</v>
      </c>
      <c r="Z129" s="107"/>
    </row>
    <row r="130" spans="1:26" s="6" customFormat="1" ht="20" x14ac:dyDescent="0.2">
      <c r="B130" s="134" t="s">
        <v>2299</v>
      </c>
      <c r="C130" s="135" t="s">
        <v>4102</v>
      </c>
      <c r="D130" s="134" t="s">
        <v>260</v>
      </c>
      <c r="E130" s="135" t="s">
        <v>226</v>
      </c>
      <c r="F130" s="117">
        <v>49.515876400000003</v>
      </c>
      <c r="G130" s="117">
        <v>-113.82177419999999</v>
      </c>
      <c r="H130" s="22" t="s">
        <v>2228</v>
      </c>
      <c r="I130" s="22" t="s">
        <v>2379</v>
      </c>
      <c r="J130" s="96" t="s">
        <v>4019</v>
      </c>
      <c r="K130" s="22" t="s">
        <v>2689</v>
      </c>
      <c r="L130" s="95">
        <v>144</v>
      </c>
      <c r="M130" s="64">
        <v>2007</v>
      </c>
      <c r="N130" s="64">
        <v>2027</v>
      </c>
      <c r="O130" s="99"/>
      <c r="P130" s="148" t="s">
        <v>116</v>
      </c>
      <c r="Q130" s="67" t="s">
        <v>2239</v>
      </c>
      <c r="R130" s="53">
        <v>63</v>
      </c>
      <c r="S130" s="219">
        <f>System!C$11</f>
        <v>0.09</v>
      </c>
      <c r="T130" s="245">
        <f t="shared" si="3"/>
        <v>5.67</v>
      </c>
      <c r="U130" s="219">
        <f>System!D$11</f>
        <v>0.33</v>
      </c>
      <c r="V130" s="247">
        <f t="shared" si="4"/>
        <v>182.12040000000002</v>
      </c>
      <c r="W130" s="37"/>
      <c r="X130" s="266"/>
      <c r="Y130" s="11"/>
      <c r="Z130" s="107"/>
    </row>
    <row r="131" spans="1:26" s="6" customFormat="1" ht="20" x14ac:dyDescent="0.2">
      <c r="B131" s="134" t="s">
        <v>436</v>
      </c>
      <c r="C131" s="135" t="s">
        <v>4103</v>
      </c>
      <c r="D131" s="134" t="s">
        <v>358</v>
      </c>
      <c r="E131" s="135" t="s">
        <v>356</v>
      </c>
      <c r="F131" s="127">
        <v>49.833142000000002</v>
      </c>
      <c r="G131" s="127">
        <v>-111.521636</v>
      </c>
      <c r="H131" s="22" t="s">
        <v>2228</v>
      </c>
      <c r="I131" s="22" t="s">
        <v>2379</v>
      </c>
      <c r="J131" s="96" t="s">
        <v>3438</v>
      </c>
      <c r="K131" s="205" t="s">
        <v>2690</v>
      </c>
      <c r="L131" s="95">
        <v>138</v>
      </c>
      <c r="M131" s="64">
        <v>2001</v>
      </c>
      <c r="N131" s="93">
        <f t="shared" ref="N131:N136" si="6">M131+30</f>
        <v>2031</v>
      </c>
      <c r="O131" s="99"/>
      <c r="P131" s="148" t="s">
        <v>311</v>
      </c>
      <c r="Q131" s="67" t="s">
        <v>2588</v>
      </c>
      <c r="R131" s="53">
        <v>8</v>
      </c>
      <c r="S131" s="242">
        <f>System!C$7</f>
        <v>0.94</v>
      </c>
      <c r="T131" s="243">
        <f t="shared" si="3"/>
        <v>7.52</v>
      </c>
      <c r="U131" s="219">
        <f>System!D$7</f>
        <v>0.3</v>
      </c>
      <c r="V131" s="247">
        <f t="shared" si="4"/>
        <v>21.023999999999997</v>
      </c>
      <c r="W131" s="122">
        <v>1</v>
      </c>
      <c r="X131" s="68"/>
      <c r="Y131" s="11"/>
      <c r="Z131" s="107"/>
    </row>
    <row r="132" spans="1:26" s="6" customFormat="1" ht="20" x14ac:dyDescent="0.2">
      <c r="B132" s="134" t="s">
        <v>438</v>
      </c>
      <c r="C132" s="135" t="s">
        <v>4104</v>
      </c>
      <c r="D132" s="134" t="s">
        <v>358</v>
      </c>
      <c r="E132" s="135" t="s">
        <v>357</v>
      </c>
      <c r="F132" s="127">
        <v>49.728411000000001</v>
      </c>
      <c r="G132" s="127">
        <v>-112.623474</v>
      </c>
      <c r="H132" s="22" t="s">
        <v>2228</v>
      </c>
      <c r="I132" s="22" t="s">
        <v>2379</v>
      </c>
      <c r="J132" s="96" t="s">
        <v>3480</v>
      </c>
      <c r="K132" s="22" t="s">
        <v>2670</v>
      </c>
      <c r="L132" s="95">
        <v>138</v>
      </c>
      <c r="M132" s="64">
        <v>2001</v>
      </c>
      <c r="N132" s="93">
        <f t="shared" si="6"/>
        <v>2031</v>
      </c>
      <c r="O132" s="99"/>
      <c r="P132" s="148" t="s">
        <v>311</v>
      </c>
      <c r="Q132" s="67" t="s">
        <v>2588</v>
      </c>
      <c r="R132" s="53">
        <v>7</v>
      </c>
      <c r="S132" s="242">
        <f>System!C$7</f>
        <v>0.94</v>
      </c>
      <c r="T132" s="243">
        <f t="shared" ref="T132:T195" si="7">R132*S132</f>
        <v>6.58</v>
      </c>
      <c r="U132" s="219">
        <f>System!D$7</f>
        <v>0.3</v>
      </c>
      <c r="V132" s="247">
        <f t="shared" ref="V132:V195" si="8">U132*R132*24*365/1000</f>
        <v>18.396000000000004</v>
      </c>
      <c r="W132" s="122">
        <v>1</v>
      </c>
      <c r="X132" s="68"/>
      <c r="Y132" s="11"/>
      <c r="Z132" s="11"/>
    </row>
    <row r="133" spans="1:26" s="6" customFormat="1" ht="20" x14ac:dyDescent="0.2">
      <c r="B133" s="43" t="s">
        <v>4302</v>
      </c>
      <c r="C133" s="135" t="s">
        <v>4105</v>
      </c>
      <c r="D133" s="43" t="s">
        <v>358</v>
      </c>
      <c r="E133" s="62" t="s">
        <v>206</v>
      </c>
      <c r="F133" s="127">
        <v>49.722884000000001</v>
      </c>
      <c r="G133" s="127">
        <v>-113.40435600000001</v>
      </c>
      <c r="H133" s="22" t="s">
        <v>2228</v>
      </c>
      <c r="I133" s="22" t="s">
        <v>2379</v>
      </c>
      <c r="J133" s="96" t="s">
        <v>3567</v>
      </c>
      <c r="K133" s="22" t="s">
        <v>2691</v>
      </c>
      <c r="L133" s="95">
        <v>138</v>
      </c>
      <c r="M133" s="64">
        <v>2001</v>
      </c>
      <c r="N133" s="93">
        <f t="shared" si="6"/>
        <v>2031</v>
      </c>
      <c r="O133" s="132"/>
      <c r="P133" s="62" t="s">
        <v>311</v>
      </c>
      <c r="Q133" s="67" t="s">
        <v>2588</v>
      </c>
      <c r="R133" s="53">
        <v>4.0999999999999996</v>
      </c>
      <c r="S133" s="242">
        <f>System!C$7</f>
        <v>0.94</v>
      </c>
      <c r="T133" s="243">
        <f t="shared" si="7"/>
        <v>3.8539999999999996</v>
      </c>
      <c r="U133" s="219">
        <f>System!D$7</f>
        <v>0.3</v>
      </c>
      <c r="V133" s="247">
        <f t="shared" si="8"/>
        <v>10.774799999999999</v>
      </c>
      <c r="W133" s="122">
        <v>1</v>
      </c>
      <c r="X133" s="68"/>
      <c r="Y133" s="11"/>
      <c r="Z133" s="107"/>
    </row>
    <row r="134" spans="1:26" s="6" customFormat="1" ht="20" x14ac:dyDescent="0.2">
      <c r="B134" s="134" t="s">
        <v>437</v>
      </c>
      <c r="C134" s="135" t="s">
        <v>4106</v>
      </c>
      <c r="D134" s="134" t="s">
        <v>358</v>
      </c>
      <c r="E134" s="135" t="s">
        <v>214</v>
      </c>
      <c r="F134" s="127">
        <v>49.782231000000003</v>
      </c>
      <c r="G134" s="127">
        <v>-112.150141</v>
      </c>
      <c r="H134" s="22" t="s">
        <v>2228</v>
      </c>
      <c r="I134" s="22" t="s">
        <v>2379</v>
      </c>
      <c r="J134" s="96" t="s">
        <v>3873</v>
      </c>
      <c r="K134" s="22" t="s">
        <v>2724</v>
      </c>
      <c r="L134" s="95">
        <v>138</v>
      </c>
      <c r="M134" s="64">
        <v>2001</v>
      </c>
      <c r="N134" s="93">
        <f t="shared" si="6"/>
        <v>2031</v>
      </c>
      <c r="O134" s="132"/>
      <c r="P134" s="148" t="s">
        <v>311</v>
      </c>
      <c r="Q134" s="67" t="s">
        <v>2588</v>
      </c>
      <c r="R134" s="53">
        <v>6</v>
      </c>
      <c r="S134" s="242">
        <f>System!C$7</f>
        <v>0.94</v>
      </c>
      <c r="T134" s="243">
        <f t="shared" si="7"/>
        <v>5.64</v>
      </c>
      <c r="U134" s="219">
        <f>System!D$7</f>
        <v>0.3</v>
      </c>
      <c r="V134" s="247">
        <f t="shared" si="8"/>
        <v>15.767999999999999</v>
      </c>
      <c r="W134" s="122">
        <v>1</v>
      </c>
      <c r="X134" s="68"/>
      <c r="Y134" s="11"/>
      <c r="Z134" s="11"/>
    </row>
    <row r="135" spans="1:26" s="61" customFormat="1" ht="20" x14ac:dyDescent="0.2">
      <c r="A135" s="292"/>
      <c r="B135" s="134" t="s">
        <v>385</v>
      </c>
      <c r="C135" s="135" t="s">
        <v>4107</v>
      </c>
      <c r="D135" s="134" t="s">
        <v>425</v>
      </c>
      <c r="E135" s="135" t="s">
        <v>385</v>
      </c>
      <c r="F135" s="127">
        <v>54.011194815159797</v>
      </c>
      <c r="G135" s="127">
        <v>-110.604851412575</v>
      </c>
      <c r="H135" s="22" t="s">
        <v>2228</v>
      </c>
      <c r="I135" s="67" t="s">
        <v>2379</v>
      </c>
      <c r="J135" s="96" t="s">
        <v>3682</v>
      </c>
      <c r="K135" s="205" t="s">
        <v>2692</v>
      </c>
      <c r="L135" s="95">
        <v>144</v>
      </c>
      <c r="M135" s="228">
        <v>2015</v>
      </c>
      <c r="N135" s="93">
        <f t="shared" si="6"/>
        <v>2045</v>
      </c>
      <c r="O135" s="99"/>
      <c r="P135" s="148" t="s">
        <v>332</v>
      </c>
      <c r="Q135" s="67" t="s">
        <v>2587</v>
      </c>
      <c r="R135" s="137">
        <v>16</v>
      </c>
      <c r="S135" s="242">
        <f>System!C$6</f>
        <v>0.94</v>
      </c>
      <c r="T135" s="243">
        <f t="shared" si="7"/>
        <v>15.04</v>
      </c>
      <c r="U135" s="219">
        <f>System!D$6</f>
        <v>0.3</v>
      </c>
      <c r="V135" s="247">
        <f t="shared" si="8"/>
        <v>42.047999999999995</v>
      </c>
      <c r="W135" s="122">
        <v>1</v>
      </c>
      <c r="X135" s="68"/>
      <c r="Y135" s="11" t="s">
        <v>4406</v>
      </c>
      <c r="Z135" s="79"/>
    </row>
    <row r="136" spans="1:26" s="6" customFormat="1" ht="20" x14ac:dyDescent="0.2">
      <c r="B136" s="134" t="s">
        <v>386</v>
      </c>
      <c r="C136" s="135" t="s">
        <v>4108</v>
      </c>
      <c r="D136" s="134" t="s">
        <v>274</v>
      </c>
      <c r="E136" s="135" t="s">
        <v>277</v>
      </c>
      <c r="F136" s="118">
        <v>57.0413</v>
      </c>
      <c r="G136" s="118">
        <v>-111.9055</v>
      </c>
      <c r="H136" s="22" t="s">
        <v>2228</v>
      </c>
      <c r="I136" s="22" t="s">
        <v>2379</v>
      </c>
      <c r="J136" s="96" t="s">
        <v>3695</v>
      </c>
      <c r="K136" s="22" t="s">
        <v>2693</v>
      </c>
      <c r="L136" s="95">
        <v>240</v>
      </c>
      <c r="M136" s="64">
        <v>2004</v>
      </c>
      <c r="N136" s="93">
        <f t="shared" si="6"/>
        <v>2034</v>
      </c>
      <c r="O136" s="99"/>
      <c r="P136" s="148" t="s">
        <v>332</v>
      </c>
      <c r="Q136" s="67" t="s">
        <v>2587</v>
      </c>
      <c r="R136" s="53">
        <v>207</v>
      </c>
      <c r="S136" s="242">
        <f>System!C$6</f>
        <v>0.94</v>
      </c>
      <c r="T136" s="243">
        <f t="shared" si="7"/>
        <v>194.57999999999998</v>
      </c>
      <c r="U136" s="219">
        <f>System!D$6</f>
        <v>0.3</v>
      </c>
      <c r="V136" s="247">
        <f t="shared" si="8"/>
        <v>543.99599999999998</v>
      </c>
      <c r="W136" s="37">
        <v>1</v>
      </c>
      <c r="X136" s="266"/>
      <c r="Y136" s="11"/>
      <c r="Z136" s="107"/>
    </row>
    <row r="137" spans="1:26" s="6" customFormat="1" ht="20" x14ac:dyDescent="0.2">
      <c r="B137" s="162" t="s">
        <v>2296</v>
      </c>
      <c r="C137" s="135" t="s">
        <v>4094</v>
      </c>
      <c r="D137" s="162" t="s">
        <v>272</v>
      </c>
      <c r="E137" s="229" t="s">
        <v>206</v>
      </c>
      <c r="F137" s="117">
        <v>49.686779100000003</v>
      </c>
      <c r="G137" s="117">
        <v>-113.4752247</v>
      </c>
      <c r="H137" s="22" t="s">
        <v>2228</v>
      </c>
      <c r="I137" s="22" t="s">
        <v>2379</v>
      </c>
      <c r="J137" s="96" t="s">
        <v>3567</v>
      </c>
      <c r="K137" s="22" t="s">
        <v>2691</v>
      </c>
      <c r="L137" s="95">
        <v>138</v>
      </c>
      <c r="M137" s="228">
        <v>2004</v>
      </c>
      <c r="N137" s="228">
        <v>2024</v>
      </c>
      <c r="O137" s="99"/>
      <c r="P137" s="229" t="s">
        <v>116</v>
      </c>
      <c r="Q137" s="67" t="s">
        <v>2239</v>
      </c>
      <c r="R137" s="182">
        <v>3</v>
      </c>
      <c r="S137" s="219">
        <f>System!C$11</f>
        <v>0.09</v>
      </c>
      <c r="T137" s="245">
        <f t="shared" si="7"/>
        <v>0.27</v>
      </c>
      <c r="U137" s="219">
        <f>System!D$11</f>
        <v>0.33</v>
      </c>
      <c r="V137" s="247">
        <f t="shared" si="8"/>
        <v>8.6723999999999997</v>
      </c>
      <c r="W137" s="37"/>
      <c r="X137" s="266"/>
      <c r="Y137" s="11" t="s">
        <v>2294</v>
      </c>
      <c r="Z137" s="107"/>
    </row>
    <row r="138" spans="1:26" s="61" customFormat="1" ht="20" x14ac:dyDescent="0.2">
      <c r="B138" s="134" t="s">
        <v>109</v>
      </c>
      <c r="C138" s="135" t="s">
        <v>4109</v>
      </c>
      <c r="D138" s="134" t="s">
        <v>261</v>
      </c>
      <c r="E138" s="135" t="s">
        <v>109</v>
      </c>
      <c r="F138" s="118">
        <v>49.385938000000003</v>
      </c>
      <c r="G138" s="118">
        <v>-112.9487846</v>
      </c>
      <c r="H138" s="22" t="s">
        <v>2228</v>
      </c>
      <c r="I138" s="22" t="s">
        <v>2379</v>
      </c>
      <c r="J138" s="96" t="s">
        <v>3698</v>
      </c>
      <c r="K138" s="22" t="s">
        <v>2694</v>
      </c>
      <c r="L138" s="95">
        <v>138</v>
      </c>
      <c r="M138" s="64">
        <v>2004</v>
      </c>
      <c r="N138" s="64">
        <v>2024</v>
      </c>
      <c r="O138" s="99"/>
      <c r="P138" s="148" t="s">
        <v>116</v>
      </c>
      <c r="Q138" s="67" t="s">
        <v>2239</v>
      </c>
      <c r="R138" s="53">
        <v>30</v>
      </c>
      <c r="S138" s="219">
        <f>System!C$11</f>
        <v>0.09</v>
      </c>
      <c r="T138" s="245">
        <f t="shared" si="7"/>
        <v>2.6999999999999997</v>
      </c>
      <c r="U138" s="219">
        <f>System!D$11</f>
        <v>0.33</v>
      </c>
      <c r="V138" s="247">
        <f t="shared" si="8"/>
        <v>86.724000000000018</v>
      </c>
      <c r="W138" s="37"/>
      <c r="X138" s="68"/>
      <c r="Y138" s="11"/>
      <c r="Z138" s="11"/>
    </row>
    <row r="139" spans="1:26" s="61" customFormat="1" ht="20" x14ac:dyDescent="0.2">
      <c r="B139" s="134" t="s">
        <v>387</v>
      </c>
      <c r="C139" s="135" t="s">
        <v>2516</v>
      </c>
      <c r="D139" s="134" t="s">
        <v>281</v>
      </c>
      <c r="E139" s="135" t="s">
        <v>282</v>
      </c>
      <c r="F139" s="118">
        <v>54.583799999999997</v>
      </c>
      <c r="G139" s="118">
        <v>-110.3934</v>
      </c>
      <c r="H139" s="22" t="s">
        <v>2228</v>
      </c>
      <c r="I139" s="22" t="s">
        <v>2379</v>
      </c>
      <c r="J139" s="96" t="s">
        <v>3700</v>
      </c>
      <c r="K139" s="22" t="s">
        <v>2695</v>
      </c>
      <c r="L139" s="95">
        <v>144</v>
      </c>
      <c r="M139" s="64">
        <v>2002</v>
      </c>
      <c r="N139" s="93">
        <f>M139+30</f>
        <v>2032</v>
      </c>
      <c r="O139" s="99"/>
      <c r="P139" s="148" t="s">
        <v>332</v>
      </c>
      <c r="Q139" s="67" t="s">
        <v>2587</v>
      </c>
      <c r="R139" s="53">
        <v>90</v>
      </c>
      <c r="S139" s="242">
        <f>System!C$6</f>
        <v>0.94</v>
      </c>
      <c r="T139" s="243">
        <f t="shared" si="7"/>
        <v>84.6</v>
      </c>
      <c r="U139" s="219">
        <f>System!D$6</f>
        <v>0.3</v>
      </c>
      <c r="V139" s="247">
        <f t="shared" si="8"/>
        <v>236.52</v>
      </c>
      <c r="W139" s="37">
        <v>2</v>
      </c>
      <c r="X139" s="266"/>
      <c r="Y139" s="11"/>
      <c r="Z139" s="107"/>
    </row>
    <row r="140" spans="1:26" s="61" customFormat="1" ht="20" x14ac:dyDescent="0.2">
      <c r="B140" s="134" t="s">
        <v>388</v>
      </c>
      <c r="C140" s="135" t="s">
        <v>2549</v>
      </c>
      <c r="D140" s="134" t="s">
        <v>281</v>
      </c>
      <c r="E140" s="135" t="s">
        <v>282</v>
      </c>
      <c r="F140" s="118">
        <v>54.583799999999997</v>
      </c>
      <c r="G140" s="118">
        <v>-110.3934</v>
      </c>
      <c r="H140" s="22" t="s">
        <v>2228</v>
      </c>
      <c r="I140" s="22" t="s">
        <v>2379</v>
      </c>
      <c r="J140" s="96" t="s">
        <v>3700</v>
      </c>
      <c r="K140" s="22" t="s">
        <v>2695</v>
      </c>
      <c r="L140" s="95">
        <v>144</v>
      </c>
      <c r="M140" s="64">
        <v>2002</v>
      </c>
      <c r="N140" s="93">
        <f>M140+30</f>
        <v>2032</v>
      </c>
      <c r="O140" s="99"/>
      <c r="P140" s="148" t="s">
        <v>332</v>
      </c>
      <c r="Q140" s="67" t="s">
        <v>2587</v>
      </c>
      <c r="R140" s="53">
        <v>90</v>
      </c>
      <c r="S140" s="242">
        <f>System!C$6</f>
        <v>0.94</v>
      </c>
      <c r="T140" s="243">
        <f t="shared" si="7"/>
        <v>84.6</v>
      </c>
      <c r="U140" s="219">
        <f>System!D$6</f>
        <v>0.3</v>
      </c>
      <c r="V140" s="247">
        <f t="shared" si="8"/>
        <v>236.52</v>
      </c>
      <c r="W140" s="37">
        <v>2</v>
      </c>
      <c r="X140" s="68"/>
      <c r="Y140" s="11"/>
      <c r="Z140" s="11"/>
    </row>
    <row r="141" spans="1:26" s="6" customFormat="1" ht="20" x14ac:dyDescent="0.2">
      <c r="B141" s="134" t="s">
        <v>495</v>
      </c>
      <c r="C141" s="135" t="s">
        <v>4110</v>
      </c>
      <c r="D141" s="134" t="s">
        <v>2295</v>
      </c>
      <c r="E141" s="135" t="s">
        <v>206</v>
      </c>
      <c r="F141" s="118">
        <v>49.612278000000003</v>
      </c>
      <c r="G141" s="118">
        <v>-113.4815249</v>
      </c>
      <c r="H141" s="22" t="s">
        <v>2228</v>
      </c>
      <c r="I141" s="22" t="s">
        <v>2379</v>
      </c>
      <c r="J141" s="96" t="s">
        <v>3708</v>
      </c>
      <c r="K141" s="22" t="s">
        <v>2696</v>
      </c>
      <c r="L141" s="95">
        <v>144</v>
      </c>
      <c r="M141" s="64">
        <v>2002</v>
      </c>
      <c r="N141" s="64">
        <v>2022</v>
      </c>
      <c r="O141" s="99"/>
      <c r="P141" s="148" t="s">
        <v>116</v>
      </c>
      <c r="Q141" s="67" t="s">
        <v>2239</v>
      </c>
      <c r="R141" s="53">
        <v>73</v>
      </c>
      <c r="S141" s="219">
        <f>System!C$11</f>
        <v>0.09</v>
      </c>
      <c r="T141" s="245">
        <f t="shared" si="7"/>
        <v>6.5699999999999994</v>
      </c>
      <c r="U141" s="219">
        <f>System!D$11</f>
        <v>0.33</v>
      </c>
      <c r="V141" s="247">
        <f t="shared" si="8"/>
        <v>211.0284</v>
      </c>
      <c r="W141" s="122"/>
      <c r="X141" s="68"/>
      <c r="Y141" s="11"/>
      <c r="Z141" s="11"/>
    </row>
    <row r="142" spans="1:26" s="6" customFormat="1" ht="20" x14ac:dyDescent="0.2">
      <c r="B142" s="134" t="s">
        <v>243</v>
      </c>
      <c r="C142" s="135" t="s">
        <v>4111</v>
      </c>
      <c r="D142" s="134" t="s">
        <v>279</v>
      </c>
      <c r="E142" s="135" t="s">
        <v>243</v>
      </c>
      <c r="F142" s="127">
        <v>50.094003999999998</v>
      </c>
      <c r="G142" s="127">
        <v>-110.728843</v>
      </c>
      <c r="H142" s="22" t="s">
        <v>2228</v>
      </c>
      <c r="I142" s="22" t="s">
        <v>2379</v>
      </c>
      <c r="J142" s="96" t="s">
        <v>3714</v>
      </c>
      <c r="K142" s="22" t="s">
        <v>2697</v>
      </c>
      <c r="L142" s="95">
        <v>138</v>
      </c>
      <c r="M142" s="82">
        <v>2007</v>
      </c>
      <c r="N142" s="93">
        <f t="shared" ref="N142:N155" si="9">M142+30</f>
        <v>2037</v>
      </c>
      <c r="O142" s="132"/>
      <c r="P142" s="148" t="s">
        <v>333</v>
      </c>
      <c r="Q142" s="67" t="s">
        <v>2587</v>
      </c>
      <c r="R142" s="137">
        <v>255</v>
      </c>
      <c r="S142" s="242">
        <f>System!C$5</f>
        <v>0.94</v>
      </c>
      <c r="T142" s="243">
        <f t="shared" si="7"/>
        <v>239.7</v>
      </c>
      <c r="U142" s="219">
        <f>System!D$5</f>
        <v>0.6</v>
      </c>
      <c r="V142" s="247">
        <f t="shared" si="8"/>
        <v>1340.28</v>
      </c>
      <c r="W142" s="122">
        <v>1</v>
      </c>
      <c r="X142" s="68"/>
      <c r="Y142" s="11"/>
      <c r="Z142" s="79"/>
    </row>
    <row r="143" spans="1:26" s="6" customFormat="1" ht="20" x14ac:dyDescent="0.2">
      <c r="B143" s="134" t="s">
        <v>4112</v>
      </c>
      <c r="C143" s="135" t="s">
        <v>4095</v>
      </c>
      <c r="D143" s="134" t="s">
        <v>295</v>
      </c>
      <c r="E143" s="135" t="s">
        <v>277</v>
      </c>
      <c r="F143" s="118">
        <v>55.664999999999999</v>
      </c>
      <c r="G143" s="118">
        <v>-110.71850000000001</v>
      </c>
      <c r="H143" s="22" t="s">
        <v>2228</v>
      </c>
      <c r="I143" s="22" t="s">
        <v>2379</v>
      </c>
      <c r="J143" s="96" t="s">
        <v>3486</v>
      </c>
      <c r="K143" s="22" t="s">
        <v>2630</v>
      </c>
      <c r="L143" s="95">
        <v>240</v>
      </c>
      <c r="M143" s="64">
        <v>2013</v>
      </c>
      <c r="N143" s="93">
        <f t="shared" si="9"/>
        <v>2043</v>
      </c>
      <c r="O143" s="132"/>
      <c r="P143" s="148" t="s">
        <v>332</v>
      </c>
      <c r="Q143" s="67" t="s">
        <v>2587</v>
      </c>
      <c r="R143" s="53">
        <v>179</v>
      </c>
      <c r="S143" s="242">
        <f>System!C$6</f>
        <v>0.94</v>
      </c>
      <c r="T143" s="243">
        <f t="shared" si="7"/>
        <v>168.26</v>
      </c>
      <c r="U143" s="219">
        <f>System!D$6</f>
        <v>0.3</v>
      </c>
      <c r="V143" s="247">
        <f t="shared" si="8"/>
        <v>470.41199999999998</v>
      </c>
      <c r="W143" s="122">
        <v>1</v>
      </c>
      <c r="X143" s="68"/>
      <c r="Y143" s="11"/>
      <c r="Z143" s="11"/>
    </row>
    <row r="144" spans="1:26" s="6" customFormat="1" ht="20" x14ac:dyDescent="0.2">
      <c r="B144" s="134" t="s">
        <v>389</v>
      </c>
      <c r="C144" s="135" t="s">
        <v>4096</v>
      </c>
      <c r="D144" s="134" t="s">
        <v>426</v>
      </c>
      <c r="E144" s="135" t="s">
        <v>427</v>
      </c>
      <c r="F144" s="125">
        <v>55.669320999999997</v>
      </c>
      <c r="G144" s="125">
        <v>-118.917821</v>
      </c>
      <c r="H144" s="22" t="s">
        <v>2228</v>
      </c>
      <c r="I144" s="67" t="s">
        <v>2379</v>
      </c>
      <c r="J144" s="96" t="s">
        <v>3812</v>
      </c>
      <c r="K144" s="22" t="s">
        <v>2709</v>
      </c>
      <c r="L144" s="95">
        <v>144</v>
      </c>
      <c r="M144" s="228">
        <v>2017</v>
      </c>
      <c r="N144" s="93">
        <f t="shared" si="9"/>
        <v>2047</v>
      </c>
      <c r="O144" s="113"/>
      <c r="P144" s="148" t="s">
        <v>332</v>
      </c>
      <c r="Q144" s="67" t="s">
        <v>2587</v>
      </c>
      <c r="R144" s="137">
        <v>5</v>
      </c>
      <c r="S144" s="242">
        <f>System!C$6</f>
        <v>0.94</v>
      </c>
      <c r="T144" s="243">
        <f t="shared" si="7"/>
        <v>4.6999999999999993</v>
      </c>
      <c r="U144" s="219">
        <f>System!D$6</f>
        <v>0.3</v>
      </c>
      <c r="V144" s="247">
        <f t="shared" si="8"/>
        <v>13.14</v>
      </c>
      <c r="W144" s="37">
        <v>1</v>
      </c>
      <c r="X144" s="68"/>
      <c r="Y144" s="11" t="s">
        <v>4407</v>
      </c>
      <c r="Z144" s="79"/>
    </row>
    <row r="145" spans="1:26" s="6" customFormat="1" ht="20" x14ac:dyDescent="0.2">
      <c r="B145" s="134" t="s">
        <v>390</v>
      </c>
      <c r="C145" s="135" t="s">
        <v>4225</v>
      </c>
      <c r="D145" s="134" t="s">
        <v>296</v>
      </c>
      <c r="E145" s="135" t="s">
        <v>277</v>
      </c>
      <c r="F145" s="118">
        <v>57.253700000000002</v>
      </c>
      <c r="G145" s="118">
        <v>-111.5064</v>
      </c>
      <c r="H145" s="22" t="s">
        <v>2228</v>
      </c>
      <c r="I145" s="22" t="s">
        <v>2379</v>
      </c>
      <c r="J145" s="96" t="s">
        <v>3733</v>
      </c>
      <c r="K145" s="22" t="s">
        <v>2698</v>
      </c>
      <c r="L145" s="95">
        <v>240</v>
      </c>
      <c r="M145" s="64">
        <v>2001</v>
      </c>
      <c r="N145" s="93">
        <f t="shared" si="9"/>
        <v>2031</v>
      </c>
      <c r="O145" s="99"/>
      <c r="P145" s="148" t="s">
        <v>332</v>
      </c>
      <c r="Q145" s="67" t="s">
        <v>2587</v>
      </c>
      <c r="R145" s="53">
        <v>85</v>
      </c>
      <c r="S145" s="242">
        <f>System!C$6</f>
        <v>0.94</v>
      </c>
      <c r="T145" s="243">
        <f t="shared" si="7"/>
        <v>79.899999999999991</v>
      </c>
      <c r="U145" s="219">
        <f>System!D$6</f>
        <v>0.3</v>
      </c>
      <c r="V145" s="247">
        <f t="shared" si="8"/>
        <v>223.38</v>
      </c>
      <c r="W145" s="37">
        <v>2</v>
      </c>
      <c r="X145" s="68"/>
      <c r="Y145" s="11"/>
      <c r="Z145" s="11"/>
    </row>
    <row r="146" spans="1:26" s="6" customFormat="1" ht="20" x14ac:dyDescent="0.2">
      <c r="B146" s="134" t="s">
        <v>391</v>
      </c>
      <c r="C146" s="135" t="s">
        <v>4226</v>
      </c>
      <c r="D146" s="134" t="s">
        <v>296</v>
      </c>
      <c r="E146" s="135" t="s">
        <v>277</v>
      </c>
      <c r="F146" s="118">
        <v>57.253700000000002</v>
      </c>
      <c r="G146" s="118">
        <v>-111.5064</v>
      </c>
      <c r="H146" s="22" t="s">
        <v>2228</v>
      </c>
      <c r="I146" s="22" t="s">
        <v>2379</v>
      </c>
      <c r="J146" s="96" t="s">
        <v>3733</v>
      </c>
      <c r="K146" s="205" t="s">
        <v>2698</v>
      </c>
      <c r="L146" s="95">
        <v>240</v>
      </c>
      <c r="M146" s="64">
        <v>2001</v>
      </c>
      <c r="N146" s="93">
        <f t="shared" si="9"/>
        <v>2031</v>
      </c>
      <c r="O146" s="99"/>
      <c r="P146" s="148" t="s">
        <v>332</v>
      </c>
      <c r="Q146" s="67" t="s">
        <v>2587</v>
      </c>
      <c r="R146" s="53">
        <v>85</v>
      </c>
      <c r="S146" s="242">
        <f>System!C$6</f>
        <v>0.94</v>
      </c>
      <c r="T146" s="243">
        <f t="shared" si="7"/>
        <v>79.899999999999991</v>
      </c>
      <c r="U146" s="219">
        <f>System!D$6</f>
        <v>0.3</v>
      </c>
      <c r="V146" s="247">
        <f t="shared" si="8"/>
        <v>223.38</v>
      </c>
      <c r="W146" s="37">
        <v>2</v>
      </c>
      <c r="X146" s="68"/>
      <c r="Y146" s="11"/>
      <c r="Z146" s="11"/>
    </row>
    <row r="147" spans="1:26" s="6" customFormat="1" ht="20" x14ac:dyDescent="0.2">
      <c r="B147" s="134" t="s">
        <v>392</v>
      </c>
      <c r="C147" s="135" t="s">
        <v>2517</v>
      </c>
      <c r="D147" s="134" t="s">
        <v>281</v>
      </c>
      <c r="E147" s="135" t="s">
        <v>282</v>
      </c>
      <c r="F147" s="118">
        <v>54.726500000000001</v>
      </c>
      <c r="G147" s="118">
        <v>-110.3441</v>
      </c>
      <c r="H147" s="22" t="s">
        <v>2228</v>
      </c>
      <c r="I147" s="22" t="s">
        <v>2379</v>
      </c>
      <c r="J147" s="96" t="s">
        <v>3736</v>
      </c>
      <c r="K147" s="22" t="s">
        <v>2699</v>
      </c>
      <c r="L147" s="95">
        <v>144</v>
      </c>
      <c r="M147" s="64">
        <v>2014</v>
      </c>
      <c r="N147" s="93">
        <f t="shared" si="9"/>
        <v>2044</v>
      </c>
      <c r="O147" s="99"/>
      <c r="P147" s="148" t="s">
        <v>332</v>
      </c>
      <c r="Q147" s="67" t="s">
        <v>2587</v>
      </c>
      <c r="R147" s="53">
        <v>85</v>
      </c>
      <c r="S147" s="242">
        <f>System!C$6</f>
        <v>0.94</v>
      </c>
      <c r="T147" s="243">
        <f t="shared" si="7"/>
        <v>79.899999999999991</v>
      </c>
      <c r="U147" s="219">
        <f>System!D$6</f>
        <v>0.3</v>
      </c>
      <c r="V147" s="247">
        <f t="shared" si="8"/>
        <v>223.38</v>
      </c>
      <c r="W147" s="37">
        <v>2</v>
      </c>
      <c r="X147" s="68"/>
      <c r="Y147" s="11"/>
      <c r="Z147" s="11"/>
    </row>
    <row r="148" spans="1:26" s="6" customFormat="1" ht="20" x14ac:dyDescent="0.2">
      <c r="B148" s="134" t="s">
        <v>393</v>
      </c>
      <c r="C148" s="135" t="s">
        <v>2550</v>
      </c>
      <c r="D148" s="134" t="s">
        <v>281</v>
      </c>
      <c r="E148" s="135" t="s">
        <v>282</v>
      </c>
      <c r="F148" s="118">
        <v>54.726500000000001</v>
      </c>
      <c r="G148" s="118">
        <v>-110.3441</v>
      </c>
      <c r="H148" s="22" t="s">
        <v>2228</v>
      </c>
      <c r="I148" s="22" t="s">
        <v>2379</v>
      </c>
      <c r="J148" s="96" t="s">
        <v>3736</v>
      </c>
      <c r="K148" s="22" t="s">
        <v>2699</v>
      </c>
      <c r="L148" s="95">
        <v>144</v>
      </c>
      <c r="M148" s="64">
        <v>2014</v>
      </c>
      <c r="N148" s="93">
        <f t="shared" si="9"/>
        <v>2044</v>
      </c>
      <c r="O148" s="99"/>
      <c r="P148" s="148" t="s">
        <v>332</v>
      </c>
      <c r="Q148" s="67" t="s">
        <v>2587</v>
      </c>
      <c r="R148" s="53">
        <v>85</v>
      </c>
      <c r="S148" s="242">
        <f>System!C$6</f>
        <v>0.94</v>
      </c>
      <c r="T148" s="243">
        <f t="shared" si="7"/>
        <v>79.899999999999991</v>
      </c>
      <c r="U148" s="219">
        <f>System!D$6</f>
        <v>0.3</v>
      </c>
      <c r="V148" s="247">
        <f t="shared" si="8"/>
        <v>223.38</v>
      </c>
      <c r="W148" s="37">
        <v>2</v>
      </c>
      <c r="X148" s="266"/>
      <c r="Y148" s="11"/>
      <c r="Z148" s="107"/>
    </row>
    <row r="149" spans="1:26" s="6" customFormat="1" ht="20" x14ac:dyDescent="0.2">
      <c r="B149" s="134" t="s">
        <v>494</v>
      </c>
      <c r="C149" s="135" t="s">
        <v>4113</v>
      </c>
      <c r="D149" s="134" t="s">
        <v>312</v>
      </c>
      <c r="E149" s="135" t="s">
        <v>239</v>
      </c>
      <c r="F149" s="118">
        <v>51.191200000000002</v>
      </c>
      <c r="G149" s="118">
        <v>-113.94240000000001</v>
      </c>
      <c r="H149" s="22" t="s">
        <v>2228</v>
      </c>
      <c r="I149" s="22" t="s">
        <v>2379</v>
      </c>
      <c r="J149" s="96" t="s">
        <v>3886</v>
      </c>
      <c r="K149" s="22" t="s">
        <v>2631</v>
      </c>
      <c r="L149" s="95">
        <v>144</v>
      </c>
      <c r="M149" s="64">
        <v>2001</v>
      </c>
      <c r="N149" s="93">
        <f t="shared" si="9"/>
        <v>2031</v>
      </c>
      <c r="O149" s="113"/>
      <c r="P149" s="148" t="s">
        <v>333</v>
      </c>
      <c r="Q149" s="67" t="s">
        <v>2587</v>
      </c>
      <c r="R149" s="53">
        <v>120</v>
      </c>
      <c r="S149" s="242">
        <f>System!C$5</f>
        <v>0.94</v>
      </c>
      <c r="T149" s="243">
        <f t="shared" si="7"/>
        <v>112.8</v>
      </c>
      <c r="U149" s="219">
        <f>System!D$5</f>
        <v>0.6</v>
      </c>
      <c r="V149" s="247">
        <f t="shared" si="8"/>
        <v>630.72</v>
      </c>
      <c r="W149" s="37">
        <v>2</v>
      </c>
      <c r="X149" s="68"/>
      <c r="Y149" s="11"/>
      <c r="Z149" s="11"/>
    </row>
    <row r="150" spans="1:26" s="61" customFormat="1" ht="20" x14ac:dyDescent="0.2">
      <c r="B150" s="134" t="s">
        <v>490</v>
      </c>
      <c r="C150" s="135" t="s">
        <v>4114</v>
      </c>
      <c r="D150" s="134" t="s">
        <v>355</v>
      </c>
      <c r="E150" s="135" t="s">
        <v>428</v>
      </c>
      <c r="F150" s="127">
        <v>56.452136000000003</v>
      </c>
      <c r="G150" s="127">
        <v>-111.022231</v>
      </c>
      <c r="H150" s="22" t="s">
        <v>2228</v>
      </c>
      <c r="I150" s="67" t="s">
        <v>2379</v>
      </c>
      <c r="J150" s="96" t="s">
        <v>3688</v>
      </c>
      <c r="K150" s="22" t="s">
        <v>2700</v>
      </c>
      <c r="L150" s="95">
        <v>138</v>
      </c>
      <c r="M150" s="64">
        <v>2008</v>
      </c>
      <c r="N150" s="93">
        <f t="shared" si="9"/>
        <v>2038</v>
      </c>
      <c r="O150" s="99"/>
      <c r="P150" s="148" t="s">
        <v>332</v>
      </c>
      <c r="Q150" s="67" t="s">
        <v>2587</v>
      </c>
      <c r="R150" s="53">
        <v>80</v>
      </c>
      <c r="S150" s="242">
        <f>System!C$6</f>
        <v>0.94</v>
      </c>
      <c r="T150" s="243">
        <f t="shared" si="7"/>
        <v>75.199999999999989</v>
      </c>
      <c r="U150" s="219">
        <f>System!D$6</f>
        <v>0.3</v>
      </c>
      <c r="V150" s="247">
        <f t="shared" si="8"/>
        <v>210.24</v>
      </c>
      <c r="W150" s="37">
        <v>4</v>
      </c>
      <c r="X150" s="68"/>
      <c r="Y150" s="11"/>
      <c r="Z150" s="11"/>
    </row>
    <row r="151" spans="1:26" s="6" customFormat="1" ht="20" x14ac:dyDescent="0.2">
      <c r="B151" s="134" t="s">
        <v>491</v>
      </c>
      <c r="C151" s="135" t="s">
        <v>4115</v>
      </c>
      <c r="D151" s="134" t="s">
        <v>355</v>
      </c>
      <c r="E151" s="135" t="s">
        <v>428</v>
      </c>
      <c r="F151" s="125">
        <v>56.452136000000003</v>
      </c>
      <c r="G151" s="125">
        <v>-111.022231</v>
      </c>
      <c r="H151" s="22" t="s">
        <v>2228</v>
      </c>
      <c r="I151" s="22" t="s">
        <v>2379</v>
      </c>
      <c r="J151" s="96" t="s">
        <v>3688</v>
      </c>
      <c r="K151" s="22" t="s">
        <v>2700</v>
      </c>
      <c r="L151" s="95">
        <v>138</v>
      </c>
      <c r="M151" s="64">
        <v>2008</v>
      </c>
      <c r="N151" s="93">
        <f t="shared" si="9"/>
        <v>2038</v>
      </c>
      <c r="O151" s="99"/>
      <c r="P151" s="148" t="s">
        <v>332</v>
      </c>
      <c r="Q151" s="67" t="s">
        <v>2587</v>
      </c>
      <c r="R151" s="53">
        <v>80</v>
      </c>
      <c r="S151" s="242">
        <f>System!C$6</f>
        <v>0.94</v>
      </c>
      <c r="T151" s="243">
        <f t="shared" si="7"/>
        <v>75.199999999999989</v>
      </c>
      <c r="U151" s="219">
        <f>System!D$6</f>
        <v>0.3</v>
      </c>
      <c r="V151" s="247">
        <f t="shared" si="8"/>
        <v>210.24</v>
      </c>
      <c r="W151" s="37">
        <v>4</v>
      </c>
      <c r="X151" s="68"/>
      <c r="Y151" s="11"/>
      <c r="Z151" s="11"/>
    </row>
    <row r="152" spans="1:26" s="6" customFormat="1" ht="20" x14ac:dyDescent="0.2">
      <c r="B152" s="134" t="s">
        <v>492</v>
      </c>
      <c r="C152" s="135" t="s">
        <v>4116</v>
      </c>
      <c r="D152" s="134" t="s">
        <v>355</v>
      </c>
      <c r="E152" s="135" t="s">
        <v>428</v>
      </c>
      <c r="F152" s="127">
        <v>56.452136000000003</v>
      </c>
      <c r="G152" s="127">
        <v>-111.022231</v>
      </c>
      <c r="H152" s="22" t="s">
        <v>2228</v>
      </c>
      <c r="I152" s="22" t="s">
        <v>2379</v>
      </c>
      <c r="J152" s="96" t="s">
        <v>3688</v>
      </c>
      <c r="K152" s="22" t="s">
        <v>2700</v>
      </c>
      <c r="L152" s="95">
        <v>138</v>
      </c>
      <c r="M152" s="64">
        <v>2008</v>
      </c>
      <c r="N152" s="93">
        <f t="shared" si="9"/>
        <v>2038</v>
      </c>
      <c r="O152" s="99"/>
      <c r="P152" s="148" t="s">
        <v>332</v>
      </c>
      <c r="Q152" s="67" t="s">
        <v>2587</v>
      </c>
      <c r="R152" s="53">
        <v>11.5</v>
      </c>
      <c r="S152" s="242">
        <f>System!C$6</f>
        <v>0.94</v>
      </c>
      <c r="T152" s="243">
        <f t="shared" si="7"/>
        <v>10.809999999999999</v>
      </c>
      <c r="U152" s="219">
        <f>System!D$6</f>
        <v>0.3</v>
      </c>
      <c r="V152" s="247">
        <f t="shared" si="8"/>
        <v>30.222000000000001</v>
      </c>
      <c r="W152" s="122">
        <v>4</v>
      </c>
      <c r="X152" s="68"/>
      <c r="Y152" s="11"/>
      <c r="Z152" s="11"/>
    </row>
    <row r="153" spans="1:26" s="6" customFormat="1" ht="20" x14ac:dyDescent="0.2">
      <c r="B153" s="134" t="s">
        <v>493</v>
      </c>
      <c r="C153" s="135" t="s">
        <v>4117</v>
      </c>
      <c r="D153" s="134" t="s">
        <v>355</v>
      </c>
      <c r="E153" s="135" t="s">
        <v>428</v>
      </c>
      <c r="F153" s="127">
        <v>56.452136000000003</v>
      </c>
      <c r="G153" s="127">
        <v>-111.022231</v>
      </c>
      <c r="H153" s="22" t="s">
        <v>2228</v>
      </c>
      <c r="I153" s="22" t="s">
        <v>2379</v>
      </c>
      <c r="J153" s="96" t="s">
        <v>3688</v>
      </c>
      <c r="K153" s="22" t="s">
        <v>2700</v>
      </c>
      <c r="L153" s="95">
        <v>138</v>
      </c>
      <c r="M153" s="64">
        <v>2008</v>
      </c>
      <c r="N153" s="93">
        <f t="shared" si="9"/>
        <v>2038</v>
      </c>
      <c r="O153" s="132"/>
      <c r="P153" s="148" t="s">
        <v>332</v>
      </c>
      <c r="Q153" s="67" t="s">
        <v>2587</v>
      </c>
      <c r="R153" s="53">
        <v>11.5</v>
      </c>
      <c r="S153" s="242">
        <f>System!C$6</f>
        <v>0.94</v>
      </c>
      <c r="T153" s="243">
        <f t="shared" si="7"/>
        <v>10.809999999999999</v>
      </c>
      <c r="U153" s="219">
        <f>System!D$6</f>
        <v>0.3</v>
      </c>
      <c r="V153" s="247">
        <f t="shared" si="8"/>
        <v>30.222000000000001</v>
      </c>
      <c r="W153" s="122">
        <v>4</v>
      </c>
      <c r="X153" s="68"/>
      <c r="Y153" s="11"/>
      <c r="Z153" s="11"/>
    </row>
    <row r="154" spans="1:26" s="6" customFormat="1" ht="20" x14ac:dyDescent="0.2">
      <c r="B154" s="134" t="s">
        <v>4227</v>
      </c>
      <c r="C154" s="135" t="s">
        <v>4228</v>
      </c>
      <c r="D154" s="134" t="s">
        <v>297</v>
      </c>
      <c r="E154" s="135" t="s">
        <v>251</v>
      </c>
      <c r="F154" s="118">
        <v>57.033499999999997</v>
      </c>
      <c r="G154" s="118">
        <v>-111.6019</v>
      </c>
      <c r="H154" s="22" t="s">
        <v>2228</v>
      </c>
      <c r="I154" s="22" t="s">
        <v>2379</v>
      </c>
      <c r="J154" s="96" t="s">
        <v>3690</v>
      </c>
      <c r="K154" s="22" t="s">
        <v>2632</v>
      </c>
      <c r="L154" s="95">
        <v>138</v>
      </c>
      <c r="M154" s="136">
        <v>2008</v>
      </c>
      <c r="N154" s="93">
        <f t="shared" si="9"/>
        <v>2038</v>
      </c>
      <c r="O154" s="132"/>
      <c r="P154" s="148" t="s">
        <v>311</v>
      </c>
      <c r="Q154" s="67" t="s">
        <v>2588</v>
      </c>
      <c r="R154" s="137">
        <v>105</v>
      </c>
      <c r="S154" s="242">
        <f>System!C$7</f>
        <v>0.94</v>
      </c>
      <c r="T154" s="243">
        <f t="shared" si="7"/>
        <v>98.699999999999989</v>
      </c>
      <c r="U154" s="219">
        <f>System!D$7</f>
        <v>0.3</v>
      </c>
      <c r="V154" s="247">
        <f t="shared" si="8"/>
        <v>275.94</v>
      </c>
      <c r="W154" s="37">
        <v>1</v>
      </c>
      <c r="X154" s="68"/>
      <c r="Y154" s="11"/>
      <c r="Z154" s="11"/>
    </row>
    <row r="155" spans="1:26" s="6" customFormat="1" ht="20" x14ac:dyDescent="0.2">
      <c r="A155" s="292"/>
      <c r="B155" s="134" t="s">
        <v>298</v>
      </c>
      <c r="C155" s="135" t="s">
        <v>4118</v>
      </c>
      <c r="D155" s="134" t="s">
        <v>299</v>
      </c>
      <c r="E155" s="135" t="s">
        <v>270</v>
      </c>
      <c r="F155" s="127">
        <v>54.285787747111897</v>
      </c>
      <c r="G155" s="127">
        <v>-116.182328143452</v>
      </c>
      <c r="H155" s="22" t="s">
        <v>2228</v>
      </c>
      <c r="I155" s="22" t="s">
        <v>2379</v>
      </c>
      <c r="J155" s="96" t="s">
        <v>4270</v>
      </c>
      <c r="K155" s="22" t="s">
        <v>2633</v>
      </c>
      <c r="L155" s="95">
        <v>144</v>
      </c>
      <c r="M155" s="64">
        <v>2013</v>
      </c>
      <c r="N155" s="93">
        <f t="shared" si="9"/>
        <v>2043</v>
      </c>
      <c r="O155" s="99"/>
      <c r="P155" s="148" t="s">
        <v>455</v>
      </c>
      <c r="Q155" s="67" t="s">
        <v>2586</v>
      </c>
      <c r="R155" s="53">
        <v>16</v>
      </c>
      <c r="S155" s="242">
        <f>System!C$8</f>
        <v>0.97</v>
      </c>
      <c r="T155" s="243">
        <f t="shared" si="7"/>
        <v>15.52</v>
      </c>
      <c r="U155" s="246">
        <f>System!D$8</f>
        <v>0.55000000000000004</v>
      </c>
      <c r="V155" s="235">
        <f t="shared" si="8"/>
        <v>77.087999999999994</v>
      </c>
      <c r="W155" s="122">
        <v>1</v>
      </c>
      <c r="X155" s="68"/>
      <c r="Y155" s="11"/>
      <c r="Z155" s="11"/>
    </row>
    <row r="156" spans="1:26" s="61" customFormat="1" ht="20" x14ac:dyDescent="0.2">
      <c r="B156" s="134" t="s">
        <v>4196</v>
      </c>
      <c r="C156" s="135" t="s">
        <v>4121</v>
      </c>
      <c r="D156" s="134" t="s">
        <v>300</v>
      </c>
      <c r="E156" s="135" t="s">
        <v>226</v>
      </c>
      <c r="F156" s="118">
        <v>49.5707716</v>
      </c>
      <c r="G156" s="118">
        <v>-113.8534446</v>
      </c>
      <c r="H156" s="22" t="s">
        <v>2228</v>
      </c>
      <c r="I156" s="22" t="s">
        <v>2379</v>
      </c>
      <c r="J156" s="96" t="s">
        <v>3938</v>
      </c>
      <c r="K156" s="22" t="s">
        <v>2634</v>
      </c>
      <c r="L156" s="95">
        <v>144</v>
      </c>
      <c r="M156" s="64">
        <v>2013</v>
      </c>
      <c r="N156" s="64">
        <v>2033</v>
      </c>
      <c r="O156" s="99"/>
      <c r="P156" s="148" t="s">
        <v>116</v>
      </c>
      <c r="Q156" s="67" t="s">
        <v>2239</v>
      </c>
      <c r="R156" s="53">
        <v>46.8</v>
      </c>
      <c r="S156" s="219">
        <f>System!C$11</f>
        <v>0.09</v>
      </c>
      <c r="T156" s="245">
        <f t="shared" si="7"/>
        <v>4.2119999999999997</v>
      </c>
      <c r="U156" s="219">
        <f>System!D$11</f>
        <v>0.33</v>
      </c>
      <c r="V156" s="247">
        <f t="shared" si="8"/>
        <v>135.28943999999998</v>
      </c>
      <c r="W156" s="37"/>
      <c r="X156" s="68"/>
      <c r="Y156" s="11"/>
      <c r="Z156" s="11"/>
    </row>
    <row r="157" spans="1:26" s="6" customFormat="1" ht="20" x14ac:dyDescent="0.2">
      <c r="B157" s="134" t="s">
        <v>4267</v>
      </c>
      <c r="C157" s="135" t="s">
        <v>4119</v>
      </c>
      <c r="D157" s="134" t="s">
        <v>301</v>
      </c>
      <c r="E157" s="135" t="s">
        <v>226</v>
      </c>
      <c r="F157" s="118">
        <v>49.561007699999998</v>
      </c>
      <c r="G157" s="118">
        <v>-113.89603839999999</v>
      </c>
      <c r="H157" s="22" t="s">
        <v>2228</v>
      </c>
      <c r="I157" s="22" t="s">
        <v>2379</v>
      </c>
      <c r="J157" s="96" t="s">
        <v>3758</v>
      </c>
      <c r="K157" s="22" t="s">
        <v>2701</v>
      </c>
      <c r="L157" s="95">
        <v>144</v>
      </c>
      <c r="M157" s="64">
        <v>2003</v>
      </c>
      <c r="N157" s="72">
        <v>2034</v>
      </c>
      <c r="O157" s="99"/>
      <c r="P157" s="148" t="s">
        <v>331</v>
      </c>
      <c r="Q157" s="67" t="s">
        <v>462</v>
      </c>
      <c r="R157" s="53">
        <v>16</v>
      </c>
      <c r="S157" s="242">
        <f>System!C$9</f>
        <v>1</v>
      </c>
      <c r="T157" s="243">
        <f t="shared" si="7"/>
        <v>16</v>
      </c>
      <c r="U157" s="242">
        <f>System!D$9</f>
        <v>0.24</v>
      </c>
      <c r="V157" s="248">
        <f t="shared" si="8"/>
        <v>33.638400000000004</v>
      </c>
      <c r="W157" s="37">
        <v>2</v>
      </c>
      <c r="X157" s="68"/>
      <c r="Y157" s="11"/>
      <c r="Z157" s="11"/>
    </row>
    <row r="158" spans="1:26" s="6" customFormat="1" ht="20" x14ac:dyDescent="0.2">
      <c r="B158" s="134" t="s">
        <v>4268</v>
      </c>
      <c r="C158" s="135" t="s">
        <v>4120</v>
      </c>
      <c r="D158" s="134" t="s">
        <v>301</v>
      </c>
      <c r="E158" s="135" t="s">
        <v>226</v>
      </c>
      <c r="F158" s="118">
        <v>49.561007699999998</v>
      </c>
      <c r="G158" s="118">
        <v>-113.89603839999999</v>
      </c>
      <c r="H158" s="22" t="s">
        <v>2228</v>
      </c>
      <c r="I158" s="22" t="s">
        <v>2379</v>
      </c>
      <c r="J158" s="96" t="s">
        <v>3758</v>
      </c>
      <c r="K158" s="22" t="s">
        <v>2701</v>
      </c>
      <c r="L158" s="95">
        <v>144</v>
      </c>
      <c r="M158" s="64">
        <v>2003</v>
      </c>
      <c r="N158" s="72">
        <v>2034</v>
      </c>
      <c r="O158" s="99"/>
      <c r="P158" s="148" t="s">
        <v>331</v>
      </c>
      <c r="Q158" s="67" t="s">
        <v>462</v>
      </c>
      <c r="R158" s="53">
        <v>16</v>
      </c>
      <c r="S158" s="242">
        <f>System!C$9</f>
        <v>1</v>
      </c>
      <c r="T158" s="243">
        <f t="shared" si="7"/>
        <v>16</v>
      </c>
      <c r="U158" s="242">
        <f>System!D$9</f>
        <v>0.24</v>
      </c>
      <c r="V158" s="248">
        <f t="shared" si="8"/>
        <v>33.638400000000004</v>
      </c>
      <c r="W158" s="122">
        <v>2</v>
      </c>
      <c r="X158" s="68"/>
      <c r="Y158" s="11"/>
      <c r="Z158" s="107"/>
    </row>
    <row r="159" spans="1:26" s="6" customFormat="1" ht="20" x14ac:dyDescent="0.2">
      <c r="B159" s="134" t="s">
        <v>375</v>
      </c>
      <c r="C159" s="135" t="s">
        <v>4122</v>
      </c>
      <c r="D159" s="134" t="s">
        <v>351</v>
      </c>
      <c r="E159" s="135" t="s">
        <v>375</v>
      </c>
      <c r="F159" s="127">
        <v>50.349401</v>
      </c>
      <c r="G159" s="127">
        <v>-113.77445299999999</v>
      </c>
      <c r="H159" s="22" t="s">
        <v>2228</v>
      </c>
      <c r="I159" s="22" t="s">
        <v>2379</v>
      </c>
      <c r="J159" s="96" t="s">
        <v>3845</v>
      </c>
      <c r="K159" s="22" t="s">
        <v>2635</v>
      </c>
      <c r="L159" s="95">
        <v>144</v>
      </c>
      <c r="M159" s="228">
        <v>2014</v>
      </c>
      <c r="N159" s="93">
        <f>M159+30</f>
        <v>2044</v>
      </c>
      <c r="O159" s="132"/>
      <c r="P159" s="148" t="s">
        <v>311</v>
      </c>
      <c r="Q159" s="67" t="s">
        <v>2588</v>
      </c>
      <c r="R159" s="137">
        <v>10</v>
      </c>
      <c r="S159" s="242">
        <f>System!C$7</f>
        <v>0.94</v>
      </c>
      <c r="T159" s="243">
        <f t="shared" si="7"/>
        <v>9.3999999999999986</v>
      </c>
      <c r="U159" s="219">
        <f>System!D$7</f>
        <v>0.3</v>
      </c>
      <c r="V159" s="247">
        <f t="shared" si="8"/>
        <v>26.28</v>
      </c>
      <c r="W159" s="37">
        <v>1</v>
      </c>
      <c r="X159" s="68"/>
      <c r="Y159" s="11" t="s">
        <v>4408</v>
      </c>
      <c r="Z159" s="79"/>
    </row>
    <row r="160" spans="1:26" s="6" customFormat="1" ht="20" x14ac:dyDescent="0.2">
      <c r="B160" s="134" t="s">
        <v>448</v>
      </c>
      <c r="C160" s="135" t="s">
        <v>4097</v>
      </c>
      <c r="D160" s="134" t="s">
        <v>272</v>
      </c>
      <c r="E160" s="135" t="s">
        <v>211</v>
      </c>
      <c r="F160" s="118">
        <v>50.699324099999998</v>
      </c>
      <c r="G160" s="118">
        <v>-115.1193763</v>
      </c>
      <c r="H160" s="22" t="s">
        <v>2228</v>
      </c>
      <c r="I160" s="22" t="s">
        <v>2379</v>
      </c>
      <c r="J160" s="96" t="s">
        <v>3780</v>
      </c>
      <c r="K160" s="22" t="s">
        <v>2702</v>
      </c>
      <c r="L160" s="95">
        <v>144</v>
      </c>
      <c r="M160" s="64">
        <v>1955</v>
      </c>
      <c r="N160" s="72">
        <v>2034</v>
      </c>
      <c r="O160" s="99"/>
      <c r="P160" s="148" t="s">
        <v>140</v>
      </c>
      <c r="Q160" s="67" t="s">
        <v>2238</v>
      </c>
      <c r="R160" s="53">
        <v>12</v>
      </c>
      <c r="S160" s="242">
        <f>System!C$10</f>
        <v>0.3</v>
      </c>
      <c r="T160" s="243">
        <f t="shared" si="7"/>
        <v>3.5999999999999996</v>
      </c>
      <c r="U160" s="242">
        <f>System!D$9</f>
        <v>0.24</v>
      </c>
      <c r="V160" s="248">
        <f t="shared" si="8"/>
        <v>25.228800000000003</v>
      </c>
      <c r="W160" s="122">
        <v>1</v>
      </c>
      <c r="X160" s="68"/>
      <c r="Y160" s="11"/>
      <c r="Z160" s="11"/>
    </row>
    <row r="161" spans="1:26" s="61" customFormat="1" ht="20" x14ac:dyDescent="0.2">
      <c r="B161" s="134" t="s">
        <v>394</v>
      </c>
      <c r="C161" s="135" t="s">
        <v>4123</v>
      </c>
      <c r="D161" s="134" t="s">
        <v>306</v>
      </c>
      <c r="E161" s="135" t="s">
        <v>277</v>
      </c>
      <c r="F161" s="127">
        <v>56.770606999999998</v>
      </c>
      <c r="G161" s="127">
        <v>-111.418019</v>
      </c>
      <c r="H161" s="22" t="s">
        <v>2228</v>
      </c>
      <c r="I161" s="22" t="s">
        <v>2379</v>
      </c>
      <c r="J161" s="96" t="s">
        <v>460</v>
      </c>
      <c r="K161" s="22" t="s">
        <v>3213</v>
      </c>
      <c r="L161" s="95">
        <v>144</v>
      </c>
      <c r="M161" s="136">
        <v>1986</v>
      </c>
      <c r="N161" s="93">
        <f>M161+30+30</f>
        <v>2046</v>
      </c>
      <c r="O161" s="99"/>
      <c r="P161" s="148" t="s">
        <v>332</v>
      </c>
      <c r="Q161" s="67" t="s">
        <v>2587</v>
      </c>
      <c r="R161" s="137">
        <v>376</v>
      </c>
      <c r="S161" s="242">
        <f>System!C$6</f>
        <v>0.94</v>
      </c>
      <c r="T161" s="243">
        <f t="shared" si="7"/>
        <v>353.44</v>
      </c>
      <c r="U161" s="219">
        <f>System!D$6</f>
        <v>0.3</v>
      </c>
      <c r="V161" s="247">
        <f t="shared" si="8"/>
        <v>988.12799999999993</v>
      </c>
      <c r="W161" s="37">
        <v>1</v>
      </c>
      <c r="X161" s="68"/>
      <c r="Y161" s="11"/>
      <c r="Z161" s="79"/>
    </row>
    <row r="162" spans="1:26" s="61" customFormat="1" ht="20" x14ac:dyDescent="0.2">
      <c r="A162" s="292"/>
      <c r="B162" s="134" t="s">
        <v>4303</v>
      </c>
      <c r="C162" s="135" t="s">
        <v>4098</v>
      </c>
      <c r="D162" s="134" t="s">
        <v>301</v>
      </c>
      <c r="E162" s="135" t="s">
        <v>251</v>
      </c>
      <c r="F162" s="127">
        <v>55.339001153443398</v>
      </c>
      <c r="G162" s="127">
        <v>-119.21860751752899</v>
      </c>
      <c r="H162" s="22" t="s">
        <v>2228</v>
      </c>
      <c r="I162" s="22" t="s">
        <v>2379</v>
      </c>
      <c r="J162" s="96" t="s">
        <v>3782</v>
      </c>
      <c r="K162" s="205" t="s">
        <v>2703</v>
      </c>
      <c r="L162" s="95">
        <v>144</v>
      </c>
      <c r="M162" s="64">
        <v>1998</v>
      </c>
      <c r="N162" s="93">
        <v>2100</v>
      </c>
      <c r="O162" s="132"/>
      <c r="P162" s="148" t="s">
        <v>311</v>
      </c>
      <c r="Q162" s="67" t="s">
        <v>2588</v>
      </c>
      <c r="R162" s="53">
        <v>48</v>
      </c>
      <c r="S162" s="242">
        <f>System!C$7</f>
        <v>0.94</v>
      </c>
      <c r="T162" s="243">
        <f t="shared" si="7"/>
        <v>45.12</v>
      </c>
      <c r="U162" s="219">
        <f>System!D$7</f>
        <v>0.3</v>
      </c>
      <c r="V162" s="247">
        <f t="shared" si="8"/>
        <v>126.14399999999999</v>
      </c>
      <c r="W162" s="37">
        <v>1</v>
      </c>
      <c r="X162" s="68"/>
      <c r="Y162" s="11"/>
      <c r="Z162" s="11"/>
    </row>
    <row r="163" spans="1:26" s="61" customFormat="1" ht="20" x14ac:dyDescent="0.2">
      <c r="B163" s="162" t="s">
        <v>2249</v>
      </c>
      <c r="C163" s="135" t="s">
        <v>2523</v>
      </c>
      <c r="D163" s="162" t="s">
        <v>2244</v>
      </c>
      <c r="E163" s="229" t="s">
        <v>2250</v>
      </c>
      <c r="F163" s="127">
        <v>50.302807711434902</v>
      </c>
      <c r="G163" s="127">
        <v>-112.440871055589</v>
      </c>
      <c r="H163" s="67" t="s">
        <v>2228</v>
      </c>
      <c r="I163" s="22" t="s">
        <v>2379</v>
      </c>
      <c r="J163" s="96" t="s">
        <v>3541</v>
      </c>
      <c r="K163" s="67" t="s">
        <v>2846</v>
      </c>
      <c r="L163" s="95">
        <v>138</v>
      </c>
      <c r="M163" s="228">
        <v>2022</v>
      </c>
      <c r="N163" s="228">
        <v>2042</v>
      </c>
      <c r="O163" s="99"/>
      <c r="P163" s="229" t="s">
        <v>334</v>
      </c>
      <c r="Q163" s="67" t="s">
        <v>2240</v>
      </c>
      <c r="R163" s="182">
        <v>74</v>
      </c>
      <c r="S163" s="219">
        <f>System!C$12</f>
        <v>0</v>
      </c>
      <c r="T163" s="245">
        <f t="shared" si="7"/>
        <v>0</v>
      </c>
      <c r="U163" s="219">
        <f>System!D$12</f>
        <v>0.18</v>
      </c>
      <c r="V163" s="247">
        <f t="shared" si="8"/>
        <v>116.6832</v>
      </c>
      <c r="W163" s="122"/>
      <c r="X163" s="68"/>
      <c r="Y163" s="79" t="s">
        <v>2251</v>
      </c>
      <c r="Z163" s="120"/>
    </row>
    <row r="164" spans="1:26" s="61" customFormat="1" ht="20" x14ac:dyDescent="0.2">
      <c r="B164" s="162" t="s">
        <v>2243</v>
      </c>
      <c r="C164" s="135" t="s">
        <v>2556</v>
      </c>
      <c r="D164" s="162" t="s">
        <v>2244</v>
      </c>
      <c r="E164" s="229" t="s">
        <v>214</v>
      </c>
      <c r="F164" s="127">
        <v>49.9908307818298</v>
      </c>
      <c r="G164" s="127">
        <v>-112.06236649848</v>
      </c>
      <c r="H164" s="67" t="s">
        <v>2228</v>
      </c>
      <c r="I164" s="22" t="s">
        <v>2379</v>
      </c>
      <c r="J164" s="96" t="s">
        <v>3627</v>
      </c>
      <c r="K164" s="305" t="s">
        <v>2636</v>
      </c>
      <c r="L164" s="95">
        <v>138</v>
      </c>
      <c r="M164" s="228">
        <v>2020</v>
      </c>
      <c r="N164" s="228">
        <v>2040</v>
      </c>
      <c r="O164" s="99"/>
      <c r="P164" s="229" t="s">
        <v>334</v>
      </c>
      <c r="Q164" s="67" t="s">
        <v>2240</v>
      </c>
      <c r="R164" s="182">
        <v>25</v>
      </c>
      <c r="S164" s="219">
        <f>System!C$12</f>
        <v>0</v>
      </c>
      <c r="T164" s="245">
        <f t="shared" si="7"/>
        <v>0</v>
      </c>
      <c r="U164" s="219">
        <f>System!D$12</f>
        <v>0.18</v>
      </c>
      <c r="V164" s="247">
        <f t="shared" si="8"/>
        <v>39.42</v>
      </c>
      <c r="W164" s="122"/>
      <c r="X164" s="68"/>
      <c r="Y164" s="79" t="s">
        <v>2245</v>
      </c>
      <c r="Z164" s="120"/>
    </row>
    <row r="165" spans="1:26" s="61" customFormat="1" ht="20" x14ac:dyDescent="0.2">
      <c r="B165" s="162" t="s">
        <v>2246</v>
      </c>
      <c r="C165" s="135" t="s">
        <v>2572</v>
      </c>
      <c r="D165" s="162" t="s">
        <v>2244</v>
      </c>
      <c r="E165" s="229" t="s">
        <v>2248</v>
      </c>
      <c r="F165" s="127">
        <v>50.098968158046503</v>
      </c>
      <c r="G165" s="127">
        <v>-112.10775434162601</v>
      </c>
      <c r="H165" s="67" t="s">
        <v>2228</v>
      </c>
      <c r="I165" s="22" t="s">
        <v>2379</v>
      </c>
      <c r="J165" s="96" t="s">
        <v>3892</v>
      </c>
      <c r="K165" s="67" t="s">
        <v>2637</v>
      </c>
      <c r="L165" s="95">
        <v>138</v>
      </c>
      <c r="M165" s="228">
        <v>2020</v>
      </c>
      <c r="N165" s="228">
        <v>2040</v>
      </c>
      <c r="O165" s="99"/>
      <c r="P165" s="229" t="s">
        <v>334</v>
      </c>
      <c r="Q165" s="67" t="s">
        <v>2240</v>
      </c>
      <c r="R165" s="182">
        <v>22</v>
      </c>
      <c r="S165" s="219">
        <f>System!C$12</f>
        <v>0</v>
      </c>
      <c r="T165" s="245">
        <f t="shared" si="7"/>
        <v>0</v>
      </c>
      <c r="U165" s="219">
        <f>System!D$12</f>
        <v>0.18</v>
      </c>
      <c r="V165" s="247">
        <f t="shared" si="8"/>
        <v>34.689599999999999</v>
      </c>
      <c r="W165" s="122"/>
      <c r="X165" s="68"/>
      <c r="Y165" s="79" t="s">
        <v>2247</v>
      </c>
      <c r="Z165" s="120"/>
    </row>
    <row r="166" spans="1:26" s="61" customFormat="1" ht="20" x14ac:dyDescent="0.2">
      <c r="A166" s="292"/>
      <c r="B166" s="134" t="s">
        <v>4197</v>
      </c>
      <c r="C166" s="135" t="s">
        <v>4124</v>
      </c>
      <c r="D166" s="134" t="s">
        <v>301</v>
      </c>
      <c r="E166" s="135" t="s">
        <v>282</v>
      </c>
      <c r="F166" s="127">
        <v>54.772824884356702</v>
      </c>
      <c r="G166" s="127">
        <v>-110.577607830332</v>
      </c>
      <c r="H166" s="22" t="s">
        <v>2228</v>
      </c>
      <c r="I166" s="22" t="s">
        <v>2379</v>
      </c>
      <c r="J166" s="96" t="s">
        <v>3784</v>
      </c>
      <c r="K166" s="22" t="s">
        <v>2704</v>
      </c>
      <c r="L166" s="95">
        <v>144</v>
      </c>
      <c r="M166" s="64">
        <v>1998</v>
      </c>
      <c r="N166" s="93">
        <f>M166+30</f>
        <v>2028</v>
      </c>
      <c r="O166" s="99"/>
      <c r="P166" s="148" t="s">
        <v>332</v>
      </c>
      <c r="Q166" s="67" t="s">
        <v>2587</v>
      </c>
      <c r="R166" s="53">
        <v>75</v>
      </c>
      <c r="S166" s="242">
        <f>System!C$6</f>
        <v>0.94</v>
      </c>
      <c r="T166" s="243">
        <f t="shared" si="7"/>
        <v>70.5</v>
      </c>
      <c r="U166" s="219">
        <f>System!D$6</f>
        <v>0.3</v>
      </c>
      <c r="V166" s="247">
        <f t="shared" si="8"/>
        <v>197.1</v>
      </c>
      <c r="W166" s="37">
        <v>1</v>
      </c>
      <c r="X166" s="68"/>
      <c r="Y166" s="11"/>
      <c r="Z166" s="11"/>
    </row>
    <row r="167" spans="1:26" s="61" customFormat="1" ht="20" x14ac:dyDescent="0.2">
      <c r="B167" s="134" t="s">
        <v>376</v>
      </c>
      <c r="C167" s="135" t="s">
        <v>4125</v>
      </c>
      <c r="D167" s="134" t="s">
        <v>301</v>
      </c>
      <c r="E167" s="135" t="s">
        <v>288</v>
      </c>
      <c r="F167" s="118">
        <v>58.447099999999999</v>
      </c>
      <c r="G167" s="118">
        <v>-119.2383</v>
      </c>
      <c r="H167" s="22" t="s">
        <v>2228</v>
      </c>
      <c r="I167" s="22" t="s">
        <v>2379</v>
      </c>
      <c r="J167" s="96" t="s">
        <v>458</v>
      </c>
      <c r="K167" s="205" t="s">
        <v>2705</v>
      </c>
      <c r="L167" s="95">
        <v>144</v>
      </c>
      <c r="M167" s="64">
        <v>2001</v>
      </c>
      <c r="N167" s="93">
        <f>M167+30</f>
        <v>2031</v>
      </c>
      <c r="O167" s="99"/>
      <c r="P167" s="148" t="s">
        <v>332</v>
      </c>
      <c r="Q167" s="67" t="s">
        <v>2587</v>
      </c>
      <c r="R167" s="182">
        <v>45</v>
      </c>
      <c r="S167" s="242">
        <f>System!C$6</f>
        <v>0.94</v>
      </c>
      <c r="T167" s="243">
        <f t="shared" si="7"/>
        <v>42.3</v>
      </c>
      <c r="U167" s="219">
        <f>System!D$6</f>
        <v>0.3</v>
      </c>
      <c r="V167" s="247">
        <f t="shared" si="8"/>
        <v>118.26</v>
      </c>
      <c r="W167" s="122">
        <v>1</v>
      </c>
      <c r="X167" s="68"/>
      <c r="Y167" s="11" t="s">
        <v>4409</v>
      </c>
      <c r="Z167" s="79"/>
    </row>
    <row r="168" spans="1:26" s="61" customFormat="1" ht="20" x14ac:dyDescent="0.2">
      <c r="B168" s="134" t="s">
        <v>316</v>
      </c>
      <c r="C168" s="135" t="s">
        <v>4126</v>
      </c>
      <c r="D168" s="134" t="s">
        <v>301</v>
      </c>
      <c r="E168" s="135" t="s">
        <v>288</v>
      </c>
      <c r="F168" s="118">
        <v>58.447099999999999</v>
      </c>
      <c r="G168" s="118">
        <v>-119.2383</v>
      </c>
      <c r="H168" s="22" t="s">
        <v>2228</v>
      </c>
      <c r="I168" s="22" t="s">
        <v>2379</v>
      </c>
      <c r="J168" s="96" t="s">
        <v>3789</v>
      </c>
      <c r="K168" s="205" t="s">
        <v>2706</v>
      </c>
      <c r="L168" s="95">
        <v>144</v>
      </c>
      <c r="M168" s="64">
        <v>2001</v>
      </c>
      <c r="N168" s="93">
        <f>M168+30</f>
        <v>2031</v>
      </c>
      <c r="O168" s="99"/>
      <c r="P168" s="148" t="s">
        <v>311</v>
      </c>
      <c r="Q168" s="67" t="s">
        <v>2588</v>
      </c>
      <c r="R168" s="182">
        <v>45</v>
      </c>
      <c r="S168" s="242">
        <f>System!C$7</f>
        <v>0.94</v>
      </c>
      <c r="T168" s="243">
        <f t="shared" si="7"/>
        <v>42.3</v>
      </c>
      <c r="U168" s="219">
        <f>System!D$7</f>
        <v>0.3</v>
      </c>
      <c r="V168" s="247">
        <f t="shared" si="8"/>
        <v>118.26</v>
      </c>
      <c r="W168" s="37">
        <v>1</v>
      </c>
      <c r="X168" s="68"/>
      <c r="Y168" s="11" t="s">
        <v>4409</v>
      </c>
      <c r="Z168" s="11"/>
    </row>
    <row r="169" spans="1:26" s="61" customFormat="1" ht="20" x14ac:dyDescent="0.2">
      <c r="B169" s="134" t="s">
        <v>377</v>
      </c>
      <c r="C169" s="135" t="s">
        <v>4127</v>
      </c>
      <c r="D169" s="134" t="s">
        <v>430</v>
      </c>
      <c r="E169" s="135" t="s">
        <v>377</v>
      </c>
      <c r="F169" s="127">
        <v>50.219400999999998</v>
      </c>
      <c r="G169" s="127">
        <v>-111.159651</v>
      </c>
      <c r="H169" s="22" t="s">
        <v>2228</v>
      </c>
      <c r="I169" s="22" t="s">
        <v>2379</v>
      </c>
      <c r="J169" s="96" t="s">
        <v>3855</v>
      </c>
      <c r="K169" s="22" t="s">
        <v>2721</v>
      </c>
      <c r="L169" s="95">
        <v>138</v>
      </c>
      <c r="M169" s="65">
        <v>2015</v>
      </c>
      <c r="N169" s="93">
        <f>M169+30</f>
        <v>2045</v>
      </c>
      <c r="O169" s="99"/>
      <c r="P169" s="148" t="s">
        <v>311</v>
      </c>
      <c r="Q169" s="67" t="s">
        <v>2588</v>
      </c>
      <c r="R169" s="53">
        <v>20</v>
      </c>
      <c r="S169" s="242">
        <f>System!C$7</f>
        <v>0.94</v>
      </c>
      <c r="T169" s="243">
        <f t="shared" si="7"/>
        <v>18.799999999999997</v>
      </c>
      <c r="U169" s="219">
        <f>System!D$7</f>
        <v>0.3</v>
      </c>
      <c r="V169" s="247">
        <f t="shared" si="8"/>
        <v>52.56</v>
      </c>
      <c r="W169" s="122">
        <v>1</v>
      </c>
      <c r="X169" s="266"/>
      <c r="Y169" s="11"/>
      <c r="Z169" s="107"/>
    </row>
    <row r="170" spans="1:26" s="61" customFormat="1" ht="20" x14ac:dyDescent="0.2">
      <c r="B170" s="162" t="s">
        <v>2341</v>
      </c>
      <c r="C170" s="135" t="s">
        <v>4128</v>
      </c>
      <c r="D170" s="162" t="s">
        <v>2330</v>
      </c>
      <c r="E170" s="229" t="s">
        <v>403</v>
      </c>
      <c r="F170" s="127">
        <v>49.843943015444701</v>
      </c>
      <c r="G170" s="127">
        <v>-111.042789564348</v>
      </c>
      <c r="H170" s="22" t="s">
        <v>2228</v>
      </c>
      <c r="I170" s="22" t="s">
        <v>2379</v>
      </c>
      <c r="J170" s="96" t="s">
        <v>3438</v>
      </c>
      <c r="K170" s="67" t="s">
        <v>2690</v>
      </c>
      <c r="L170" s="95">
        <v>138</v>
      </c>
      <c r="M170" s="228">
        <v>2022</v>
      </c>
      <c r="N170" s="228">
        <v>2042</v>
      </c>
      <c r="O170" s="132"/>
      <c r="P170" s="229" t="s">
        <v>116</v>
      </c>
      <c r="Q170" s="67" t="s">
        <v>2239</v>
      </c>
      <c r="R170" s="182">
        <v>118</v>
      </c>
      <c r="S170" s="219">
        <f>System!C$11</f>
        <v>0.09</v>
      </c>
      <c r="T170" s="245">
        <f t="shared" si="7"/>
        <v>10.62</v>
      </c>
      <c r="U170" s="219">
        <f>System!D$11</f>
        <v>0.33</v>
      </c>
      <c r="V170" s="247">
        <f t="shared" si="8"/>
        <v>341.1144000000001</v>
      </c>
      <c r="W170" s="122"/>
      <c r="X170" s="68"/>
      <c r="Y170" s="11" t="s">
        <v>2331</v>
      </c>
      <c r="Z170" s="107"/>
    </row>
    <row r="171" spans="1:26" s="61" customFormat="1" ht="20" x14ac:dyDescent="0.2">
      <c r="B171" s="134" t="s">
        <v>110</v>
      </c>
      <c r="C171" s="135" t="s">
        <v>4129</v>
      </c>
      <c r="D171" s="134" t="s">
        <v>142</v>
      </c>
      <c r="E171" s="135" t="s">
        <v>110</v>
      </c>
      <c r="F171" s="118">
        <v>49.407098599999998</v>
      </c>
      <c r="G171" s="118">
        <v>-112.69240240000001</v>
      </c>
      <c r="H171" s="22" t="s">
        <v>2228</v>
      </c>
      <c r="I171" s="22" t="s">
        <v>2379</v>
      </c>
      <c r="J171" s="96" t="s">
        <v>3792</v>
      </c>
      <c r="K171" s="22" t="s">
        <v>2707</v>
      </c>
      <c r="L171" s="95">
        <v>138</v>
      </c>
      <c r="M171" s="64">
        <v>1994</v>
      </c>
      <c r="N171" s="72">
        <v>2034</v>
      </c>
      <c r="O171" s="99"/>
      <c r="P171" s="148" t="s">
        <v>140</v>
      </c>
      <c r="Q171" s="67" t="s">
        <v>2238</v>
      </c>
      <c r="R171" s="53">
        <v>20</v>
      </c>
      <c r="S171" s="242">
        <f>System!C$10</f>
        <v>0.3</v>
      </c>
      <c r="T171" s="243">
        <f t="shared" si="7"/>
        <v>6</v>
      </c>
      <c r="U171" s="242">
        <f>System!D$9</f>
        <v>0.24</v>
      </c>
      <c r="V171" s="248">
        <f t="shared" si="8"/>
        <v>42.047999999999995</v>
      </c>
      <c r="W171" s="122">
        <v>1</v>
      </c>
      <c r="X171" s="68"/>
      <c r="Y171" s="11"/>
      <c r="Z171" s="11"/>
    </row>
    <row r="172" spans="1:26" s="61" customFormat="1" ht="20" x14ac:dyDescent="0.2">
      <c r="B172" s="134" t="s">
        <v>317</v>
      </c>
      <c r="C172" s="135" t="s">
        <v>4130</v>
      </c>
      <c r="D172" s="134" t="s">
        <v>274</v>
      </c>
      <c r="E172" s="135" t="s">
        <v>286</v>
      </c>
      <c r="F172" s="127">
        <v>53.816189999999999</v>
      </c>
      <c r="G172" s="127">
        <v>-113.12627999999999</v>
      </c>
      <c r="H172" s="22" t="s">
        <v>2228</v>
      </c>
      <c r="I172" s="22" t="s">
        <v>2379</v>
      </c>
      <c r="J172" s="96" t="s">
        <v>3801</v>
      </c>
      <c r="K172" s="22" t="s">
        <v>2638</v>
      </c>
      <c r="L172" s="95">
        <v>144</v>
      </c>
      <c r="M172" s="64">
        <v>2001</v>
      </c>
      <c r="N172" s="93">
        <f>M172+30</f>
        <v>2031</v>
      </c>
      <c r="O172" s="99"/>
      <c r="P172" s="148" t="s">
        <v>332</v>
      </c>
      <c r="Q172" s="67" t="s">
        <v>2587</v>
      </c>
      <c r="R172" s="53">
        <v>46</v>
      </c>
      <c r="S172" s="242">
        <f>System!C$6</f>
        <v>0.94</v>
      </c>
      <c r="T172" s="243">
        <f t="shared" si="7"/>
        <v>43.239999999999995</v>
      </c>
      <c r="U172" s="219">
        <f>System!D$6</f>
        <v>0.3</v>
      </c>
      <c r="V172" s="247">
        <f t="shared" si="8"/>
        <v>120.88800000000001</v>
      </c>
      <c r="W172" s="122">
        <v>1</v>
      </c>
      <c r="X172" s="68"/>
      <c r="Y172" s="11"/>
      <c r="Z172" s="107"/>
    </row>
    <row r="173" spans="1:26" s="61" customFormat="1" ht="20" x14ac:dyDescent="0.2">
      <c r="B173" s="134" t="s">
        <v>496</v>
      </c>
      <c r="C173" s="135" t="s">
        <v>4131</v>
      </c>
      <c r="D173" s="134" t="s">
        <v>257</v>
      </c>
      <c r="E173" s="135" t="s">
        <v>226</v>
      </c>
      <c r="F173" s="127">
        <v>49.556113699999997</v>
      </c>
      <c r="G173" s="127">
        <v>-113.9629544</v>
      </c>
      <c r="H173" s="22" t="s">
        <v>2228</v>
      </c>
      <c r="I173" s="22" t="s">
        <v>2379</v>
      </c>
      <c r="J173" s="96" t="s">
        <v>3456</v>
      </c>
      <c r="K173" s="205" t="s">
        <v>2666</v>
      </c>
      <c r="L173" s="95">
        <v>240</v>
      </c>
      <c r="M173" s="64">
        <v>2019</v>
      </c>
      <c r="N173" s="64">
        <v>2039</v>
      </c>
      <c r="O173" s="99"/>
      <c r="P173" s="148" t="s">
        <v>116</v>
      </c>
      <c r="Q173" s="67" t="s">
        <v>2239</v>
      </c>
      <c r="R173" s="53">
        <v>105</v>
      </c>
      <c r="S173" s="219">
        <f>System!C$11</f>
        <v>0.09</v>
      </c>
      <c r="T173" s="245">
        <f t="shared" si="7"/>
        <v>9.4499999999999993</v>
      </c>
      <c r="U173" s="219">
        <f>System!D$11</f>
        <v>0.33</v>
      </c>
      <c r="V173" s="247">
        <f t="shared" si="8"/>
        <v>303.53399999999993</v>
      </c>
      <c r="W173" s="122"/>
      <c r="X173" s="68"/>
      <c r="Y173" s="11"/>
      <c r="Z173" s="11"/>
    </row>
    <row r="174" spans="1:26" s="61" customFormat="1" ht="20" x14ac:dyDescent="0.2">
      <c r="B174" s="134" t="s">
        <v>4198</v>
      </c>
      <c r="C174" s="135" t="s">
        <v>2504</v>
      </c>
      <c r="D174" s="134" t="s">
        <v>272</v>
      </c>
      <c r="E174" s="135" t="s">
        <v>252</v>
      </c>
      <c r="F174" s="118">
        <v>51.0886809</v>
      </c>
      <c r="G174" s="118">
        <v>-115.3735507</v>
      </c>
      <c r="H174" s="22" t="s">
        <v>2228</v>
      </c>
      <c r="I174" s="22" t="s">
        <v>2379</v>
      </c>
      <c r="J174" s="96" t="s">
        <v>3808</v>
      </c>
      <c r="K174" s="22" t="s">
        <v>2708</v>
      </c>
      <c r="L174" s="95">
        <v>138</v>
      </c>
      <c r="M174" s="64">
        <v>1951</v>
      </c>
      <c r="N174" s="72">
        <v>2034</v>
      </c>
      <c r="O174" s="99"/>
      <c r="P174" s="148" t="s">
        <v>331</v>
      </c>
      <c r="Q174" s="67" t="s">
        <v>462</v>
      </c>
      <c r="R174" s="53">
        <v>17</v>
      </c>
      <c r="S174" s="242">
        <f>System!C$9</f>
        <v>1</v>
      </c>
      <c r="T174" s="243">
        <f t="shared" si="7"/>
        <v>17</v>
      </c>
      <c r="U174" s="242">
        <f>System!D$9</f>
        <v>0.24</v>
      </c>
      <c r="V174" s="248">
        <f t="shared" si="8"/>
        <v>35.7408</v>
      </c>
      <c r="W174" s="122">
        <v>2</v>
      </c>
      <c r="X174" s="68"/>
      <c r="Y174" s="11"/>
      <c r="Z174" s="107"/>
    </row>
    <row r="175" spans="1:26" s="61" customFormat="1" ht="20" x14ac:dyDescent="0.2">
      <c r="B175" s="134" t="s">
        <v>4199</v>
      </c>
      <c r="C175" s="135" t="s">
        <v>2536</v>
      </c>
      <c r="D175" s="134" t="s">
        <v>272</v>
      </c>
      <c r="E175" s="135" t="s">
        <v>252</v>
      </c>
      <c r="F175" s="118">
        <v>51.0886809</v>
      </c>
      <c r="G175" s="118">
        <v>-115.3735507</v>
      </c>
      <c r="H175" s="22" t="s">
        <v>2228</v>
      </c>
      <c r="I175" s="22" t="s">
        <v>2379</v>
      </c>
      <c r="J175" s="96" t="s">
        <v>3808</v>
      </c>
      <c r="K175" s="205" t="s">
        <v>2708</v>
      </c>
      <c r="L175" s="95">
        <v>138</v>
      </c>
      <c r="M175" s="64">
        <v>1951</v>
      </c>
      <c r="N175" s="72">
        <v>2034</v>
      </c>
      <c r="O175" s="99"/>
      <c r="P175" s="148" t="s">
        <v>331</v>
      </c>
      <c r="Q175" s="67" t="s">
        <v>462</v>
      </c>
      <c r="R175" s="53">
        <v>30</v>
      </c>
      <c r="S175" s="242">
        <f>System!C$9</f>
        <v>1</v>
      </c>
      <c r="T175" s="243">
        <f t="shared" si="7"/>
        <v>30</v>
      </c>
      <c r="U175" s="242">
        <f>System!D$9</f>
        <v>0.24</v>
      </c>
      <c r="V175" s="248">
        <f t="shared" si="8"/>
        <v>63.071999999999996</v>
      </c>
      <c r="W175" s="37">
        <v>2</v>
      </c>
      <c r="X175" s="68"/>
      <c r="Y175" s="11"/>
      <c r="Z175" s="11"/>
    </row>
    <row r="176" spans="1:26" s="61" customFormat="1" ht="20" x14ac:dyDescent="0.2">
      <c r="B176" s="134" t="s">
        <v>395</v>
      </c>
      <c r="C176" s="135" t="s">
        <v>4132</v>
      </c>
      <c r="D176" s="134" t="s">
        <v>426</v>
      </c>
      <c r="E176" s="135" t="s">
        <v>427</v>
      </c>
      <c r="F176" s="127">
        <v>55.669320999999997</v>
      </c>
      <c r="G176" s="127">
        <v>-118.917821</v>
      </c>
      <c r="H176" s="22" t="s">
        <v>2228</v>
      </c>
      <c r="I176" s="22" t="s">
        <v>2379</v>
      </c>
      <c r="J176" s="96" t="s">
        <v>3812</v>
      </c>
      <c r="K176" s="22" t="s">
        <v>2709</v>
      </c>
      <c r="L176" s="95">
        <v>144</v>
      </c>
      <c r="M176" s="136">
        <v>2019</v>
      </c>
      <c r="N176" s="93">
        <f>M176+30</f>
        <v>2049</v>
      </c>
      <c r="O176" s="99"/>
      <c r="P176" s="148" t="s">
        <v>332</v>
      </c>
      <c r="Q176" s="67" t="s">
        <v>2587</v>
      </c>
      <c r="R176" s="137">
        <v>10</v>
      </c>
      <c r="S176" s="242">
        <f>System!C$6</f>
        <v>0.94</v>
      </c>
      <c r="T176" s="243">
        <f t="shared" si="7"/>
        <v>9.3999999999999986</v>
      </c>
      <c r="U176" s="219">
        <f>System!D$6</f>
        <v>0.3</v>
      </c>
      <c r="V176" s="247">
        <f t="shared" si="8"/>
        <v>26.28</v>
      </c>
      <c r="W176" s="122">
        <v>1</v>
      </c>
      <c r="X176" s="68"/>
      <c r="Y176" s="11"/>
      <c r="Z176" s="79"/>
    </row>
    <row r="177" spans="2:26" s="61" customFormat="1" ht="20" x14ac:dyDescent="0.2">
      <c r="B177" s="134" t="s">
        <v>325</v>
      </c>
      <c r="C177" s="135" t="s">
        <v>4141</v>
      </c>
      <c r="D177" s="134" t="s">
        <v>301</v>
      </c>
      <c r="E177" s="135" t="s">
        <v>286</v>
      </c>
      <c r="F177" s="118">
        <v>53.798499999999997</v>
      </c>
      <c r="G177" s="118">
        <v>-113.0943</v>
      </c>
      <c r="H177" s="22" t="s">
        <v>2228</v>
      </c>
      <c r="I177" s="22" t="s">
        <v>2379</v>
      </c>
      <c r="J177" s="96" t="s">
        <v>3822</v>
      </c>
      <c r="K177" s="22" t="s">
        <v>2710</v>
      </c>
      <c r="L177" s="95">
        <v>138</v>
      </c>
      <c r="M177" s="64">
        <v>2003</v>
      </c>
      <c r="N177" s="93">
        <f>M177+30</f>
        <v>2033</v>
      </c>
      <c r="O177" s="113"/>
      <c r="P177" s="148" t="s">
        <v>332</v>
      </c>
      <c r="Q177" s="67" t="s">
        <v>2587</v>
      </c>
      <c r="R177" s="53">
        <v>195</v>
      </c>
      <c r="S177" s="242">
        <f>System!C$6</f>
        <v>0.94</v>
      </c>
      <c r="T177" s="243">
        <f t="shared" si="7"/>
        <v>183.29999999999998</v>
      </c>
      <c r="U177" s="219">
        <f>System!D$6</f>
        <v>0.3</v>
      </c>
      <c r="V177" s="247">
        <f t="shared" si="8"/>
        <v>512.46</v>
      </c>
      <c r="W177" s="37">
        <v>1</v>
      </c>
      <c r="X177" s="68"/>
      <c r="Y177" s="11"/>
      <c r="Z177" s="11"/>
    </row>
    <row r="178" spans="2:26" s="61" customFormat="1" ht="20" x14ac:dyDescent="0.2">
      <c r="B178" s="162" t="s">
        <v>2305</v>
      </c>
      <c r="C178" s="135" t="s">
        <v>4133</v>
      </c>
      <c r="D178" s="162" t="s">
        <v>2306</v>
      </c>
      <c r="E178" s="229" t="s">
        <v>2307</v>
      </c>
      <c r="F178" s="127">
        <v>51.688634621173101</v>
      </c>
      <c r="G178" s="127">
        <v>-110.58097149760199</v>
      </c>
      <c r="H178" s="22" t="s">
        <v>2228</v>
      </c>
      <c r="I178" s="22" t="s">
        <v>2379</v>
      </c>
      <c r="J178" s="96" t="s">
        <v>3763</v>
      </c>
      <c r="K178" s="67" t="s">
        <v>2639</v>
      </c>
      <c r="L178" s="95">
        <v>144</v>
      </c>
      <c r="M178" s="228">
        <v>2023</v>
      </c>
      <c r="N178" s="228">
        <v>2043</v>
      </c>
      <c r="O178" s="132"/>
      <c r="P178" s="229" t="s">
        <v>116</v>
      </c>
      <c r="Q178" s="67" t="s">
        <v>2239</v>
      </c>
      <c r="R178" s="182">
        <v>298</v>
      </c>
      <c r="S178" s="219">
        <f>System!C$11</f>
        <v>0.09</v>
      </c>
      <c r="T178" s="245">
        <f t="shared" si="7"/>
        <v>26.82</v>
      </c>
      <c r="U178" s="219">
        <f>System!D$11</f>
        <v>0.33</v>
      </c>
      <c r="V178" s="247">
        <f t="shared" si="8"/>
        <v>861.45839999999987</v>
      </c>
      <c r="W178" s="37"/>
      <c r="X178" s="68"/>
      <c r="Y178" s="11" t="s">
        <v>2308</v>
      </c>
      <c r="Z178" s="11"/>
    </row>
    <row r="179" spans="2:26" s="6" customFormat="1" ht="20" x14ac:dyDescent="0.2">
      <c r="B179" s="134" t="s">
        <v>4200</v>
      </c>
      <c r="C179" s="135" t="s">
        <v>2499</v>
      </c>
      <c r="D179" s="134" t="s">
        <v>272</v>
      </c>
      <c r="E179" s="135" t="s">
        <v>4304</v>
      </c>
      <c r="F179" s="118">
        <v>51.442599999999999</v>
      </c>
      <c r="G179" s="118">
        <v>-111.7919</v>
      </c>
      <c r="H179" s="22" t="s">
        <v>2228</v>
      </c>
      <c r="I179" s="22" t="s">
        <v>2379</v>
      </c>
      <c r="J179" s="96" t="s">
        <v>3829</v>
      </c>
      <c r="K179" s="205" t="s">
        <v>2711</v>
      </c>
      <c r="L179" s="95">
        <v>240</v>
      </c>
      <c r="M179" s="64">
        <v>1986</v>
      </c>
      <c r="N179" s="306">
        <v>2021</v>
      </c>
      <c r="O179" s="111"/>
      <c r="P179" s="148" t="s">
        <v>456</v>
      </c>
      <c r="Q179" s="67" t="s">
        <v>2237</v>
      </c>
      <c r="R179" s="53">
        <v>408</v>
      </c>
      <c r="S179" s="241">
        <f>System!C$4</f>
        <v>0.9</v>
      </c>
      <c r="T179" s="244">
        <f t="shared" si="7"/>
        <v>367.2</v>
      </c>
      <c r="U179" s="219">
        <f>System!D$4</f>
        <v>0.55000000000000004</v>
      </c>
      <c r="V179" s="247">
        <f t="shared" si="8"/>
        <v>1965.7440000000001</v>
      </c>
      <c r="W179" s="37">
        <v>2</v>
      </c>
      <c r="X179" s="68"/>
      <c r="Y179" s="11" t="s">
        <v>4299</v>
      </c>
      <c r="Z179" s="11"/>
    </row>
    <row r="180" spans="2:26" s="61" customFormat="1" ht="20" x14ac:dyDescent="0.2">
      <c r="B180" s="134" t="s">
        <v>4201</v>
      </c>
      <c r="C180" s="135" t="s">
        <v>2531</v>
      </c>
      <c r="D180" s="134" t="s">
        <v>272</v>
      </c>
      <c r="E180" s="135" t="s">
        <v>4304</v>
      </c>
      <c r="F180" s="118">
        <v>51.442599999999999</v>
      </c>
      <c r="G180" s="118">
        <v>-111.7919</v>
      </c>
      <c r="H180" s="22" t="s">
        <v>2228</v>
      </c>
      <c r="I180" s="22" t="s">
        <v>2379</v>
      </c>
      <c r="J180" s="96" t="s">
        <v>3829</v>
      </c>
      <c r="K180" s="205" t="s">
        <v>2711</v>
      </c>
      <c r="L180" s="95">
        <v>240</v>
      </c>
      <c r="M180" s="64">
        <v>1990</v>
      </c>
      <c r="N180" s="306">
        <v>2020</v>
      </c>
      <c r="O180" s="111"/>
      <c r="P180" s="148" t="s">
        <v>456</v>
      </c>
      <c r="Q180" s="67" t="s">
        <v>2237</v>
      </c>
      <c r="R180" s="53">
        <v>408</v>
      </c>
      <c r="S180" s="241">
        <f>System!C$4</f>
        <v>0.9</v>
      </c>
      <c r="T180" s="244">
        <f t="shared" si="7"/>
        <v>367.2</v>
      </c>
      <c r="U180" s="219">
        <f>System!D$4</f>
        <v>0.55000000000000004</v>
      </c>
      <c r="V180" s="247">
        <f t="shared" si="8"/>
        <v>1965.7440000000001</v>
      </c>
      <c r="W180" s="122">
        <v>2</v>
      </c>
      <c r="X180" s="68"/>
      <c r="Y180" s="11" t="s">
        <v>4299</v>
      </c>
      <c r="Z180" s="107"/>
    </row>
    <row r="181" spans="2:26" s="61" customFormat="1" ht="20" x14ac:dyDescent="0.2">
      <c r="B181" s="134" t="s">
        <v>4202</v>
      </c>
      <c r="C181" s="135" t="s">
        <v>2512</v>
      </c>
      <c r="D181" s="134" t="s">
        <v>272</v>
      </c>
      <c r="E181" s="135" t="s">
        <v>4304</v>
      </c>
      <c r="F181" s="118">
        <v>51.442599999999999</v>
      </c>
      <c r="G181" s="118">
        <v>-111.7919</v>
      </c>
      <c r="H181" s="22" t="s">
        <v>2228</v>
      </c>
      <c r="I181" s="22" t="s">
        <v>2379</v>
      </c>
      <c r="J181" s="96" t="s">
        <v>3829</v>
      </c>
      <c r="K181" s="205" t="s">
        <v>2711</v>
      </c>
      <c r="L181" s="95">
        <v>240</v>
      </c>
      <c r="M181" s="306">
        <v>2022</v>
      </c>
      <c r="N181" s="306">
        <v>2035</v>
      </c>
      <c r="O181" s="111"/>
      <c r="P181" s="229" t="s">
        <v>333</v>
      </c>
      <c r="Q181" s="67" t="s">
        <v>2587</v>
      </c>
      <c r="R181" s="53">
        <v>408</v>
      </c>
      <c r="S181" s="242">
        <f>System!C$5</f>
        <v>0.94</v>
      </c>
      <c r="T181" s="243">
        <f t="shared" si="7"/>
        <v>383.52</v>
      </c>
      <c r="U181" s="219">
        <f>System!D$5</f>
        <v>0.6</v>
      </c>
      <c r="V181" s="247">
        <f t="shared" si="8"/>
        <v>2144.4479999999999</v>
      </c>
      <c r="W181" s="37">
        <v>2</v>
      </c>
      <c r="X181" s="68"/>
      <c r="Y181" s="11" t="s">
        <v>4299</v>
      </c>
      <c r="Z181" s="11"/>
    </row>
    <row r="182" spans="2:26" s="61" customFormat="1" ht="20" x14ac:dyDescent="0.2">
      <c r="B182" s="134" t="s">
        <v>4203</v>
      </c>
      <c r="C182" s="135" t="s">
        <v>2544</v>
      </c>
      <c r="D182" s="134" t="s">
        <v>272</v>
      </c>
      <c r="E182" s="135" t="s">
        <v>4304</v>
      </c>
      <c r="F182" s="118">
        <v>51.442599999999999</v>
      </c>
      <c r="G182" s="118">
        <v>-111.7919</v>
      </c>
      <c r="H182" s="22" t="s">
        <v>2228</v>
      </c>
      <c r="I182" s="22" t="s">
        <v>2379</v>
      </c>
      <c r="J182" s="96" t="s">
        <v>3829</v>
      </c>
      <c r="K182" s="205" t="s">
        <v>2711</v>
      </c>
      <c r="L182" s="95">
        <v>240</v>
      </c>
      <c r="M182" s="306">
        <v>2021</v>
      </c>
      <c r="N182" s="306">
        <v>2035</v>
      </c>
      <c r="O182" s="111"/>
      <c r="P182" s="229" t="s">
        <v>333</v>
      </c>
      <c r="Q182" s="67" t="s">
        <v>2587</v>
      </c>
      <c r="R182" s="53">
        <v>408</v>
      </c>
      <c r="S182" s="242">
        <f>System!C$5</f>
        <v>0.94</v>
      </c>
      <c r="T182" s="243">
        <f t="shared" si="7"/>
        <v>383.52</v>
      </c>
      <c r="U182" s="219">
        <f>System!D$5</f>
        <v>0.6</v>
      </c>
      <c r="V182" s="247">
        <f t="shared" si="8"/>
        <v>2144.4479999999999</v>
      </c>
      <c r="W182" s="37">
        <v>2</v>
      </c>
      <c r="X182" s="68"/>
      <c r="Y182" s="11" t="s">
        <v>4299</v>
      </c>
      <c r="Z182" s="11"/>
    </row>
    <row r="183" spans="2:26" s="61" customFormat="1" ht="20" x14ac:dyDescent="0.2">
      <c r="B183" s="134" t="s">
        <v>303</v>
      </c>
      <c r="C183" s="135" t="s">
        <v>4142</v>
      </c>
      <c r="D183" s="134" t="s">
        <v>302</v>
      </c>
      <c r="E183" s="135" t="s">
        <v>304</v>
      </c>
      <c r="F183" s="127">
        <v>52.103917000000003</v>
      </c>
      <c r="G183" s="127">
        <v>-114.039204</v>
      </c>
      <c r="H183" s="22" t="s">
        <v>2228</v>
      </c>
      <c r="I183" s="22" t="s">
        <v>2379</v>
      </c>
      <c r="J183" s="96" t="s">
        <v>3449</v>
      </c>
      <c r="K183" s="22" t="s">
        <v>2712</v>
      </c>
      <c r="L183" s="95">
        <v>144</v>
      </c>
      <c r="M183" s="64">
        <v>2009</v>
      </c>
      <c r="N183" s="93">
        <f>M183+30</f>
        <v>2039</v>
      </c>
      <c r="O183" s="99"/>
      <c r="P183" s="148" t="s">
        <v>332</v>
      </c>
      <c r="Q183" s="67" t="s">
        <v>2587</v>
      </c>
      <c r="R183" s="53">
        <v>23</v>
      </c>
      <c r="S183" s="242">
        <f>System!C$6</f>
        <v>0.94</v>
      </c>
      <c r="T183" s="243">
        <f t="shared" si="7"/>
        <v>21.619999999999997</v>
      </c>
      <c r="U183" s="219">
        <f>System!D$6</f>
        <v>0.3</v>
      </c>
      <c r="V183" s="247">
        <f t="shared" si="8"/>
        <v>60.444000000000003</v>
      </c>
      <c r="W183" s="37">
        <v>1</v>
      </c>
      <c r="X183" s="68"/>
      <c r="Y183" s="11"/>
      <c r="Z183" s="11"/>
    </row>
    <row r="184" spans="2:26" s="46" customFormat="1" ht="20" x14ac:dyDescent="0.25">
      <c r="B184" s="134" t="s">
        <v>398</v>
      </c>
      <c r="C184" s="135" t="s">
        <v>4143</v>
      </c>
      <c r="D184" s="134" t="s">
        <v>305</v>
      </c>
      <c r="E184" s="135" t="s">
        <v>239</v>
      </c>
      <c r="F184" s="118">
        <v>50.971299999999999</v>
      </c>
      <c r="G184" s="118">
        <v>-113.8858</v>
      </c>
      <c r="H184" s="22" t="s">
        <v>2228</v>
      </c>
      <c r="I184" s="22" t="s">
        <v>2379</v>
      </c>
      <c r="J184" s="96" t="s">
        <v>4026</v>
      </c>
      <c r="K184" s="22" t="s">
        <v>2713</v>
      </c>
      <c r="L184" s="95">
        <v>240</v>
      </c>
      <c r="M184" s="64">
        <v>2015</v>
      </c>
      <c r="N184" s="93">
        <f>M184+30</f>
        <v>2045</v>
      </c>
      <c r="O184" s="113"/>
      <c r="P184" s="148" t="s">
        <v>333</v>
      </c>
      <c r="Q184" s="67" t="s">
        <v>2587</v>
      </c>
      <c r="R184" s="53">
        <v>870</v>
      </c>
      <c r="S184" s="242">
        <f>System!C$5</f>
        <v>0.94</v>
      </c>
      <c r="T184" s="243">
        <f t="shared" si="7"/>
        <v>817.8</v>
      </c>
      <c r="U184" s="219">
        <f>System!D$5</f>
        <v>0.6</v>
      </c>
      <c r="V184" s="247">
        <f t="shared" si="8"/>
        <v>4572.72</v>
      </c>
      <c r="W184" s="122">
        <v>1</v>
      </c>
      <c r="X184" s="68"/>
      <c r="Y184" s="11"/>
      <c r="Z184" s="11"/>
    </row>
    <row r="185" spans="2:26" s="61" customFormat="1" ht="20" x14ac:dyDescent="0.2">
      <c r="B185" s="43" t="s">
        <v>399</v>
      </c>
      <c r="C185" s="135" t="s">
        <v>4134</v>
      </c>
      <c r="D185" s="43" t="s">
        <v>361</v>
      </c>
      <c r="E185" s="62" t="s">
        <v>286</v>
      </c>
      <c r="F185" s="127">
        <v>53.719822000000001</v>
      </c>
      <c r="G185" s="127">
        <v>-113.190454</v>
      </c>
      <c r="H185" s="22" t="s">
        <v>2228</v>
      </c>
      <c r="I185" s="22" t="s">
        <v>2379</v>
      </c>
      <c r="J185" s="96" t="s">
        <v>3832</v>
      </c>
      <c r="K185" s="22" t="s">
        <v>2714</v>
      </c>
      <c r="L185" s="95">
        <v>144</v>
      </c>
      <c r="M185" s="64">
        <v>1986</v>
      </c>
      <c r="N185" s="93">
        <f>M185+30+30</f>
        <v>2046</v>
      </c>
      <c r="O185" s="99"/>
      <c r="P185" s="62" t="s">
        <v>311</v>
      </c>
      <c r="Q185" s="67" t="s">
        <v>2588</v>
      </c>
      <c r="R185" s="53">
        <v>10</v>
      </c>
      <c r="S185" s="242">
        <f>System!C$7</f>
        <v>0.94</v>
      </c>
      <c r="T185" s="243">
        <f t="shared" si="7"/>
        <v>9.3999999999999986</v>
      </c>
      <c r="U185" s="219">
        <f>System!D$7</f>
        <v>0.3</v>
      </c>
      <c r="V185" s="247">
        <f t="shared" si="8"/>
        <v>26.28</v>
      </c>
      <c r="W185" s="37">
        <v>1</v>
      </c>
      <c r="X185" s="68"/>
      <c r="Y185" s="11"/>
      <c r="Z185" s="11"/>
    </row>
    <row r="186" spans="2:26" s="6" customFormat="1" ht="20" x14ac:dyDescent="0.2">
      <c r="B186" s="109" t="s">
        <v>212</v>
      </c>
      <c r="C186" s="135" t="s">
        <v>4135</v>
      </c>
      <c r="D186" s="109" t="s">
        <v>272</v>
      </c>
      <c r="E186" s="123" t="s">
        <v>226</v>
      </c>
      <c r="F186" s="118">
        <v>49.532454199999997</v>
      </c>
      <c r="G186" s="118">
        <v>-113.9773476</v>
      </c>
      <c r="H186" s="22" t="s">
        <v>2228</v>
      </c>
      <c r="I186" s="22" t="s">
        <v>2379</v>
      </c>
      <c r="J186" s="96" t="s">
        <v>3776</v>
      </c>
      <c r="K186" s="22" t="s">
        <v>2615</v>
      </c>
      <c r="L186" s="95">
        <v>138</v>
      </c>
      <c r="M186" s="108">
        <v>2014</v>
      </c>
      <c r="N186" s="108">
        <v>2034</v>
      </c>
      <c r="O186" s="132"/>
      <c r="P186" s="123" t="s">
        <v>116</v>
      </c>
      <c r="Q186" s="67" t="s">
        <v>2239</v>
      </c>
      <c r="R186" s="110">
        <v>6</v>
      </c>
      <c r="S186" s="219">
        <f>System!C$11</f>
        <v>0.09</v>
      </c>
      <c r="T186" s="245">
        <f t="shared" si="7"/>
        <v>0.54</v>
      </c>
      <c r="U186" s="219">
        <f>System!D$11</f>
        <v>0.33</v>
      </c>
      <c r="V186" s="247">
        <f t="shared" si="8"/>
        <v>17.344799999999999</v>
      </c>
      <c r="W186" s="37"/>
      <c r="X186" s="68"/>
      <c r="Y186" s="11"/>
      <c r="Z186" s="11"/>
    </row>
    <row r="187" spans="2:26" s="61" customFormat="1" ht="20" x14ac:dyDescent="0.2">
      <c r="B187" s="134" t="s">
        <v>229</v>
      </c>
      <c r="C187" s="135" t="s">
        <v>4136</v>
      </c>
      <c r="D187" s="134" t="s">
        <v>229</v>
      </c>
      <c r="E187" s="135" t="s">
        <v>213</v>
      </c>
      <c r="F187" s="118">
        <v>55.250863000000003</v>
      </c>
      <c r="G187" s="118">
        <v>-114.5180721</v>
      </c>
      <c r="H187" s="22" t="s">
        <v>2228</v>
      </c>
      <c r="I187" s="22" t="s">
        <v>2379</v>
      </c>
      <c r="J187" s="96" t="s">
        <v>3762</v>
      </c>
      <c r="K187" s="205" t="s">
        <v>2640</v>
      </c>
      <c r="L187" s="95">
        <v>72</v>
      </c>
      <c r="M187" s="65">
        <v>2015</v>
      </c>
      <c r="N187" s="93">
        <f>M187+30</f>
        <v>2045</v>
      </c>
      <c r="O187" s="99"/>
      <c r="P187" s="148" t="s">
        <v>455</v>
      </c>
      <c r="Q187" s="67" t="s">
        <v>2586</v>
      </c>
      <c r="R187" s="53">
        <v>9</v>
      </c>
      <c r="S187" s="242">
        <f>System!C$8</f>
        <v>0.97</v>
      </c>
      <c r="T187" s="243">
        <f t="shared" si="7"/>
        <v>8.73</v>
      </c>
      <c r="U187" s="246">
        <f>System!D$8</f>
        <v>0.55000000000000004</v>
      </c>
      <c r="V187" s="235">
        <f t="shared" si="8"/>
        <v>43.362000000000009</v>
      </c>
      <c r="W187" s="37">
        <v>1</v>
      </c>
      <c r="X187" s="68"/>
      <c r="Y187" s="11"/>
      <c r="Z187" s="11"/>
    </row>
    <row r="188" spans="2:26" s="6" customFormat="1" ht="20" x14ac:dyDescent="0.2">
      <c r="B188" s="134" t="s">
        <v>402</v>
      </c>
      <c r="C188" s="135" t="s">
        <v>4144</v>
      </c>
      <c r="D188" s="134" t="s">
        <v>272</v>
      </c>
      <c r="E188" s="135" t="s">
        <v>206</v>
      </c>
      <c r="F188" s="118">
        <v>49.538450699999999</v>
      </c>
      <c r="G188" s="118">
        <v>-113.523146</v>
      </c>
      <c r="H188" s="22" t="s">
        <v>2228</v>
      </c>
      <c r="I188" s="22" t="s">
        <v>2379</v>
      </c>
      <c r="J188" s="96" t="s">
        <v>3836</v>
      </c>
      <c r="K188" s="22" t="s">
        <v>2715</v>
      </c>
      <c r="L188" s="95">
        <v>144</v>
      </c>
      <c r="M188" s="64">
        <v>2006</v>
      </c>
      <c r="N188" s="64">
        <v>2026</v>
      </c>
      <c r="O188" s="99"/>
      <c r="P188" s="148" t="s">
        <v>116</v>
      </c>
      <c r="Q188" s="67" t="s">
        <v>2239</v>
      </c>
      <c r="R188" s="53">
        <v>70</v>
      </c>
      <c r="S188" s="219">
        <f>System!C$11</f>
        <v>0.09</v>
      </c>
      <c r="T188" s="245">
        <f t="shared" si="7"/>
        <v>6.3</v>
      </c>
      <c r="U188" s="219">
        <f>System!D$11</f>
        <v>0.33</v>
      </c>
      <c r="V188" s="247">
        <f t="shared" si="8"/>
        <v>202.35600000000002</v>
      </c>
      <c r="W188" s="37"/>
      <c r="X188" s="68"/>
      <c r="Y188" s="11"/>
      <c r="Z188" s="11"/>
    </row>
    <row r="189" spans="2:26" s="61" customFormat="1" ht="20" x14ac:dyDescent="0.2">
      <c r="B189" s="134" t="s">
        <v>230</v>
      </c>
      <c r="C189" s="135" t="s">
        <v>2505</v>
      </c>
      <c r="D189" s="134" t="s">
        <v>272</v>
      </c>
      <c r="E189" s="135" t="s">
        <v>252</v>
      </c>
      <c r="F189" s="118">
        <v>51.074511200000003</v>
      </c>
      <c r="G189" s="118">
        <v>-115.4023779</v>
      </c>
      <c r="H189" s="22" t="s">
        <v>2228</v>
      </c>
      <c r="I189" s="22" t="s">
        <v>2379</v>
      </c>
      <c r="J189" s="96" t="s">
        <v>3840</v>
      </c>
      <c r="K189" s="22" t="s">
        <v>2716</v>
      </c>
      <c r="L189" s="95">
        <v>138</v>
      </c>
      <c r="M189" s="64">
        <v>1954</v>
      </c>
      <c r="N189" s="72">
        <v>2034</v>
      </c>
      <c r="O189" s="99"/>
      <c r="P189" s="148" t="s">
        <v>331</v>
      </c>
      <c r="Q189" s="67" t="s">
        <v>462</v>
      </c>
      <c r="R189" s="53">
        <v>46</v>
      </c>
      <c r="S189" s="242">
        <f>System!C$9</f>
        <v>1</v>
      </c>
      <c r="T189" s="243">
        <f t="shared" si="7"/>
        <v>46</v>
      </c>
      <c r="U189" s="242">
        <f>System!D$9</f>
        <v>0.24</v>
      </c>
      <c r="V189" s="248">
        <f t="shared" si="8"/>
        <v>96.710399999999993</v>
      </c>
      <c r="W189" s="37">
        <v>2</v>
      </c>
      <c r="X189" s="68"/>
      <c r="Y189" s="11"/>
      <c r="Z189" s="11"/>
    </row>
    <row r="190" spans="2:26" s="6" customFormat="1" ht="20" x14ac:dyDescent="0.2">
      <c r="B190" s="134" t="s">
        <v>231</v>
      </c>
      <c r="C190" s="135" t="s">
        <v>2537</v>
      </c>
      <c r="D190" s="134" t="s">
        <v>272</v>
      </c>
      <c r="E190" s="135" t="s">
        <v>252</v>
      </c>
      <c r="F190" s="118">
        <v>51.074511200000003</v>
      </c>
      <c r="G190" s="118">
        <v>-115.4023779</v>
      </c>
      <c r="H190" s="22" t="s">
        <v>2228</v>
      </c>
      <c r="I190" s="22" t="s">
        <v>2379</v>
      </c>
      <c r="J190" s="96" t="s">
        <v>3840</v>
      </c>
      <c r="K190" s="22" t="s">
        <v>2716</v>
      </c>
      <c r="L190" s="95">
        <v>138</v>
      </c>
      <c r="M190" s="64">
        <v>1954</v>
      </c>
      <c r="N190" s="72">
        <v>2034</v>
      </c>
      <c r="O190" s="99"/>
      <c r="P190" s="148" t="s">
        <v>331</v>
      </c>
      <c r="Q190" s="67" t="s">
        <v>462</v>
      </c>
      <c r="R190" s="53">
        <v>46</v>
      </c>
      <c r="S190" s="242">
        <f>System!C$9</f>
        <v>1</v>
      </c>
      <c r="T190" s="243">
        <f t="shared" si="7"/>
        <v>46</v>
      </c>
      <c r="U190" s="242">
        <f>System!D$9</f>
        <v>0.24</v>
      </c>
      <c r="V190" s="248">
        <f t="shared" si="8"/>
        <v>96.710399999999993</v>
      </c>
      <c r="W190" s="122">
        <v>2</v>
      </c>
      <c r="X190" s="68"/>
      <c r="Y190" s="11"/>
      <c r="Z190" s="107"/>
    </row>
    <row r="191" spans="2:26" s="6" customFormat="1" ht="20" x14ac:dyDescent="0.2">
      <c r="B191" s="162" t="s">
        <v>2255</v>
      </c>
      <c r="C191" s="135" t="s">
        <v>4137</v>
      </c>
      <c r="D191" s="162" t="s">
        <v>2244</v>
      </c>
      <c r="E191" s="229" t="s">
        <v>2255</v>
      </c>
      <c r="F191" s="127">
        <v>49.287111139336503</v>
      </c>
      <c r="G191" s="127">
        <v>-113.157735123675</v>
      </c>
      <c r="H191" s="67" t="s">
        <v>2228</v>
      </c>
      <c r="I191" s="22" t="s">
        <v>2379</v>
      </c>
      <c r="J191" s="96" t="s">
        <v>3841</v>
      </c>
      <c r="K191" s="22" t="s">
        <v>2717</v>
      </c>
      <c r="L191" s="95">
        <v>138</v>
      </c>
      <c r="M191" s="228">
        <v>2022</v>
      </c>
      <c r="N191" s="228">
        <v>2042</v>
      </c>
      <c r="O191" s="99"/>
      <c r="P191" s="229" t="s">
        <v>334</v>
      </c>
      <c r="Q191" s="67" t="s">
        <v>2240</v>
      </c>
      <c r="R191" s="182">
        <v>30</v>
      </c>
      <c r="S191" s="219">
        <f>System!C$12</f>
        <v>0</v>
      </c>
      <c r="T191" s="245">
        <f t="shared" si="7"/>
        <v>0</v>
      </c>
      <c r="U191" s="219">
        <f>System!D$12</f>
        <v>0.18</v>
      </c>
      <c r="V191" s="247">
        <f t="shared" si="8"/>
        <v>47.304000000000002</v>
      </c>
      <c r="W191" s="122"/>
      <c r="X191" s="68"/>
      <c r="Y191" s="79" t="s">
        <v>2256</v>
      </c>
      <c r="Z191" s="120"/>
    </row>
    <row r="192" spans="2:26" s="6" customFormat="1" ht="20" x14ac:dyDescent="0.2">
      <c r="B192" s="134" t="s">
        <v>2484</v>
      </c>
      <c r="C192" s="135" t="s">
        <v>4145</v>
      </c>
      <c r="D192" s="134" t="s">
        <v>142</v>
      </c>
      <c r="E192" s="135" t="s">
        <v>109</v>
      </c>
      <c r="F192" s="118">
        <v>49.452623699999997</v>
      </c>
      <c r="G192" s="118">
        <v>-112.71654940000001</v>
      </c>
      <c r="H192" s="22" t="s">
        <v>2228</v>
      </c>
      <c r="I192" s="22" t="s">
        <v>2379</v>
      </c>
      <c r="J192" s="96" t="s">
        <v>3636</v>
      </c>
      <c r="K192" s="22" t="s">
        <v>3260</v>
      </c>
      <c r="L192" s="95">
        <v>138</v>
      </c>
      <c r="M192" s="64">
        <v>2004</v>
      </c>
      <c r="N192" s="72">
        <v>2034</v>
      </c>
      <c r="O192" s="99"/>
      <c r="P192" s="148" t="s">
        <v>140</v>
      </c>
      <c r="Q192" s="67" t="s">
        <v>2238</v>
      </c>
      <c r="R192" s="53">
        <v>7</v>
      </c>
      <c r="S192" s="242">
        <f>System!C$10</f>
        <v>0.3</v>
      </c>
      <c r="T192" s="243">
        <f t="shared" si="7"/>
        <v>2.1</v>
      </c>
      <c r="U192" s="242">
        <f>System!D$9</f>
        <v>0.24</v>
      </c>
      <c r="V192" s="248">
        <f t="shared" si="8"/>
        <v>14.716799999999999</v>
      </c>
      <c r="W192" s="122">
        <v>1</v>
      </c>
      <c r="X192" s="266"/>
      <c r="Y192" s="11"/>
      <c r="Z192" s="107"/>
    </row>
    <row r="193" spans="2:26" s="6" customFormat="1" ht="20" x14ac:dyDescent="0.2">
      <c r="B193" s="162" t="s">
        <v>2485</v>
      </c>
      <c r="C193" s="135" t="s">
        <v>4146</v>
      </c>
      <c r="D193" s="134" t="s">
        <v>272</v>
      </c>
      <c r="E193" s="135" t="s">
        <v>109</v>
      </c>
      <c r="F193" s="101">
        <v>49.366517700000003</v>
      </c>
      <c r="G193" s="101">
        <v>-113.1087392</v>
      </c>
      <c r="H193" s="22" t="s">
        <v>2228</v>
      </c>
      <c r="I193" s="22" t="s">
        <v>2379</v>
      </c>
      <c r="J193" s="96" t="s">
        <v>3636</v>
      </c>
      <c r="K193" s="22" t="s">
        <v>3260</v>
      </c>
      <c r="L193" s="95">
        <v>138</v>
      </c>
      <c r="M193" s="229">
        <v>1992</v>
      </c>
      <c r="N193" s="72">
        <v>2034</v>
      </c>
      <c r="O193" s="183"/>
      <c r="P193" s="229" t="s">
        <v>140</v>
      </c>
      <c r="Q193" s="67" t="s">
        <v>2238</v>
      </c>
      <c r="R193" s="215">
        <v>2</v>
      </c>
      <c r="S193" s="242">
        <f>System!C$10</f>
        <v>0.3</v>
      </c>
      <c r="T193" s="243">
        <f t="shared" si="7"/>
        <v>0.6</v>
      </c>
      <c r="U193" s="263">
        <v>0.93</v>
      </c>
      <c r="V193" s="230">
        <f t="shared" si="8"/>
        <v>16.293600000000001</v>
      </c>
      <c r="W193" s="187">
        <v>1</v>
      </c>
      <c r="X193" s="264"/>
      <c r="Y193" s="11" t="s">
        <v>2486</v>
      </c>
      <c r="Z193" s="116"/>
    </row>
    <row r="194" spans="2:26" s="6" customFormat="1" ht="20" x14ac:dyDescent="0.2">
      <c r="B194" s="162" t="s">
        <v>2325</v>
      </c>
      <c r="C194" s="135" t="s">
        <v>4139</v>
      </c>
      <c r="D194" s="162" t="s">
        <v>2323</v>
      </c>
      <c r="E194" s="229" t="s">
        <v>2325</v>
      </c>
      <c r="F194" s="127">
        <v>49.565546100757899</v>
      </c>
      <c r="G194" s="127">
        <v>-112.364231818871</v>
      </c>
      <c r="H194" s="22" t="s">
        <v>2228</v>
      </c>
      <c r="I194" s="22" t="s">
        <v>2379</v>
      </c>
      <c r="J194" s="96" t="s">
        <v>3848</v>
      </c>
      <c r="K194" s="22" t="s">
        <v>2718</v>
      </c>
      <c r="L194" s="95">
        <v>144</v>
      </c>
      <c r="M194" s="228">
        <v>2024</v>
      </c>
      <c r="N194" s="228">
        <v>2044</v>
      </c>
      <c r="O194" s="132"/>
      <c r="P194" s="229" t="s">
        <v>116</v>
      </c>
      <c r="Q194" s="67" t="s">
        <v>2239</v>
      </c>
      <c r="R194" s="182">
        <v>113</v>
      </c>
      <c r="S194" s="219">
        <f>System!C$11</f>
        <v>0.09</v>
      </c>
      <c r="T194" s="245">
        <f t="shared" si="7"/>
        <v>10.17</v>
      </c>
      <c r="U194" s="219">
        <f>System!D$11</f>
        <v>0.33</v>
      </c>
      <c r="V194" s="247">
        <f t="shared" si="8"/>
        <v>326.66040000000004</v>
      </c>
      <c r="W194" s="37"/>
      <c r="X194" s="68"/>
      <c r="Y194" s="11" t="s">
        <v>2326</v>
      </c>
      <c r="Z194" s="11"/>
    </row>
    <row r="195" spans="2:26" s="6" customFormat="1" ht="20" x14ac:dyDescent="0.2">
      <c r="B195" s="134" t="s">
        <v>2207</v>
      </c>
      <c r="C195" s="135" t="s">
        <v>4147</v>
      </c>
      <c r="D195" s="134" t="s">
        <v>2387</v>
      </c>
      <c r="E195" s="135" t="s">
        <v>247</v>
      </c>
      <c r="F195" s="127">
        <v>53.5433510362286</v>
      </c>
      <c r="G195" s="127">
        <v>-113.39102028788299</v>
      </c>
      <c r="H195" s="22" t="s">
        <v>2228</v>
      </c>
      <c r="I195" s="22" t="s">
        <v>2379</v>
      </c>
      <c r="J195" s="96" t="s">
        <v>2207</v>
      </c>
      <c r="K195" s="67" t="s">
        <v>2719</v>
      </c>
      <c r="L195" s="95">
        <v>72</v>
      </c>
      <c r="M195" s="64">
        <v>2020</v>
      </c>
      <c r="N195" s="93">
        <f>M195+30</f>
        <v>2050</v>
      </c>
      <c r="O195" s="99"/>
      <c r="P195" s="148" t="s">
        <v>332</v>
      </c>
      <c r="Q195" s="67" t="s">
        <v>2587</v>
      </c>
      <c r="R195" s="137">
        <v>43</v>
      </c>
      <c r="S195" s="242">
        <f>System!C$6</f>
        <v>0.94</v>
      </c>
      <c r="T195" s="243">
        <f t="shared" si="7"/>
        <v>40.419999999999995</v>
      </c>
      <c r="U195" s="219">
        <f>System!D$6</f>
        <v>0.3</v>
      </c>
      <c r="V195" s="247">
        <f t="shared" si="8"/>
        <v>113.00400000000002</v>
      </c>
      <c r="W195" s="37">
        <v>1</v>
      </c>
      <c r="X195" s="68"/>
      <c r="Y195" s="79"/>
      <c r="Z195" s="11"/>
    </row>
    <row r="196" spans="2:26" s="6" customFormat="1" ht="20" x14ac:dyDescent="0.2">
      <c r="B196" s="162" t="s">
        <v>275</v>
      </c>
      <c r="C196" s="135" t="s">
        <v>4138</v>
      </c>
      <c r="D196" s="162" t="s">
        <v>2244</v>
      </c>
      <c r="E196" s="229" t="s">
        <v>275</v>
      </c>
      <c r="F196" s="127">
        <v>51.032690029239298</v>
      </c>
      <c r="G196" s="127">
        <v>-113.37670362096</v>
      </c>
      <c r="H196" s="67" t="s">
        <v>2228</v>
      </c>
      <c r="I196" s="22" t="s">
        <v>2379</v>
      </c>
      <c r="J196" s="96" t="s">
        <v>3851</v>
      </c>
      <c r="K196" s="22" t="s">
        <v>2720</v>
      </c>
      <c r="L196" s="95">
        <v>138</v>
      </c>
      <c r="M196" s="228">
        <v>2022</v>
      </c>
      <c r="N196" s="228">
        <v>2042</v>
      </c>
      <c r="O196" s="99"/>
      <c r="P196" s="229" t="s">
        <v>334</v>
      </c>
      <c r="Q196" s="67" t="s">
        <v>2240</v>
      </c>
      <c r="R196" s="182">
        <v>41</v>
      </c>
      <c r="S196" s="219">
        <f>System!C$12</f>
        <v>0</v>
      </c>
      <c r="T196" s="245">
        <f t="shared" ref="T196:T240" si="10">R196*S196</f>
        <v>0</v>
      </c>
      <c r="U196" s="219">
        <f>System!D$12</f>
        <v>0.18</v>
      </c>
      <c r="V196" s="247">
        <f t="shared" ref="V196:V240" si="11">U196*R196*24*365/1000</f>
        <v>64.648800000000008</v>
      </c>
      <c r="W196" s="122"/>
      <c r="X196" s="68"/>
      <c r="Y196" s="79" t="s">
        <v>2254</v>
      </c>
      <c r="Z196" s="120"/>
    </row>
    <row r="197" spans="2:26" s="6" customFormat="1" ht="20" x14ac:dyDescent="0.2">
      <c r="B197" s="162" t="s">
        <v>2264</v>
      </c>
      <c r="C197" s="135" t="s">
        <v>4140</v>
      </c>
      <c r="D197" s="162" t="s">
        <v>2262</v>
      </c>
      <c r="E197" s="229" t="s">
        <v>2264</v>
      </c>
      <c r="F197" s="127">
        <v>50.277642654980603</v>
      </c>
      <c r="G197" s="127">
        <v>-111.28115045194799</v>
      </c>
      <c r="H197" s="67" t="s">
        <v>2228</v>
      </c>
      <c r="I197" s="22" t="s">
        <v>2379</v>
      </c>
      <c r="J197" s="96" t="s">
        <v>3855</v>
      </c>
      <c r="K197" s="67" t="s">
        <v>2721</v>
      </c>
      <c r="L197" s="95">
        <v>138</v>
      </c>
      <c r="M197" s="228">
        <v>2021</v>
      </c>
      <c r="N197" s="228">
        <v>2041</v>
      </c>
      <c r="O197" s="99"/>
      <c r="P197" s="229" t="s">
        <v>334</v>
      </c>
      <c r="Q197" s="67" t="s">
        <v>2240</v>
      </c>
      <c r="R197" s="182">
        <v>23</v>
      </c>
      <c r="S197" s="219">
        <f>System!C$12</f>
        <v>0</v>
      </c>
      <c r="T197" s="245">
        <f t="shared" si="10"/>
        <v>0</v>
      </c>
      <c r="U197" s="219">
        <f>System!D$12</f>
        <v>0.18</v>
      </c>
      <c r="V197" s="247">
        <f t="shared" si="11"/>
        <v>36.266399999999997</v>
      </c>
      <c r="W197" s="122"/>
      <c r="X197" s="68"/>
      <c r="Y197" s="79" t="s">
        <v>2267</v>
      </c>
      <c r="Z197" s="120"/>
    </row>
    <row r="198" spans="2:26" s="6" customFormat="1" ht="20" x14ac:dyDescent="0.2">
      <c r="B198" s="134" t="s">
        <v>2309</v>
      </c>
      <c r="C198" s="135" t="s">
        <v>4148</v>
      </c>
      <c r="D198" s="134" t="s">
        <v>272</v>
      </c>
      <c r="E198" s="135" t="s">
        <v>226</v>
      </c>
      <c r="F198" s="118">
        <v>49.582899699999999</v>
      </c>
      <c r="G198" s="118">
        <v>-113.7931167</v>
      </c>
      <c r="H198" s="22" t="s">
        <v>2228</v>
      </c>
      <c r="I198" s="22" t="s">
        <v>2379</v>
      </c>
      <c r="J198" s="96" t="s">
        <v>3859</v>
      </c>
      <c r="K198" s="67" t="s">
        <v>2722</v>
      </c>
      <c r="L198" s="95">
        <v>144</v>
      </c>
      <c r="M198" s="64">
        <v>2004</v>
      </c>
      <c r="N198" s="64">
        <v>2024</v>
      </c>
      <c r="O198" s="99"/>
      <c r="P198" s="148" t="s">
        <v>116</v>
      </c>
      <c r="Q198" s="67" t="s">
        <v>2239</v>
      </c>
      <c r="R198" s="53">
        <v>66</v>
      </c>
      <c r="S198" s="219">
        <f>System!C$11</f>
        <v>0.09</v>
      </c>
      <c r="T198" s="245">
        <f t="shared" si="10"/>
        <v>5.9399999999999995</v>
      </c>
      <c r="U198" s="219">
        <f>System!D$11</f>
        <v>0.33</v>
      </c>
      <c r="V198" s="247">
        <f t="shared" si="11"/>
        <v>190.79280000000003</v>
      </c>
      <c r="W198" s="37"/>
      <c r="X198" s="68"/>
      <c r="Y198" s="11"/>
      <c r="Z198" s="11"/>
    </row>
    <row r="199" spans="2:26" s="6" customFormat="1" ht="20" x14ac:dyDescent="0.2">
      <c r="B199" s="134" t="s">
        <v>2310</v>
      </c>
      <c r="C199" s="135" t="s">
        <v>4149</v>
      </c>
      <c r="D199" s="134" t="s">
        <v>272</v>
      </c>
      <c r="E199" s="135" t="s">
        <v>226</v>
      </c>
      <c r="F199" s="118">
        <v>49.582899699999999</v>
      </c>
      <c r="G199" s="118">
        <v>-113.7931167</v>
      </c>
      <c r="H199" s="22" t="s">
        <v>2228</v>
      </c>
      <c r="I199" s="22" t="s">
        <v>2379</v>
      </c>
      <c r="J199" s="96" t="s">
        <v>3859</v>
      </c>
      <c r="K199" s="22" t="s">
        <v>2722</v>
      </c>
      <c r="L199" s="95">
        <v>144</v>
      </c>
      <c r="M199" s="64">
        <v>2004</v>
      </c>
      <c r="N199" s="64">
        <v>2024</v>
      </c>
      <c r="O199" s="99"/>
      <c r="P199" s="148" t="s">
        <v>116</v>
      </c>
      <c r="Q199" s="67" t="s">
        <v>2239</v>
      </c>
      <c r="R199" s="53">
        <v>66</v>
      </c>
      <c r="S199" s="219">
        <f>System!C$11</f>
        <v>0.09</v>
      </c>
      <c r="T199" s="245">
        <f t="shared" si="10"/>
        <v>5.9399999999999995</v>
      </c>
      <c r="U199" s="219">
        <f>System!D$11</f>
        <v>0.33</v>
      </c>
      <c r="V199" s="247">
        <f t="shared" si="11"/>
        <v>190.79280000000003</v>
      </c>
      <c r="W199" s="37"/>
      <c r="X199" s="68"/>
      <c r="Y199" s="11"/>
      <c r="Z199" s="11"/>
    </row>
    <row r="200" spans="2:26" s="6" customFormat="1" ht="20" x14ac:dyDescent="0.2">
      <c r="B200" s="134" t="s">
        <v>4204</v>
      </c>
      <c r="C200" s="135" t="s">
        <v>2575</v>
      </c>
      <c r="D200" s="134" t="s">
        <v>272</v>
      </c>
      <c r="E200" s="135" t="s">
        <v>289</v>
      </c>
      <c r="F200" s="118">
        <v>53.5075</v>
      </c>
      <c r="G200" s="118">
        <v>-114.5569</v>
      </c>
      <c r="H200" s="22" t="s">
        <v>2228</v>
      </c>
      <c r="I200" s="22" t="s">
        <v>2379</v>
      </c>
      <c r="J200" s="96" t="s">
        <v>3861</v>
      </c>
      <c r="K200" s="22" t="s">
        <v>2723</v>
      </c>
      <c r="L200" s="95">
        <v>240</v>
      </c>
      <c r="M200" s="64">
        <v>2007</v>
      </c>
      <c r="N200" s="306">
        <v>2020</v>
      </c>
      <c r="O200" s="111"/>
      <c r="P200" s="148" t="s">
        <v>456</v>
      </c>
      <c r="Q200" s="67" t="s">
        <v>2237</v>
      </c>
      <c r="R200" s="53">
        <v>406</v>
      </c>
      <c r="S200" s="241">
        <f>System!C$4</f>
        <v>0.9</v>
      </c>
      <c r="T200" s="244">
        <f t="shared" si="10"/>
        <v>365.40000000000003</v>
      </c>
      <c r="U200" s="219">
        <f>System!D$4</f>
        <v>0.55000000000000004</v>
      </c>
      <c r="V200" s="247">
        <f t="shared" si="11"/>
        <v>1956.1080000000002</v>
      </c>
      <c r="W200" s="122">
        <v>2</v>
      </c>
      <c r="X200" s="68"/>
      <c r="Y200" s="11" t="s">
        <v>4305</v>
      </c>
      <c r="Z200" s="107"/>
    </row>
    <row r="201" spans="2:26" s="6" customFormat="1" ht="20" x14ac:dyDescent="0.2">
      <c r="B201" s="134" t="s">
        <v>4205</v>
      </c>
      <c r="C201" s="135" t="s">
        <v>2583</v>
      </c>
      <c r="D201" s="134" t="s">
        <v>272</v>
      </c>
      <c r="E201" s="135" t="s">
        <v>289</v>
      </c>
      <c r="F201" s="118">
        <v>53.5075</v>
      </c>
      <c r="G201" s="118">
        <v>-114.5569</v>
      </c>
      <c r="H201" s="22" t="s">
        <v>2228</v>
      </c>
      <c r="I201" s="22" t="s">
        <v>2379</v>
      </c>
      <c r="J201" s="96" t="s">
        <v>3861</v>
      </c>
      <c r="K201" s="22" t="s">
        <v>2723</v>
      </c>
      <c r="L201" s="95">
        <v>240</v>
      </c>
      <c r="M201" s="64">
        <v>2001</v>
      </c>
      <c r="N201" s="306">
        <v>2020</v>
      </c>
      <c r="O201" s="111"/>
      <c r="P201" s="148" t="s">
        <v>456</v>
      </c>
      <c r="Q201" s="67" t="s">
        <v>2237</v>
      </c>
      <c r="R201" s="53">
        <v>401</v>
      </c>
      <c r="S201" s="241">
        <f>System!C$4</f>
        <v>0.9</v>
      </c>
      <c r="T201" s="244">
        <f t="shared" si="10"/>
        <v>360.90000000000003</v>
      </c>
      <c r="U201" s="219">
        <f>System!D$4</f>
        <v>0.55000000000000004</v>
      </c>
      <c r="V201" s="247">
        <f t="shared" si="11"/>
        <v>1932.0180000000003</v>
      </c>
      <c r="W201" s="37">
        <v>2</v>
      </c>
      <c r="X201" s="68"/>
      <c r="Y201" s="11" t="s">
        <v>4305</v>
      </c>
      <c r="Z201" s="11"/>
    </row>
    <row r="202" spans="2:26" s="6" customFormat="1" ht="20" x14ac:dyDescent="0.2">
      <c r="B202" s="134" t="s">
        <v>4206</v>
      </c>
      <c r="C202" s="135" t="s">
        <v>2579</v>
      </c>
      <c r="D202" s="134" t="s">
        <v>272</v>
      </c>
      <c r="E202" s="135" t="s">
        <v>289</v>
      </c>
      <c r="F202" s="118">
        <v>53.5075</v>
      </c>
      <c r="G202" s="118">
        <v>-114.5569</v>
      </c>
      <c r="H202" s="22" t="s">
        <v>2228</v>
      </c>
      <c r="I202" s="22" t="s">
        <v>2379</v>
      </c>
      <c r="J202" s="96" t="s">
        <v>3861</v>
      </c>
      <c r="K202" s="22" t="s">
        <v>2723</v>
      </c>
      <c r="L202" s="95">
        <v>240</v>
      </c>
      <c r="M202" s="306">
        <v>2021</v>
      </c>
      <c r="N202" s="306">
        <v>2027</v>
      </c>
      <c r="O202" s="111"/>
      <c r="P202" s="229" t="s">
        <v>333</v>
      </c>
      <c r="Q202" s="67" t="s">
        <v>2587</v>
      </c>
      <c r="R202" s="53">
        <v>406</v>
      </c>
      <c r="S202" s="242">
        <f>System!C$5</f>
        <v>0.94</v>
      </c>
      <c r="T202" s="243">
        <f t="shared" si="10"/>
        <v>381.64</v>
      </c>
      <c r="U202" s="219">
        <f>System!D$5</f>
        <v>0.6</v>
      </c>
      <c r="V202" s="247">
        <f t="shared" si="11"/>
        <v>2133.9360000000001</v>
      </c>
      <c r="W202" s="122">
        <v>2</v>
      </c>
      <c r="X202" s="68"/>
      <c r="Y202" s="11" t="s">
        <v>4305</v>
      </c>
      <c r="Z202" s="107"/>
    </row>
    <row r="203" spans="2:26" s="6" customFormat="1" ht="20" x14ac:dyDescent="0.2">
      <c r="B203" s="162" t="s">
        <v>4207</v>
      </c>
      <c r="C203" s="135" t="s">
        <v>2582</v>
      </c>
      <c r="D203" s="134" t="s">
        <v>272</v>
      </c>
      <c r="E203" s="135" t="s">
        <v>289</v>
      </c>
      <c r="F203" s="118">
        <v>53.5075</v>
      </c>
      <c r="G203" s="118">
        <v>-114.5569</v>
      </c>
      <c r="H203" s="22" t="s">
        <v>2228</v>
      </c>
      <c r="I203" s="22" t="s">
        <v>2379</v>
      </c>
      <c r="J203" s="96" t="s">
        <v>3861</v>
      </c>
      <c r="K203" s="22" t="s">
        <v>2723</v>
      </c>
      <c r="L203" s="95">
        <v>240</v>
      </c>
      <c r="M203" s="306">
        <v>2023</v>
      </c>
      <c r="N203" s="306">
        <v>2033</v>
      </c>
      <c r="O203" s="111"/>
      <c r="P203" s="229" t="s">
        <v>333</v>
      </c>
      <c r="Q203" s="67" t="s">
        <v>2587</v>
      </c>
      <c r="R203" s="182">
        <v>742</v>
      </c>
      <c r="S203" s="242">
        <f>System!C$5</f>
        <v>0.94</v>
      </c>
      <c r="T203" s="243">
        <f t="shared" si="10"/>
        <v>697.4799999999999</v>
      </c>
      <c r="U203" s="219">
        <f>System!D$5</f>
        <v>0.6</v>
      </c>
      <c r="V203" s="247">
        <f t="shared" si="11"/>
        <v>3899.9519999999993</v>
      </c>
      <c r="W203" s="122"/>
      <c r="X203" s="68"/>
      <c r="Y203" s="11" t="s">
        <v>4305</v>
      </c>
      <c r="Z203" s="107"/>
    </row>
    <row r="204" spans="2:26" s="6" customFormat="1" ht="20" x14ac:dyDescent="0.2">
      <c r="B204" s="134" t="s">
        <v>4208</v>
      </c>
      <c r="C204" s="135" t="s">
        <v>2584</v>
      </c>
      <c r="D204" s="134" t="s">
        <v>272</v>
      </c>
      <c r="E204" s="135" t="s">
        <v>289</v>
      </c>
      <c r="F204" s="118">
        <v>53.5075</v>
      </c>
      <c r="G204" s="118">
        <v>-114.5569</v>
      </c>
      <c r="H204" s="22" t="s">
        <v>2228</v>
      </c>
      <c r="I204" s="22" t="s">
        <v>2379</v>
      </c>
      <c r="J204" s="96" t="s">
        <v>3861</v>
      </c>
      <c r="K204" s="205" t="s">
        <v>2723</v>
      </c>
      <c r="L204" s="95">
        <v>240</v>
      </c>
      <c r="M204" s="306">
        <v>2021</v>
      </c>
      <c r="N204" s="306">
        <v>2033</v>
      </c>
      <c r="O204" s="111"/>
      <c r="P204" s="229" t="s">
        <v>333</v>
      </c>
      <c r="Q204" s="67" t="s">
        <v>2587</v>
      </c>
      <c r="R204" s="53">
        <v>401</v>
      </c>
      <c r="S204" s="242">
        <f>System!C$5</f>
        <v>0.94</v>
      </c>
      <c r="T204" s="243">
        <f t="shared" si="10"/>
        <v>376.94</v>
      </c>
      <c r="U204" s="219">
        <f>System!D$5</f>
        <v>0.6</v>
      </c>
      <c r="V204" s="247">
        <f t="shared" si="11"/>
        <v>2107.6559999999999</v>
      </c>
      <c r="W204" s="37">
        <v>2</v>
      </c>
      <c r="X204" s="68"/>
      <c r="Y204" s="11" t="s">
        <v>4305</v>
      </c>
      <c r="Z204" s="11"/>
    </row>
    <row r="205" spans="2:26" s="6" customFormat="1" ht="20" x14ac:dyDescent="0.2">
      <c r="B205" s="134" t="s">
        <v>396</v>
      </c>
      <c r="C205" s="135" t="s">
        <v>4150</v>
      </c>
      <c r="D205" s="134" t="s">
        <v>307</v>
      </c>
      <c r="E205" s="135" t="s">
        <v>277</v>
      </c>
      <c r="F205" s="127">
        <v>57.048544999999997</v>
      </c>
      <c r="G205" s="127">
        <v>-111.580229</v>
      </c>
      <c r="H205" s="22" t="s">
        <v>2228</v>
      </c>
      <c r="I205" s="22" t="s">
        <v>2379</v>
      </c>
      <c r="J205" s="96" t="s">
        <v>3810</v>
      </c>
      <c r="K205" s="22" t="s">
        <v>2641</v>
      </c>
      <c r="L205" s="95">
        <v>240</v>
      </c>
      <c r="M205" s="64">
        <v>1978</v>
      </c>
      <c r="N205" s="93">
        <f>M205+30+30</f>
        <v>2038</v>
      </c>
      <c r="O205" s="113"/>
      <c r="P205" s="148" t="s">
        <v>332</v>
      </c>
      <c r="Q205" s="67" t="s">
        <v>2587</v>
      </c>
      <c r="R205" s="53">
        <v>528.20000000000005</v>
      </c>
      <c r="S205" s="242">
        <f>System!C$6</f>
        <v>0.94</v>
      </c>
      <c r="T205" s="243">
        <f t="shared" si="10"/>
        <v>496.50800000000004</v>
      </c>
      <c r="U205" s="219">
        <f>System!D$6</f>
        <v>0.3</v>
      </c>
      <c r="V205" s="247">
        <f t="shared" si="11"/>
        <v>1388.1096</v>
      </c>
      <c r="W205" s="37">
        <v>1</v>
      </c>
      <c r="X205" s="68"/>
      <c r="Y205" s="11"/>
      <c r="Z205" s="11"/>
    </row>
    <row r="206" spans="2:26" s="6" customFormat="1" ht="20" x14ac:dyDescent="0.2">
      <c r="B206" s="134" t="s">
        <v>214</v>
      </c>
      <c r="C206" s="135" t="s">
        <v>4151</v>
      </c>
      <c r="D206" s="43" t="s">
        <v>262</v>
      </c>
      <c r="E206" s="62" t="s">
        <v>214</v>
      </c>
      <c r="F206" s="118">
        <v>49.718360400000002</v>
      </c>
      <c r="G206" s="118">
        <v>-111.92656580000001</v>
      </c>
      <c r="H206" s="22" t="s">
        <v>2228</v>
      </c>
      <c r="I206" s="22" t="s">
        <v>2379</v>
      </c>
      <c r="J206" s="96" t="s">
        <v>3873</v>
      </c>
      <c r="K206" s="22" t="s">
        <v>2724</v>
      </c>
      <c r="L206" s="95">
        <v>144</v>
      </c>
      <c r="M206" s="64">
        <v>2006</v>
      </c>
      <c r="N206" s="64">
        <v>2026</v>
      </c>
      <c r="O206" s="132"/>
      <c r="P206" s="148" t="s">
        <v>116</v>
      </c>
      <c r="Q206" s="67" t="s">
        <v>2239</v>
      </c>
      <c r="R206" s="53">
        <v>80</v>
      </c>
      <c r="S206" s="219">
        <f>System!C$11</f>
        <v>0.09</v>
      </c>
      <c r="T206" s="245">
        <f t="shared" si="10"/>
        <v>7.1999999999999993</v>
      </c>
      <c r="U206" s="219">
        <f>System!D$11</f>
        <v>0.33</v>
      </c>
      <c r="V206" s="247">
        <f t="shared" si="11"/>
        <v>231.26400000000001</v>
      </c>
      <c r="W206" s="122"/>
      <c r="X206" s="68"/>
      <c r="Y206" s="11"/>
      <c r="Z206" s="58"/>
    </row>
    <row r="207" spans="2:26" s="6" customFormat="1" ht="20" x14ac:dyDescent="0.2">
      <c r="B207" s="134" t="s">
        <v>2483</v>
      </c>
      <c r="C207" s="135" t="s">
        <v>4152</v>
      </c>
      <c r="D207" s="134" t="s">
        <v>272</v>
      </c>
      <c r="E207" s="135" t="s">
        <v>109</v>
      </c>
      <c r="F207" s="118">
        <v>49.333648699999998</v>
      </c>
      <c r="G207" s="118">
        <v>-112.8871494</v>
      </c>
      <c r="H207" s="22" t="s">
        <v>2228</v>
      </c>
      <c r="I207" s="22" t="s">
        <v>2379</v>
      </c>
      <c r="J207" s="96" t="s">
        <v>3698</v>
      </c>
      <c r="K207" s="22" t="s">
        <v>2694</v>
      </c>
      <c r="L207" s="95">
        <v>138</v>
      </c>
      <c r="M207" s="64">
        <v>2000</v>
      </c>
      <c r="N207" s="72">
        <v>2034</v>
      </c>
      <c r="O207" s="132"/>
      <c r="P207" s="148" t="s">
        <v>140</v>
      </c>
      <c r="Q207" s="67" t="s">
        <v>2238</v>
      </c>
      <c r="R207" s="53">
        <v>14</v>
      </c>
      <c r="S207" s="242">
        <f>System!C$10</f>
        <v>0.3</v>
      </c>
      <c r="T207" s="243">
        <f t="shared" si="10"/>
        <v>4.2</v>
      </c>
      <c r="U207" s="242">
        <f>System!D$9</f>
        <v>0.24</v>
      </c>
      <c r="V207" s="248">
        <f t="shared" si="11"/>
        <v>29.433599999999998</v>
      </c>
      <c r="W207" s="122">
        <v>1</v>
      </c>
      <c r="X207" s="68"/>
      <c r="Y207" s="11"/>
      <c r="Z207" s="11"/>
    </row>
    <row r="208" spans="2:26" s="6" customFormat="1" ht="20" x14ac:dyDescent="0.2">
      <c r="B208" s="134" t="s">
        <v>4209</v>
      </c>
      <c r="C208" s="135" t="s">
        <v>4153</v>
      </c>
      <c r="D208" s="134" t="s">
        <v>272</v>
      </c>
      <c r="E208" s="135" t="s">
        <v>252</v>
      </c>
      <c r="F208" s="118">
        <v>50.998495800000001</v>
      </c>
      <c r="G208" s="118">
        <v>-115.3746398</v>
      </c>
      <c r="H208" s="22" t="s">
        <v>2228</v>
      </c>
      <c r="I208" s="22" t="s">
        <v>2379</v>
      </c>
      <c r="J208" s="96" t="s">
        <v>3878</v>
      </c>
      <c r="K208" s="22" t="s">
        <v>2725</v>
      </c>
      <c r="L208" s="95">
        <v>144</v>
      </c>
      <c r="M208" s="64">
        <v>1954</v>
      </c>
      <c r="N208" s="72">
        <v>2034</v>
      </c>
      <c r="O208" s="132"/>
      <c r="P208" s="148" t="s">
        <v>140</v>
      </c>
      <c r="Q208" s="67" t="s">
        <v>2238</v>
      </c>
      <c r="R208" s="53">
        <v>3</v>
      </c>
      <c r="S208" s="242">
        <f>System!C$10</f>
        <v>0.3</v>
      </c>
      <c r="T208" s="243">
        <f t="shared" si="10"/>
        <v>0.89999999999999991</v>
      </c>
      <c r="U208" s="242">
        <f>System!D$9</f>
        <v>0.24</v>
      </c>
      <c r="V208" s="248">
        <f t="shared" si="11"/>
        <v>6.3072000000000008</v>
      </c>
      <c r="W208" s="122">
        <v>1</v>
      </c>
      <c r="X208" s="68"/>
      <c r="Y208" s="11"/>
      <c r="Z208" s="107"/>
    </row>
    <row r="209" spans="2:26" s="6" customFormat="1" ht="20" x14ac:dyDescent="0.2">
      <c r="B209" s="162" t="s">
        <v>2277</v>
      </c>
      <c r="C209" s="135" t="s">
        <v>4154</v>
      </c>
      <c r="D209" s="162" t="s">
        <v>2275</v>
      </c>
      <c r="E209" s="229" t="s">
        <v>2277</v>
      </c>
      <c r="F209" s="127">
        <v>50.533890920811501</v>
      </c>
      <c r="G209" s="127">
        <v>-111.670157543654</v>
      </c>
      <c r="H209" s="67" t="s">
        <v>2228</v>
      </c>
      <c r="I209" s="22" t="s">
        <v>2379</v>
      </c>
      <c r="J209" s="96" t="s">
        <v>3879</v>
      </c>
      <c r="K209" s="22" t="s">
        <v>2598</v>
      </c>
      <c r="L209" s="95">
        <v>138</v>
      </c>
      <c r="M209" s="228">
        <v>2022</v>
      </c>
      <c r="N209" s="228">
        <v>2042</v>
      </c>
      <c r="O209" s="99"/>
      <c r="P209" s="229" t="s">
        <v>334</v>
      </c>
      <c r="Q209" s="67" t="s">
        <v>2240</v>
      </c>
      <c r="R209" s="182">
        <v>21</v>
      </c>
      <c r="S209" s="219">
        <f>System!C$12</f>
        <v>0</v>
      </c>
      <c r="T209" s="245">
        <f t="shared" si="10"/>
        <v>0</v>
      </c>
      <c r="U209" s="219">
        <f>System!D$12</f>
        <v>0.18</v>
      </c>
      <c r="V209" s="247">
        <f t="shared" si="11"/>
        <v>33.1128</v>
      </c>
      <c r="W209" s="122"/>
      <c r="X209" s="68"/>
      <c r="Y209" s="79" t="s">
        <v>2276</v>
      </c>
      <c r="Z209" s="120"/>
    </row>
    <row r="210" spans="2:26" s="6" customFormat="1" ht="20" x14ac:dyDescent="0.2">
      <c r="B210" s="162" t="s">
        <v>2258</v>
      </c>
      <c r="C210" s="135" t="s">
        <v>4155</v>
      </c>
      <c r="D210" s="162" t="s">
        <v>2259</v>
      </c>
      <c r="E210" s="229" t="s">
        <v>2250</v>
      </c>
      <c r="F210" s="127">
        <v>50.278862366928898</v>
      </c>
      <c r="G210" s="127">
        <v>-112.73220553692801</v>
      </c>
      <c r="H210" s="67" t="s">
        <v>2228</v>
      </c>
      <c r="I210" s="22" t="s">
        <v>2379</v>
      </c>
      <c r="J210" s="96" t="s">
        <v>4269</v>
      </c>
      <c r="K210" s="22" t="s">
        <v>2846</v>
      </c>
      <c r="L210" s="95">
        <v>138</v>
      </c>
      <c r="M210" s="228">
        <v>2022</v>
      </c>
      <c r="N210" s="228">
        <v>2042</v>
      </c>
      <c r="O210" s="99"/>
      <c r="P210" s="229" t="s">
        <v>334</v>
      </c>
      <c r="Q210" s="67" t="s">
        <v>2240</v>
      </c>
      <c r="R210" s="182">
        <v>465</v>
      </c>
      <c r="S210" s="219">
        <f>System!C$12</f>
        <v>0</v>
      </c>
      <c r="T210" s="245">
        <f t="shared" si="10"/>
        <v>0</v>
      </c>
      <c r="U210" s="219">
        <f>System!D$12</f>
        <v>0.18</v>
      </c>
      <c r="V210" s="247">
        <f t="shared" si="11"/>
        <v>733.2120000000001</v>
      </c>
      <c r="W210" s="122"/>
      <c r="X210" s="68"/>
      <c r="Y210" s="79" t="s">
        <v>2260</v>
      </c>
      <c r="Z210" s="120"/>
    </row>
    <row r="211" spans="2:26" s="6" customFormat="1" ht="20" x14ac:dyDescent="0.2">
      <c r="B211" s="134" t="s">
        <v>323</v>
      </c>
      <c r="C211" s="135" t="s">
        <v>2518</v>
      </c>
      <c r="D211" s="134" t="s">
        <v>269</v>
      </c>
      <c r="E211" s="135" t="s">
        <v>247</v>
      </c>
      <c r="F211" s="127">
        <v>53.523694999999996</v>
      </c>
      <c r="G211" s="127">
        <v>-113.52622</v>
      </c>
      <c r="H211" s="22" t="s">
        <v>2228</v>
      </c>
      <c r="I211" s="22" t="s">
        <v>2379</v>
      </c>
      <c r="J211" s="96" t="s">
        <v>3641</v>
      </c>
      <c r="K211" s="205" t="s">
        <v>2642</v>
      </c>
      <c r="L211" s="95">
        <v>240</v>
      </c>
      <c r="M211" s="64">
        <v>2000</v>
      </c>
      <c r="N211" s="93">
        <f t="shared" ref="N211:N217" si="12">M211+30</f>
        <v>2030</v>
      </c>
      <c r="O211" s="99"/>
      <c r="P211" s="148" t="s">
        <v>332</v>
      </c>
      <c r="Q211" s="67" t="s">
        <v>2587</v>
      </c>
      <c r="R211" s="53">
        <v>16</v>
      </c>
      <c r="S211" s="242">
        <f>System!C$6</f>
        <v>0.94</v>
      </c>
      <c r="T211" s="243">
        <f t="shared" si="10"/>
        <v>15.04</v>
      </c>
      <c r="U211" s="219">
        <f>System!D$6</f>
        <v>0.3</v>
      </c>
      <c r="V211" s="247">
        <f t="shared" si="11"/>
        <v>42.047999999999995</v>
      </c>
      <c r="W211" s="122">
        <v>2</v>
      </c>
      <c r="X211" s="68"/>
      <c r="Y211" s="11"/>
      <c r="Z211" s="11"/>
    </row>
    <row r="212" spans="2:26" s="6" customFormat="1" ht="20" x14ac:dyDescent="0.2">
      <c r="B212" s="134" t="s">
        <v>324</v>
      </c>
      <c r="C212" s="135" t="s">
        <v>2551</v>
      </c>
      <c r="D212" s="134" t="s">
        <v>269</v>
      </c>
      <c r="E212" s="135" t="s">
        <v>247</v>
      </c>
      <c r="F212" s="127">
        <v>53.523694999999996</v>
      </c>
      <c r="G212" s="127">
        <v>-113.52622</v>
      </c>
      <c r="H212" s="22" t="s">
        <v>2228</v>
      </c>
      <c r="I212" s="22" t="s">
        <v>2379</v>
      </c>
      <c r="J212" s="96" t="s">
        <v>3641</v>
      </c>
      <c r="K212" s="22" t="s">
        <v>2642</v>
      </c>
      <c r="L212" s="95">
        <v>240</v>
      </c>
      <c r="M212" s="64">
        <v>1994</v>
      </c>
      <c r="N212" s="93">
        <f t="shared" si="12"/>
        <v>2024</v>
      </c>
      <c r="O212" s="99"/>
      <c r="P212" s="148" t="s">
        <v>332</v>
      </c>
      <c r="Q212" s="67" t="s">
        <v>2587</v>
      </c>
      <c r="R212" s="53">
        <v>26</v>
      </c>
      <c r="S212" s="242">
        <f>System!C$6</f>
        <v>0.94</v>
      </c>
      <c r="T212" s="243">
        <f t="shared" si="10"/>
        <v>24.439999999999998</v>
      </c>
      <c r="U212" s="219">
        <f>System!D$6</f>
        <v>0.3</v>
      </c>
      <c r="V212" s="247">
        <f t="shared" si="11"/>
        <v>68.328000000000003</v>
      </c>
      <c r="W212" s="37">
        <v>2</v>
      </c>
      <c r="X212" s="68"/>
      <c r="Y212" s="11"/>
      <c r="Z212" s="11"/>
    </row>
    <row r="213" spans="2:26" s="6" customFormat="1" ht="20" x14ac:dyDescent="0.2">
      <c r="B213" s="134" t="s">
        <v>4172</v>
      </c>
      <c r="C213" s="135" t="s">
        <v>4156</v>
      </c>
      <c r="D213" s="134" t="s">
        <v>268</v>
      </c>
      <c r="E213" s="135" t="s">
        <v>239</v>
      </c>
      <c r="F213" s="127">
        <v>51.077531999999998</v>
      </c>
      <c r="G213" s="127">
        <v>-114.133456</v>
      </c>
      <c r="H213" s="22" t="s">
        <v>2228</v>
      </c>
      <c r="I213" s="22" t="s">
        <v>2379</v>
      </c>
      <c r="J213" s="96" t="s">
        <v>461</v>
      </c>
      <c r="K213" s="22" t="s">
        <v>2643</v>
      </c>
      <c r="L213" s="95">
        <v>138</v>
      </c>
      <c r="M213" s="64">
        <v>2011</v>
      </c>
      <c r="N213" s="93">
        <f t="shared" si="12"/>
        <v>2041</v>
      </c>
      <c r="O213" s="99"/>
      <c r="P213" s="148" t="s">
        <v>332</v>
      </c>
      <c r="Q213" s="67" t="s">
        <v>2587</v>
      </c>
      <c r="R213" s="53">
        <v>15</v>
      </c>
      <c r="S213" s="242">
        <f>System!C$6</f>
        <v>0.94</v>
      </c>
      <c r="T213" s="243">
        <f t="shared" si="10"/>
        <v>14.1</v>
      </c>
      <c r="U213" s="219">
        <f>System!D$6</f>
        <v>0.3</v>
      </c>
      <c r="V213" s="247">
        <f t="shared" si="11"/>
        <v>39.42</v>
      </c>
      <c r="W213" s="37">
        <v>1</v>
      </c>
      <c r="X213" s="68"/>
      <c r="Y213" s="11"/>
      <c r="Z213" s="11"/>
    </row>
    <row r="214" spans="2:26" s="61" customFormat="1" ht="20" x14ac:dyDescent="0.2">
      <c r="B214" s="109" t="s">
        <v>4210</v>
      </c>
      <c r="C214" s="135" t="s">
        <v>4157</v>
      </c>
      <c r="D214" s="109" t="s">
        <v>143</v>
      </c>
      <c r="E214" s="123" t="s">
        <v>232</v>
      </c>
      <c r="F214" s="118">
        <v>53.206935532675999</v>
      </c>
      <c r="G214" s="118">
        <v>-114.99302301880699</v>
      </c>
      <c r="H214" s="22" t="s">
        <v>2228</v>
      </c>
      <c r="I214" s="22" t="s">
        <v>2379</v>
      </c>
      <c r="J214" s="96" t="s">
        <v>3727</v>
      </c>
      <c r="K214" s="205" t="s">
        <v>2644</v>
      </c>
      <c r="L214" s="95">
        <v>138</v>
      </c>
      <c r="M214" s="228">
        <v>2001</v>
      </c>
      <c r="N214" s="93">
        <f t="shared" si="12"/>
        <v>2031</v>
      </c>
      <c r="O214" s="99"/>
      <c r="P214" s="123" t="s">
        <v>455</v>
      </c>
      <c r="Q214" s="67" t="s">
        <v>2586</v>
      </c>
      <c r="R214" s="110">
        <v>12</v>
      </c>
      <c r="S214" s="242">
        <f>System!C$8</f>
        <v>0.97</v>
      </c>
      <c r="T214" s="243">
        <f t="shared" si="10"/>
        <v>11.64</v>
      </c>
      <c r="U214" s="246">
        <f>System!D$8</f>
        <v>0.55000000000000004</v>
      </c>
      <c r="V214" s="235">
        <f t="shared" si="11"/>
        <v>57.816000000000003</v>
      </c>
      <c r="W214" s="122">
        <v>1</v>
      </c>
      <c r="X214" s="68"/>
      <c r="Y214" s="11" t="s">
        <v>4410</v>
      </c>
      <c r="Z214" s="11"/>
    </row>
    <row r="215" spans="2:26" s="61" customFormat="1" ht="20" x14ac:dyDescent="0.2">
      <c r="B215" s="134" t="s">
        <v>318</v>
      </c>
      <c r="C215" s="135" t="s">
        <v>2521</v>
      </c>
      <c r="D215" s="134" t="s">
        <v>301</v>
      </c>
      <c r="E215" s="135" t="s">
        <v>308</v>
      </c>
      <c r="F215" s="118">
        <v>54.94</v>
      </c>
      <c r="G215" s="118">
        <v>-117.23699999999999</v>
      </c>
      <c r="H215" s="22" t="s">
        <v>2228</v>
      </c>
      <c r="I215" s="67" t="s">
        <v>2379</v>
      </c>
      <c r="J215" s="96" t="s">
        <v>3683</v>
      </c>
      <c r="K215" s="22" t="s">
        <v>2645</v>
      </c>
      <c r="L215" s="95">
        <v>240</v>
      </c>
      <c r="M215" s="64">
        <v>2001</v>
      </c>
      <c r="N215" s="93">
        <f t="shared" si="12"/>
        <v>2031</v>
      </c>
      <c r="O215" s="99"/>
      <c r="P215" s="148" t="s">
        <v>311</v>
      </c>
      <c r="Q215" s="67" t="s">
        <v>2588</v>
      </c>
      <c r="R215" s="53">
        <v>45</v>
      </c>
      <c r="S215" s="242">
        <f>System!C$7</f>
        <v>0.94</v>
      </c>
      <c r="T215" s="243">
        <f t="shared" si="10"/>
        <v>42.3</v>
      </c>
      <c r="U215" s="219">
        <f>System!D$7</f>
        <v>0.3</v>
      </c>
      <c r="V215" s="247">
        <f t="shared" si="11"/>
        <v>118.26</v>
      </c>
      <c r="W215" s="37">
        <v>2</v>
      </c>
      <c r="X215" s="68"/>
      <c r="Y215" s="11"/>
      <c r="Z215" s="11"/>
    </row>
    <row r="216" spans="2:26" s="6" customFormat="1" ht="20" x14ac:dyDescent="0.2">
      <c r="B216" s="134" t="s">
        <v>319</v>
      </c>
      <c r="C216" s="135" t="s">
        <v>2554</v>
      </c>
      <c r="D216" s="134" t="s">
        <v>301</v>
      </c>
      <c r="E216" s="135" t="s">
        <v>308</v>
      </c>
      <c r="F216" s="118">
        <v>54.94</v>
      </c>
      <c r="G216" s="118">
        <v>-117.23699999999999</v>
      </c>
      <c r="H216" s="22" t="s">
        <v>2228</v>
      </c>
      <c r="I216" s="67" t="s">
        <v>2379</v>
      </c>
      <c r="J216" s="96" t="s">
        <v>3683</v>
      </c>
      <c r="K216" s="22" t="s">
        <v>2645</v>
      </c>
      <c r="L216" s="95">
        <v>240</v>
      </c>
      <c r="M216" s="64">
        <v>2008</v>
      </c>
      <c r="N216" s="93">
        <f t="shared" si="12"/>
        <v>2038</v>
      </c>
      <c r="O216" s="99"/>
      <c r="P216" s="148" t="s">
        <v>311</v>
      </c>
      <c r="Q216" s="67" t="s">
        <v>2588</v>
      </c>
      <c r="R216" s="53">
        <v>45</v>
      </c>
      <c r="S216" s="242">
        <f>System!C$7</f>
        <v>0.94</v>
      </c>
      <c r="T216" s="243">
        <f t="shared" si="10"/>
        <v>42.3</v>
      </c>
      <c r="U216" s="219">
        <f>System!D$7</f>
        <v>0.3</v>
      </c>
      <c r="V216" s="247">
        <f t="shared" si="11"/>
        <v>118.26</v>
      </c>
      <c r="W216" s="37">
        <v>2</v>
      </c>
      <c r="X216" s="68"/>
      <c r="Y216" s="11"/>
      <c r="Z216" s="11"/>
    </row>
    <row r="217" spans="2:26" s="6" customFormat="1" ht="20" x14ac:dyDescent="0.2">
      <c r="B217" s="109" t="s">
        <v>233</v>
      </c>
      <c r="C217" s="135" t="s">
        <v>4158</v>
      </c>
      <c r="D217" s="109" t="s">
        <v>215</v>
      </c>
      <c r="E217" s="123" t="s">
        <v>213</v>
      </c>
      <c r="F217" s="118">
        <v>55.264000000000003</v>
      </c>
      <c r="G217" s="118">
        <v>-114.58931250000001</v>
      </c>
      <c r="H217" s="22" t="s">
        <v>2228</v>
      </c>
      <c r="I217" s="22" t="s">
        <v>2379</v>
      </c>
      <c r="J217" s="96" t="s">
        <v>3762</v>
      </c>
      <c r="K217" s="22" t="s">
        <v>2640</v>
      </c>
      <c r="L217" s="95">
        <v>72</v>
      </c>
      <c r="M217" s="136">
        <v>2019</v>
      </c>
      <c r="N217" s="93">
        <f t="shared" si="12"/>
        <v>2049</v>
      </c>
      <c r="O217" s="99"/>
      <c r="P217" s="123" t="s">
        <v>455</v>
      </c>
      <c r="Q217" s="67" t="s">
        <v>2586</v>
      </c>
      <c r="R217" s="110">
        <v>4</v>
      </c>
      <c r="S217" s="242">
        <f>System!C$8</f>
        <v>0.97</v>
      </c>
      <c r="T217" s="243">
        <f t="shared" si="10"/>
        <v>3.88</v>
      </c>
      <c r="U217" s="246">
        <f>System!D$8</f>
        <v>0.55000000000000004</v>
      </c>
      <c r="V217" s="235">
        <f t="shared" si="11"/>
        <v>19.271999999999998</v>
      </c>
      <c r="W217" s="37">
        <v>1</v>
      </c>
      <c r="X217" s="68"/>
      <c r="Y217" s="11" t="s">
        <v>4411</v>
      </c>
      <c r="Z217" s="11"/>
    </row>
    <row r="218" spans="2:26" s="6" customFormat="1" ht="20" x14ac:dyDescent="0.2">
      <c r="B218" s="162" t="s">
        <v>2248</v>
      </c>
      <c r="C218" s="135" t="s">
        <v>4159</v>
      </c>
      <c r="D218" s="162" t="s">
        <v>2244</v>
      </c>
      <c r="E218" s="229" t="s">
        <v>2248</v>
      </c>
      <c r="F218" s="127">
        <v>50.109131443142999</v>
      </c>
      <c r="G218" s="127">
        <v>-112.14212213572</v>
      </c>
      <c r="H218" s="67" t="s">
        <v>2228</v>
      </c>
      <c r="I218" s="22" t="s">
        <v>2379</v>
      </c>
      <c r="J218" s="96" t="s">
        <v>3892</v>
      </c>
      <c r="K218" s="22" t="s">
        <v>2637</v>
      </c>
      <c r="L218" s="95">
        <v>138</v>
      </c>
      <c r="M218" s="228">
        <v>2022</v>
      </c>
      <c r="N218" s="228">
        <v>2042</v>
      </c>
      <c r="O218" s="99"/>
      <c r="P218" s="229" t="s">
        <v>334</v>
      </c>
      <c r="Q218" s="67" t="s">
        <v>2240</v>
      </c>
      <c r="R218" s="182">
        <v>150</v>
      </c>
      <c r="S218" s="219">
        <f>System!C$12</f>
        <v>0</v>
      </c>
      <c r="T218" s="245">
        <f t="shared" si="10"/>
        <v>0</v>
      </c>
      <c r="U218" s="219">
        <f>System!D$12</f>
        <v>0.18</v>
      </c>
      <c r="V218" s="247">
        <f t="shared" si="11"/>
        <v>236.52</v>
      </c>
      <c r="W218" s="122"/>
      <c r="X218" s="68"/>
      <c r="Y218" s="79" t="s">
        <v>2257</v>
      </c>
      <c r="Z218" s="120"/>
    </row>
    <row r="219" spans="2:26" ht="20" x14ac:dyDescent="0.25">
      <c r="B219" s="109" t="s">
        <v>216</v>
      </c>
      <c r="C219" s="135" t="s">
        <v>4160</v>
      </c>
      <c r="D219" s="109" t="s">
        <v>234</v>
      </c>
      <c r="E219" s="123" t="s">
        <v>235</v>
      </c>
      <c r="F219" s="118">
        <v>53.693435299999997</v>
      </c>
      <c r="G219" s="118">
        <v>-111.9785888</v>
      </c>
      <c r="H219" s="22" t="s">
        <v>2228</v>
      </c>
      <c r="I219" s="22" t="s">
        <v>2379</v>
      </c>
      <c r="J219" s="96" t="s">
        <v>3893</v>
      </c>
      <c r="K219" s="205" t="s">
        <v>2646</v>
      </c>
      <c r="L219" s="95">
        <v>144</v>
      </c>
      <c r="M219" s="136">
        <v>2005</v>
      </c>
      <c r="N219" s="93">
        <f>M219+30</f>
        <v>2035</v>
      </c>
      <c r="O219" s="99"/>
      <c r="P219" s="123" t="s">
        <v>455</v>
      </c>
      <c r="Q219" s="67" t="s">
        <v>2586</v>
      </c>
      <c r="R219" s="110">
        <v>1</v>
      </c>
      <c r="S219" s="242">
        <f>System!C$8</f>
        <v>0.97</v>
      </c>
      <c r="T219" s="243">
        <f t="shared" si="10"/>
        <v>0.97</v>
      </c>
      <c r="U219" s="246">
        <f>System!D$8</f>
        <v>0.55000000000000004</v>
      </c>
      <c r="V219" s="235">
        <f t="shared" si="11"/>
        <v>4.8179999999999996</v>
      </c>
      <c r="W219" s="37">
        <v>1</v>
      </c>
      <c r="X219" s="266"/>
      <c r="Y219" s="11" t="s">
        <v>4412</v>
      </c>
      <c r="Z219" s="107"/>
    </row>
    <row r="220" spans="2:26" ht="20" x14ac:dyDescent="0.25">
      <c r="B220" s="43" t="s">
        <v>4173</v>
      </c>
      <c r="C220" s="135" t="s">
        <v>2522</v>
      </c>
      <c r="D220" s="43" t="s">
        <v>363</v>
      </c>
      <c r="E220" s="62" t="s">
        <v>364</v>
      </c>
      <c r="F220" s="127">
        <v>49.383262999999999</v>
      </c>
      <c r="G220" s="127">
        <v>-113.61036300000001</v>
      </c>
      <c r="H220" s="22" t="s">
        <v>2228</v>
      </c>
      <c r="I220" s="22" t="s">
        <v>2379</v>
      </c>
      <c r="J220" s="96" t="s">
        <v>3776</v>
      </c>
      <c r="K220" s="22" t="s">
        <v>2615</v>
      </c>
      <c r="L220" s="95">
        <v>138</v>
      </c>
      <c r="M220" s="64">
        <v>1986</v>
      </c>
      <c r="N220" s="93">
        <f>M220+30+30</f>
        <v>2046</v>
      </c>
      <c r="O220" s="99"/>
      <c r="P220" s="62" t="s">
        <v>311</v>
      </c>
      <c r="Q220" s="67" t="s">
        <v>2588</v>
      </c>
      <c r="R220" s="53">
        <v>5.4</v>
      </c>
      <c r="S220" s="242">
        <f>System!C$7</f>
        <v>0.94</v>
      </c>
      <c r="T220" s="243">
        <f t="shared" si="10"/>
        <v>5.0759999999999996</v>
      </c>
      <c r="U220" s="219">
        <f>System!D$7</f>
        <v>0.3</v>
      </c>
      <c r="V220" s="247">
        <f t="shared" si="11"/>
        <v>14.1912</v>
      </c>
      <c r="W220" s="37">
        <v>2</v>
      </c>
      <c r="X220" s="68"/>
      <c r="Y220" s="11"/>
      <c r="Z220" s="11"/>
    </row>
    <row r="221" spans="2:26" s="46" customFormat="1" ht="20" x14ac:dyDescent="0.25">
      <c r="B221" s="43" t="s">
        <v>4174</v>
      </c>
      <c r="C221" s="135" t="s">
        <v>2555</v>
      </c>
      <c r="D221" s="43" t="s">
        <v>363</v>
      </c>
      <c r="E221" s="62" t="s">
        <v>364</v>
      </c>
      <c r="F221" s="127">
        <v>49.383262999999999</v>
      </c>
      <c r="G221" s="127">
        <v>-113.61036300000001</v>
      </c>
      <c r="H221" s="22" t="s">
        <v>2228</v>
      </c>
      <c r="I221" s="22" t="s">
        <v>2379</v>
      </c>
      <c r="J221" s="96" t="s">
        <v>3776</v>
      </c>
      <c r="K221" s="22" t="s">
        <v>2615</v>
      </c>
      <c r="L221" s="95">
        <v>138</v>
      </c>
      <c r="M221" s="64">
        <v>1986</v>
      </c>
      <c r="N221" s="93">
        <f>M221+30+30</f>
        <v>2046</v>
      </c>
      <c r="O221" s="99"/>
      <c r="P221" s="62" t="s">
        <v>311</v>
      </c>
      <c r="Q221" s="67" t="s">
        <v>2588</v>
      </c>
      <c r="R221" s="53">
        <v>4.9000000000000004</v>
      </c>
      <c r="S221" s="242">
        <f>System!C$7</f>
        <v>0.94</v>
      </c>
      <c r="T221" s="243">
        <f t="shared" si="10"/>
        <v>4.6059999999999999</v>
      </c>
      <c r="U221" s="219">
        <f>System!D$7</f>
        <v>0.3</v>
      </c>
      <c r="V221" s="247">
        <f t="shared" si="11"/>
        <v>12.8772</v>
      </c>
      <c r="W221" s="37">
        <v>2</v>
      </c>
      <c r="X221" s="266"/>
      <c r="Y221" s="11"/>
      <c r="Z221" s="107"/>
    </row>
    <row r="222" spans="2:26" s="46" customFormat="1" ht="20" x14ac:dyDescent="0.25">
      <c r="B222" s="109" t="s">
        <v>4175</v>
      </c>
      <c r="C222" s="135" t="s">
        <v>4161</v>
      </c>
      <c r="D222" s="109" t="s">
        <v>272</v>
      </c>
      <c r="E222" s="123" t="s">
        <v>240</v>
      </c>
      <c r="F222" s="118">
        <v>49.329084100000003</v>
      </c>
      <c r="G222" s="118">
        <v>-113.6731817</v>
      </c>
      <c r="H222" s="22" t="s">
        <v>2228</v>
      </c>
      <c r="I222" s="22" t="s">
        <v>2379</v>
      </c>
      <c r="J222" s="96" t="s">
        <v>3776</v>
      </c>
      <c r="K222" s="22" t="s">
        <v>2615</v>
      </c>
      <c r="L222" s="95">
        <v>138</v>
      </c>
      <c r="M222" s="64">
        <v>1986</v>
      </c>
      <c r="N222" s="72">
        <v>2034</v>
      </c>
      <c r="O222" s="132"/>
      <c r="P222" s="123" t="s">
        <v>140</v>
      </c>
      <c r="Q222" s="67" t="s">
        <v>2238</v>
      </c>
      <c r="R222" s="53">
        <v>2.7</v>
      </c>
      <c r="S222" s="242">
        <f>System!C$10</f>
        <v>0.3</v>
      </c>
      <c r="T222" s="243">
        <f t="shared" si="10"/>
        <v>0.81</v>
      </c>
      <c r="U222" s="242">
        <f>System!D$9</f>
        <v>0.24</v>
      </c>
      <c r="V222" s="248">
        <f t="shared" si="11"/>
        <v>5.6764799999999997</v>
      </c>
      <c r="W222" s="122">
        <v>1</v>
      </c>
      <c r="X222" s="68"/>
      <c r="Y222" s="11"/>
      <c r="Z222" s="11"/>
    </row>
    <row r="223" spans="2:26" s="46" customFormat="1" ht="20" x14ac:dyDescent="0.25">
      <c r="B223" s="109" t="s">
        <v>4176</v>
      </c>
      <c r="C223" s="135" t="s">
        <v>4162</v>
      </c>
      <c r="D223" s="109" t="s">
        <v>272</v>
      </c>
      <c r="E223" s="123" t="s">
        <v>236</v>
      </c>
      <c r="F223" s="118">
        <v>49.1896694</v>
      </c>
      <c r="G223" s="118">
        <v>-113.68055529999999</v>
      </c>
      <c r="H223" s="22" t="s">
        <v>2228</v>
      </c>
      <c r="I223" s="22" t="s">
        <v>2379</v>
      </c>
      <c r="J223" s="96" t="s">
        <v>3776</v>
      </c>
      <c r="K223" s="22" t="s">
        <v>2615</v>
      </c>
      <c r="L223" s="95">
        <v>138</v>
      </c>
      <c r="M223" s="108">
        <v>2014</v>
      </c>
      <c r="N223" s="108">
        <v>2034</v>
      </c>
      <c r="O223" s="132"/>
      <c r="P223" s="123" t="s">
        <v>116</v>
      </c>
      <c r="Q223" s="67" t="s">
        <v>2239</v>
      </c>
      <c r="R223" s="110">
        <v>3.9</v>
      </c>
      <c r="S223" s="219">
        <f>System!C$11</f>
        <v>0.09</v>
      </c>
      <c r="T223" s="245">
        <f t="shared" si="10"/>
        <v>0.35099999999999998</v>
      </c>
      <c r="U223" s="219">
        <f>System!D$11</f>
        <v>0.33</v>
      </c>
      <c r="V223" s="247">
        <f t="shared" si="11"/>
        <v>11.274119999999998</v>
      </c>
      <c r="W223" s="122"/>
      <c r="X223" s="68"/>
      <c r="Y223" s="11"/>
      <c r="Z223" s="11"/>
    </row>
    <row r="224" spans="2:26" s="46" customFormat="1" ht="20" x14ac:dyDescent="0.25">
      <c r="B224" s="134" t="s">
        <v>404</v>
      </c>
      <c r="C224" s="135" t="s">
        <v>4163</v>
      </c>
      <c r="D224" s="134" t="s">
        <v>432</v>
      </c>
      <c r="E224" s="135" t="s">
        <v>193</v>
      </c>
      <c r="F224" s="127">
        <v>53.552124999999997</v>
      </c>
      <c r="G224" s="127">
        <v>-116.616544</v>
      </c>
      <c r="H224" s="22" t="s">
        <v>2228</v>
      </c>
      <c r="I224" s="22" t="s">
        <v>2379</v>
      </c>
      <c r="J224" s="96" t="s">
        <v>3483</v>
      </c>
      <c r="K224" s="22" t="s">
        <v>2647</v>
      </c>
      <c r="L224" s="95">
        <v>138</v>
      </c>
      <c r="M224" s="64">
        <v>1990</v>
      </c>
      <c r="N224" s="93">
        <f>M224+30+30</f>
        <v>2050</v>
      </c>
      <c r="O224" s="99"/>
      <c r="P224" s="148" t="s">
        <v>455</v>
      </c>
      <c r="Q224" s="67" t="s">
        <v>2586</v>
      </c>
      <c r="R224" s="53">
        <v>50</v>
      </c>
      <c r="S224" s="242">
        <f>System!C$8</f>
        <v>0.97</v>
      </c>
      <c r="T224" s="243">
        <f t="shared" si="10"/>
        <v>48.5</v>
      </c>
      <c r="U224" s="246">
        <f>System!D$8</f>
        <v>0.55000000000000004</v>
      </c>
      <c r="V224" s="235">
        <f t="shared" si="11"/>
        <v>240.90000000000003</v>
      </c>
      <c r="W224" s="37">
        <v>1</v>
      </c>
      <c r="X224" s="68"/>
      <c r="Y224" s="11"/>
      <c r="Z224" s="11"/>
    </row>
    <row r="225" spans="1:26" s="46" customFormat="1" ht="20" x14ac:dyDescent="0.25">
      <c r="B225" s="134" t="s">
        <v>378</v>
      </c>
      <c r="C225" s="135" t="s">
        <v>4164</v>
      </c>
      <c r="D225" s="134" t="s">
        <v>354</v>
      </c>
      <c r="E225" s="135" t="s">
        <v>166</v>
      </c>
      <c r="F225" s="127">
        <v>56.471477</v>
      </c>
      <c r="G225" s="127">
        <v>-116.385592</v>
      </c>
      <c r="H225" s="22" t="s">
        <v>2228</v>
      </c>
      <c r="I225" s="22" t="s">
        <v>2379</v>
      </c>
      <c r="J225" s="96" t="s">
        <v>3448</v>
      </c>
      <c r="K225" s="22" t="s">
        <v>2648</v>
      </c>
      <c r="L225" s="95">
        <v>144</v>
      </c>
      <c r="M225" s="65">
        <v>2015</v>
      </c>
      <c r="N225" s="93">
        <f>M225+30</f>
        <v>2045</v>
      </c>
      <c r="O225" s="132"/>
      <c r="P225" s="148" t="s">
        <v>311</v>
      </c>
      <c r="Q225" s="67" t="s">
        <v>2588</v>
      </c>
      <c r="R225" s="53">
        <v>20</v>
      </c>
      <c r="S225" s="242">
        <f>System!C$7</f>
        <v>0.94</v>
      </c>
      <c r="T225" s="243">
        <f t="shared" si="10"/>
        <v>18.799999999999997</v>
      </c>
      <c r="U225" s="219">
        <f>System!D$7</f>
        <v>0.3</v>
      </c>
      <c r="V225" s="247">
        <f t="shared" si="11"/>
        <v>52.56</v>
      </c>
      <c r="W225" s="37">
        <v>1</v>
      </c>
      <c r="X225" s="68"/>
      <c r="Y225" s="11"/>
      <c r="Z225" s="11"/>
    </row>
    <row r="226" spans="1:26" s="46" customFormat="1" ht="20" x14ac:dyDescent="0.25">
      <c r="B226" s="134" t="s">
        <v>2402</v>
      </c>
      <c r="C226" s="135" t="s">
        <v>4177</v>
      </c>
      <c r="D226" s="162" t="s">
        <v>359</v>
      </c>
      <c r="E226" s="229" t="s">
        <v>2404</v>
      </c>
      <c r="F226" s="127">
        <v>53.097949547418303</v>
      </c>
      <c r="G226" s="127">
        <v>-115.31570117116399</v>
      </c>
      <c r="H226" s="22" t="s">
        <v>2228</v>
      </c>
      <c r="I226" s="22" t="s">
        <v>2379</v>
      </c>
      <c r="J226" s="96" t="s">
        <v>3922</v>
      </c>
      <c r="K226" s="22" t="s">
        <v>2726</v>
      </c>
      <c r="L226" s="95">
        <v>144</v>
      </c>
      <c r="M226" s="228">
        <v>2020</v>
      </c>
      <c r="N226" s="93">
        <f>M226+30</f>
        <v>2050</v>
      </c>
      <c r="O226" s="132"/>
      <c r="P226" s="148" t="s">
        <v>311</v>
      </c>
      <c r="Q226" s="67" t="s">
        <v>2588</v>
      </c>
      <c r="R226" s="182">
        <v>13</v>
      </c>
      <c r="S226" s="242">
        <f>System!C$7</f>
        <v>0.94</v>
      </c>
      <c r="T226" s="243">
        <f t="shared" si="10"/>
        <v>12.219999999999999</v>
      </c>
      <c r="U226" s="219">
        <f>System!D$7</f>
        <v>0.3</v>
      </c>
      <c r="V226" s="247">
        <f t="shared" si="11"/>
        <v>34.164000000000001</v>
      </c>
      <c r="W226" s="122">
        <v>1</v>
      </c>
      <c r="X226" s="68"/>
      <c r="Y226" s="11" t="s">
        <v>2403</v>
      </c>
      <c r="Z226" s="107"/>
    </row>
    <row r="227" spans="1:26" s="46" customFormat="1" ht="20" x14ac:dyDescent="0.25">
      <c r="B227" s="134" t="s">
        <v>237</v>
      </c>
      <c r="C227" s="135" t="s">
        <v>4165</v>
      </c>
      <c r="D227" s="134" t="s">
        <v>253</v>
      </c>
      <c r="E227" s="135" t="s">
        <v>254</v>
      </c>
      <c r="F227" s="118">
        <v>54.415335800000001</v>
      </c>
      <c r="G227" s="118">
        <v>-114.1769305</v>
      </c>
      <c r="H227" s="22" t="s">
        <v>2228</v>
      </c>
      <c r="I227" s="22" t="s">
        <v>2379</v>
      </c>
      <c r="J227" s="96" t="s">
        <v>3924</v>
      </c>
      <c r="K227" s="22" t="s">
        <v>2727</v>
      </c>
      <c r="L227" s="95">
        <v>138</v>
      </c>
      <c r="M227" s="64">
        <v>1996</v>
      </c>
      <c r="N227" s="93">
        <f>M227+30</f>
        <v>2026</v>
      </c>
      <c r="O227" s="99"/>
      <c r="P227" s="148" t="s">
        <v>455</v>
      </c>
      <c r="Q227" s="67" t="s">
        <v>2586</v>
      </c>
      <c r="R227" s="53">
        <v>16.899999999999999</v>
      </c>
      <c r="S227" s="242">
        <f>System!C$8</f>
        <v>0.97</v>
      </c>
      <c r="T227" s="243">
        <f t="shared" si="10"/>
        <v>16.392999999999997</v>
      </c>
      <c r="U227" s="246">
        <f>System!D$8</f>
        <v>0.55000000000000004</v>
      </c>
      <c r="V227" s="235">
        <f t="shared" si="11"/>
        <v>81.424199999999999</v>
      </c>
      <c r="W227" s="122">
        <v>1</v>
      </c>
      <c r="X227" s="68"/>
      <c r="Y227" s="11"/>
      <c r="Z227" s="11"/>
    </row>
    <row r="228" spans="1:26" s="46" customFormat="1" ht="20" x14ac:dyDescent="0.25">
      <c r="B228" s="134" t="s">
        <v>263</v>
      </c>
      <c r="C228" s="135" t="s">
        <v>4166</v>
      </c>
      <c r="D228" s="134" t="s">
        <v>309</v>
      </c>
      <c r="E228" s="135" t="s">
        <v>251</v>
      </c>
      <c r="F228" s="118">
        <v>55.071092700000001</v>
      </c>
      <c r="G228" s="118">
        <v>-118.6906816</v>
      </c>
      <c r="H228" s="22" t="s">
        <v>2228</v>
      </c>
      <c r="I228" s="22" t="s">
        <v>2379</v>
      </c>
      <c r="J228" s="96" t="s">
        <v>4388</v>
      </c>
      <c r="K228" s="22" t="s">
        <v>4431</v>
      </c>
      <c r="L228" s="95">
        <v>144</v>
      </c>
      <c r="M228" s="64">
        <v>2011</v>
      </c>
      <c r="N228" s="93">
        <f>M228+30</f>
        <v>2041</v>
      </c>
      <c r="O228" s="99"/>
      <c r="P228" s="148" t="s">
        <v>455</v>
      </c>
      <c r="Q228" s="67" t="s">
        <v>2586</v>
      </c>
      <c r="R228" s="53">
        <v>15</v>
      </c>
      <c r="S228" s="242">
        <f>System!C$8</f>
        <v>0.97</v>
      </c>
      <c r="T228" s="243">
        <f t="shared" si="10"/>
        <v>14.549999999999999</v>
      </c>
      <c r="U228" s="246">
        <f>System!D$8</f>
        <v>0.55000000000000004</v>
      </c>
      <c r="V228" s="235">
        <f t="shared" si="11"/>
        <v>72.27</v>
      </c>
      <c r="W228" s="37">
        <v>1</v>
      </c>
      <c r="X228" s="68"/>
      <c r="Y228" s="11"/>
      <c r="Z228" s="11"/>
    </row>
    <row r="229" spans="1:26" s="46" customFormat="1" ht="20" x14ac:dyDescent="0.25">
      <c r="B229" s="162" t="s">
        <v>2261</v>
      </c>
      <c r="C229" s="135" t="s">
        <v>4167</v>
      </c>
      <c r="D229" s="162" t="s">
        <v>2262</v>
      </c>
      <c r="E229" s="229" t="s">
        <v>2250</v>
      </c>
      <c r="F229" s="127">
        <v>50.265915951150802</v>
      </c>
      <c r="G229" s="127">
        <v>-112.388196139684</v>
      </c>
      <c r="H229" s="67" t="s">
        <v>2228</v>
      </c>
      <c r="I229" s="22" t="s">
        <v>2379</v>
      </c>
      <c r="J229" s="96" t="s">
        <v>4269</v>
      </c>
      <c r="K229" s="22" t="s">
        <v>2846</v>
      </c>
      <c r="L229" s="95">
        <v>138</v>
      </c>
      <c r="M229" s="228">
        <v>2023</v>
      </c>
      <c r="N229" s="228">
        <v>2043</v>
      </c>
      <c r="O229" s="99"/>
      <c r="P229" s="229" t="s">
        <v>334</v>
      </c>
      <c r="Q229" s="67" t="s">
        <v>2240</v>
      </c>
      <c r="R229" s="182">
        <v>60</v>
      </c>
      <c r="S229" s="219">
        <f>System!C$12</f>
        <v>0</v>
      </c>
      <c r="T229" s="245">
        <f t="shared" si="10"/>
        <v>0</v>
      </c>
      <c r="U229" s="219">
        <f>System!D$12</f>
        <v>0.18</v>
      </c>
      <c r="V229" s="247">
        <f t="shared" si="11"/>
        <v>94.608000000000004</v>
      </c>
      <c r="W229" s="122"/>
      <c r="X229" s="68"/>
      <c r="Y229" s="79" t="s">
        <v>2263</v>
      </c>
      <c r="Z229" s="120"/>
    </row>
    <row r="230" spans="1:26" s="46" customFormat="1" ht="20" x14ac:dyDescent="0.25">
      <c r="B230" s="162" t="s">
        <v>2332</v>
      </c>
      <c r="C230" s="135" t="s">
        <v>4168</v>
      </c>
      <c r="D230" s="162" t="s">
        <v>2333</v>
      </c>
      <c r="E230" s="229" t="s">
        <v>2334</v>
      </c>
      <c r="F230" s="127">
        <v>51.231405169326301</v>
      </c>
      <c r="G230" s="127">
        <v>-112.407854517525</v>
      </c>
      <c r="H230" s="22" t="s">
        <v>2228</v>
      </c>
      <c r="I230" s="22" t="s">
        <v>2379</v>
      </c>
      <c r="J230" s="96" t="s">
        <v>3928</v>
      </c>
      <c r="K230" s="22" t="s">
        <v>2728</v>
      </c>
      <c r="L230" s="95">
        <v>138</v>
      </c>
      <c r="M230" s="228">
        <v>2023</v>
      </c>
      <c r="N230" s="228">
        <v>2043</v>
      </c>
      <c r="O230" s="132"/>
      <c r="P230" s="229" t="s">
        <v>116</v>
      </c>
      <c r="Q230" s="67" t="s">
        <v>2226</v>
      </c>
      <c r="R230" s="182">
        <v>120</v>
      </c>
      <c r="S230" s="219">
        <f>System!C$11</f>
        <v>0.09</v>
      </c>
      <c r="T230" s="245">
        <f t="shared" si="10"/>
        <v>10.799999999999999</v>
      </c>
      <c r="U230" s="219">
        <f>System!D$11</f>
        <v>0.33</v>
      </c>
      <c r="V230" s="247">
        <f t="shared" si="11"/>
        <v>346.89600000000007</v>
      </c>
      <c r="W230" s="37"/>
      <c r="X230" s="68"/>
      <c r="Y230" s="11" t="s">
        <v>2335</v>
      </c>
      <c r="Z230" s="11"/>
    </row>
    <row r="231" spans="1:26" s="7" customFormat="1" ht="20" x14ac:dyDescent="0.25">
      <c r="A231" s="2"/>
      <c r="B231" s="134" t="s">
        <v>217</v>
      </c>
      <c r="C231" s="135" t="s">
        <v>4178</v>
      </c>
      <c r="D231" s="134" t="s">
        <v>310</v>
      </c>
      <c r="E231" s="135" t="s">
        <v>217</v>
      </c>
      <c r="F231" s="118">
        <v>54.162356799999998</v>
      </c>
      <c r="G231" s="118">
        <v>-115.7335609</v>
      </c>
      <c r="H231" s="22" t="s">
        <v>2228</v>
      </c>
      <c r="I231" s="22" t="s">
        <v>2379</v>
      </c>
      <c r="J231" s="96" t="s">
        <v>3930</v>
      </c>
      <c r="K231" s="22" t="s">
        <v>2609</v>
      </c>
      <c r="L231" s="95">
        <v>144</v>
      </c>
      <c r="M231" s="64">
        <v>1994</v>
      </c>
      <c r="N231" s="93">
        <f>M231+30</f>
        <v>2024</v>
      </c>
      <c r="O231" s="132"/>
      <c r="P231" s="148" t="s">
        <v>455</v>
      </c>
      <c r="Q231" s="67" t="s">
        <v>2586</v>
      </c>
      <c r="R231" s="53">
        <v>23</v>
      </c>
      <c r="S231" s="242">
        <f>System!C$8</f>
        <v>0.97</v>
      </c>
      <c r="T231" s="243">
        <f t="shared" si="10"/>
        <v>22.31</v>
      </c>
      <c r="U231" s="246">
        <f>System!D$8</f>
        <v>0.55000000000000004</v>
      </c>
      <c r="V231" s="235">
        <f t="shared" si="11"/>
        <v>110.81400000000002</v>
      </c>
      <c r="W231" s="37">
        <v>1</v>
      </c>
      <c r="X231" s="266"/>
      <c r="Y231" s="11"/>
      <c r="Z231" s="107"/>
    </row>
    <row r="232" spans="1:26" ht="20" x14ac:dyDescent="0.25">
      <c r="B232" s="134" t="s">
        <v>4179</v>
      </c>
      <c r="C232" s="135" t="s">
        <v>2526</v>
      </c>
      <c r="D232" s="134" t="s">
        <v>258</v>
      </c>
      <c r="E232" s="135" t="s">
        <v>433</v>
      </c>
      <c r="F232" s="127">
        <v>49.551901000000001</v>
      </c>
      <c r="G232" s="127">
        <v>-111.07698000000001</v>
      </c>
      <c r="H232" s="22" t="s">
        <v>2228</v>
      </c>
      <c r="I232" s="22" t="s">
        <v>2379</v>
      </c>
      <c r="J232" s="96" t="s">
        <v>3828</v>
      </c>
      <c r="K232" s="22" t="s">
        <v>2650</v>
      </c>
      <c r="L232" s="95">
        <v>240</v>
      </c>
      <c r="M232" s="136">
        <v>2019</v>
      </c>
      <c r="N232" s="228">
        <v>2039</v>
      </c>
      <c r="O232" s="99"/>
      <c r="P232" s="148" t="s">
        <v>116</v>
      </c>
      <c r="Q232" s="67" t="s">
        <v>2239</v>
      </c>
      <c r="R232" s="137">
        <v>202</v>
      </c>
      <c r="S232" s="219">
        <f>System!C$11</f>
        <v>0.09</v>
      </c>
      <c r="T232" s="245">
        <f t="shared" si="10"/>
        <v>18.18</v>
      </c>
      <c r="U232" s="219">
        <f>System!D$11</f>
        <v>0.33</v>
      </c>
      <c r="V232" s="247">
        <f t="shared" si="11"/>
        <v>583.94159999999999</v>
      </c>
      <c r="W232" s="37"/>
      <c r="X232" s="68"/>
      <c r="Y232" s="11"/>
      <c r="Z232" s="79"/>
    </row>
    <row r="233" spans="1:26" ht="20" x14ac:dyDescent="0.25">
      <c r="B233" s="162" t="s">
        <v>2311</v>
      </c>
      <c r="C233" s="135" t="s">
        <v>2559</v>
      </c>
      <c r="D233" s="162" t="s">
        <v>258</v>
      </c>
      <c r="E233" s="229" t="s">
        <v>433</v>
      </c>
      <c r="F233" s="127">
        <v>49.551901000000001</v>
      </c>
      <c r="G233" s="127">
        <v>-111.07698000000001</v>
      </c>
      <c r="H233" s="22" t="s">
        <v>2228</v>
      </c>
      <c r="I233" s="22" t="s">
        <v>2379</v>
      </c>
      <c r="J233" s="96" t="s">
        <v>3828</v>
      </c>
      <c r="K233" s="22" t="s">
        <v>2650</v>
      </c>
      <c r="L233" s="95">
        <v>240</v>
      </c>
      <c r="M233" s="228">
        <v>2022</v>
      </c>
      <c r="N233" s="228">
        <v>2042</v>
      </c>
      <c r="O233" s="132"/>
      <c r="P233" s="229" t="s">
        <v>116</v>
      </c>
      <c r="Q233" s="67" t="s">
        <v>2239</v>
      </c>
      <c r="R233" s="182">
        <v>97</v>
      </c>
      <c r="S233" s="219">
        <f>System!C$11</f>
        <v>0.09</v>
      </c>
      <c r="T233" s="245">
        <f t="shared" si="10"/>
        <v>8.73</v>
      </c>
      <c r="U233" s="219">
        <f>System!D$11</f>
        <v>0.33</v>
      </c>
      <c r="V233" s="247">
        <f t="shared" si="11"/>
        <v>280.4076</v>
      </c>
      <c r="W233" s="37"/>
      <c r="X233" s="68"/>
      <c r="Y233" s="11" t="s">
        <v>2312</v>
      </c>
      <c r="Z233" s="11"/>
    </row>
    <row r="234" spans="1:26" ht="20" x14ac:dyDescent="0.25">
      <c r="B234" s="162" t="s">
        <v>2314</v>
      </c>
      <c r="C234" s="135" t="s">
        <v>2573</v>
      </c>
      <c r="D234" s="162" t="s">
        <v>258</v>
      </c>
      <c r="E234" s="229" t="s">
        <v>433</v>
      </c>
      <c r="F234" s="127">
        <v>49.551901000000001</v>
      </c>
      <c r="G234" s="127">
        <v>-111.07698000000001</v>
      </c>
      <c r="H234" s="22" t="s">
        <v>2228</v>
      </c>
      <c r="I234" s="22" t="s">
        <v>2379</v>
      </c>
      <c r="J234" s="96" t="s">
        <v>3828</v>
      </c>
      <c r="K234" s="22" t="s">
        <v>2650</v>
      </c>
      <c r="L234" s="95">
        <v>240</v>
      </c>
      <c r="M234" s="228">
        <v>2023</v>
      </c>
      <c r="N234" s="228">
        <v>2043</v>
      </c>
      <c r="O234" s="132"/>
      <c r="P234" s="229" t="s">
        <v>116</v>
      </c>
      <c r="Q234" s="67" t="s">
        <v>2239</v>
      </c>
      <c r="R234" s="182">
        <v>54</v>
      </c>
      <c r="S234" s="219">
        <f>System!C$11</f>
        <v>0.09</v>
      </c>
      <c r="T234" s="245">
        <f t="shared" si="10"/>
        <v>4.8599999999999994</v>
      </c>
      <c r="U234" s="219">
        <f>System!D$11</f>
        <v>0.33</v>
      </c>
      <c r="V234" s="247">
        <f t="shared" si="11"/>
        <v>156.10320000000002</v>
      </c>
      <c r="W234" s="122"/>
      <c r="X234" s="68"/>
      <c r="Y234" s="11" t="s">
        <v>2315</v>
      </c>
      <c r="Z234" s="107"/>
    </row>
    <row r="235" spans="1:26" ht="20" x14ac:dyDescent="0.25">
      <c r="B235" s="162" t="s">
        <v>2336</v>
      </c>
      <c r="C235" s="135" t="s">
        <v>2527</v>
      </c>
      <c r="D235" s="162" t="s">
        <v>2337</v>
      </c>
      <c r="E235" s="229" t="s">
        <v>2322</v>
      </c>
      <c r="F235" s="127">
        <v>49.997887460492599</v>
      </c>
      <c r="G235" s="127">
        <v>-110.423875834847</v>
      </c>
      <c r="H235" s="22" t="s">
        <v>2228</v>
      </c>
      <c r="I235" s="22" t="s">
        <v>2379</v>
      </c>
      <c r="J235" s="96" t="s">
        <v>3934</v>
      </c>
      <c r="K235" s="22" t="s">
        <v>2622</v>
      </c>
      <c r="L235" s="95">
        <v>240</v>
      </c>
      <c r="M235" s="228">
        <v>2023</v>
      </c>
      <c r="N235" s="228">
        <v>2043</v>
      </c>
      <c r="O235" s="132"/>
      <c r="P235" s="229" t="s">
        <v>116</v>
      </c>
      <c r="Q235" s="67" t="s">
        <v>2226</v>
      </c>
      <c r="R235" s="182">
        <v>218</v>
      </c>
      <c r="S235" s="219">
        <f>System!C$11</f>
        <v>0.09</v>
      </c>
      <c r="T235" s="245">
        <f t="shared" si="10"/>
        <v>19.62</v>
      </c>
      <c r="U235" s="219">
        <f>System!D$11</f>
        <v>0.33</v>
      </c>
      <c r="V235" s="247">
        <f t="shared" si="11"/>
        <v>630.19439999999997</v>
      </c>
      <c r="W235" s="37"/>
      <c r="X235" s="68"/>
      <c r="Y235" s="11" t="s">
        <v>2339</v>
      </c>
      <c r="Z235" s="11"/>
    </row>
    <row r="236" spans="1:26" ht="20" x14ac:dyDescent="0.25">
      <c r="B236" s="162" t="s">
        <v>2338</v>
      </c>
      <c r="C236" s="135" t="s">
        <v>2560</v>
      </c>
      <c r="D236" s="162" t="s">
        <v>2337</v>
      </c>
      <c r="E236" s="229" t="s">
        <v>2322</v>
      </c>
      <c r="F236" s="127">
        <v>49.997887460492599</v>
      </c>
      <c r="G236" s="127">
        <v>-110.423875834847</v>
      </c>
      <c r="H236" s="22" t="s">
        <v>2228</v>
      </c>
      <c r="I236" s="22" t="s">
        <v>2379</v>
      </c>
      <c r="J236" s="96" t="s">
        <v>3934</v>
      </c>
      <c r="K236" s="22" t="s">
        <v>2622</v>
      </c>
      <c r="L236" s="95">
        <v>240</v>
      </c>
      <c r="M236" s="228">
        <v>2023</v>
      </c>
      <c r="N236" s="228">
        <v>2043</v>
      </c>
      <c r="O236" s="132"/>
      <c r="P236" s="229" t="s">
        <v>116</v>
      </c>
      <c r="Q236" s="67" t="s">
        <v>2226</v>
      </c>
      <c r="R236" s="182">
        <v>192</v>
      </c>
      <c r="S236" s="219">
        <f>System!C$11</f>
        <v>0.09</v>
      </c>
      <c r="T236" s="245">
        <f t="shared" si="10"/>
        <v>17.28</v>
      </c>
      <c r="U236" s="219">
        <f>System!D$11</f>
        <v>0.33</v>
      </c>
      <c r="V236" s="247">
        <f t="shared" si="11"/>
        <v>555.03359999999998</v>
      </c>
      <c r="W236" s="37"/>
      <c r="X236" s="68"/>
      <c r="Y236" s="11" t="s">
        <v>2340</v>
      </c>
      <c r="Z236" s="11"/>
    </row>
    <row r="237" spans="1:26" ht="20" x14ac:dyDescent="0.25">
      <c r="B237" s="162" t="s">
        <v>2317</v>
      </c>
      <c r="C237" s="135" t="s">
        <v>4169</v>
      </c>
      <c r="D237" s="162" t="s">
        <v>272</v>
      </c>
      <c r="E237" s="229" t="s">
        <v>226</v>
      </c>
      <c r="F237" s="127">
        <v>49.485881798596402</v>
      </c>
      <c r="G237" s="127">
        <v>-113.454205387098</v>
      </c>
      <c r="H237" s="22" t="s">
        <v>2228</v>
      </c>
      <c r="I237" s="22" t="s">
        <v>2379</v>
      </c>
      <c r="J237" s="96" t="s">
        <v>3937</v>
      </c>
      <c r="K237" s="22" t="s">
        <v>2651</v>
      </c>
      <c r="L237" s="95">
        <v>240</v>
      </c>
      <c r="M237" s="228">
        <v>2023</v>
      </c>
      <c r="N237" s="228">
        <v>2043</v>
      </c>
      <c r="O237" s="132"/>
      <c r="P237" s="229" t="s">
        <v>116</v>
      </c>
      <c r="Q237" s="67" t="s">
        <v>2239</v>
      </c>
      <c r="R237" s="182">
        <v>206</v>
      </c>
      <c r="S237" s="219">
        <f>System!C$11</f>
        <v>0.09</v>
      </c>
      <c r="T237" s="245">
        <f t="shared" si="10"/>
        <v>18.54</v>
      </c>
      <c r="U237" s="219">
        <f>System!D$11</f>
        <v>0.33</v>
      </c>
      <c r="V237" s="247">
        <f t="shared" si="11"/>
        <v>595.50480000000005</v>
      </c>
      <c r="W237" s="37"/>
      <c r="X237" s="68"/>
      <c r="Y237" s="11" t="s">
        <v>2318</v>
      </c>
      <c r="Z237" s="11"/>
    </row>
    <row r="238" spans="1:26" ht="20" x14ac:dyDescent="0.25">
      <c r="B238" s="134" t="s">
        <v>4181</v>
      </c>
      <c r="C238" s="135" t="s">
        <v>4180</v>
      </c>
      <c r="D238" s="134" t="s">
        <v>278</v>
      </c>
      <c r="E238" s="135" t="s">
        <v>255</v>
      </c>
      <c r="F238" s="118">
        <v>51.221363400000001</v>
      </c>
      <c r="G238" s="118">
        <v>-112.5778815</v>
      </c>
      <c r="H238" s="22" t="s">
        <v>2228</v>
      </c>
      <c r="I238" s="22" t="s">
        <v>2379</v>
      </c>
      <c r="J238" s="96" t="s">
        <v>3928</v>
      </c>
      <c r="K238" s="22" t="s">
        <v>2728</v>
      </c>
      <c r="L238" s="95">
        <v>138</v>
      </c>
      <c r="M238" s="64">
        <v>2011</v>
      </c>
      <c r="N238" s="64">
        <v>2031</v>
      </c>
      <c r="O238" s="99"/>
      <c r="P238" s="148" t="s">
        <v>116</v>
      </c>
      <c r="Q238" s="67" t="s">
        <v>2239</v>
      </c>
      <c r="R238" s="53">
        <v>88</v>
      </c>
      <c r="S238" s="219">
        <f>System!C$11</f>
        <v>0.09</v>
      </c>
      <c r="T238" s="245">
        <f t="shared" si="10"/>
        <v>7.92</v>
      </c>
      <c r="U238" s="219">
        <f>System!D$11</f>
        <v>0.33</v>
      </c>
      <c r="V238" s="247">
        <f t="shared" si="11"/>
        <v>254.39040000000003</v>
      </c>
      <c r="W238" s="37"/>
      <c r="X238" s="68"/>
      <c r="Y238" s="11"/>
      <c r="Z238" s="11"/>
    </row>
    <row r="239" spans="1:26" ht="20" x14ac:dyDescent="0.25">
      <c r="B239" s="162" t="s">
        <v>2252</v>
      </c>
      <c r="C239" s="135" t="s">
        <v>4170</v>
      </c>
      <c r="D239" s="162" t="s">
        <v>2244</v>
      </c>
      <c r="E239" s="229" t="s">
        <v>2252</v>
      </c>
      <c r="F239" s="127">
        <v>49.5203599435143</v>
      </c>
      <c r="G239" s="127">
        <v>-112.036577631597</v>
      </c>
      <c r="H239" s="67" t="s">
        <v>2228</v>
      </c>
      <c r="I239" s="22" t="s">
        <v>2379</v>
      </c>
      <c r="J239" s="96" t="s">
        <v>3487</v>
      </c>
      <c r="K239" s="22" t="s">
        <v>2652</v>
      </c>
      <c r="L239" s="95">
        <v>138</v>
      </c>
      <c r="M239" s="228">
        <v>2022</v>
      </c>
      <c r="N239" s="228">
        <v>2042</v>
      </c>
      <c r="O239" s="99"/>
      <c r="P239" s="229" t="s">
        <v>334</v>
      </c>
      <c r="Q239" s="67" t="s">
        <v>2240</v>
      </c>
      <c r="R239" s="182">
        <v>41</v>
      </c>
      <c r="S239" s="219">
        <f>System!C$12</f>
        <v>0</v>
      </c>
      <c r="T239" s="245">
        <f t="shared" si="10"/>
        <v>0</v>
      </c>
      <c r="U239" s="219">
        <f>System!D$12</f>
        <v>0.18</v>
      </c>
      <c r="V239" s="247">
        <f t="shared" si="11"/>
        <v>64.648800000000008</v>
      </c>
      <c r="W239" s="122"/>
      <c r="X239" s="68"/>
      <c r="Y239" s="79" t="s">
        <v>2253</v>
      </c>
      <c r="Z239" s="120"/>
    </row>
    <row r="240" spans="1:26" ht="20" x14ac:dyDescent="0.25">
      <c r="B240" s="162" t="s">
        <v>2266</v>
      </c>
      <c r="C240" s="135" t="s">
        <v>4171</v>
      </c>
      <c r="D240" s="162" t="s">
        <v>2262</v>
      </c>
      <c r="E240" s="229" t="s">
        <v>356</v>
      </c>
      <c r="F240" s="127">
        <v>49.665382345308203</v>
      </c>
      <c r="G240" s="127">
        <v>-111.511335584815</v>
      </c>
      <c r="H240" s="67" t="s">
        <v>2228</v>
      </c>
      <c r="I240" s="22" t="s">
        <v>2379</v>
      </c>
      <c r="J240" s="96" t="s">
        <v>3438</v>
      </c>
      <c r="K240" s="22" t="s">
        <v>2690</v>
      </c>
      <c r="L240" s="95">
        <v>138</v>
      </c>
      <c r="M240" s="228">
        <v>2022</v>
      </c>
      <c r="N240" s="228">
        <v>2042</v>
      </c>
      <c r="O240" s="99"/>
      <c r="P240" s="229" t="s">
        <v>334</v>
      </c>
      <c r="Q240" s="67" t="s">
        <v>2240</v>
      </c>
      <c r="R240" s="182">
        <v>19</v>
      </c>
      <c r="S240" s="219">
        <f>System!C$12</f>
        <v>0</v>
      </c>
      <c r="T240" s="245">
        <f t="shared" si="10"/>
        <v>0</v>
      </c>
      <c r="U240" s="219">
        <f>System!D$12</f>
        <v>0.18</v>
      </c>
      <c r="V240" s="247">
        <f t="shared" si="11"/>
        <v>29.959199999999999</v>
      </c>
      <c r="W240" s="122"/>
      <c r="X240" s="68"/>
      <c r="Y240" s="79" t="s">
        <v>2265</v>
      </c>
      <c r="Z240" s="120"/>
    </row>
    <row r="241" spans="1:35" x14ac:dyDescent="0.25">
      <c r="E241" s="2"/>
      <c r="H241" s="2"/>
      <c r="I241" s="2"/>
      <c r="M241" s="46"/>
      <c r="N241" s="2"/>
      <c r="O241" s="46"/>
      <c r="P241" s="2"/>
      <c r="Q241" s="46"/>
      <c r="R241" s="138"/>
      <c r="S241" s="225"/>
      <c r="T241" s="2"/>
      <c r="U241" s="46"/>
      <c r="V241" s="46"/>
    </row>
    <row r="242" spans="1:35" x14ac:dyDescent="0.25">
      <c r="D242" s="102"/>
      <c r="E242" s="20"/>
      <c r="F242" s="4"/>
      <c r="G242" s="4"/>
      <c r="L242" s="183"/>
      <c r="M242" s="20"/>
      <c r="N242" s="20"/>
      <c r="R242" s="103"/>
      <c r="S242" s="226"/>
      <c r="T242" s="103"/>
      <c r="W242" s="119"/>
    </row>
    <row r="243" spans="1:35" x14ac:dyDescent="0.25">
      <c r="A243" s="49" t="s">
        <v>470</v>
      </c>
      <c r="B243" s="7"/>
      <c r="O243" s="60"/>
      <c r="P243" s="20"/>
      <c r="Q243" s="224"/>
      <c r="R243" s="60"/>
      <c r="S243" s="60"/>
      <c r="T243" s="8"/>
      <c r="U243" s="60"/>
      <c r="V243" s="4"/>
      <c r="W243" s="2"/>
    </row>
    <row r="244" spans="1:35" x14ac:dyDescent="0.25">
      <c r="A244" s="2" t="s">
        <v>2313</v>
      </c>
      <c r="B244" s="76"/>
      <c r="C244" s="76"/>
      <c r="D244" s="20"/>
      <c r="E244" s="52"/>
      <c r="H244" s="52"/>
      <c r="I244" s="52"/>
      <c r="L244" s="20"/>
      <c r="M244" s="16"/>
      <c r="N244" s="20"/>
      <c r="O244" s="20"/>
      <c r="P244" s="52"/>
      <c r="Q244" s="8"/>
      <c r="R244" s="16"/>
      <c r="S244" s="80"/>
      <c r="T244" s="20"/>
      <c r="U244" s="103"/>
      <c r="V244" s="20"/>
      <c r="W244" s="103"/>
    </row>
    <row r="245" spans="1:35" s="52" customFormat="1" x14ac:dyDescent="0.25">
      <c r="A245" s="2" t="s">
        <v>464</v>
      </c>
      <c r="C245" s="183"/>
      <c r="J245" s="183"/>
      <c r="K245" s="183"/>
      <c r="L245" s="183"/>
      <c r="P245" s="4"/>
      <c r="Q245" s="60"/>
      <c r="S245" s="8"/>
      <c r="X245" s="46"/>
      <c r="Y245" s="46"/>
      <c r="Z245" s="2"/>
    </row>
    <row r="246" spans="1:35" x14ac:dyDescent="0.25">
      <c r="A246" s="6"/>
      <c r="B246" s="6"/>
      <c r="P246" s="20"/>
      <c r="Q246" s="224"/>
    </row>
    <row r="247" spans="1:35" x14ac:dyDescent="0.25">
      <c r="A247" s="35" t="s">
        <v>465</v>
      </c>
      <c r="B247" s="141"/>
      <c r="C247" s="2"/>
      <c r="D247" s="141"/>
      <c r="E247" s="20"/>
      <c r="F247" s="20"/>
      <c r="G247" s="20"/>
      <c r="H247" s="20"/>
      <c r="I247" s="20"/>
      <c r="J247" s="52"/>
      <c r="K247" s="52"/>
      <c r="L247" s="183"/>
      <c r="M247" s="52"/>
      <c r="N247" s="20"/>
      <c r="O247" s="20"/>
      <c r="P247" s="20"/>
      <c r="Q247" s="20"/>
      <c r="R247" s="20"/>
      <c r="S247" s="52"/>
      <c r="T247" s="52"/>
      <c r="U247" s="20"/>
      <c r="V247" s="103"/>
      <c r="W247" s="20"/>
      <c r="X247" s="2"/>
      <c r="Y247" s="2"/>
    </row>
    <row r="248" spans="1:35" s="52" customFormat="1" x14ac:dyDescent="0.25">
      <c r="A248" s="2" t="s">
        <v>466</v>
      </c>
      <c r="C248" s="2"/>
      <c r="L248" s="183"/>
      <c r="X248" s="2"/>
      <c r="Y248" s="2"/>
      <c r="Z248" s="2"/>
      <c r="AA248" s="2"/>
      <c r="AB248" s="2"/>
      <c r="AC248" s="2"/>
      <c r="AD248" s="2"/>
      <c r="AE248" s="2"/>
      <c r="AF248" s="2"/>
      <c r="AG248" s="2"/>
      <c r="AH248" s="2"/>
      <c r="AI248" s="2"/>
    </row>
    <row r="249" spans="1:35" x14ac:dyDescent="0.25">
      <c r="A249" s="2" t="s">
        <v>467</v>
      </c>
      <c r="B249" s="76"/>
      <c r="C249" s="2"/>
      <c r="D249" s="76"/>
      <c r="E249" s="20"/>
      <c r="F249" s="20"/>
      <c r="G249" s="20"/>
      <c r="H249" s="20"/>
      <c r="I249" s="20"/>
      <c r="J249" s="52"/>
      <c r="K249" s="52"/>
      <c r="L249" s="183"/>
      <c r="M249" s="52"/>
      <c r="N249" s="20"/>
      <c r="O249" s="20"/>
      <c r="P249" s="20"/>
      <c r="Q249" s="20"/>
      <c r="R249" s="20"/>
      <c r="S249" s="52"/>
      <c r="T249" s="52"/>
      <c r="U249" s="20"/>
      <c r="V249" s="103"/>
      <c r="W249" s="20"/>
      <c r="X249" s="2"/>
      <c r="Y249" s="2"/>
    </row>
    <row r="250" spans="1:35" x14ac:dyDescent="0.25">
      <c r="A250" s="2" t="s">
        <v>2450</v>
      </c>
      <c r="B250" s="76"/>
      <c r="C250" s="2"/>
      <c r="D250" s="76"/>
      <c r="E250" s="20"/>
      <c r="F250" s="20"/>
      <c r="G250" s="20"/>
      <c r="H250" s="20"/>
      <c r="I250" s="20"/>
      <c r="J250" s="52"/>
      <c r="K250" s="52"/>
      <c r="L250" s="183"/>
      <c r="M250" s="52"/>
      <c r="N250" s="20"/>
      <c r="O250" s="20"/>
      <c r="P250" s="20"/>
      <c r="Q250" s="20"/>
      <c r="R250" s="20"/>
      <c r="S250" s="52"/>
      <c r="T250" s="52"/>
      <c r="U250" s="20"/>
      <c r="V250" s="103"/>
      <c r="W250" s="20"/>
      <c r="X250" s="2"/>
      <c r="Y250" s="2"/>
    </row>
    <row r="251" spans="1:35" x14ac:dyDescent="0.25">
      <c r="A251" s="2" t="s">
        <v>2451</v>
      </c>
      <c r="B251" s="76"/>
      <c r="C251" s="2"/>
      <c r="D251" s="76"/>
      <c r="E251" s="20"/>
      <c r="F251" s="20"/>
      <c r="G251" s="20"/>
      <c r="H251" s="20"/>
      <c r="I251" s="20"/>
      <c r="J251" s="52"/>
      <c r="K251" s="52"/>
      <c r="L251" s="183"/>
      <c r="M251" s="52"/>
      <c r="N251" s="20"/>
      <c r="O251" s="20"/>
      <c r="P251" s="20"/>
      <c r="Q251" s="20"/>
      <c r="R251" s="20"/>
      <c r="S251" s="52"/>
      <c r="T251" s="52"/>
      <c r="U251" s="20"/>
      <c r="V251" s="103"/>
      <c r="W251" s="20"/>
      <c r="X251" s="2"/>
      <c r="Y251" s="2"/>
    </row>
    <row r="252" spans="1:35" x14ac:dyDescent="0.25">
      <c r="A252" s="142" t="s">
        <v>2452</v>
      </c>
      <c r="C252" s="2"/>
      <c r="D252" s="141"/>
      <c r="E252" s="141"/>
      <c r="F252" s="143"/>
      <c r="G252" s="2"/>
      <c r="H252" s="2"/>
      <c r="I252" s="2"/>
      <c r="J252" s="2"/>
      <c r="K252" s="52"/>
      <c r="L252" s="183"/>
      <c r="M252" s="52"/>
      <c r="N252" s="144"/>
      <c r="O252" s="145"/>
      <c r="P252" s="144"/>
      <c r="Q252" s="145"/>
      <c r="R252" s="145"/>
      <c r="S252" s="145"/>
      <c r="T252" s="145"/>
      <c r="U252" s="146"/>
      <c r="V252" s="146"/>
      <c r="W252" s="146"/>
      <c r="X252" s="2"/>
      <c r="Y252" s="2"/>
    </row>
    <row r="253" spans="1:35" x14ac:dyDescent="0.25">
      <c r="A253" s="2" t="s">
        <v>468</v>
      </c>
      <c r="B253" s="7"/>
      <c r="C253" s="2"/>
      <c r="D253" s="7"/>
      <c r="E253" s="7"/>
      <c r="F253" s="7"/>
      <c r="G253" s="19"/>
      <c r="H253" s="19"/>
      <c r="I253" s="19"/>
      <c r="J253" s="19"/>
      <c r="K253" s="52"/>
      <c r="L253" s="183"/>
      <c r="M253" s="52"/>
      <c r="N253" s="7"/>
      <c r="O253" s="7"/>
      <c r="P253" s="7"/>
      <c r="Q253" s="7"/>
      <c r="R253" s="7"/>
      <c r="S253" s="7"/>
      <c r="T253" s="7"/>
      <c r="U253" s="7"/>
      <c r="V253" s="7"/>
      <c r="W253" s="7"/>
      <c r="X253" s="2"/>
      <c r="Y253" s="2"/>
    </row>
    <row r="254" spans="1:35" x14ac:dyDescent="0.25">
      <c r="C254" s="2"/>
      <c r="E254" s="2"/>
      <c r="F254" s="2"/>
      <c r="G254" s="2"/>
      <c r="H254" s="2"/>
      <c r="I254" s="2"/>
      <c r="M254" s="2"/>
      <c r="N254" s="4"/>
      <c r="O254" s="7"/>
      <c r="T254" s="2"/>
      <c r="U254" s="2"/>
      <c r="V254" s="2"/>
      <c r="W254" s="52"/>
      <c r="Y254" s="2"/>
    </row>
    <row r="255" spans="1:35" x14ac:dyDescent="0.25">
      <c r="C255" s="2"/>
    </row>
  </sheetData>
  <autoFilter ref="B3:Z3" xr:uid="{6D8CD986-3823-2645-84B2-284C80001638}">
    <sortState xmlns:xlrd2="http://schemas.microsoft.com/office/spreadsheetml/2017/richdata2" ref="B4:Z240">
      <sortCondition ref="B3:B240"/>
    </sortState>
  </autoFilter>
  <phoneticPr fontId="40" type="noConversion"/>
  <conditionalFormatting sqref="C1:C1048576">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19541-9797-D14B-8116-E946B937879A}">
  <dimension ref="A1:Y19"/>
  <sheetViews>
    <sheetView tabSelected="1" zoomScaleNormal="100" workbookViewId="0">
      <pane xSplit="2" ySplit="3" topLeftCell="G4" activePane="bottomRight" state="frozen"/>
      <selection pane="topRight" activeCell="C1" sqref="C1"/>
      <selection pane="bottomLeft" activeCell="A5" sqref="A5"/>
      <selection pane="bottomRight" activeCell="K5" sqref="K5"/>
    </sheetView>
  </sheetViews>
  <sheetFormatPr baseColWidth="10" defaultRowHeight="19" x14ac:dyDescent="0.25"/>
  <cols>
    <col min="1" max="1" width="4.83203125" style="2" customWidth="1"/>
    <col min="2" max="2" width="43.83203125" style="2" customWidth="1"/>
    <col min="3" max="3" width="30.83203125" style="2" customWidth="1"/>
    <col min="4" max="4" width="44.6640625" style="2" customWidth="1"/>
    <col min="5" max="5" width="24.83203125" style="4" customWidth="1"/>
    <col min="6" max="7" width="15.83203125" style="52" customWidth="1"/>
    <col min="8" max="9" width="15.83203125" style="4" customWidth="1"/>
    <col min="10" max="11" width="37.83203125" style="183" customWidth="1"/>
    <col min="12" max="12" width="12.83203125" style="46" customWidth="1"/>
    <col min="13" max="14" width="12.83203125" style="60" customWidth="1"/>
    <col min="15" max="15" width="5" style="8" customWidth="1"/>
    <col min="16" max="16" width="24.83203125" style="4" customWidth="1"/>
    <col min="17" max="17" width="24.83203125" style="60" customWidth="1"/>
    <col min="18" max="18" width="12.83203125" style="2" customWidth="1"/>
    <col min="19" max="20" width="12.83203125" style="46" customWidth="1"/>
    <col min="21" max="21" width="20.83203125" style="8" customWidth="1"/>
    <col min="22" max="22" width="16.83203125" style="46" customWidth="1"/>
    <col min="23" max="23" width="4.83203125" style="2" customWidth="1"/>
    <col min="24" max="24" width="80" style="46" customWidth="1"/>
    <col min="25" max="25" width="43.33203125" style="2" customWidth="1"/>
    <col min="26" max="16384" width="10.83203125" style="2"/>
  </cols>
  <sheetData>
    <row r="1" spans="1:25" ht="21" x14ac:dyDescent="0.25">
      <c r="A1" s="30" t="s">
        <v>75</v>
      </c>
      <c r="B1" s="12" t="s">
        <v>2360</v>
      </c>
      <c r="C1" s="12"/>
      <c r="D1" s="56"/>
      <c r="J1" s="12"/>
      <c r="K1" s="12"/>
      <c r="P1" s="35" t="s">
        <v>29</v>
      </c>
      <c r="Q1" s="223"/>
      <c r="R1" s="15"/>
      <c r="S1" s="63"/>
      <c r="T1" s="63"/>
      <c r="X1" s="181"/>
    </row>
    <row r="2" spans="1:25" s="5" customFormat="1" ht="40" x14ac:dyDescent="0.2">
      <c r="A2" s="3"/>
      <c r="B2" s="13" t="s">
        <v>19</v>
      </c>
      <c r="C2" s="13" t="s">
        <v>3332</v>
      </c>
      <c r="D2" s="13" t="s">
        <v>14</v>
      </c>
      <c r="E2" s="13" t="s">
        <v>22</v>
      </c>
      <c r="F2" s="13" t="s">
        <v>15</v>
      </c>
      <c r="G2" s="13" t="s">
        <v>16</v>
      </c>
      <c r="H2" s="13" t="s">
        <v>2227</v>
      </c>
      <c r="I2" s="13" t="s">
        <v>2585</v>
      </c>
      <c r="J2" s="13" t="s">
        <v>2231</v>
      </c>
      <c r="K2" s="13" t="s">
        <v>2232</v>
      </c>
      <c r="L2" s="13" t="s">
        <v>2233</v>
      </c>
      <c r="M2" s="13" t="s">
        <v>18</v>
      </c>
      <c r="N2" s="13" t="s">
        <v>59</v>
      </c>
      <c r="O2" s="8"/>
      <c r="P2" s="13" t="s">
        <v>204</v>
      </c>
      <c r="Q2" s="13" t="s">
        <v>2234</v>
      </c>
      <c r="R2" s="13" t="s">
        <v>2344</v>
      </c>
      <c r="S2" s="13" t="s">
        <v>2345</v>
      </c>
      <c r="T2" s="13" t="s">
        <v>2346</v>
      </c>
      <c r="U2" s="13" t="s">
        <v>2347</v>
      </c>
      <c r="V2" s="13" t="s">
        <v>2349</v>
      </c>
      <c r="W2" s="52"/>
      <c r="X2" s="13" t="s">
        <v>489</v>
      </c>
      <c r="Y2" s="13" t="s">
        <v>32</v>
      </c>
    </row>
    <row r="3" spans="1:25" s="3" customFormat="1" ht="20" x14ac:dyDescent="0.2">
      <c r="B3" s="10"/>
      <c r="C3" s="10"/>
      <c r="D3" s="10"/>
      <c r="E3" s="10"/>
      <c r="F3" s="52"/>
      <c r="G3" s="52"/>
      <c r="H3" s="10"/>
      <c r="I3" s="10"/>
      <c r="J3" s="52"/>
      <c r="K3" s="52"/>
      <c r="L3" s="42" t="s">
        <v>205</v>
      </c>
      <c r="M3" s="10"/>
      <c r="N3" s="10"/>
      <c r="O3" s="8"/>
      <c r="P3" s="10"/>
      <c r="Q3" s="42"/>
      <c r="R3" s="10" t="s">
        <v>20</v>
      </c>
      <c r="S3" s="42" t="s">
        <v>188</v>
      </c>
      <c r="T3" s="42" t="s">
        <v>2348</v>
      </c>
      <c r="U3" s="42"/>
      <c r="V3" s="42" t="s">
        <v>163</v>
      </c>
      <c r="W3" s="52"/>
      <c r="X3" s="42"/>
      <c r="Y3" s="10"/>
    </row>
    <row r="4" spans="1:25" ht="100" x14ac:dyDescent="0.25">
      <c r="B4" s="162" t="s">
        <v>2342</v>
      </c>
      <c r="C4" s="22" t="s">
        <v>4230</v>
      </c>
      <c r="D4" s="162" t="s">
        <v>272</v>
      </c>
      <c r="E4" s="229" t="s">
        <v>226</v>
      </c>
      <c r="F4" s="127">
        <v>49.582899699999999</v>
      </c>
      <c r="G4" s="127">
        <v>-113.7931167</v>
      </c>
      <c r="H4" s="22" t="s">
        <v>2228</v>
      </c>
      <c r="I4" s="22" t="s">
        <v>2379</v>
      </c>
      <c r="J4" s="229" t="s">
        <v>3859</v>
      </c>
      <c r="K4" s="22" t="s">
        <v>2722</v>
      </c>
      <c r="L4" s="182">
        <v>144</v>
      </c>
      <c r="M4" s="228">
        <v>2020</v>
      </c>
      <c r="N4" s="228">
        <v>2040</v>
      </c>
      <c r="O4" s="132"/>
      <c r="P4" s="229" t="s">
        <v>4429</v>
      </c>
      <c r="Q4" s="67" t="s">
        <v>4430</v>
      </c>
      <c r="R4" s="182">
        <v>10</v>
      </c>
      <c r="S4" s="182">
        <v>20</v>
      </c>
      <c r="T4" s="182">
        <v>2</v>
      </c>
      <c r="U4" s="233" t="s">
        <v>2310</v>
      </c>
      <c r="V4" s="230">
        <v>22.7</v>
      </c>
      <c r="W4" s="59"/>
      <c r="X4" s="11" t="s">
        <v>2449</v>
      </c>
      <c r="Y4" s="11"/>
    </row>
    <row r="5" spans="1:25" ht="20" x14ac:dyDescent="0.25">
      <c r="B5" s="162" t="s">
        <v>2351</v>
      </c>
      <c r="C5" s="22" t="s">
        <v>3333</v>
      </c>
      <c r="D5" s="162" t="s">
        <v>2352</v>
      </c>
      <c r="E5" s="229" t="s">
        <v>2353</v>
      </c>
      <c r="F5" s="127">
        <v>55.739639844052597</v>
      </c>
      <c r="G5" s="127">
        <v>-118.70069150462</v>
      </c>
      <c r="H5" s="22" t="s">
        <v>2228</v>
      </c>
      <c r="I5" s="22" t="s">
        <v>2379</v>
      </c>
      <c r="J5" s="229" t="s">
        <v>3811</v>
      </c>
      <c r="K5" s="22" t="s">
        <v>3058</v>
      </c>
      <c r="L5" s="182">
        <v>144</v>
      </c>
      <c r="M5" s="228">
        <v>2020</v>
      </c>
      <c r="N5" s="228">
        <v>2040</v>
      </c>
      <c r="O5" s="132"/>
      <c r="P5" s="229" t="s">
        <v>4429</v>
      </c>
      <c r="Q5" s="67" t="s">
        <v>4430</v>
      </c>
      <c r="R5" s="182">
        <v>20</v>
      </c>
      <c r="S5" s="182">
        <v>20</v>
      </c>
      <c r="T5" s="182">
        <v>1</v>
      </c>
      <c r="U5" s="233" t="s">
        <v>2354</v>
      </c>
      <c r="V5" s="58"/>
      <c r="W5" s="59"/>
      <c r="X5" s="79" t="s">
        <v>2350</v>
      </c>
      <c r="Y5" s="11"/>
    </row>
    <row r="6" spans="1:25" ht="20" x14ac:dyDescent="0.25">
      <c r="B6" s="162" t="s">
        <v>2355</v>
      </c>
      <c r="C6" s="22" t="s">
        <v>3334</v>
      </c>
      <c r="D6" s="162" t="s">
        <v>2352</v>
      </c>
      <c r="E6" s="229" t="s">
        <v>2356</v>
      </c>
      <c r="F6" s="127">
        <v>53.118500176087103</v>
      </c>
      <c r="G6" s="127">
        <v>-111.20078687047</v>
      </c>
      <c r="H6" s="22" t="s">
        <v>2228</v>
      </c>
      <c r="I6" s="22" t="s">
        <v>2379</v>
      </c>
      <c r="J6" s="229" t="s">
        <v>3434</v>
      </c>
      <c r="K6" s="22" t="s">
        <v>2780</v>
      </c>
      <c r="L6" s="182">
        <v>144</v>
      </c>
      <c r="M6" s="228">
        <v>2020</v>
      </c>
      <c r="N6" s="228">
        <v>2040</v>
      </c>
      <c r="O6" s="132"/>
      <c r="P6" s="229" t="s">
        <v>4429</v>
      </c>
      <c r="Q6" s="67" t="s">
        <v>4430</v>
      </c>
      <c r="R6" s="182">
        <v>20</v>
      </c>
      <c r="S6" s="182">
        <v>20</v>
      </c>
      <c r="T6" s="182">
        <v>1</v>
      </c>
      <c r="U6" s="233" t="s">
        <v>2354</v>
      </c>
      <c r="V6" s="58"/>
      <c r="W6" s="59"/>
      <c r="X6" s="79" t="s">
        <v>2350</v>
      </c>
      <c r="Y6" s="11"/>
    </row>
    <row r="7" spans="1:25" ht="20" x14ac:dyDescent="0.25">
      <c r="B7" s="162" t="s">
        <v>2357</v>
      </c>
      <c r="C7" s="22" t="s">
        <v>3335</v>
      </c>
      <c r="D7" s="162" t="s">
        <v>2352</v>
      </c>
      <c r="E7" s="229" t="s">
        <v>2398</v>
      </c>
      <c r="F7" s="127">
        <v>55.287853862454398</v>
      </c>
      <c r="G7" s="127">
        <v>-118.643341424125</v>
      </c>
      <c r="H7" s="22" t="s">
        <v>2228</v>
      </c>
      <c r="I7" s="22" t="s">
        <v>2379</v>
      </c>
      <c r="J7" s="229" t="s">
        <v>3473</v>
      </c>
      <c r="K7" s="22" t="s">
        <v>2800</v>
      </c>
      <c r="L7" s="182">
        <v>144</v>
      </c>
      <c r="M7" s="228">
        <v>2020</v>
      </c>
      <c r="N7" s="228">
        <v>2040</v>
      </c>
      <c r="O7" s="132"/>
      <c r="P7" s="229" t="s">
        <v>4429</v>
      </c>
      <c r="Q7" s="67" t="s">
        <v>4430</v>
      </c>
      <c r="R7" s="182">
        <v>20</v>
      </c>
      <c r="S7" s="182">
        <v>35</v>
      </c>
      <c r="T7" s="230">
        <v>1.75</v>
      </c>
      <c r="U7" s="233" t="s">
        <v>2354</v>
      </c>
      <c r="V7" s="58"/>
      <c r="W7" s="59"/>
      <c r="X7" s="79" t="s">
        <v>2350</v>
      </c>
      <c r="Y7" s="11"/>
    </row>
    <row r="8" spans="1:25" s="46" customFormat="1" x14ac:dyDescent="0.25">
      <c r="B8" s="79"/>
      <c r="C8" s="79"/>
      <c r="D8" s="79"/>
      <c r="E8" s="67"/>
      <c r="F8" s="231"/>
      <c r="G8" s="231"/>
      <c r="H8" s="67"/>
      <c r="I8" s="67"/>
      <c r="J8" s="67"/>
      <c r="K8" s="67"/>
      <c r="L8" s="37"/>
      <c r="M8" s="82"/>
      <c r="N8" s="82"/>
      <c r="O8" s="132"/>
      <c r="P8" s="67"/>
      <c r="Q8" s="67"/>
      <c r="R8" s="37"/>
      <c r="S8" s="37"/>
      <c r="T8" s="232"/>
      <c r="U8" s="91"/>
      <c r="V8" s="37"/>
      <c r="W8" s="100"/>
      <c r="X8" s="79"/>
      <c r="Y8" s="79"/>
    </row>
    <row r="9" spans="1:25" x14ac:dyDescent="0.25">
      <c r="E9" s="2"/>
      <c r="H9" s="2"/>
      <c r="I9" s="2"/>
      <c r="M9" s="46"/>
      <c r="N9" s="2"/>
      <c r="O9" s="46"/>
      <c r="P9" s="2"/>
      <c r="Q9" s="46"/>
      <c r="R9" s="138"/>
      <c r="S9" s="225"/>
      <c r="T9" s="2"/>
      <c r="U9" s="46"/>
    </row>
    <row r="10" spans="1:25" x14ac:dyDescent="0.25">
      <c r="D10" s="102"/>
      <c r="E10" s="20"/>
      <c r="F10" s="4"/>
      <c r="G10" s="4"/>
      <c r="L10" s="52"/>
      <c r="M10" s="20"/>
      <c r="N10" s="20"/>
      <c r="R10" s="103"/>
      <c r="S10" s="226"/>
      <c r="T10" s="103"/>
      <c r="V10" s="119"/>
      <c r="W10" s="104"/>
    </row>
    <row r="11" spans="1:25" x14ac:dyDescent="0.25">
      <c r="A11" s="49" t="s">
        <v>470</v>
      </c>
      <c r="B11" s="7"/>
      <c r="C11" s="7"/>
      <c r="O11" s="60"/>
      <c r="P11" s="20"/>
      <c r="Q11" s="224"/>
      <c r="R11" s="60"/>
      <c r="S11" s="60"/>
      <c r="T11" s="8"/>
      <c r="U11" s="60"/>
      <c r="V11" s="2"/>
      <c r="W11" s="46"/>
    </row>
    <row r="12" spans="1:25" x14ac:dyDescent="0.25">
      <c r="A12" s="2" t="s">
        <v>2358</v>
      </c>
      <c r="B12" s="76"/>
      <c r="C12" s="76"/>
      <c r="D12" s="20"/>
      <c r="E12" s="52"/>
      <c r="H12" s="52"/>
      <c r="I12" s="52"/>
      <c r="L12" s="20"/>
      <c r="M12" s="16"/>
      <c r="N12" s="20"/>
      <c r="O12" s="20"/>
      <c r="P12" s="52"/>
      <c r="Q12" s="8"/>
      <c r="R12" s="16"/>
      <c r="S12" s="80"/>
      <c r="T12" s="20"/>
      <c r="U12" s="103"/>
      <c r="V12" s="103"/>
      <c r="W12" s="140"/>
    </row>
    <row r="13" spans="1:25" s="52" customFormat="1" x14ac:dyDescent="0.25">
      <c r="A13" s="2"/>
      <c r="C13" s="183"/>
      <c r="J13" s="183"/>
      <c r="K13" s="183"/>
      <c r="P13" s="4"/>
      <c r="Q13" s="60"/>
      <c r="S13" s="8"/>
      <c r="X13" s="46"/>
      <c r="Y13" s="2"/>
    </row>
    <row r="14" spans="1:25" x14ac:dyDescent="0.25">
      <c r="A14" s="6"/>
      <c r="B14" s="6"/>
      <c r="C14" s="6"/>
      <c r="P14" s="20"/>
      <c r="Q14" s="224"/>
    </row>
    <row r="15" spans="1:25" s="52" customFormat="1" x14ac:dyDescent="0.25">
      <c r="A15" s="2"/>
      <c r="C15" s="183"/>
      <c r="J15" s="183"/>
      <c r="K15" s="183"/>
      <c r="P15" s="20"/>
      <c r="Q15" s="224"/>
      <c r="S15" s="8"/>
      <c r="X15" s="46"/>
      <c r="Y15" s="2"/>
    </row>
    <row r="16" spans="1:25" x14ac:dyDescent="0.25">
      <c r="B16" s="76"/>
      <c r="C16" s="76"/>
      <c r="D16" s="20"/>
      <c r="E16" s="20"/>
      <c r="F16" s="20"/>
      <c r="H16" s="52"/>
      <c r="I16" s="52"/>
      <c r="L16" s="20"/>
      <c r="M16" s="16"/>
      <c r="N16" s="20"/>
      <c r="O16" s="20"/>
      <c r="P16" s="20"/>
      <c r="Q16" s="224"/>
      <c r="R16" s="52"/>
      <c r="S16" s="8"/>
      <c r="T16" s="20"/>
      <c r="U16" s="103"/>
      <c r="V16" s="103"/>
      <c r="W16" s="139"/>
    </row>
    <row r="17" spans="1:24" x14ac:dyDescent="0.25">
      <c r="B17" s="76"/>
      <c r="C17" s="76"/>
      <c r="D17" s="20"/>
      <c r="E17" s="20"/>
      <c r="F17" s="20"/>
      <c r="H17" s="52"/>
      <c r="I17" s="52"/>
      <c r="L17" s="20"/>
      <c r="M17" s="16"/>
      <c r="N17" s="20"/>
      <c r="O17" s="20"/>
      <c r="P17" s="20"/>
      <c r="Q17" s="224"/>
      <c r="R17" s="52"/>
      <c r="S17" s="8"/>
      <c r="T17" s="20"/>
      <c r="U17" s="103"/>
      <c r="V17" s="103"/>
      <c r="W17" s="139"/>
      <c r="X17" s="2"/>
    </row>
    <row r="18" spans="1:24" x14ac:dyDescent="0.25">
      <c r="A18" s="142"/>
      <c r="D18" s="141"/>
      <c r="E18" s="143"/>
      <c r="F18" s="2"/>
      <c r="G18" s="2"/>
      <c r="H18" s="7"/>
      <c r="I18" s="7"/>
      <c r="L18" s="144"/>
      <c r="M18" s="145"/>
      <c r="N18" s="144"/>
      <c r="O18" s="145"/>
      <c r="P18" s="7"/>
      <c r="Q18" s="222"/>
      <c r="R18" s="145"/>
      <c r="S18" s="227"/>
      <c r="T18" s="146"/>
      <c r="U18" s="146"/>
      <c r="V18" s="146"/>
      <c r="W18" s="143"/>
      <c r="X18" s="2"/>
    </row>
    <row r="19" spans="1:24" x14ac:dyDescent="0.25">
      <c r="E19" s="2"/>
      <c r="F19" s="2"/>
      <c r="G19" s="2"/>
      <c r="H19" s="2"/>
      <c r="I19" s="2"/>
      <c r="L19" s="2"/>
      <c r="M19" s="2"/>
      <c r="N19" s="4"/>
      <c r="O19" s="7"/>
      <c r="T19" s="2"/>
      <c r="U19" s="2"/>
      <c r="V19" s="52"/>
      <c r="W19" s="52"/>
      <c r="X19" s="2"/>
    </row>
  </sheetData>
  <autoFilter ref="B3:Y3" xr:uid="{6D8CD986-3823-2645-84B2-284C80001638}">
    <sortState xmlns:xlrd2="http://schemas.microsoft.com/office/spreadsheetml/2017/richdata2" ref="B4:Y228">
      <sortCondition ref="Q3:Q228"/>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75A31-DBAC-1648-8C68-B7B134B091CE}">
  <dimension ref="A1:AA1121"/>
  <sheetViews>
    <sheetView zoomScaleNormal="100" workbookViewId="0">
      <pane xSplit="2" ySplit="3" topLeftCell="I378" activePane="bottomRight" state="frozen"/>
      <selection pane="topRight" activeCell="B1" sqref="B1"/>
      <selection pane="bottomLeft" activeCell="A4" sqref="A4"/>
      <selection pane="bottomRight" activeCell="W393" sqref="W393:X393"/>
    </sheetView>
  </sheetViews>
  <sheetFormatPr baseColWidth="10" defaultColWidth="8.83203125" defaultRowHeight="16" x14ac:dyDescent="0.2"/>
  <cols>
    <col min="1" max="1" width="4.83203125" style="183" customWidth="1"/>
    <col min="2" max="2" width="27.83203125" style="183" bestFit="1" customWidth="1"/>
    <col min="3" max="3" width="40.83203125" style="183" customWidth="1"/>
    <col min="4" max="4" width="16.6640625" style="183" customWidth="1"/>
    <col min="5" max="10" width="12.5" style="183" customWidth="1"/>
    <col min="11" max="12" width="11.83203125" style="183" customWidth="1"/>
    <col min="13" max="14" width="11.83203125" style="197" customWidth="1"/>
    <col min="15" max="16" width="14.83203125" style="6" customWidth="1"/>
    <col min="17" max="17" width="11.83203125" style="183" customWidth="1"/>
    <col min="18" max="20" width="11.83203125" style="197" customWidth="1"/>
    <col min="21" max="21" width="40.83203125" style="52" customWidth="1"/>
    <col min="22" max="22" width="30.83203125" style="52" customWidth="1"/>
    <col min="23" max="23" width="40.83203125" style="52" customWidth="1"/>
    <col min="24" max="24" width="24.83203125" style="52" customWidth="1"/>
    <col min="25" max="25" width="113" style="6" customWidth="1"/>
    <col min="26" max="26" width="75.1640625" style="197" customWidth="1"/>
    <col min="27" max="27" width="11" style="185" customWidth="1"/>
    <col min="28" max="32" width="11" style="183" customWidth="1"/>
    <col min="33" max="16384" width="8.83203125" style="183"/>
  </cols>
  <sheetData>
    <row r="1" spans="1:27" s="2" customFormat="1" ht="21" x14ac:dyDescent="0.25">
      <c r="A1" s="30" t="s">
        <v>75</v>
      </c>
      <c r="B1" s="12" t="s">
        <v>4400</v>
      </c>
      <c r="C1" s="183"/>
      <c r="D1" s="183"/>
      <c r="F1" s="195"/>
      <c r="G1" s="303"/>
      <c r="H1" s="303"/>
      <c r="I1" s="303"/>
      <c r="J1" s="303"/>
      <c r="K1" s="193"/>
      <c r="L1" s="193"/>
      <c r="M1" s="193"/>
      <c r="N1" s="193"/>
      <c r="O1" s="193"/>
      <c r="P1" s="193"/>
      <c r="Q1" s="193"/>
      <c r="R1" s="193"/>
      <c r="S1" s="193"/>
      <c r="T1" s="193"/>
      <c r="U1" s="183"/>
      <c r="V1" s="183"/>
      <c r="W1" s="183"/>
      <c r="X1" s="183"/>
      <c r="Y1" s="183"/>
    </row>
    <row r="2" spans="1:27" ht="60" x14ac:dyDescent="0.2">
      <c r="B2" s="13" t="s">
        <v>48</v>
      </c>
      <c r="C2" s="13" t="s">
        <v>14</v>
      </c>
      <c r="D2" s="13" t="s">
        <v>2585</v>
      </c>
      <c r="E2" s="13" t="s">
        <v>47</v>
      </c>
      <c r="F2" s="13" t="s">
        <v>543</v>
      </c>
      <c r="G2" s="13" t="s">
        <v>4399</v>
      </c>
      <c r="H2" s="13" t="s">
        <v>4399</v>
      </c>
      <c r="I2" s="13" t="s">
        <v>4398</v>
      </c>
      <c r="J2" s="13" t="s">
        <v>4398</v>
      </c>
      <c r="K2" s="13" t="s">
        <v>30</v>
      </c>
      <c r="L2" s="13" t="s">
        <v>544</v>
      </c>
      <c r="M2" s="13" t="s">
        <v>2434</v>
      </c>
      <c r="N2" s="13" t="s">
        <v>2435</v>
      </c>
      <c r="O2" s="13" t="s">
        <v>453</v>
      </c>
      <c r="P2" s="13" t="s">
        <v>454</v>
      </c>
      <c r="Q2" s="13" t="s">
        <v>545</v>
      </c>
      <c r="R2" s="13" t="s">
        <v>2436</v>
      </c>
      <c r="S2" s="13" t="s">
        <v>2219</v>
      </c>
      <c r="T2" s="13" t="s">
        <v>2220</v>
      </c>
      <c r="U2" s="13" t="s">
        <v>546</v>
      </c>
      <c r="V2" s="13" t="s">
        <v>2205</v>
      </c>
      <c r="W2" s="13" t="s">
        <v>547</v>
      </c>
      <c r="X2" s="13" t="s">
        <v>2206</v>
      </c>
      <c r="Y2" s="13" t="s">
        <v>489</v>
      </c>
      <c r="Z2" s="13" t="s">
        <v>32</v>
      </c>
      <c r="AA2" s="13" t="s">
        <v>548</v>
      </c>
    </row>
    <row r="3" spans="1:27" ht="20" x14ac:dyDescent="0.2">
      <c r="B3" s="10"/>
      <c r="C3" s="10"/>
      <c r="D3" s="10"/>
      <c r="E3" s="10"/>
      <c r="F3" s="10"/>
      <c r="G3" s="10" t="s">
        <v>51</v>
      </c>
      <c r="H3" s="10" t="s">
        <v>2417</v>
      </c>
      <c r="I3" s="10" t="s">
        <v>51</v>
      </c>
      <c r="J3" s="10" t="s">
        <v>2417</v>
      </c>
      <c r="K3" s="10" t="s">
        <v>49</v>
      </c>
      <c r="L3" s="10" t="s">
        <v>2433</v>
      </c>
      <c r="M3" s="42" t="s">
        <v>50</v>
      </c>
      <c r="N3" s="42" t="s">
        <v>50</v>
      </c>
      <c r="O3" s="10" t="s">
        <v>66</v>
      </c>
      <c r="P3" s="10" t="s">
        <v>66</v>
      </c>
      <c r="Q3" s="10"/>
      <c r="R3" s="42"/>
      <c r="S3" s="42" t="s">
        <v>20</v>
      </c>
      <c r="T3" s="42" t="s">
        <v>20</v>
      </c>
      <c r="U3" s="197"/>
      <c r="V3" s="197"/>
      <c r="W3" s="197"/>
      <c r="Y3" s="17"/>
      <c r="Z3" s="42"/>
      <c r="AA3" s="272"/>
    </row>
    <row r="4" spans="1:27" s="184" customFormat="1" ht="20" x14ac:dyDescent="0.2">
      <c r="B4" s="11" t="s">
        <v>1746</v>
      </c>
      <c r="C4" s="165" t="s">
        <v>4236</v>
      </c>
      <c r="D4" s="22" t="s">
        <v>2379</v>
      </c>
      <c r="E4" s="34">
        <v>1</v>
      </c>
      <c r="F4" s="22" t="s">
        <v>2223</v>
      </c>
      <c r="G4" s="88">
        <v>16.149999999999999</v>
      </c>
      <c r="H4" s="235">
        <f>G4/1.62</f>
        <v>9.9691358024691343</v>
      </c>
      <c r="I4" s="88">
        <v>16.149999999999999</v>
      </c>
      <c r="J4" s="235">
        <f>I4/1.62</f>
        <v>9.9691358024691343</v>
      </c>
      <c r="K4" s="215">
        <v>138</v>
      </c>
      <c r="L4" s="252">
        <f>_xlfn.XLOOKUP($K4,Inputs!$C$6:$C$23,Inputs!$D$6:$D$23)*$I4</f>
        <v>7.0021785714285718</v>
      </c>
      <c r="M4" s="68"/>
      <c r="N4" s="68"/>
      <c r="O4" s="215">
        <v>160</v>
      </c>
      <c r="P4" s="215">
        <v>199</v>
      </c>
      <c r="Q4" s="94">
        <v>0.9</v>
      </c>
      <c r="R4" s="68" t="s">
        <v>115</v>
      </c>
      <c r="S4" s="182">
        <f t="shared" ref="S4:S13" si="0">O4*Q4</f>
        <v>144</v>
      </c>
      <c r="T4" s="182">
        <f t="shared" ref="T4:T13" si="1">P4*Q4</f>
        <v>179.1</v>
      </c>
      <c r="U4" s="96" t="s">
        <v>1750</v>
      </c>
      <c r="V4" s="22" t="s">
        <v>4283</v>
      </c>
      <c r="W4" s="96" t="s">
        <v>1747</v>
      </c>
      <c r="X4" s="22" t="s">
        <v>3096</v>
      </c>
      <c r="Y4" s="11" t="s">
        <v>4298</v>
      </c>
      <c r="Z4" s="79"/>
      <c r="AA4" s="187">
        <v>1</v>
      </c>
    </row>
    <row r="5" spans="1:27" s="184" customFormat="1" ht="20" x14ac:dyDescent="0.2">
      <c r="B5" s="11" t="s">
        <v>1752</v>
      </c>
      <c r="C5" s="165" t="s">
        <v>4236</v>
      </c>
      <c r="D5" s="22" t="s">
        <v>2379</v>
      </c>
      <c r="E5" s="34">
        <v>1</v>
      </c>
      <c r="F5" s="22" t="s">
        <v>2223</v>
      </c>
      <c r="G5" s="88">
        <v>7.6499999999999995</v>
      </c>
      <c r="H5" s="235">
        <f t="shared" ref="H5:H68" si="2">G5/1.62</f>
        <v>4.7222222222222214</v>
      </c>
      <c r="I5" s="88">
        <v>7.6499999999999995</v>
      </c>
      <c r="J5" s="235">
        <f t="shared" ref="J5:J68" si="3">I5/1.62</f>
        <v>4.7222222222222214</v>
      </c>
      <c r="K5" s="216">
        <v>138</v>
      </c>
      <c r="L5" s="252">
        <f>_xlfn.XLOOKUP($K5,Inputs!$C$6:$C$23,Inputs!$D$6:$D$23)*$I5</f>
        <v>3.3168214285714286</v>
      </c>
      <c r="M5" s="68"/>
      <c r="N5" s="68"/>
      <c r="O5" s="216">
        <v>160</v>
      </c>
      <c r="P5" s="216">
        <v>177</v>
      </c>
      <c r="Q5" s="94">
        <v>0.9</v>
      </c>
      <c r="R5" s="68" t="s">
        <v>115</v>
      </c>
      <c r="S5" s="182">
        <f t="shared" si="0"/>
        <v>144</v>
      </c>
      <c r="T5" s="182">
        <f t="shared" si="1"/>
        <v>159.30000000000001</v>
      </c>
      <c r="U5" s="96" t="s">
        <v>1750</v>
      </c>
      <c r="V5" s="22" t="s">
        <v>4283</v>
      </c>
      <c r="W5" s="96" t="s">
        <v>1749</v>
      </c>
      <c r="X5" s="22" t="s">
        <v>3090</v>
      </c>
      <c r="Y5" s="11" t="s">
        <v>4298</v>
      </c>
      <c r="Z5" s="79"/>
      <c r="AA5" s="187">
        <v>2</v>
      </c>
    </row>
    <row r="6" spans="1:27" s="184" customFormat="1" ht="20" x14ac:dyDescent="0.2">
      <c r="B6" s="11" t="s">
        <v>1762</v>
      </c>
      <c r="C6" s="165" t="s">
        <v>4236</v>
      </c>
      <c r="D6" s="22" t="s">
        <v>2379</v>
      </c>
      <c r="E6" s="34">
        <v>1</v>
      </c>
      <c r="F6" s="22" t="s">
        <v>2223</v>
      </c>
      <c r="G6" s="88">
        <v>3.4</v>
      </c>
      <c r="H6" s="235">
        <f t="shared" si="2"/>
        <v>2.0987654320987654</v>
      </c>
      <c r="I6" s="88">
        <v>3.4</v>
      </c>
      <c r="J6" s="235">
        <f t="shared" si="3"/>
        <v>2.0987654320987654</v>
      </c>
      <c r="K6" s="215">
        <v>138</v>
      </c>
      <c r="L6" s="252">
        <f>_xlfn.XLOOKUP($K6,Inputs!$C$6:$C$23,Inputs!$D$6:$D$23)*$I6</f>
        <v>1.4741428571428572</v>
      </c>
      <c r="M6" s="68"/>
      <c r="N6" s="68"/>
      <c r="O6" s="215">
        <v>226</v>
      </c>
      <c r="P6" s="215">
        <v>228</v>
      </c>
      <c r="Q6" s="94">
        <v>0.9</v>
      </c>
      <c r="R6" s="68" t="s">
        <v>115</v>
      </c>
      <c r="S6" s="182">
        <f t="shared" si="0"/>
        <v>203.4</v>
      </c>
      <c r="T6" s="182">
        <f t="shared" si="1"/>
        <v>205.20000000000002</v>
      </c>
      <c r="U6" s="96" t="s">
        <v>1750</v>
      </c>
      <c r="V6" s="22" t="s">
        <v>4283</v>
      </c>
      <c r="W6" s="96" t="s">
        <v>1763</v>
      </c>
      <c r="X6" s="22" t="s">
        <v>4289</v>
      </c>
      <c r="Y6" s="11" t="s">
        <v>4298</v>
      </c>
      <c r="Z6" s="79"/>
      <c r="AA6" s="187">
        <v>3</v>
      </c>
    </row>
    <row r="7" spans="1:27" s="184" customFormat="1" ht="20" x14ac:dyDescent="0.2">
      <c r="B7" s="11" t="s">
        <v>1759</v>
      </c>
      <c r="C7" s="165" t="s">
        <v>4236</v>
      </c>
      <c r="D7" s="22" t="s">
        <v>2379</v>
      </c>
      <c r="E7" s="34">
        <v>1</v>
      </c>
      <c r="F7" s="22" t="s">
        <v>2223</v>
      </c>
      <c r="G7" s="88">
        <v>4.25</v>
      </c>
      <c r="H7" s="235">
        <f t="shared" si="2"/>
        <v>2.6234567901234565</v>
      </c>
      <c r="I7" s="88">
        <v>4.25</v>
      </c>
      <c r="J7" s="235">
        <f t="shared" si="3"/>
        <v>2.6234567901234565</v>
      </c>
      <c r="K7" s="215">
        <v>138</v>
      </c>
      <c r="L7" s="252">
        <f>_xlfn.XLOOKUP($K7,Inputs!$C$6:$C$23,Inputs!$D$6:$D$23)*$I7</f>
        <v>1.8426785714285716</v>
      </c>
      <c r="M7" s="68"/>
      <c r="N7" s="68"/>
      <c r="O7" s="215">
        <v>218</v>
      </c>
      <c r="P7" s="215">
        <v>232</v>
      </c>
      <c r="Q7" s="94">
        <v>0.9</v>
      </c>
      <c r="R7" s="68" t="s">
        <v>115</v>
      </c>
      <c r="S7" s="182">
        <f t="shared" si="0"/>
        <v>196.20000000000002</v>
      </c>
      <c r="T7" s="182">
        <f t="shared" si="1"/>
        <v>208.8</v>
      </c>
      <c r="U7" s="96" t="s">
        <v>1750</v>
      </c>
      <c r="V7" s="22" t="s">
        <v>4283</v>
      </c>
      <c r="W7" s="96" t="s">
        <v>1760</v>
      </c>
      <c r="X7" s="22" t="s">
        <v>4286</v>
      </c>
      <c r="Y7" s="11" t="s">
        <v>4298</v>
      </c>
      <c r="Z7" s="79"/>
      <c r="AA7" s="187">
        <v>4</v>
      </c>
    </row>
    <row r="8" spans="1:27" s="184" customFormat="1" ht="20" x14ac:dyDescent="0.2">
      <c r="B8" s="11" t="s">
        <v>1764</v>
      </c>
      <c r="C8" s="165" t="s">
        <v>4236</v>
      </c>
      <c r="D8" s="22" t="s">
        <v>2379</v>
      </c>
      <c r="E8" s="34">
        <v>1</v>
      </c>
      <c r="F8" s="22" t="s">
        <v>2223</v>
      </c>
      <c r="G8" s="88">
        <v>3.4</v>
      </c>
      <c r="H8" s="235">
        <f t="shared" si="2"/>
        <v>2.0987654320987654</v>
      </c>
      <c r="I8" s="88">
        <v>3.4</v>
      </c>
      <c r="J8" s="235">
        <f t="shared" si="3"/>
        <v>2.0987654320987654</v>
      </c>
      <c r="K8" s="215">
        <v>138</v>
      </c>
      <c r="L8" s="252">
        <f>_xlfn.XLOOKUP($K8,Inputs!$C$6:$C$23,Inputs!$D$6:$D$23)*$I8</f>
        <v>1.4741428571428572</v>
      </c>
      <c r="M8" s="68"/>
      <c r="N8" s="68"/>
      <c r="O8" s="215">
        <v>226</v>
      </c>
      <c r="P8" s="215">
        <v>228</v>
      </c>
      <c r="Q8" s="94">
        <v>0.9</v>
      </c>
      <c r="R8" s="68" t="s">
        <v>115</v>
      </c>
      <c r="S8" s="182">
        <f t="shared" si="0"/>
        <v>203.4</v>
      </c>
      <c r="T8" s="182">
        <f t="shared" si="1"/>
        <v>205.20000000000002</v>
      </c>
      <c r="U8" s="96" t="s">
        <v>1750</v>
      </c>
      <c r="V8" s="22" t="s">
        <v>4283</v>
      </c>
      <c r="W8" s="96" t="s">
        <v>1763</v>
      </c>
      <c r="X8" s="22" t="s">
        <v>4289</v>
      </c>
      <c r="Y8" s="11" t="s">
        <v>4298</v>
      </c>
      <c r="Z8" s="79"/>
      <c r="AA8" s="187">
        <v>5</v>
      </c>
    </row>
    <row r="9" spans="1:27" s="184" customFormat="1" ht="20" x14ac:dyDescent="0.2">
      <c r="B9" s="11" t="s">
        <v>1761</v>
      </c>
      <c r="C9" s="165" t="s">
        <v>4236</v>
      </c>
      <c r="D9" s="22" t="s">
        <v>2379</v>
      </c>
      <c r="E9" s="34">
        <v>1</v>
      </c>
      <c r="F9" s="22" t="s">
        <v>2223</v>
      </c>
      <c r="G9" s="88">
        <v>4.25</v>
      </c>
      <c r="H9" s="235">
        <f t="shared" si="2"/>
        <v>2.6234567901234565</v>
      </c>
      <c r="I9" s="88">
        <v>4.25</v>
      </c>
      <c r="J9" s="235">
        <f t="shared" si="3"/>
        <v>2.6234567901234565</v>
      </c>
      <c r="K9" s="215">
        <v>138</v>
      </c>
      <c r="L9" s="252">
        <f>_xlfn.XLOOKUP($K9,Inputs!$C$6:$C$23,Inputs!$D$6:$D$23)*$I9</f>
        <v>1.8426785714285716</v>
      </c>
      <c r="M9" s="68"/>
      <c r="N9" s="68"/>
      <c r="O9" s="215">
        <v>218</v>
      </c>
      <c r="P9" s="215">
        <v>232</v>
      </c>
      <c r="Q9" s="94">
        <v>0.9</v>
      </c>
      <c r="R9" s="68" t="s">
        <v>115</v>
      </c>
      <c r="S9" s="182">
        <f t="shared" si="0"/>
        <v>196.20000000000002</v>
      </c>
      <c r="T9" s="182">
        <f t="shared" si="1"/>
        <v>208.8</v>
      </c>
      <c r="U9" s="96" t="s">
        <v>1750</v>
      </c>
      <c r="V9" s="22" t="s">
        <v>4283</v>
      </c>
      <c r="W9" s="96" t="s">
        <v>1760</v>
      </c>
      <c r="X9" s="22" t="s">
        <v>4286</v>
      </c>
      <c r="Y9" s="11" t="s">
        <v>4298</v>
      </c>
      <c r="Z9" s="79"/>
      <c r="AA9" s="187">
        <v>6</v>
      </c>
    </row>
    <row r="10" spans="1:27" s="184" customFormat="1" ht="20" x14ac:dyDescent="0.2">
      <c r="B10" s="11" t="s">
        <v>549</v>
      </c>
      <c r="C10" s="165" t="s">
        <v>4235</v>
      </c>
      <c r="D10" s="22" t="s">
        <v>2379</v>
      </c>
      <c r="E10" s="34">
        <v>1</v>
      </c>
      <c r="F10" s="22" t="s">
        <v>2223</v>
      </c>
      <c r="G10" s="235">
        <v>85</v>
      </c>
      <c r="H10" s="235">
        <f t="shared" si="2"/>
        <v>52.469135802469133</v>
      </c>
      <c r="I10" s="235">
        <v>85</v>
      </c>
      <c r="J10" s="235">
        <f t="shared" si="3"/>
        <v>52.469135802469133</v>
      </c>
      <c r="K10" s="201">
        <v>240</v>
      </c>
      <c r="L10" s="252">
        <f>_xlfn.XLOOKUP($K10,Inputs!$C$6:$C$23,Inputs!$D$6:$D$23)*$I10</f>
        <v>40.532407407407405</v>
      </c>
      <c r="M10" s="68"/>
      <c r="N10" s="68"/>
      <c r="O10" s="215">
        <v>550</v>
      </c>
      <c r="P10" s="215">
        <v>679</v>
      </c>
      <c r="Q10" s="94">
        <v>0.9</v>
      </c>
      <c r="R10" s="68" t="s">
        <v>115</v>
      </c>
      <c r="S10" s="182">
        <f t="shared" si="0"/>
        <v>495</v>
      </c>
      <c r="T10" s="182">
        <f t="shared" si="1"/>
        <v>611.1</v>
      </c>
      <c r="U10" s="96" t="s">
        <v>3356</v>
      </c>
      <c r="V10" s="22" t="s">
        <v>3204</v>
      </c>
      <c r="W10" s="96" t="s">
        <v>3642</v>
      </c>
      <c r="X10" s="22" t="s">
        <v>2683</v>
      </c>
      <c r="Y10" s="11" t="s">
        <v>3284</v>
      </c>
      <c r="Z10" s="79"/>
      <c r="AA10" s="187">
        <v>7</v>
      </c>
    </row>
    <row r="11" spans="1:27" ht="20" x14ac:dyDescent="0.2">
      <c r="B11" s="11" t="s">
        <v>552</v>
      </c>
      <c r="C11" s="165" t="s">
        <v>4235</v>
      </c>
      <c r="D11" s="22" t="s">
        <v>2379</v>
      </c>
      <c r="E11" s="34">
        <v>1</v>
      </c>
      <c r="F11" s="22" t="s">
        <v>2223</v>
      </c>
      <c r="G11" s="235">
        <v>7</v>
      </c>
      <c r="H11" s="235">
        <f t="shared" si="2"/>
        <v>4.3209876543209873</v>
      </c>
      <c r="I11" s="235">
        <v>7</v>
      </c>
      <c r="J11" s="235">
        <f t="shared" si="3"/>
        <v>4.3209876543209873</v>
      </c>
      <c r="K11" s="201">
        <v>240</v>
      </c>
      <c r="L11" s="252">
        <f>_xlfn.XLOOKUP($K11,Inputs!$C$6:$C$23,Inputs!$D$6:$D$23)*$I11</f>
        <v>3.3379629629629628</v>
      </c>
      <c r="M11" s="68"/>
      <c r="N11" s="68"/>
      <c r="O11" s="215">
        <v>973</v>
      </c>
      <c r="P11" s="215">
        <v>1039</v>
      </c>
      <c r="Q11" s="94">
        <v>0.9</v>
      </c>
      <c r="R11" s="68" t="s">
        <v>115</v>
      </c>
      <c r="S11" s="182">
        <f t="shared" si="0"/>
        <v>875.7</v>
      </c>
      <c r="T11" s="182">
        <f t="shared" si="1"/>
        <v>935.1</v>
      </c>
      <c r="U11" s="96" t="s">
        <v>4026</v>
      </c>
      <c r="V11" s="22" t="s">
        <v>2713</v>
      </c>
      <c r="W11" s="96" t="s">
        <v>3639</v>
      </c>
      <c r="X11" s="22" t="s">
        <v>2919</v>
      </c>
      <c r="Y11" s="11" t="s">
        <v>4298</v>
      </c>
      <c r="Z11" s="79"/>
      <c r="AA11" s="187">
        <v>8</v>
      </c>
    </row>
    <row r="12" spans="1:27" s="184" customFormat="1" ht="20" x14ac:dyDescent="0.2">
      <c r="B12" s="11" t="s">
        <v>554</v>
      </c>
      <c r="C12" s="165" t="s">
        <v>4235</v>
      </c>
      <c r="D12" s="22" t="s">
        <v>2379</v>
      </c>
      <c r="E12" s="34">
        <v>1</v>
      </c>
      <c r="F12" s="22" t="s">
        <v>2223</v>
      </c>
      <c r="G12" s="235">
        <v>84</v>
      </c>
      <c r="H12" s="235">
        <f t="shared" si="2"/>
        <v>51.851851851851848</v>
      </c>
      <c r="I12" s="235">
        <v>84</v>
      </c>
      <c r="J12" s="235">
        <f t="shared" si="3"/>
        <v>51.851851851851848</v>
      </c>
      <c r="K12" s="201">
        <v>240</v>
      </c>
      <c r="L12" s="252">
        <f>_xlfn.XLOOKUP($K12,Inputs!$C$6:$C$23,Inputs!$D$6:$D$23)*$I12</f>
        <v>40.055555555555557</v>
      </c>
      <c r="M12" s="68"/>
      <c r="N12" s="68"/>
      <c r="O12" s="215">
        <v>481</v>
      </c>
      <c r="P12" s="215">
        <v>581</v>
      </c>
      <c r="Q12" s="94">
        <v>0.9</v>
      </c>
      <c r="R12" s="68" t="s">
        <v>115</v>
      </c>
      <c r="S12" s="182">
        <f t="shared" si="0"/>
        <v>432.90000000000003</v>
      </c>
      <c r="T12" s="182">
        <f t="shared" si="1"/>
        <v>522.9</v>
      </c>
      <c r="U12" s="96" t="s">
        <v>3773</v>
      </c>
      <c r="V12" s="22" t="s">
        <v>3027</v>
      </c>
      <c r="W12" s="96" t="s">
        <v>3722</v>
      </c>
      <c r="X12" s="22" t="s">
        <v>2985</v>
      </c>
      <c r="Y12" s="11" t="s">
        <v>3301</v>
      </c>
      <c r="Z12" s="79"/>
      <c r="AA12" s="187">
        <v>9</v>
      </c>
    </row>
    <row r="13" spans="1:27" s="184" customFormat="1" ht="20" x14ac:dyDescent="0.2">
      <c r="B13" s="11" t="s">
        <v>1966</v>
      </c>
      <c r="C13" s="165" t="s">
        <v>4235</v>
      </c>
      <c r="D13" s="22" t="s">
        <v>2379</v>
      </c>
      <c r="E13" s="34">
        <v>1</v>
      </c>
      <c r="F13" s="22" t="s">
        <v>2223</v>
      </c>
      <c r="G13" s="235">
        <v>45</v>
      </c>
      <c r="H13" s="235">
        <f t="shared" si="2"/>
        <v>27.777777777777775</v>
      </c>
      <c r="I13" s="235">
        <v>45</v>
      </c>
      <c r="J13" s="235">
        <f t="shared" si="3"/>
        <v>27.777777777777775</v>
      </c>
      <c r="K13" s="215">
        <v>138</v>
      </c>
      <c r="L13" s="252">
        <f>_xlfn.XLOOKUP($K13,Inputs!$C$6:$C$23,Inputs!$D$6:$D$23)*$I13</f>
        <v>19.510714285714286</v>
      </c>
      <c r="M13" s="68"/>
      <c r="N13" s="68"/>
      <c r="O13" s="215">
        <v>78</v>
      </c>
      <c r="P13" s="215">
        <v>86</v>
      </c>
      <c r="Q13" s="94">
        <v>0.9</v>
      </c>
      <c r="R13" s="68" t="s">
        <v>115</v>
      </c>
      <c r="S13" s="182">
        <f t="shared" si="0"/>
        <v>70.2</v>
      </c>
      <c r="T13" s="182">
        <f t="shared" si="1"/>
        <v>77.400000000000006</v>
      </c>
      <c r="U13" s="96" t="s">
        <v>3879</v>
      </c>
      <c r="V13" s="22" t="s">
        <v>2598</v>
      </c>
      <c r="W13" s="96" t="s">
        <v>3855</v>
      </c>
      <c r="X13" s="22" t="s">
        <v>2721</v>
      </c>
      <c r="Y13" s="11" t="s">
        <v>3323</v>
      </c>
      <c r="Z13" s="79"/>
      <c r="AA13" s="187">
        <v>10</v>
      </c>
    </row>
    <row r="14" spans="1:27" s="184" customFormat="1" ht="20" x14ac:dyDescent="0.2">
      <c r="B14" s="11" t="s">
        <v>557</v>
      </c>
      <c r="C14" s="165" t="s">
        <v>4235</v>
      </c>
      <c r="D14" s="22" t="s">
        <v>2379</v>
      </c>
      <c r="E14" s="34">
        <v>1</v>
      </c>
      <c r="F14" s="22" t="s">
        <v>2223</v>
      </c>
      <c r="G14" s="88">
        <v>35</v>
      </c>
      <c r="H14" s="235">
        <f t="shared" si="2"/>
        <v>21.604938271604937</v>
      </c>
      <c r="I14" s="88">
        <v>35</v>
      </c>
      <c r="J14" s="235">
        <f t="shared" si="3"/>
        <v>21.604938271604937</v>
      </c>
      <c r="K14" s="201">
        <v>240</v>
      </c>
      <c r="L14" s="252">
        <f>_xlfn.XLOOKUP($K14,Inputs!$C$6:$C$23,Inputs!$D$6:$D$23)*$I14</f>
        <v>16.689814814814817</v>
      </c>
      <c r="M14" s="68"/>
      <c r="N14" s="68"/>
      <c r="O14" s="187"/>
      <c r="P14" s="187"/>
      <c r="Q14" s="94">
        <v>0.9</v>
      </c>
      <c r="R14" s="68">
        <f>IF((42.4*(J14)^(-0.6595))&gt;=3,3,(IF(42.4*(J14)^(-0.6595)&lt;=0.5,0.5,(42.4*(J14)^(-0.6595)))))</f>
        <v>3</v>
      </c>
      <c r="S14" s="276">
        <f>_xlfn.XLOOKUP($K14,Inputs!$G$6:$G$23,Inputs!J$6:J$23)*$R14</f>
        <v>438.57868020304568</v>
      </c>
      <c r="T14" s="276">
        <f>_xlfn.XLOOKUP($K14,Inputs!$G$6:$G$23,Inputs!K$6:K$23)*$R14</f>
        <v>476.03305785123973</v>
      </c>
      <c r="U14" s="96" t="s">
        <v>3356</v>
      </c>
      <c r="V14" s="22" t="s">
        <v>3204</v>
      </c>
      <c r="W14" s="96" t="s">
        <v>3501</v>
      </c>
      <c r="X14" s="22" t="s">
        <v>2820</v>
      </c>
      <c r="Y14" s="11" t="s">
        <v>3331</v>
      </c>
      <c r="Z14" s="79"/>
      <c r="AA14" s="187">
        <v>11</v>
      </c>
    </row>
    <row r="15" spans="1:27" s="184" customFormat="1" ht="20" x14ac:dyDescent="0.2">
      <c r="B15" s="11" t="s">
        <v>559</v>
      </c>
      <c r="C15" s="165" t="s">
        <v>4235</v>
      </c>
      <c r="D15" s="22" t="s">
        <v>2379</v>
      </c>
      <c r="E15" s="34">
        <v>1</v>
      </c>
      <c r="F15" s="22" t="s">
        <v>2223</v>
      </c>
      <c r="G15" s="235">
        <v>94.5</v>
      </c>
      <c r="H15" s="235">
        <f t="shared" si="2"/>
        <v>58.333333333333329</v>
      </c>
      <c r="I15" s="235">
        <v>129.5</v>
      </c>
      <c r="J15" s="235">
        <f t="shared" si="3"/>
        <v>79.938271604938265</v>
      </c>
      <c r="K15" s="201">
        <v>240</v>
      </c>
      <c r="L15" s="252">
        <f>_xlfn.XLOOKUP($K15,Inputs!$C$6:$C$23,Inputs!$D$6:$D$23)*$I15</f>
        <v>61.752314814814817</v>
      </c>
      <c r="M15" s="68"/>
      <c r="N15" s="68"/>
      <c r="O15" s="215">
        <v>931</v>
      </c>
      <c r="P15" s="215">
        <v>1024</v>
      </c>
      <c r="Q15" s="94">
        <v>0.9</v>
      </c>
      <c r="R15" s="68" t="s">
        <v>115</v>
      </c>
      <c r="S15" s="182">
        <f t="shared" ref="S15:S24" si="4">O15*Q15</f>
        <v>837.9</v>
      </c>
      <c r="T15" s="182">
        <f t="shared" ref="T15:T24" si="5">P15*Q15</f>
        <v>921.6</v>
      </c>
      <c r="U15" s="96" t="s">
        <v>3415</v>
      </c>
      <c r="V15" s="22" t="s">
        <v>2768</v>
      </c>
      <c r="W15" s="96" t="s">
        <v>3879</v>
      </c>
      <c r="X15" s="22" t="s">
        <v>2598</v>
      </c>
      <c r="Y15" s="11" t="s">
        <v>3323</v>
      </c>
      <c r="Z15" s="79"/>
      <c r="AA15" s="187">
        <v>12</v>
      </c>
    </row>
    <row r="16" spans="1:27" s="184" customFormat="1" ht="20" x14ac:dyDescent="0.2">
      <c r="B16" s="11" t="s">
        <v>559</v>
      </c>
      <c r="C16" s="165" t="s">
        <v>4235</v>
      </c>
      <c r="D16" s="22" t="s">
        <v>2379</v>
      </c>
      <c r="E16" s="34">
        <v>1</v>
      </c>
      <c r="F16" s="22" t="s">
        <v>2223</v>
      </c>
      <c r="G16" s="235">
        <v>35</v>
      </c>
      <c r="H16" s="235">
        <f t="shared" si="2"/>
        <v>21.604938271604937</v>
      </c>
      <c r="I16" s="235">
        <v>129.5</v>
      </c>
      <c r="J16" s="235">
        <f t="shared" si="3"/>
        <v>79.938271604938265</v>
      </c>
      <c r="K16" s="201">
        <v>240</v>
      </c>
      <c r="L16" s="252">
        <f>_xlfn.XLOOKUP($K16,Inputs!$C$6:$C$23,Inputs!$D$6:$D$23)*$I16</f>
        <v>61.752314814814817</v>
      </c>
      <c r="M16" s="68"/>
      <c r="N16" s="68"/>
      <c r="O16" s="215">
        <v>931</v>
      </c>
      <c r="P16" s="215">
        <v>1024</v>
      </c>
      <c r="Q16" s="94">
        <v>0.9</v>
      </c>
      <c r="R16" s="68" t="s">
        <v>115</v>
      </c>
      <c r="S16" s="182">
        <f t="shared" si="4"/>
        <v>837.9</v>
      </c>
      <c r="T16" s="182">
        <f t="shared" si="5"/>
        <v>921.6</v>
      </c>
      <c r="U16" s="96" t="s">
        <v>3879</v>
      </c>
      <c r="V16" s="22" t="s">
        <v>2598</v>
      </c>
      <c r="W16" s="96" t="s">
        <v>3454</v>
      </c>
      <c r="X16" s="22" t="s">
        <v>2790</v>
      </c>
      <c r="Y16" s="11" t="s">
        <v>3323</v>
      </c>
      <c r="Z16" s="79"/>
      <c r="AA16" s="187">
        <v>13</v>
      </c>
    </row>
    <row r="17" spans="2:27" s="188" customFormat="1" ht="20" x14ac:dyDescent="0.2">
      <c r="B17" s="11" t="s">
        <v>562</v>
      </c>
      <c r="C17" s="165" t="s">
        <v>4235</v>
      </c>
      <c r="D17" s="22" t="s">
        <v>2379</v>
      </c>
      <c r="E17" s="34">
        <v>1</v>
      </c>
      <c r="F17" s="22" t="s">
        <v>2223</v>
      </c>
      <c r="G17" s="235">
        <v>125</v>
      </c>
      <c r="H17" s="235">
        <f t="shared" si="2"/>
        <v>77.160493827160494</v>
      </c>
      <c r="I17" s="235">
        <v>125</v>
      </c>
      <c r="J17" s="235">
        <f t="shared" si="3"/>
        <v>77.160493827160494</v>
      </c>
      <c r="K17" s="201">
        <v>240</v>
      </c>
      <c r="L17" s="252">
        <f>_xlfn.XLOOKUP($K17,Inputs!$C$6:$C$23,Inputs!$D$6:$D$23)*$I17</f>
        <v>59.606481481481481</v>
      </c>
      <c r="M17" s="68"/>
      <c r="N17" s="68"/>
      <c r="O17" s="215">
        <v>952</v>
      </c>
      <c r="P17" s="215">
        <v>1047</v>
      </c>
      <c r="Q17" s="94">
        <v>0.9</v>
      </c>
      <c r="R17" s="68" t="s">
        <v>115</v>
      </c>
      <c r="S17" s="182">
        <f t="shared" si="4"/>
        <v>856.80000000000007</v>
      </c>
      <c r="T17" s="182">
        <f t="shared" si="5"/>
        <v>942.30000000000007</v>
      </c>
      <c r="U17" s="96" t="s">
        <v>3415</v>
      </c>
      <c r="V17" s="22" t="s">
        <v>2768</v>
      </c>
      <c r="W17" s="96" t="s">
        <v>3743</v>
      </c>
      <c r="X17" s="22" t="s">
        <v>3001</v>
      </c>
      <c r="Y17" s="11" t="s">
        <v>3323</v>
      </c>
      <c r="Z17" s="79"/>
      <c r="AA17" s="187">
        <v>14</v>
      </c>
    </row>
    <row r="18" spans="2:27" s="188" customFormat="1" ht="20" x14ac:dyDescent="0.2">
      <c r="B18" s="11" t="s">
        <v>564</v>
      </c>
      <c r="C18" s="165" t="s">
        <v>4235</v>
      </c>
      <c r="D18" s="22" t="s">
        <v>2379</v>
      </c>
      <c r="E18" s="34">
        <v>1</v>
      </c>
      <c r="F18" s="22" t="s">
        <v>2223</v>
      </c>
      <c r="G18" s="88">
        <v>35</v>
      </c>
      <c r="H18" s="235">
        <f t="shared" si="2"/>
        <v>21.604938271604937</v>
      </c>
      <c r="I18" s="88">
        <v>35</v>
      </c>
      <c r="J18" s="235">
        <f t="shared" si="3"/>
        <v>21.604938271604937</v>
      </c>
      <c r="K18" s="201">
        <v>240</v>
      </c>
      <c r="L18" s="252">
        <f>_xlfn.XLOOKUP($K18,Inputs!$C$6:$C$23,Inputs!$D$6:$D$23)*$I18</f>
        <v>16.689814814814817</v>
      </c>
      <c r="M18" s="68"/>
      <c r="N18" s="68"/>
      <c r="O18" s="215">
        <v>481</v>
      </c>
      <c r="P18" s="215">
        <v>581</v>
      </c>
      <c r="Q18" s="94">
        <v>0.9</v>
      </c>
      <c r="R18" s="68" t="s">
        <v>115</v>
      </c>
      <c r="S18" s="182">
        <f t="shared" si="4"/>
        <v>432.90000000000003</v>
      </c>
      <c r="T18" s="182">
        <f t="shared" si="5"/>
        <v>522.9</v>
      </c>
      <c r="U18" s="96" t="s">
        <v>3882</v>
      </c>
      <c r="V18" s="22" t="s">
        <v>3147</v>
      </c>
      <c r="W18" s="96" t="s">
        <v>3722</v>
      </c>
      <c r="X18" s="22" t="s">
        <v>2985</v>
      </c>
      <c r="Y18" s="11" t="s">
        <v>3301</v>
      </c>
      <c r="Z18" s="79"/>
      <c r="AA18" s="187">
        <v>15</v>
      </c>
    </row>
    <row r="19" spans="2:27" s="188" customFormat="1" ht="20" x14ac:dyDescent="0.2">
      <c r="B19" s="11" t="s">
        <v>566</v>
      </c>
      <c r="C19" s="165" t="s">
        <v>4235</v>
      </c>
      <c r="D19" s="22" t="s">
        <v>2379</v>
      </c>
      <c r="E19" s="34">
        <v>1</v>
      </c>
      <c r="F19" s="22" t="s">
        <v>2223</v>
      </c>
      <c r="G19" s="235">
        <v>49</v>
      </c>
      <c r="H19" s="235">
        <f t="shared" si="2"/>
        <v>30.246913580246911</v>
      </c>
      <c r="I19" s="235">
        <v>87.5</v>
      </c>
      <c r="J19" s="235">
        <f t="shared" si="3"/>
        <v>54.012345679012341</v>
      </c>
      <c r="K19" s="201">
        <v>240</v>
      </c>
      <c r="L19" s="252">
        <f>_xlfn.XLOOKUP($K19,Inputs!$C$6:$C$23,Inputs!$D$6:$D$23)*$I19</f>
        <v>41.724537037037038</v>
      </c>
      <c r="M19" s="68"/>
      <c r="N19" s="68"/>
      <c r="O19" s="215">
        <v>973</v>
      </c>
      <c r="P19" s="215">
        <v>1208</v>
      </c>
      <c r="Q19" s="94">
        <v>0.9</v>
      </c>
      <c r="R19" s="68" t="s">
        <v>115</v>
      </c>
      <c r="S19" s="182">
        <f t="shared" si="4"/>
        <v>875.7</v>
      </c>
      <c r="T19" s="182">
        <f t="shared" si="5"/>
        <v>1087.2</v>
      </c>
      <c r="U19" s="96" t="s">
        <v>3563</v>
      </c>
      <c r="V19" s="22" t="s">
        <v>2862</v>
      </c>
      <c r="W19" s="96" t="s">
        <v>568</v>
      </c>
      <c r="X19" s="22" t="s">
        <v>4379</v>
      </c>
      <c r="Y19" s="11" t="s">
        <v>3303</v>
      </c>
      <c r="Z19" s="79"/>
      <c r="AA19" s="187">
        <v>16</v>
      </c>
    </row>
    <row r="20" spans="2:27" s="188" customFormat="1" ht="20" x14ac:dyDescent="0.2">
      <c r="B20" s="11" t="s">
        <v>566</v>
      </c>
      <c r="C20" s="165" t="s">
        <v>4235</v>
      </c>
      <c r="D20" s="22" t="s">
        <v>2379</v>
      </c>
      <c r="E20" s="34">
        <v>1</v>
      </c>
      <c r="F20" s="22" t="s">
        <v>2223</v>
      </c>
      <c r="G20" s="88">
        <v>38.5</v>
      </c>
      <c r="H20" s="235">
        <f t="shared" si="2"/>
        <v>23.76543209876543</v>
      </c>
      <c r="I20" s="88">
        <v>87.5</v>
      </c>
      <c r="J20" s="235">
        <f t="shared" si="3"/>
        <v>54.012345679012341</v>
      </c>
      <c r="K20" s="201">
        <v>240</v>
      </c>
      <c r="L20" s="252">
        <f>_xlfn.XLOOKUP($K20,Inputs!$C$6:$C$23,Inputs!$D$6:$D$23)*$I20</f>
        <v>41.724537037037038</v>
      </c>
      <c r="M20" s="68"/>
      <c r="N20" s="68"/>
      <c r="O20" s="215">
        <v>973</v>
      </c>
      <c r="P20" s="215">
        <v>1208</v>
      </c>
      <c r="Q20" s="94">
        <v>0.9</v>
      </c>
      <c r="R20" s="68" t="s">
        <v>115</v>
      </c>
      <c r="S20" s="182">
        <f t="shared" si="4"/>
        <v>875.7</v>
      </c>
      <c r="T20" s="182">
        <f t="shared" si="5"/>
        <v>1087.2</v>
      </c>
      <c r="U20" s="96" t="s">
        <v>3937</v>
      </c>
      <c r="V20" s="22" t="s">
        <v>2651</v>
      </c>
      <c r="W20" s="96" t="s">
        <v>568</v>
      </c>
      <c r="X20" s="22" t="s">
        <v>4379</v>
      </c>
      <c r="Y20" s="11" t="s">
        <v>3303</v>
      </c>
      <c r="Z20" s="79"/>
      <c r="AA20" s="187">
        <v>17</v>
      </c>
    </row>
    <row r="21" spans="2:27" s="184" customFormat="1" ht="20" x14ac:dyDescent="0.2">
      <c r="B21" s="11" t="s">
        <v>570</v>
      </c>
      <c r="C21" s="165" t="s">
        <v>4235</v>
      </c>
      <c r="D21" s="22" t="s">
        <v>2379</v>
      </c>
      <c r="E21" s="34">
        <v>1</v>
      </c>
      <c r="F21" s="22" t="s">
        <v>2223</v>
      </c>
      <c r="G21" s="235">
        <v>49</v>
      </c>
      <c r="H21" s="235">
        <f t="shared" si="2"/>
        <v>30.246913580246911</v>
      </c>
      <c r="I21" s="235">
        <v>87.5</v>
      </c>
      <c r="J21" s="235">
        <f t="shared" si="3"/>
        <v>54.012345679012341</v>
      </c>
      <c r="K21" s="201">
        <v>240</v>
      </c>
      <c r="L21" s="252">
        <f>_xlfn.XLOOKUP($K21,Inputs!$C$6:$C$23,Inputs!$D$6:$D$23)*$I21</f>
        <v>41.724537037037038</v>
      </c>
      <c r="M21" s="68"/>
      <c r="N21" s="68"/>
      <c r="O21" s="215">
        <v>973</v>
      </c>
      <c r="P21" s="215">
        <v>1208</v>
      </c>
      <c r="Q21" s="94">
        <v>0.9</v>
      </c>
      <c r="R21" s="68" t="s">
        <v>115</v>
      </c>
      <c r="S21" s="182">
        <f t="shared" si="4"/>
        <v>875.7</v>
      </c>
      <c r="T21" s="182">
        <f t="shared" si="5"/>
        <v>1087.2</v>
      </c>
      <c r="U21" s="96" t="s">
        <v>3563</v>
      </c>
      <c r="V21" s="22" t="s">
        <v>2862</v>
      </c>
      <c r="W21" s="96" t="s">
        <v>568</v>
      </c>
      <c r="X21" s="22" t="s">
        <v>4379</v>
      </c>
      <c r="Y21" s="11" t="s">
        <v>3303</v>
      </c>
      <c r="Z21" s="79"/>
      <c r="AA21" s="187">
        <v>18</v>
      </c>
    </row>
    <row r="22" spans="2:27" s="184" customFormat="1" ht="20" x14ac:dyDescent="0.2">
      <c r="B22" s="11" t="s">
        <v>570</v>
      </c>
      <c r="C22" s="165" t="s">
        <v>4235</v>
      </c>
      <c r="D22" s="22" t="s">
        <v>2379</v>
      </c>
      <c r="E22" s="34">
        <v>1</v>
      </c>
      <c r="F22" s="22" t="s">
        <v>2223</v>
      </c>
      <c r="G22" s="88">
        <v>38.5</v>
      </c>
      <c r="H22" s="235">
        <f t="shared" si="2"/>
        <v>23.76543209876543</v>
      </c>
      <c r="I22" s="88">
        <v>87.5</v>
      </c>
      <c r="J22" s="235">
        <f t="shared" si="3"/>
        <v>54.012345679012341</v>
      </c>
      <c r="K22" s="201">
        <v>240</v>
      </c>
      <c r="L22" s="252">
        <f>_xlfn.XLOOKUP($K22,Inputs!$C$6:$C$23,Inputs!$D$6:$D$23)*$I22</f>
        <v>41.724537037037038</v>
      </c>
      <c r="M22" s="68"/>
      <c r="N22" s="68"/>
      <c r="O22" s="215">
        <v>973</v>
      </c>
      <c r="P22" s="215">
        <v>1208</v>
      </c>
      <c r="Q22" s="94">
        <v>0.9</v>
      </c>
      <c r="R22" s="68" t="s">
        <v>115</v>
      </c>
      <c r="S22" s="182">
        <f t="shared" si="4"/>
        <v>875.7</v>
      </c>
      <c r="T22" s="182">
        <f t="shared" si="5"/>
        <v>1087.2</v>
      </c>
      <c r="U22" s="96" t="s">
        <v>3937</v>
      </c>
      <c r="V22" s="22" t="s">
        <v>2651</v>
      </c>
      <c r="W22" s="96" t="s">
        <v>568</v>
      </c>
      <c r="X22" s="22" t="s">
        <v>4379</v>
      </c>
      <c r="Y22" s="11" t="s">
        <v>3303</v>
      </c>
      <c r="Z22" s="79"/>
      <c r="AA22" s="187">
        <v>19</v>
      </c>
    </row>
    <row r="23" spans="2:27" s="184" customFormat="1" ht="20" x14ac:dyDescent="0.2">
      <c r="B23" s="11" t="s">
        <v>571</v>
      </c>
      <c r="C23" s="165" t="s">
        <v>4235</v>
      </c>
      <c r="D23" s="22" t="s">
        <v>2379</v>
      </c>
      <c r="E23" s="34">
        <v>1</v>
      </c>
      <c r="F23" s="22" t="s">
        <v>2223</v>
      </c>
      <c r="G23" s="88">
        <v>38.5</v>
      </c>
      <c r="H23" s="235">
        <f t="shared" si="2"/>
        <v>23.76543209876543</v>
      </c>
      <c r="I23" s="88">
        <v>38.5</v>
      </c>
      <c r="J23" s="235">
        <f t="shared" si="3"/>
        <v>23.76543209876543</v>
      </c>
      <c r="K23" s="201">
        <v>240</v>
      </c>
      <c r="L23" s="252">
        <f>_xlfn.XLOOKUP($K23,Inputs!$C$6:$C$23,Inputs!$D$6:$D$23)*$I23</f>
        <v>18.358796296296298</v>
      </c>
      <c r="M23" s="68"/>
      <c r="N23" s="68"/>
      <c r="O23" s="215">
        <v>481</v>
      </c>
      <c r="P23" s="215">
        <v>499</v>
      </c>
      <c r="Q23" s="94">
        <v>0.9</v>
      </c>
      <c r="R23" s="68" t="s">
        <v>115</v>
      </c>
      <c r="S23" s="182">
        <f t="shared" si="4"/>
        <v>432.90000000000003</v>
      </c>
      <c r="T23" s="182">
        <f t="shared" si="5"/>
        <v>449.1</v>
      </c>
      <c r="U23" s="96" t="s">
        <v>3882</v>
      </c>
      <c r="V23" s="22" t="s">
        <v>3147</v>
      </c>
      <c r="W23" s="96" t="s">
        <v>3752</v>
      </c>
      <c r="X23" s="22" t="s">
        <v>3010</v>
      </c>
      <c r="Y23" s="11" t="s">
        <v>3303</v>
      </c>
      <c r="Z23" s="79"/>
      <c r="AA23" s="187">
        <v>20</v>
      </c>
    </row>
    <row r="24" spans="2:27" s="184" customFormat="1" ht="20" x14ac:dyDescent="0.2">
      <c r="B24" s="11" t="s">
        <v>573</v>
      </c>
      <c r="C24" s="165" t="s">
        <v>4235</v>
      </c>
      <c r="D24" s="22" t="s">
        <v>2379</v>
      </c>
      <c r="E24" s="34">
        <v>1</v>
      </c>
      <c r="F24" s="22" t="s">
        <v>2223</v>
      </c>
      <c r="G24" s="88">
        <v>14</v>
      </c>
      <c r="H24" s="235">
        <f t="shared" si="2"/>
        <v>8.6419753086419746</v>
      </c>
      <c r="I24" s="88">
        <v>14</v>
      </c>
      <c r="J24" s="235">
        <f t="shared" si="3"/>
        <v>8.6419753086419746</v>
      </c>
      <c r="K24" s="201">
        <v>240</v>
      </c>
      <c r="L24" s="252">
        <f>_xlfn.XLOOKUP($K24,Inputs!$C$6:$C$23,Inputs!$D$6:$D$23)*$I24</f>
        <v>6.6759259259259256</v>
      </c>
      <c r="M24" s="68"/>
      <c r="N24" s="68"/>
      <c r="O24" s="215">
        <v>488</v>
      </c>
      <c r="P24" s="215">
        <v>606</v>
      </c>
      <c r="Q24" s="94">
        <v>0.9</v>
      </c>
      <c r="R24" s="68" t="s">
        <v>115</v>
      </c>
      <c r="S24" s="182">
        <f t="shared" si="4"/>
        <v>439.2</v>
      </c>
      <c r="T24" s="182">
        <f t="shared" si="5"/>
        <v>545.4</v>
      </c>
      <c r="U24" s="96" t="s">
        <v>3882</v>
      </c>
      <c r="V24" s="22" t="s">
        <v>3147</v>
      </c>
      <c r="W24" s="96" t="s">
        <v>3405</v>
      </c>
      <c r="X24" s="22" t="s">
        <v>2604</v>
      </c>
      <c r="Y24" s="11" t="s">
        <v>3303</v>
      </c>
      <c r="Z24" s="79"/>
      <c r="AA24" s="187">
        <v>21</v>
      </c>
    </row>
    <row r="25" spans="2:27" s="184" customFormat="1" ht="20" x14ac:dyDescent="0.2">
      <c r="B25" s="11" t="s">
        <v>575</v>
      </c>
      <c r="C25" s="165" t="s">
        <v>4235</v>
      </c>
      <c r="D25" s="22" t="s">
        <v>2379</v>
      </c>
      <c r="E25" s="34">
        <v>1</v>
      </c>
      <c r="F25" s="22" t="s">
        <v>2223</v>
      </c>
      <c r="G25" s="235">
        <v>45</v>
      </c>
      <c r="H25" s="235">
        <f t="shared" si="2"/>
        <v>27.777777777777775</v>
      </c>
      <c r="I25" s="235">
        <v>45</v>
      </c>
      <c r="J25" s="235">
        <f t="shared" si="3"/>
        <v>27.777777777777775</v>
      </c>
      <c r="K25" s="201">
        <v>240</v>
      </c>
      <c r="L25" s="252">
        <f>_xlfn.XLOOKUP($K25,Inputs!$C$6:$C$23,Inputs!$D$6:$D$23)*$I25</f>
        <v>21.458333333333332</v>
      </c>
      <c r="M25" s="68"/>
      <c r="N25" s="68"/>
      <c r="O25" s="187"/>
      <c r="P25" s="187"/>
      <c r="Q25" s="94">
        <v>0.9</v>
      </c>
      <c r="R25" s="68">
        <f>IF((42.4*(J25)^(-0.6595))&gt;=3,3,(IF(42.4*(J25)^(-0.6595)&lt;=0.5,0.5,(42.4*(J25)^(-0.6595)))))</f>
        <v>3</v>
      </c>
      <c r="S25" s="276">
        <f>_xlfn.XLOOKUP($K25,Inputs!$G$6:$G$23,Inputs!J$6:J$23)*$R25</f>
        <v>438.57868020304568</v>
      </c>
      <c r="T25" s="276">
        <f>_xlfn.XLOOKUP($K25,Inputs!$G$6:$G$23,Inputs!K$6:K$23)*$R25</f>
        <v>476.03305785123973</v>
      </c>
      <c r="U25" s="96" t="s">
        <v>3654</v>
      </c>
      <c r="V25" s="22" t="s">
        <v>2688</v>
      </c>
      <c r="W25" s="96" t="s">
        <v>3602</v>
      </c>
      <c r="X25" s="22" t="s">
        <v>2892</v>
      </c>
      <c r="Y25" s="11" t="s">
        <v>3331</v>
      </c>
      <c r="Z25" s="79"/>
      <c r="AA25" s="187">
        <v>22</v>
      </c>
    </row>
    <row r="26" spans="2:27" s="184" customFormat="1" ht="20" x14ac:dyDescent="0.2">
      <c r="B26" s="11" t="s">
        <v>578</v>
      </c>
      <c r="C26" s="165" t="s">
        <v>4235</v>
      </c>
      <c r="D26" s="22" t="s">
        <v>2379</v>
      </c>
      <c r="E26" s="34">
        <v>1</v>
      </c>
      <c r="F26" s="22" t="s">
        <v>2223</v>
      </c>
      <c r="G26" s="88">
        <v>30</v>
      </c>
      <c r="H26" s="235">
        <f t="shared" si="2"/>
        <v>18.518518518518519</v>
      </c>
      <c r="I26" s="88">
        <v>30</v>
      </c>
      <c r="J26" s="235">
        <f t="shared" si="3"/>
        <v>18.518518518518519</v>
      </c>
      <c r="K26" s="201">
        <v>240</v>
      </c>
      <c r="L26" s="252">
        <f>_xlfn.XLOOKUP($K26,Inputs!$C$6:$C$23,Inputs!$D$6:$D$23)*$I26</f>
        <v>14.305555555555555</v>
      </c>
      <c r="M26" s="68"/>
      <c r="N26" s="68"/>
      <c r="O26" s="215">
        <v>481</v>
      </c>
      <c r="P26" s="215">
        <v>581</v>
      </c>
      <c r="Q26" s="94">
        <v>0.9</v>
      </c>
      <c r="R26" s="68" t="s">
        <v>115</v>
      </c>
      <c r="S26" s="182">
        <f t="shared" ref="S26:S31" si="6">O26*Q26</f>
        <v>432.90000000000003</v>
      </c>
      <c r="T26" s="182">
        <f t="shared" ref="T26:T31" si="7">P26*Q26</f>
        <v>522.9</v>
      </c>
      <c r="U26" s="96" t="s">
        <v>4262</v>
      </c>
      <c r="V26" s="22" t="s">
        <v>4263</v>
      </c>
      <c r="W26" s="96" t="s">
        <v>3641</v>
      </c>
      <c r="X26" s="22" t="s">
        <v>2642</v>
      </c>
      <c r="Y26" s="11" t="s">
        <v>3288</v>
      </c>
      <c r="Z26" s="79"/>
      <c r="AA26" s="187">
        <v>23</v>
      </c>
    </row>
    <row r="27" spans="2:27" s="184" customFormat="1" ht="20" x14ac:dyDescent="0.2">
      <c r="B27" s="11" t="s">
        <v>581</v>
      </c>
      <c r="C27" s="165" t="s">
        <v>4235</v>
      </c>
      <c r="D27" s="22" t="s">
        <v>2379</v>
      </c>
      <c r="E27" s="34">
        <v>1</v>
      </c>
      <c r="F27" s="22" t="s">
        <v>2223</v>
      </c>
      <c r="G27" s="235">
        <v>90</v>
      </c>
      <c r="H27" s="235">
        <f t="shared" si="2"/>
        <v>55.55555555555555</v>
      </c>
      <c r="I27" s="235">
        <v>90</v>
      </c>
      <c r="J27" s="235">
        <f t="shared" si="3"/>
        <v>55.55555555555555</v>
      </c>
      <c r="K27" s="201">
        <v>240</v>
      </c>
      <c r="L27" s="252">
        <f>_xlfn.XLOOKUP($K27,Inputs!$C$6:$C$23,Inputs!$D$6:$D$23)*$I27</f>
        <v>42.916666666666664</v>
      </c>
      <c r="M27" s="68"/>
      <c r="N27" s="68"/>
      <c r="O27" s="215">
        <v>481</v>
      </c>
      <c r="P27" s="215">
        <v>581</v>
      </c>
      <c r="Q27" s="94">
        <v>0.9</v>
      </c>
      <c r="R27" s="68" t="s">
        <v>115</v>
      </c>
      <c r="S27" s="182">
        <f t="shared" si="6"/>
        <v>432.90000000000003</v>
      </c>
      <c r="T27" s="182">
        <f t="shared" si="7"/>
        <v>522.9</v>
      </c>
      <c r="U27" s="96" t="s">
        <v>3641</v>
      </c>
      <c r="V27" s="22" t="s">
        <v>2642</v>
      </c>
      <c r="W27" s="96" t="s">
        <v>3861</v>
      </c>
      <c r="X27" s="22" t="s">
        <v>2723</v>
      </c>
      <c r="Y27" s="11" t="s">
        <v>3288</v>
      </c>
      <c r="Z27" s="79"/>
      <c r="AA27" s="187">
        <v>24</v>
      </c>
    </row>
    <row r="28" spans="2:27" s="184" customFormat="1" ht="20" x14ac:dyDescent="0.2">
      <c r="B28" s="11" t="s">
        <v>583</v>
      </c>
      <c r="C28" s="165" t="s">
        <v>4235</v>
      </c>
      <c r="D28" s="22" t="s">
        <v>2379</v>
      </c>
      <c r="E28" s="34">
        <v>1</v>
      </c>
      <c r="F28" s="22" t="s">
        <v>2223</v>
      </c>
      <c r="G28" s="235">
        <v>65</v>
      </c>
      <c r="H28" s="235">
        <f t="shared" si="2"/>
        <v>40.123456790123456</v>
      </c>
      <c r="I28" s="235">
        <v>65</v>
      </c>
      <c r="J28" s="235">
        <f t="shared" si="3"/>
        <v>40.123456790123456</v>
      </c>
      <c r="K28" s="201">
        <v>240</v>
      </c>
      <c r="L28" s="252">
        <f>_xlfn.XLOOKUP($K28,Inputs!$C$6:$C$23,Inputs!$D$6:$D$23)*$I28</f>
        <v>30.99537037037037</v>
      </c>
      <c r="M28" s="68"/>
      <c r="N28" s="68"/>
      <c r="O28" s="215">
        <v>337</v>
      </c>
      <c r="P28" s="215">
        <v>404</v>
      </c>
      <c r="Q28" s="94">
        <v>0.9</v>
      </c>
      <c r="R28" s="68" t="s">
        <v>115</v>
      </c>
      <c r="S28" s="182">
        <f t="shared" si="6"/>
        <v>303.3</v>
      </c>
      <c r="T28" s="182">
        <f t="shared" si="7"/>
        <v>363.6</v>
      </c>
      <c r="U28" s="96" t="s">
        <v>3861</v>
      </c>
      <c r="V28" s="22" t="s">
        <v>2723</v>
      </c>
      <c r="W28" s="96" t="s">
        <v>3462</v>
      </c>
      <c r="X28" s="22" t="s">
        <v>2795</v>
      </c>
      <c r="Y28" s="11" t="s">
        <v>3289</v>
      </c>
      <c r="Z28" s="79"/>
      <c r="AA28" s="187">
        <v>25</v>
      </c>
    </row>
    <row r="29" spans="2:27" s="184" customFormat="1" ht="20" x14ac:dyDescent="0.2">
      <c r="B29" s="11" t="s">
        <v>586</v>
      </c>
      <c r="C29" s="165" t="s">
        <v>4235</v>
      </c>
      <c r="D29" s="22" t="s">
        <v>2379</v>
      </c>
      <c r="E29" s="34">
        <v>1</v>
      </c>
      <c r="F29" s="22" t="s">
        <v>2223</v>
      </c>
      <c r="G29" s="235">
        <v>60</v>
      </c>
      <c r="H29" s="235">
        <f t="shared" si="2"/>
        <v>37.037037037037038</v>
      </c>
      <c r="I29" s="235">
        <v>60</v>
      </c>
      <c r="J29" s="235">
        <f t="shared" si="3"/>
        <v>37.037037037037038</v>
      </c>
      <c r="K29" s="201">
        <v>240</v>
      </c>
      <c r="L29" s="252">
        <f>_xlfn.XLOOKUP($K29,Inputs!$C$6:$C$23,Inputs!$D$6:$D$23)*$I29</f>
        <v>28.611111111111111</v>
      </c>
      <c r="M29" s="68"/>
      <c r="N29" s="68"/>
      <c r="O29" s="215">
        <v>499</v>
      </c>
      <c r="P29" s="215">
        <v>499</v>
      </c>
      <c r="Q29" s="94">
        <v>0.9</v>
      </c>
      <c r="R29" s="68" t="s">
        <v>115</v>
      </c>
      <c r="S29" s="182">
        <f t="shared" si="6"/>
        <v>449.1</v>
      </c>
      <c r="T29" s="182">
        <f t="shared" si="7"/>
        <v>449.1</v>
      </c>
      <c r="U29" s="96" t="s">
        <v>3744</v>
      </c>
      <c r="V29" s="22" t="s">
        <v>3002</v>
      </c>
      <c r="W29" s="96" t="s">
        <v>3599</v>
      </c>
      <c r="X29" s="22" t="s">
        <v>2888</v>
      </c>
      <c r="Y29" s="11" t="s">
        <v>3308</v>
      </c>
      <c r="Z29" s="79"/>
      <c r="AA29" s="187">
        <v>26</v>
      </c>
    </row>
    <row r="30" spans="2:27" s="184" customFormat="1" ht="20" x14ac:dyDescent="0.2">
      <c r="B30" s="11" t="s">
        <v>589</v>
      </c>
      <c r="C30" s="165" t="s">
        <v>4235</v>
      </c>
      <c r="D30" s="22" t="s">
        <v>2379</v>
      </c>
      <c r="E30" s="34">
        <v>1</v>
      </c>
      <c r="F30" s="22" t="s">
        <v>2223</v>
      </c>
      <c r="G30" s="88">
        <v>14</v>
      </c>
      <c r="H30" s="235">
        <f t="shared" si="2"/>
        <v>8.6419753086419746</v>
      </c>
      <c r="I30" s="88">
        <v>14</v>
      </c>
      <c r="J30" s="235">
        <f t="shared" si="3"/>
        <v>8.6419753086419746</v>
      </c>
      <c r="K30" s="201">
        <v>240</v>
      </c>
      <c r="L30" s="252">
        <f>_xlfn.XLOOKUP($K30,Inputs!$C$6:$C$23,Inputs!$D$6:$D$23)*$I30</f>
        <v>6.6759259259259256</v>
      </c>
      <c r="M30" s="68"/>
      <c r="N30" s="68"/>
      <c r="O30" s="215">
        <v>611</v>
      </c>
      <c r="P30" s="215">
        <v>751</v>
      </c>
      <c r="Q30" s="94">
        <v>0.9</v>
      </c>
      <c r="R30" s="68" t="s">
        <v>115</v>
      </c>
      <c r="S30" s="182">
        <f t="shared" si="6"/>
        <v>549.9</v>
      </c>
      <c r="T30" s="182">
        <f t="shared" si="7"/>
        <v>675.9</v>
      </c>
      <c r="U30" s="96" t="s">
        <v>3937</v>
      </c>
      <c r="V30" s="22" t="s">
        <v>2651</v>
      </c>
      <c r="W30" s="96" t="s">
        <v>3769</v>
      </c>
      <c r="X30" s="22" t="s">
        <v>3023</v>
      </c>
      <c r="Y30" s="11" t="s">
        <v>3302</v>
      </c>
      <c r="Z30" s="79"/>
      <c r="AA30" s="187">
        <v>27</v>
      </c>
    </row>
    <row r="31" spans="2:27" s="184" customFormat="1" ht="20" x14ac:dyDescent="0.2">
      <c r="B31" s="11" t="s">
        <v>591</v>
      </c>
      <c r="C31" s="165" t="s">
        <v>4235</v>
      </c>
      <c r="D31" s="22" t="s">
        <v>2379</v>
      </c>
      <c r="E31" s="34">
        <v>1</v>
      </c>
      <c r="F31" s="22" t="s">
        <v>2223</v>
      </c>
      <c r="G31" s="88">
        <v>14</v>
      </c>
      <c r="H31" s="235">
        <f t="shared" si="2"/>
        <v>8.6419753086419746</v>
      </c>
      <c r="I31" s="88">
        <v>14</v>
      </c>
      <c r="J31" s="235">
        <f t="shared" si="3"/>
        <v>8.6419753086419746</v>
      </c>
      <c r="K31" s="201">
        <v>240</v>
      </c>
      <c r="L31" s="252">
        <f>_xlfn.XLOOKUP($K31,Inputs!$C$6:$C$23,Inputs!$D$6:$D$23)*$I31</f>
        <v>6.6759259259259256</v>
      </c>
      <c r="M31" s="68"/>
      <c r="N31" s="68"/>
      <c r="O31" s="215">
        <v>611</v>
      </c>
      <c r="P31" s="215">
        <v>751</v>
      </c>
      <c r="Q31" s="94">
        <v>0.9</v>
      </c>
      <c r="R31" s="68" t="s">
        <v>115</v>
      </c>
      <c r="S31" s="182">
        <f t="shared" si="6"/>
        <v>549.9</v>
      </c>
      <c r="T31" s="182">
        <f t="shared" si="7"/>
        <v>675.9</v>
      </c>
      <c r="U31" s="96" t="s">
        <v>3937</v>
      </c>
      <c r="V31" s="22" t="s">
        <v>2651</v>
      </c>
      <c r="W31" s="96" t="s">
        <v>3769</v>
      </c>
      <c r="X31" s="22" t="s">
        <v>3023</v>
      </c>
      <c r="Y31" s="11" t="s">
        <v>3307</v>
      </c>
      <c r="Z31" s="79"/>
      <c r="AA31" s="187">
        <v>28</v>
      </c>
    </row>
    <row r="32" spans="2:27" s="184" customFormat="1" ht="20" x14ac:dyDescent="0.2">
      <c r="B32" s="11" t="s">
        <v>592</v>
      </c>
      <c r="C32" s="165" t="s">
        <v>4235</v>
      </c>
      <c r="D32" s="22" t="s">
        <v>2379</v>
      </c>
      <c r="E32" s="34">
        <v>1</v>
      </c>
      <c r="F32" s="22" t="s">
        <v>2223</v>
      </c>
      <c r="G32" s="235">
        <v>10</v>
      </c>
      <c r="H32" s="235">
        <f t="shared" si="2"/>
        <v>6.1728395061728394</v>
      </c>
      <c r="I32" s="235">
        <v>10</v>
      </c>
      <c r="J32" s="235">
        <f t="shared" si="3"/>
        <v>6.1728395061728394</v>
      </c>
      <c r="K32" s="201">
        <v>240</v>
      </c>
      <c r="L32" s="252">
        <f>_xlfn.XLOOKUP($K32,Inputs!$C$6:$C$23,Inputs!$D$6:$D$23)*$I32</f>
        <v>4.768518518518519</v>
      </c>
      <c r="M32" s="68"/>
      <c r="N32" s="68"/>
      <c r="O32" s="187"/>
      <c r="P32" s="187"/>
      <c r="Q32" s="94">
        <v>0.9</v>
      </c>
      <c r="R32" s="68">
        <f>IF((42.4*(J32)^(-0.6595))&gt;=3,3,(IF(42.4*(J32)^(-0.6595)&lt;=0.5,0.5,(42.4*(J32)^(-0.6595)))))</f>
        <v>3</v>
      </c>
      <c r="S32" s="276">
        <f>_xlfn.XLOOKUP($K32,Inputs!$G$6:$G$23,Inputs!J$6:J$23)*$R32</f>
        <v>438.57868020304568</v>
      </c>
      <c r="T32" s="276">
        <f>_xlfn.XLOOKUP($K32,Inputs!$G$6:$G$23,Inputs!K$6:K$23)*$R32</f>
        <v>476.03305785123973</v>
      </c>
      <c r="U32" s="96" t="s">
        <v>3918</v>
      </c>
      <c r="V32" s="22" t="s">
        <v>3179</v>
      </c>
      <c r="W32" s="96" t="s">
        <v>3454</v>
      </c>
      <c r="X32" s="22" t="s">
        <v>2790</v>
      </c>
      <c r="Y32" s="11" t="s">
        <v>3331</v>
      </c>
      <c r="Z32" s="79"/>
      <c r="AA32" s="187">
        <v>29</v>
      </c>
    </row>
    <row r="33" spans="2:27" s="184" customFormat="1" ht="20" x14ac:dyDescent="0.2">
      <c r="B33" s="11" t="s">
        <v>594</v>
      </c>
      <c r="C33" s="165" t="s">
        <v>4235</v>
      </c>
      <c r="D33" s="22" t="s">
        <v>2379</v>
      </c>
      <c r="E33" s="34">
        <v>1</v>
      </c>
      <c r="F33" s="22" t="s">
        <v>2223</v>
      </c>
      <c r="G33" s="235">
        <v>10</v>
      </c>
      <c r="H33" s="235">
        <f t="shared" si="2"/>
        <v>6.1728395061728394</v>
      </c>
      <c r="I33" s="235">
        <v>10</v>
      </c>
      <c r="J33" s="235">
        <f t="shared" si="3"/>
        <v>6.1728395061728394</v>
      </c>
      <c r="K33" s="201">
        <v>240</v>
      </c>
      <c r="L33" s="252">
        <f>_xlfn.XLOOKUP($K33,Inputs!$C$6:$C$23,Inputs!$D$6:$D$23)*$I33</f>
        <v>4.768518518518519</v>
      </c>
      <c r="M33" s="68"/>
      <c r="N33" s="68"/>
      <c r="O33" s="187"/>
      <c r="P33" s="187"/>
      <c r="Q33" s="94">
        <v>0.9</v>
      </c>
      <c r="R33" s="68">
        <f>IF((42.4*(J33)^(-0.6595))&gt;=3,3,(IF(42.4*(J33)^(-0.6595)&lt;=0.5,0.5,(42.4*(J33)^(-0.6595)))))</f>
        <v>3</v>
      </c>
      <c r="S33" s="276">
        <f>_xlfn.XLOOKUP($K33,Inputs!$G$6:$G$23,Inputs!J$6:J$23)*$R33</f>
        <v>438.57868020304568</v>
      </c>
      <c r="T33" s="276">
        <f>_xlfn.XLOOKUP($K33,Inputs!$G$6:$G$23,Inputs!K$6:K$23)*$R33</f>
        <v>476.03305785123973</v>
      </c>
      <c r="U33" s="96" t="s">
        <v>3918</v>
      </c>
      <c r="V33" s="22" t="s">
        <v>3179</v>
      </c>
      <c r="W33" s="96" t="s">
        <v>3454</v>
      </c>
      <c r="X33" s="22" t="s">
        <v>2790</v>
      </c>
      <c r="Y33" s="11" t="s">
        <v>3331</v>
      </c>
      <c r="Z33" s="79"/>
      <c r="AA33" s="187">
        <v>30</v>
      </c>
    </row>
    <row r="34" spans="2:27" s="184" customFormat="1" ht="20" x14ac:dyDescent="0.2">
      <c r="B34" s="11" t="s">
        <v>595</v>
      </c>
      <c r="C34" s="165" t="s">
        <v>4235</v>
      </c>
      <c r="D34" s="22" t="s">
        <v>2379</v>
      </c>
      <c r="E34" s="34">
        <v>1</v>
      </c>
      <c r="F34" s="22" t="s">
        <v>2223</v>
      </c>
      <c r="G34" s="88">
        <v>45.5</v>
      </c>
      <c r="H34" s="235">
        <f t="shared" si="2"/>
        <v>28.086419753086417</v>
      </c>
      <c r="I34" s="88">
        <v>45.5</v>
      </c>
      <c r="J34" s="235">
        <f t="shared" si="3"/>
        <v>28.086419753086417</v>
      </c>
      <c r="K34" s="201">
        <v>240</v>
      </c>
      <c r="L34" s="252">
        <f>_xlfn.XLOOKUP($K34,Inputs!$C$6:$C$23,Inputs!$D$6:$D$23)*$I34</f>
        <v>21.69675925925926</v>
      </c>
      <c r="M34" s="68"/>
      <c r="N34" s="68"/>
      <c r="O34" s="187"/>
      <c r="P34" s="187"/>
      <c r="Q34" s="94">
        <v>0.9</v>
      </c>
      <c r="R34" s="68">
        <f>IF((42.4*(J34)^(-0.6595))&gt;=3,3,(IF(42.4*(J34)^(-0.6595)&lt;=0.5,0.5,(42.4*(J34)^(-0.6595)))))</f>
        <v>3</v>
      </c>
      <c r="S34" s="276">
        <f>_xlfn.XLOOKUP($K34,Inputs!$G$6:$G$23,Inputs!J$6:J$23)*$R34</f>
        <v>438.57868020304568</v>
      </c>
      <c r="T34" s="276">
        <f>_xlfn.XLOOKUP($K34,Inputs!$G$6:$G$23,Inputs!K$6:K$23)*$R34</f>
        <v>476.03305785123973</v>
      </c>
      <c r="U34" s="96" t="s">
        <v>3454</v>
      </c>
      <c r="V34" s="22" t="s">
        <v>2790</v>
      </c>
      <c r="W34" s="96" t="s">
        <v>3910</v>
      </c>
      <c r="X34" s="22" t="s">
        <v>3171</v>
      </c>
      <c r="Y34" s="11" t="s">
        <v>3331</v>
      </c>
      <c r="Z34" s="79"/>
      <c r="AA34" s="187">
        <v>31</v>
      </c>
    </row>
    <row r="35" spans="2:27" s="184" customFormat="1" ht="20" x14ac:dyDescent="0.2">
      <c r="B35" s="11" t="s">
        <v>597</v>
      </c>
      <c r="C35" s="165" t="s">
        <v>4235</v>
      </c>
      <c r="D35" s="22" t="s">
        <v>2379</v>
      </c>
      <c r="E35" s="34">
        <v>1</v>
      </c>
      <c r="F35" s="22" t="s">
        <v>2223</v>
      </c>
      <c r="G35" s="235">
        <v>15</v>
      </c>
      <c r="H35" s="235">
        <f t="shared" si="2"/>
        <v>9.2592592592592595</v>
      </c>
      <c r="I35" s="235">
        <v>15</v>
      </c>
      <c r="J35" s="235">
        <f t="shared" si="3"/>
        <v>9.2592592592592595</v>
      </c>
      <c r="K35" s="201">
        <v>240</v>
      </c>
      <c r="L35" s="252">
        <f>_xlfn.XLOOKUP($K35,Inputs!$C$6:$C$23,Inputs!$D$6:$D$23)*$I35</f>
        <v>7.1527777777777777</v>
      </c>
      <c r="M35" s="68"/>
      <c r="N35" s="68"/>
      <c r="O35" s="215">
        <v>594</v>
      </c>
      <c r="P35" s="215">
        <v>624</v>
      </c>
      <c r="Q35" s="94">
        <v>0.9</v>
      </c>
      <c r="R35" s="68" t="s">
        <v>115</v>
      </c>
      <c r="S35" s="182">
        <f t="shared" ref="S35:S42" si="8">O35*Q35</f>
        <v>534.6</v>
      </c>
      <c r="T35" s="182">
        <f t="shared" ref="T35:T42" si="9">P35*Q35</f>
        <v>561.6</v>
      </c>
      <c r="U35" s="96" t="s">
        <v>3507</v>
      </c>
      <c r="V35" s="22" t="s">
        <v>2823</v>
      </c>
      <c r="W35" s="96" t="s">
        <v>3609</v>
      </c>
      <c r="X35" s="22" t="s">
        <v>2897</v>
      </c>
      <c r="Y35" s="11" t="s">
        <v>3300</v>
      </c>
      <c r="Z35" s="79"/>
      <c r="AA35" s="187">
        <v>32</v>
      </c>
    </row>
    <row r="36" spans="2:27" s="184" customFormat="1" ht="20" x14ac:dyDescent="0.2">
      <c r="B36" s="11" t="s">
        <v>600</v>
      </c>
      <c r="C36" s="165" t="s">
        <v>4239</v>
      </c>
      <c r="D36" s="22" t="s">
        <v>2379</v>
      </c>
      <c r="E36" s="34">
        <v>1</v>
      </c>
      <c r="F36" s="22" t="s">
        <v>2223</v>
      </c>
      <c r="G36" s="88">
        <v>36</v>
      </c>
      <c r="H36" s="235">
        <f t="shared" si="2"/>
        <v>22.222222222222221</v>
      </c>
      <c r="I36" s="88">
        <v>36</v>
      </c>
      <c r="J36" s="235">
        <f t="shared" si="3"/>
        <v>22.222222222222221</v>
      </c>
      <c r="K36" s="201">
        <v>240</v>
      </c>
      <c r="L36" s="252">
        <f>_xlfn.XLOOKUP($K36,Inputs!$C$6:$C$23,Inputs!$D$6:$D$23)*$I36</f>
        <v>17.166666666666668</v>
      </c>
      <c r="M36" s="68"/>
      <c r="N36" s="68"/>
      <c r="O36" s="215">
        <v>419</v>
      </c>
      <c r="P36" s="215">
        <v>517</v>
      </c>
      <c r="Q36" s="94">
        <v>0.9</v>
      </c>
      <c r="R36" s="68" t="s">
        <v>115</v>
      </c>
      <c r="S36" s="182">
        <f t="shared" si="8"/>
        <v>377.1</v>
      </c>
      <c r="T36" s="182">
        <f t="shared" si="9"/>
        <v>465.3</v>
      </c>
      <c r="U36" s="96" t="s">
        <v>4262</v>
      </c>
      <c r="V36" s="22" t="s">
        <v>4263</v>
      </c>
      <c r="W36" s="96" t="s">
        <v>4246</v>
      </c>
      <c r="X36" s="22" t="s">
        <v>4247</v>
      </c>
      <c r="Y36" s="11" t="s">
        <v>3288</v>
      </c>
      <c r="Z36" s="79"/>
      <c r="AA36" s="187">
        <v>33</v>
      </c>
    </row>
    <row r="37" spans="2:27" s="184" customFormat="1" ht="20" x14ac:dyDescent="0.2">
      <c r="B37" s="11" t="s">
        <v>602</v>
      </c>
      <c r="C37" s="165" t="s">
        <v>4235</v>
      </c>
      <c r="D37" s="22" t="s">
        <v>2379</v>
      </c>
      <c r="E37" s="34">
        <v>1</v>
      </c>
      <c r="F37" s="22" t="s">
        <v>2223</v>
      </c>
      <c r="G37" s="88">
        <v>33</v>
      </c>
      <c r="H37" s="235">
        <f t="shared" si="2"/>
        <v>20.37037037037037</v>
      </c>
      <c r="I37" s="88">
        <v>33</v>
      </c>
      <c r="J37" s="235">
        <f t="shared" si="3"/>
        <v>20.37037037037037</v>
      </c>
      <c r="K37" s="201">
        <v>240</v>
      </c>
      <c r="L37" s="252">
        <f>_xlfn.XLOOKUP($K37,Inputs!$C$6:$C$23,Inputs!$D$6:$D$23)*$I37</f>
        <v>15.736111111111111</v>
      </c>
      <c r="M37" s="68"/>
      <c r="N37" s="68"/>
      <c r="O37" s="215">
        <v>419</v>
      </c>
      <c r="P37" s="215">
        <v>517</v>
      </c>
      <c r="Q37" s="94">
        <v>0.9</v>
      </c>
      <c r="R37" s="68" t="s">
        <v>115</v>
      </c>
      <c r="S37" s="182">
        <f t="shared" si="8"/>
        <v>377.1</v>
      </c>
      <c r="T37" s="182">
        <f t="shared" si="9"/>
        <v>465.3</v>
      </c>
      <c r="U37" s="96" t="s">
        <v>3535</v>
      </c>
      <c r="V37" s="22" t="s">
        <v>2843</v>
      </c>
      <c r="W37" s="96" t="s">
        <v>4246</v>
      </c>
      <c r="X37" s="22" t="s">
        <v>4247</v>
      </c>
      <c r="Y37" s="11" t="s">
        <v>3288</v>
      </c>
      <c r="Z37" s="79"/>
      <c r="AA37" s="187">
        <v>34</v>
      </c>
    </row>
    <row r="38" spans="2:27" s="184" customFormat="1" ht="20" x14ac:dyDescent="0.2">
      <c r="B38" s="11" t="s">
        <v>604</v>
      </c>
      <c r="C38" s="165" t="s">
        <v>4235</v>
      </c>
      <c r="D38" s="22" t="s">
        <v>2379</v>
      </c>
      <c r="E38" s="34">
        <v>1</v>
      </c>
      <c r="F38" s="22" t="s">
        <v>2223</v>
      </c>
      <c r="G38" s="88">
        <v>4.5999999999999996</v>
      </c>
      <c r="H38" s="235">
        <f t="shared" si="2"/>
        <v>2.8395061728395059</v>
      </c>
      <c r="I38" s="88">
        <v>4.5999999999999996</v>
      </c>
      <c r="J38" s="235">
        <f t="shared" si="3"/>
        <v>2.8395061728395059</v>
      </c>
      <c r="K38" s="201">
        <v>240</v>
      </c>
      <c r="L38" s="252">
        <f>_xlfn.XLOOKUP($K38,Inputs!$C$6:$C$23,Inputs!$D$6:$D$23)*$I38</f>
        <v>2.1935185185185184</v>
      </c>
      <c r="M38" s="68"/>
      <c r="N38" s="68"/>
      <c r="O38" s="215">
        <v>594</v>
      </c>
      <c r="P38" s="215">
        <v>713</v>
      </c>
      <c r="Q38" s="94">
        <v>0.9</v>
      </c>
      <c r="R38" s="68" t="s">
        <v>115</v>
      </c>
      <c r="S38" s="182">
        <f t="shared" si="8"/>
        <v>534.6</v>
      </c>
      <c r="T38" s="182">
        <f t="shared" si="9"/>
        <v>641.70000000000005</v>
      </c>
      <c r="U38" s="96" t="s">
        <v>3858</v>
      </c>
      <c r="V38" s="22" t="s">
        <v>3128</v>
      </c>
      <c r="W38" s="96" t="s">
        <v>3535</v>
      </c>
      <c r="X38" s="22" t="s">
        <v>2843</v>
      </c>
      <c r="Y38" s="11" t="s">
        <v>3288</v>
      </c>
      <c r="Z38" s="79"/>
      <c r="AA38" s="187">
        <v>35</v>
      </c>
    </row>
    <row r="39" spans="2:27" s="184" customFormat="1" ht="20" x14ac:dyDescent="0.2">
      <c r="B39" s="11" t="s">
        <v>606</v>
      </c>
      <c r="C39" s="165" t="s">
        <v>4235</v>
      </c>
      <c r="D39" s="22" t="s">
        <v>2379</v>
      </c>
      <c r="E39" s="34">
        <v>1</v>
      </c>
      <c r="F39" s="22" t="s">
        <v>2223</v>
      </c>
      <c r="G39" s="88">
        <v>2.2999999999999998</v>
      </c>
      <c r="H39" s="235">
        <f t="shared" si="2"/>
        <v>1.419753086419753</v>
      </c>
      <c r="I39" s="88">
        <v>2.2999999999999998</v>
      </c>
      <c r="J39" s="235">
        <f t="shared" si="3"/>
        <v>1.419753086419753</v>
      </c>
      <c r="K39" s="201">
        <v>240</v>
      </c>
      <c r="L39" s="252">
        <f>_xlfn.XLOOKUP($K39,Inputs!$C$6:$C$23,Inputs!$D$6:$D$23)*$I39</f>
        <v>1.0967592592592592</v>
      </c>
      <c r="M39" s="68"/>
      <c r="N39" s="68"/>
      <c r="O39" s="215">
        <v>499</v>
      </c>
      <c r="P39" s="215">
        <v>499</v>
      </c>
      <c r="Q39" s="94">
        <v>0.9</v>
      </c>
      <c r="R39" s="68" t="s">
        <v>115</v>
      </c>
      <c r="S39" s="182">
        <f t="shared" si="8"/>
        <v>449.1</v>
      </c>
      <c r="T39" s="182">
        <f t="shared" si="9"/>
        <v>449.1</v>
      </c>
      <c r="U39" s="96" t="s">
        <v>3858</v>
      </c>
      <c r="V39" s="22" t="s">
        <v>3128</v>
      </c>
      <c r="W39" s="96" t="s">
        <v>4252</v>
      </c>
      <c r="X39" s="22" t="s">
        <v>4253</v>
      </c>
      <c r="Y39" s="11" t="s">
        <v>3288</v>
      </c>
      <c r="Z39" s="79"/>
      <c r="AA39" s="187">
        <v>36</v>
      </c>
    </row>
    <row r="40" spans="2:27" s="184" customFormat="1" ht="20" x14ac:dyDescent="0.2">
      <c r="B40" s="11" t="s">
        <v>608</v>
      </c>
      <c r="C40" s="165" t="s">
        <v>4235</v>
      </c>
      <c r="D40" s="22" t="s">
        <v>2379</v>
      </c>
      <c r="E40" s="34">
        <v>1</v>
      </c>
      <c r="F40" s="22" t="s">
        <v>2223</v>
      </c>
      <c r="G40" s="88">
        <v>4.5999999999999996</v>
      </c>
      <c r="H40" s="235">
        <f t="shared" si="2"/>
        <v>2.8395061728395059</v>
      </c>
      <c r="I40" s="88">
        <v>7.4749999999999996</v>
      </c>
      <c r="J40" s="235">
        <f t="shared" si="3"/>
        <v>4.6141975308641969</v>
      </c>
      <c r="K40" s="201">
        <v>240</v>
      </c>
      <c r="L40" s="252">
        <f>_xlfn.XLOOKUP($K40,Inputs!$C$6:$C$23,Inputs!$D$6:$D$23)*$I40</f>
        <v>3.5644675925925924</v>
      </c>
      <c r="M40" s="68"/>
      <c r="N40" s="68"/>
      <c r="O40" s="215">
        <v>499</v>
      </c>
      <c r="P40" s="215">
        <v>499</v>
      </c>
      <c r="Q40" s="94">
        <v>0.9</v>
      </c>
      <c r="R40" s="68" t="s">
        <v>115</v>
      </c>
      <c r="S40" s="182">
        <f t="shared" si="8"/>
        <v>449.1</v>
      </c>
      <c r="T40" s="182">
        <f t="shared" si="9"/>
        <v>449.1</v>
      </c>
      <c r="U40" s="96" t="s">
        <v>4252</v>
      </c>
      <c r="V40" s="22" t="s">
        <v>4253</v>
      </c>
      <c r="W40" s="96" t="s">
        <v>3526</v>
      </c>
      <c r="X40" s="22" t="s">
        <v>2221</v>
      </c>
      <c r="Y40" s="11" t="s">
        <v>3306</v>
      </c>
      <c r="Z40" s="79"/>
      <c r="AA40" s="187">
        <v>37</v>
      </c>
    </row>
    <row r="41" spans="2:27" s="184" customFormat="1" ht="20" x14ac:dyDescent="0.2">
      <c r="B41" s="11" t="s">
        <v>608</v>
      </c>
      <c r="C41" s="165" t="s">
        <v>4235</v>
      </c>
      <c r="D41" s="22" t="s">
        <v>2379</v>
      </c>
      <c r="E41" s="34">
        <v>1</v>
      </c>
      <c r="F41" s="22" t="s">
        <v>2223</v>
      </c>
      <c r="G41" s="88">
        <v>2.875</v>
      </c>
      <c r="H41" s="235">
        <f t="shared" si="2"/>
        <v>1.7746913580246912</v>
      </c>
      <c r="I41" s="88">
        <v>7.4749999999999996</v>
      </c>
      <c r="J41" s="235">
        <f t="shared" si="3"/>
        <v>4.6141975308641969</v>
      </c>
      <c r="K41" s="201">
        <v>240</v>
      </c>
      <c r="L41" s="252">
        <f>_xlfn.XLOOKUP($K41,Inputs!$C$6:$C$23,Inputs!$D$6:$D$23)*$I41</f>
        <v>3.5644675925925924</v>
      </c>
      <c r="M41" s="68"/>
      <c r="N41" s="68"/>
      <c r="O41" s="215">
        <v>499</v>
      </c>
      <c r="P41" s="215">
        <v>499</v>
      </c>
      <c r="Q41" s="94">
        <v>0.9</v>
      </c>
      <c r="R41" s="68" t="s">
        <v>115</v>
      </c>
      <c r="S41" s="182">
        <f t="shared" si="8"/>
        <v>449.1</v>
      </c>
      <c r="T41" s="182">
        <f t="shared" si="9"/>
        <v>449.1</v>
      </c>
      <c r="U41" s="96" t="s">
        <v>3526</v>
      </c>
      <c r="V41" s="22" t="s">
        <v>2221</v>
      </c>
      <c r="W41" s="96" t="s">
        <v>3524</v>
      </c>
      <c r="X41" s="22" t="s">
        <v>2837</v>
      </c>
      <c r="Y41" s="11" t="s">
        <v>3288</v>
      </c>
      <c r="Z41" s="79"/>
      <c r="AA41" s="187">
        <v>38</v>
      </c>
    </row>
    <row r="42" spans="2:27" s="184" customFormat="1" ht="20" x14ac:dyDescent="0.2">
      <c r="B42" s="11" t="s">
        <v>1299</v>
      </c>
      <c r="C42" s="165" t="s">
        <v>4235</v>
      </c>
      <c r="D42" s="22" t="s">
        <v>2379</v>
      </c>
      <c r="E42" s="34">
        <v>1</v>
      </c>
      <c r="F42" s="22" t="s">
        <v>2223</v>
      </c>
      <c r="G42" s="88">
        <v>2.0699999999999998</v>
      </c>
      <c r="H42" s="235">
        <f t="shared" si="2"/>
        <v>1.2777777777777777</v>
      </c>
      <c r="I42" s="88">
        <v>2.0699999999999998</v>
      </c>
      <c r="J42" s="235">
        <f t="shared" si="3"/>
        <v>1.2777777777777777</v>
      </c>
      <c r="K42" s="201">
        <v>240</v>
      </c>
      <c r="L42" s="252">
        <f>_xlfn.XLOOKUP($K42,Inputs!$C$6:$C$23,Inputs!$D$6:$D$23)*$I42</f>
        <v>0.98708333333333331</v>
      </c>
      <c r="M42" s="68"/>
      <c r="N42" s="68"/>
      <c r="O42" s="209">
        <v>499</v>
      </c>
      <c r="P42" s="209">
        <v>499</v>
      </c>
      <c r="Q42" s="94">
        <v>0.9</v>
      </c>
      <c r="R42" s="68" t="s">
        <v>115</v>
      </c>
      <c r="S42" s="182">
        <f t="shared" si="8"/>
        <v>449.1</v>
      </c>
      <c r="T42" s="182">
        <f t="shared" si="9"/>
        <v>449.1</v>
      </c>
      <c r="U42" s="96" t="s">
        <v>3526</v>
      </c>
      <c r="V42" s="22" t="s">
        <v>2221</v>
      </c>
      <c r="W42" s="96" t="s">
        <v>3525</v>
      </c>
      <c r="X42" s="22" t="s">
        <v>2838</v>
      </c>
      <c r="Y42" s="11" t="s">
        <v>3304</v>
      </c>
      <c r="Z42" s="79"/>
      <c r="AA42" s="187">
        <v>39</v>
      </c>
    </row>
    <row r="43" spans="2:27" s="188" customFormat="1" ht="20" x14ac:dyDescent="0.2">
      <c r="B43" s="11" t="s">
        <v>610</v>
      </c>
      <c r="C43" s="165" t="s">
        <v>4235</v>
      </c>
      <c r="D43" s="22" t="s">
        <v>2379</v>
      </c>
      <c r="E43" s="34">
        <v>1</v>
      </c>
      <c r="F43" s="22" t="s">
        <v>2223</v>
      </c>
      <c r="G43" s="235">
        <v>42</v>
      </c>
      <c r="H43" s="235">
        <f t="shared" si="2"/>
        <v>25.925925925925924</v>
      </c>
      <c r="I43" s="235">
        <v>42</v>
      </c>
      <c r="J43" s="235">
        <f t="shared" si="3"/>
        <v>25.925925925925924</v>
      </c>
      <c r="K43" s="201">
        <v>240</v>
      </c>
      <c r="L43" s="252">
        <f>_xlfn.XLOOKUP($K43,Inputs!$C$6:$C$23,Inputs!$D$6:$D$23)*$I43</f>
        <v>20.027777777777779</v>
      </c>
      <c r="M43" s="68"/>
      <c r="N43" s="68"/>
      <c r="O43" s="187"/>
      <c r="P43" s="187"/>
      <c r="Q43" s="94">
        <v>0.9</v>
      </c>
      <c r="R43" s="68">
        <f>IF((42.4*(J43)^(-0.6595))&gt;=3,3,(IF(42.4*(J43)^(-0.6595)&lt;=0.5,0.5,(42.4*(J43)^(-0.6595)))))</f>
        <v>3</v>
      </c>
      <c r="S43" s="276">
        <f>_xlfn.XLOOKUP($K43,Inputs!$G$6:$G$23,Inputs!J$6:J$23)*$R43</f>
        <v>438.57868020304568</v>
      </c>
      <c r="T43" s="276">
        <f>_xlfn.XLOOKUP($K43,Inputs!$G$6:$G$23,Inputs!K$6:K$23)*$R43</f>
        <v>476.03305785123973</v>
      </c>
      <c r="U43" s="96" t="s">
        <v>3609</v>
      </c>
      <c r="V43" s="22" t="s">
        <v>2897</v>
      </c>
      <c r="W43" s="96" t="s">
        <v>3366</v>
      </c>
      <c r="X43" s="22" t="s">
        <v>2738</v>
      </c>
      <c r="Y43" s="11" t="s">
        <v>3331</v>
      </c>
      <c r="Z43" s="79"/>
      <c r="AA43" s="187">
        <v>40</v>
      </c>
    </row>
    <row r="44" spans="2:27" s="184" customFormat="1" ht="20" x14ac:dyDescent="0.2">
      <c r="B44" s="11" t="s">
        <v>613</v>
      </c>
      <c r="C44" s="165" t="s">
        <v>4235</v>
      </c>
      <c r="D44" s="22" t="s">
        <v>2379</v>
      </c>
      <c r="E44" s="34">
        <v>1</v>
      </c>
      <c r="F44" s="22" t="s">
        <v>2223</v>
      </c>
      <c r="G44" s="235">
        <v>17</v>
      </c>
      <c r="H44" s="235">
        <f t="shared" si="2"/>
        <v>10.493827160493826</v>
      </c>
      <c r="I44" s="235">
        <v>17</v>
      </c>
      <c r="J44" s="235">
        <f t="shared" si="3"/>
        <v>10.493827160493826</v>
      </c>
      <c r="K44" s="201">
        <v>240</v>
      </c>
      <c r="L44" s="252">
        <f>_xlfn.XLOOKUP($K44,Inputs!$C$6:$C$23,Inputs!$D$6:$D$23)*$I44</f>
        <v>8.106481481481481</v>
      </c>
      <c r="M44" s="68"/>
      <c r="N44" s="68"/>
      <c r="O44" s="215">
        <v>974</v>
      </c>
      <c r="P44" s="215">
        <v>1208</v>
      </c>
      <c r="Q44" s="94">
        <v>0.9</v>
      </c>
      <c r="R44" s="68" t="s">
        <v>115</v>
      </c>
      <c r="S44" s="182">
        <f>O44*Q44</f>
        <v>876.6</v>
      </c>
      <c r="T44" s="182">
        <f>P44*Q44</f>
        <v>1087.2</v>
      </c>
      <c r="U44" s="96" t="s">
        <v>3639</v>
      </c>
      <c r="V44" s="22" t="s">
        <v>2919</v>
      </c>
      <c r="W44" s="96" t="s">
        <v>3676</v>
      </c>
      <c r="X44" s="22" t="s">
        <v>2949</v>
      </c>
      <c r="Y44" s="11" t="s">
        <v>4298</v>
      </c>
      <c r="Z44" s="79"/>
      <c r="AA44" s="187">
        <v>41</v>
      </c>
    </row>
    <row r="45" spans="2:27" s="188" customFormat="1" ht="20" x14ac:dyDescent="0.2">
      <c r="B45" s="11" t="s">
        <v>615</v>
      </c>
      <c r="C45" s="165" t="s">
        <v>4235</v>
      </c>
      <c r="D45" s="22" t="s">
        <v>2379</v>
      </c>
      <c r="E45" s="34">
        <v>1</v>
      </c>
      <c r="F45" s="22" t="s">
        <v>2223</v>
      </c>
      <c r="G45" s="235">
        <v>17</v>
      </c>
      <c r="H45" s="235">
        <f t="shared" si="2"/>
        <v>10.493827160493826</v>
      </c>
      <c r="I45" s="235">
        <v>17</v>
      </c>
      <c r="J45" s="235">
        <f t="shared" si="3"/>
        <v>10.493827160493826</v>
      </c>
      <c r="K45" s="201">
        <v>240</v>
      </c>
      <c r="L45" s="252">
        <f>_xlfn.XLOOKUP($K45,Inputs!$C$6:$C$23,Inputs!$D$6:$D$23)*$I45</f>
        <v>8.106481481481481</v>
      </c>
      <c r="M45" s="68"/>
      <c r="N45" s="68"/>
      <c r="O45" s="215">
        <v>974</v>
      </c>
      <c r="P45" s="215">
        <v>1208</v>
      </c>
      <c r="Q45" s="94">
        <v>0.9</v>
      </c>
      <c r="R45" s="68" t="s">
        <v>115</v>
      </c>
      <c r="S45" s="182">
        <f>O45*Q45</f>
        <v>876.6</v>
      </c>
      <c r="T45" s="182">
        <f>P45*Q45</f>
        <v>1087.2</v>
      </c>
      <c r="U45" s="96" t="s">
        <v>3639</v>
      </c>
      <c r="V45" s="22" t="s">
        <v>2919</v>
      </c>
      <c r="W45" s="96" t="s">
        <v>3676</v>
      </c>
      <c r="X45" s="205" t="s">
        <v>2949</v>
      </c>
      <c r="Y45" s="11" t="s">
        <v>4298</v>
      </c>
      <c r="Z45" s="79"/>
      <c r="AA45" s="187">
        <v>42</v>
      </c>
    </row>
    <row r="46" spans="2:27" s="188" customFormat="1" ht="20" x14ac:dyDescent="0.2">
      <c r="B46" s="11" t="s">
        <v>616</v>
      </c>
      <c r="C46" s="165" t="s">
        <v>4235</v>
      </c>
      <c r="D46" s="22" t="s">
        <v>2379</v>
      </c>
      <c r="E46" s="34">
        <v>1</v>
      </c>
      <c r="F46" s="22" t="s">
        <v>2223</v>
      </c>
      <c r="G46" s="88">
        <v>24.5</v>
      </c>
      <c r="H46" s="235">
        <f t="shared" si="2"/>
        <v>15.123456790123456</v>
      </c>
      <c r="I46" s="88">
        <v>24.5</v>
      </c>
      <c r="J46" s="235">
        <f t="shared" si="3"/>
        <v>15.123456790123456</v>
      </c>
      <c r="K46" s="201">
        <v>240</v>
      </c>
      <c r="L46" s="252">
        <f>_xlfn.XLOOKUP($K46,Inputs!$C$6:$C$23,Inputs!$D$6:$D$23)*$I46</f>
        <v>11.68287037037037</v>
      </c>
      <c r="M46" s="68"/>
      <c r="N46" s="68"/>
      <c r="O46" s="215">
        <v>952</v>
      </c>
      <c r="P46" s="215">
        <v>1203</v>
      </c>
      <c r="Q46" s="94">
        <v>0.9</v>
      </c>
      <c r="R46" s="68" t="s">
        <v>115</v>
      </c>
      <c r="S46" s="182">
        <f>O46*Q46</f>
        <v>856.80000000000007</v>
      </c>
      <c r="T46" s="182">
        <f>P46*Q46</f>
        <v>1082.7</v>
      </c>
      <c r="U46" s="96" t="s">
        <v>3456</v>
      </c>
      <c r="V46" s="22" t="s">
        <v>2666</v>
      </c>
      <c r="W46" s="96" t="s">
        <v>3555</v>
      </c>
      <c r="X46" s="205" t="s">
        <v>2857</v>
      </c>
      <c r="Y46" s="11" t="s">
        <v>3327</v>
      </c>
      <c r="Z46" s="79"/>
      <c r="AA46" s="187">
        <v>43</v>
      </c>
    </row>
    <row r="47" spans="2:27" s="188" customFormat="1" ht="20" x14ac:dyDescent="0.2">
      <c r="B47" s="11" t="s">
        <v>619</v>
      </c>
      <c r="C47" s="165" t="s">
        <v>4235</v>
      </c>
      <c r="D47" s="22" t="s">
        <v>2379</v>
      </c>
      <c r="E47" s="34">
        <v>1</v>
      </c>
      <c r="F47" s="22" t="s">
        <v>2223</v>
      </c>
      <c r="G47" s="235">
        <v>21</v>
      </c>
      <c r="H47" s="235">
        <f t="shared" si="2"/>
        <v>12.962962962962962</v>
      </c>
      <c r="I47" s="235">
        <v>21</v>
      </c>
      <c r="J47" s="235">
        <f t="shared" si="3"/>
        <v>12.962962962962962</v>
      </c>
      <c r="K47" s="201">
        <v>240</v>
      </c>
      <c r="L47" s="252">
        <f>_xlfn.XLOOKUP($K47,Inputs!$C$6:$C$23,Inputs!$D$6:$D$23)*$I47</f>
        <v>10.013888888888889</v>
      </c>
      <c r="M47" s="68"/>
      <c r="N47" s="68"/>
      <c r="O47" s="215">
        <v>967</v>
      </c>
      <c r="P47" s="215">
        <v>1203</v>
      </c>
      <c r="Q47" s="94">
        <v>0.9</v>
      </c>
      <c r="R47" s="68" t="s">
        <v>115</v>
      </c>
      <c r="S47" s="182">
        <f>O47*Q47</f>
        <v>870.30000000000007</v>
      </c>
      <c r="T47" s="182">
        <f>P47*Q47</f>
        <v>1082.7</v>
      </c>
      <c r="U47" s="96" t="s">
        <v>3584</v>
      </c>
      <c r="V47" s="22" t="s">
        <v>2620</v>
      </c>
      <c r="W47" s="96" t="s">
        <v>3456</v>
      </c>
      <c r="X47" s="205" t="s">
        <v>2666</v>
      </c>
      <c r="Y47" s="11" t="s">
        <v>3327</v>
      </c>
      <c r="Z47" s="79"/>
      <c r="AA47" s="187">
        <v>44</v>
      </c>
    </row>
    <row r="48" spans="2:27" ht="20" x14ac:dyDescent="0.2">
      <c r="B48" s="11" t="s">
        <v>621</v>
      </c>
      <c r="C48" s="165" t="s">
        <v>4235</v>
      </c>
      <c r="D48" s="22" t="s">
        <v>2379</v>
      </c>
      <c r="E48" s="34">
        <v>1</v>
      </c>
      <c r="F48" s="22" t="s">
        <v>2223</v>
      </c>
      <c r="G48" s="235">
        <v>31.5</v>
      </c>
      <c r="H48" s="235">
        <f t="shared" si="2"/>
        <v>19.444444444444443</v>
      </c>
      <c r="I48" s="235">
        <v>31.5</v>
      </c>
      <c r="J48" s="235">
        <f t="shared" si="3"/>
        <v>19.444444444444443</v>
      </c>
      <c r="K48" s="201">
        <v>240</v>
      </c>
      <c r="L48" s="252">
        <f>_xlfn.XLOOKUP($K48,Inputs!$C$6:$C$23,Inputs!$D$6:$D$23)*$I48</f>
        <v>15.020833333333334</v>
      </c>
      <c r="M48" s="68"/>
      <c r="N48" s="68"/>
      <c r="O48" s="187"/>
      <c r="P48" s="187"/>
      <c r="Q48" s="94">
        <v>0.9</v>
      </c>
      <c r="R48" s="68">
        <f>IF((42.4*(J48)^(-0.6595))&gt;=3,3,(IF(42.4*(J48)^(-0.6595)&lt;=0.5,0.5,(42.4*(J48)^(-0.6595)))))</f>
        <v>3</v>
      </c>
      <c r="S48" s="276">
        <f>_xlfn.XLOOKUP($K48,Inputs!$G$6:$G$23,Inputs!J$6:J$23)*$R48</f>
        <v>438.57868020304568</v>
      </c>
      <c r="T48" s="276">
        <f>_xlfn.XLOOKUP($K48,Inputs!$G$6:$G$23,Inputs!K$6:K$23)*$R48</f>
        <v>476.03305785123973</v>
      </c>
      <c r="U48" s="96" t="s">
        <v>3918</v>
      </c>
      <c r="V48" s="22" t="s">
        <v>3179</v>
      </c>
      <c r="W48" s="96" t="s">
        <v>3910</v>
      </c>
      <c r="X48" s="22" t="s">
        <v>3171</v>
      </c>
      <c r="Y48" s="11" t="s">
        <v>3331</v>
      </c>
      <c r="Z48" s="79"/>
      <c r="AA48" s="187">
        <v>45</v>
      </c>
    </row>
    <row r="49" spans="2:27" ht="20" x14ac:dyDescent="0.2">
      <c r="B49" s="11" t="s">
        <v>1830</v>
      </c>
      <c r="C49" s="165" t="s">
        <v>4235</v>
      </c>
      <c r="D49" s="22" t="s">
        <v>2379</v>
      </c>
      <c r="E49" s="34">
        <v>1</v>
      </c>
      <c r="F49" s="22" t="s">
        <v>2223</v>
      </c>
      <c r="G49" s="88">
        <v>11.049999999999999</v>
      </c>
      <c r="H49" s="235">
        <f t="shared" si="2"/>
        <v>6.8209876543209864</v>
      </c>
      <c r="I49" s="88">
        <v>11.049999999999999</v>
      </c>
      <c r="J49" s="235">
        <f t="shared" si="3"/>
        <v>6.8209876543209864</v>
      </c>
      <c r="K49" s="201">
        <v>240</v>
      </c>
      <c r="L49" s="252">
        <f>_xlfn.XLOOKUP($K49,Inputs!$C$6:$C$23,Inputs!$D$6:$D$23)*$I49</f>
        <v>5.2692129629629623</v>
      </c>
      <c r="M49" s="68"/>
      <c r="N49" s="68"/>
      <c r="O49" s="215">
        <v>487</v>
      </c>
      <c r="P49" s="215">
        <v>604</v>
      </c>
      <c r="Q49" s="94">
        <v>0.9</v>
      </c>
      <c r="R49" s="68" t="s">
        <v>115</v>
      </c>
      <c r="S49" s="182">
        <f>O49*Q49</f>
        <v>438.3</v>
      </c>
      <c r="T49" s="182">
        <f>P49*Q49</f>
        <v>543.6</v>
      </c>
      <c r="U49" s="96" t="s">
        <v>637</v>
      </c>
      <c r="V49" s="22" t="s">
        <v>3113</v>
      </c>
      <c r="W49" s="96" t="s">
        <v>4026</v>
      </c>
      <c r="X49" s="22" t="s">
        <v>2713</v>
      </c>
      <c r="Y49" s="11" t="s">
        <v>4298</v>
      </c>
      <c r="Z49" s="79"/>
      <c r="AA49" s="187">
        <v>46</v>
      </c>
    </row>
    <row r="50" spans="2:27" ht="20" x14ac:dyDescent="0.2">
      <c r="B50" s="11" t="s">
        <v>622</v>
      </c>
      <c r="C50" s="165" t="s">
        <v>4235</v>
      </c>
      <c r="D50" s="22" t="s">
        <v>2379</v>
      </c>
      <c r="E50" s="34">
        <v>1</v>
      </c>
      <c r="F50" s="22" t="s">
        <v>2223</v>
      </c>
      <c r="G50" s="235">
        <v>90</v>
      </c>
      <c r="H50" s="235">
        <f t="shared" si="2"/>
        <v>55.55555555555555</v>
      </c>
      <c r="I50" s="235">
        <v>90</v>
      </c>
      <c r="J50" s="235">
        <f t="shared" si="3"/>
        <v>55.55555555555555</v>
      </c>
      <c r="K50" s="201">
        <v>240</v>
      </c>
      <c r="L50" s="252">
        <f>_xlfn.XLOOKUP($K50,Inputs!$C$6:$C$23,Inputs!$D$6:$D$23)*$I50</f>
        <v>42.916666666666664</v>
      </c>
      <c r="M50" s="68"/>
      <c r="N50" s="68"/>
      <c r="O50" s="187"/>
      <c r="P50" s="187"/>
      <c r="Q50" s="94">
        <v>0.9</v>
      </c>
      <c r="R50" s="68">
        <f>IF((42.4*(J50)^(-0.6595))&gt;=3,3,(IF(42.4*(J50)^(-0.6595)&lt;=0.5,0.5,(42.4*(J50)^(-0.6595)))))</f>
        <v>2.9972162166153491</v>
      </c>
      <c r="S50" s="276">
        <f>_xlfn.XLOOKUP($K50,Inputs!$G$6:$G$23,Inputs!J$6:J$23)*$R50</f>
        <v>438.17171085544192</v>
      </c>
      <c r="T50" s="276">
        <f>_xlfn.XLOOKUP($K50,Inputs!$G$6:$G$23,Inputs!K$6:K$23)*$R50</f>
        <v>475.59133354557611</v>
      </c>
      <c r="U50" s="96" t="s">
        <v>3383</v>
      </c>
      <c r="V50" s="22" t="s">
        <v>2747</v>
      </c>
      <c r="W50" s="96" t="s">
        <v>3644</v>
      </c>
      <c r="X50" s="22" t="s">
        <v>2921</v>
      </c>
      <c r="Y50" s="11" t="s">
        <v>3331</v>
      </c>
      <c r="Z50" s="79"/>
      <c r="AA50" s="187">
        <v>47</v>
      </c>
    </row>
    <row r="51" spans="2:27" ht="20" x14ac:dyDescent="0.2">
      <c r="B51" s="11" t="s">
        <v>1612</v>
      </c>
      <c r="C51" s="165" t="s">
        <v>4235</v>
      </c>
      <c r="D51" s="22" t="s">
        <v>2379</v>
      </c>
      <c r="E51" s="34">
        <v>1</v>
      </c>
      <c r="F51" s="22" t="s">
        <v>2223</v>
      </c>
      <c r="G51" s="88">
        <v>12</v>
      </c>
      <c r="H51" s="235">
        <f t="shared" si="2"/>
        <v>7.4074074074074066</v>
      </c>
      <c r="I51" s="88">
        <v>12</v>
      </c>
      <c r="J51" s="235">
        <f t="shared" si="3"/>
        <v>7.4074074074074066</v>
      </c>
      <c r="K51" s="201">
        <v>240</v>
      </c>
      <c r="L51" s="252">
        <f>_xlfn.XLOOKUP($K51,Inputs!$C$6:$C$23,Inputs!$D$6:$D$23)*$I51</f>
        <v>5.7222222222222223</v>
      </c>
      <c r="M51" s="68"/>
      <c r="N51" s="68"/>
      <c r="O51" s="187"/>
      <c r="P51" s="187"/>
      <c r="Q51" s="94">
        <v>0.9</v>
      </c>
      <c r="R51" s="68">
        <f>IF((42.4*(J51)^(-0.6595))&gt;=3,3,(IF(42.4*(J51)^(-0.6595)&lt;=0.5,0.5,(42.4*(J51)^(-0.6595)))))</f>
        <v>3</v>
      </c>
      <c r="S51" s="276">
        <f>_xlfn.XLOOKUP($K51,Inputs!$G$6:$G$23,Inputs!J$6:J$23)*$R51</f>
        <v>438.57868020304568</v>
      </c>
      <c r="T51" s="276">
        <f>_xlfn.XLOOKUP($K51,Inputs!$G$6:$G$23,Inputs!K$6:K$23)*$R51</f>
        <v>476.03305785123973</v>
      </c>
      <c r="U51" s="96" t="s">
        <v>3793</v>
      </c>
      <c r="V51" s="22" t="s">
        <v>2618</v>
      </c>
      <c r="W51" s="96" t="s">
        <v>3607</v>
      </c>
      <c r="X51" s="22" t="s">
        <v>2895</v>
      </c>
      <c r="Y51" s="11" t="s">
        <v>3331</v>
      </c>
      <c r="Z51" s="79"/>
      <c r="AA51" s="187">
        <v>48</v>
      </c>
    </row>
    <row r="52" spans="2:27" ht="20" x14ac:dyDescent="0.2">
      <c r="B52" s="11" t="s">
        <v>625</v>
      </c>
      <c r="C52" s="165" t="s">
        <v>4235</v>
      </c>
      <c r="D52" s="22" t="s">
        <v>2379</v>
      </c>
      <c r="E52" s="34">
        <v>1</v>
      </c>
      <c r="F52" s="22" t="s">
        <v>2223</v>
      </c>
      <c r="G52" s="88">
        <v>42</v>
      </c>
      <c r="H52" s="235">
        <f t="shared" si="2"/>
        <v>25.925925925925924</v>
      </c>
      <c r="I52" s="88">
        <v>42</v>
      </c>
      <c r="J52" s="235">
        <f t="shared" si="3"/>
        <v>25.925925925925924</v>
      </c>
      <c r="K52" s="201">
        <v>240</v>
      </c>
      <c r="L52" s="252">
        <f>_xlfn.XLOOKUP($K52,Inputs!$C$6:$C$23,Inputs!$D$6:$D$23)*$I52</f>
        <v>20.027777777777779</v>
      </c>
      <c r="M52" s="68"/>
      <c r="N52" s="68"/>
      <c r="O52" s="187"/>
      <c r="P52" s="187"/>
      <c r="Q52" s="94">
        <v>0.9</v>
      </c>
      <c r="R52" s="68">
        <f>IF((42.4*(J52)^(-0.6595))&gt;=3,3,(IF(42.4*(J52)^(-0.6595)&lt;=0.5,0.5,(42.4*(J52)^(-0.6595)))))</f>
        <v>3</v>
      </c>
      <c r="S52" s="276">
        <f>_xlfn.XLOOKUP($K52,Inputs!$G$6:$G$23,Inputs!J$6:J$23)*$R52</f>
        <v>438.57868020304568</v>
      </c>
      <c r="T52" s="276">
        <f>_xlfn.XLOOKUP($K52,Inputs!$G$6:$G$23,Inputs!K$6:K$23)*$R52</f>
        <v>476.03305785123973</v>
      </c>
      <c r="U52" s="96" t="s">
        <v>3941</v>
      </c>
      <c r="V52" s="22" t="s">
        <v>3193</v>
      </c>
      <c r="W52" s="96" t="s">
        <v>3793</v>
      </c>
      <c r="X52" s="22" t="s">
        <v>2618</v>
      </c>
      <c r="Y52" s="11" t="s">
        <v>3331</v>
      </c>
      <c r="Z52" s="79"/>
      <c r="AA52" s="187">
        <v>49</v>
      </c>
    </row>
    <row r="53" spans="2:27" ht="20" x14ac:dyDescent="0.2">
      <c r="B53" s="11" t="s">
        <v>2032</v>
      </c>
      <c r="C53" s="165" t="s">
        <v>4235</v>
      </c>
      <c r="D53" s="22" t="s">
        <v>2379</v>
      </c>
      <c r="E53" s="34">
        <v>1</v>
      </c>
      <c r="F53" s="22" t="s">
        <v>2223</v>
      </c>
      <c r="G53" s="88">
        <v>21</v>
      </c>
      <c r="H53" s="235">
        <f t="shared" si="2"/>
        <v>12.962962962962962</v>
      </c>
      <c r="I53" s="88">
        <v>21</v>
      </c>
      <c r="J53" s="235">
        <f t="shared" si="3"/>
        <v>12.962962962962962</v>
      </c>
      <c r="K53" s="201">
        <v>240</v>
      </c>
      <c r="L53" s="252">
        <f>_xlfn.XLOOKUP($K53,Inputs!$C$6:$C$23,Inputs!$D$6:$D$23)*$I53</f>
        <v>10.013888888888889</v>
      </c>
      <c r="M53" s="68"/>
      <c r="N53" s="68"/>
      <c r="O53" s="187"/>
      <c r="P53" s="187"/>
      <c r="Q53" s="94">
        <v>0.9</v>
      </c>
      <c r="R53" s="68">
        <f>IF((42.4*(J53)^(-0.6595))&gt;=3,3,(IF(42.4*(J53)^(-0.6595)&lt;=0.5,0.5,(42.4*(J53)^(-0.6595)))))</f>
        <v>3</v>
      </c>
      <c r="S53" s="276">
        <f>_xlfn.XLOOKUP($K53,Inputs!$G$6:$G$23,Inputs!J$6:J$23)*$R53</f>
        <v>438.57868020304568</v>
      </c>
      <c r="T53" s="276">
        <f>_xlfn.XLOOKUP($K53,Inputs!$G$6:$G$23,Inputs!K$6:K$23)*$R53</f>
        <v>476.03305785123973</v>
      </c>
      <c r="U53" s="96" t="s">
        <v>3992</v>
      </c>
      <c r="V53" s="22" t="s">
        <v>2094</v>
      </c>
      <c r="W53" s="96" t="s">
        <v>3806</v>
      </c>
      <c r="X53" s="22" t="s">
        <v>3055</v>
      </c>
      <c r="Y53" s="11" t="s">
        <v>3331</v>
      </c>
      <c r="Z53" s="79"/>
      <c r="AA53" s="187">
        <v>50</v>
      </c>
    </row>
    <row r="54" spans="2:27" ht="20" x14ac:dyDescent="0.2">
      <c r="B54" s="11" t="s">
        <v>2033</v>
      </c>
      <c r="C54" s="165" t="s">
        <v>4235</v>
      </c>
      <c r="D54" s="22" t="s">
        <v>2379</v>
      </c>
      <c r="E54" s="34">
        <v>1</v>
      </c>
      <c r="F54" s="22" t="s">
        <v>2223</v>
      </c>
      <c r="G54" s="88">
        <v>21</v>
      </c>
      <c r="H54" s="235">
        <f t="shared" si="2"/>
        <v>12.962962962962962</v>
      </c>
      <c r="I54" s="88">
        <v>21</v>
      </c>
      <c r="J54" s="235">
        <f t="shared" si="3"/>
        <v>12.962962962962962</v>
      </c>
      <c r="K54" s="201">
        <v>240</v>
      </c>
      <c r="L54" s="252">
        <f>_xlfn.XLOOKUP($K54,Inputs!$C$6:$C$23,Inputs!$D$6:$D$23)*$I54</f>
        <v>10.013888888888889</v>
      </c>
      <c r="M54" s="68"/>
      <c r="N54" s="68"/>
      <c r="O54" s="215">
        <v>603</v>
      </c>
      <c r="P54" s="215">
        <v>723</v>
      </c>
      <c r="Q54" s="94">
        <v>0.9</v>
      </c>
      <c r="R54" s="68" t="s">
        <v>115</v>
      </c>
      <c r="S54" s="182">
        <f>O54*Q54</f>
        <v>542.70000000000005</v>
      </c>
      <c r="T54" s="182">
        <f>P54*Q54</f>
        <v>650.70000000000005</v>
      </c>
      <c r="U54" s="96" t="s">
        <v>3992</v>
      </c>
      <c r="V54" s="22" t="s">
        <v>2094</v>
      </c>
      <c r="W54" s="96" t="s">
        <v>3806</v>
      </c>
      <c r="X54" s="22" t="s">
        <v>3055</v>
      </c>
      <c r="Y54" s="11" t="s">
        <v>3294</v>
      </c>
      <c r="Z54" s="79"/>
      <c r="AA54" s="187">
        <v>51</v>
      </c>
    </row>
    <row r="55" spans="2:27" ht="20" x14ac:dyDescent="0.2">
      <c r="B55" s="11" t="s">
        <v>628</v>
      </c>
      <c r="C55" s="165" t="s">
        <v>4235</v>
      </c>
      <c r="D55" s="22" t="s">
        <v>2379</v>
      </c>
      <c r="E55" s="34">
        <v>1</v>
      </c>
      <c r="F55" s="22" t="s">
        <v>2223</v>
      </c>
      <c r="G55" s="88">
        <v>21</v>
      </c>
      <c r="H55" s="235">
        <f t="shared" si="2"/>
        <v>12.962962962962962</v>
      </c>
      <c r="I55" s="88">
        <v>21</v>
      </c>
      <c r="J55" s="235">
        <f t="shared" si="3"/>
        <v>12.962962962962962</v>
      </c>
      <c r="K55" s="201">
        <v>240</v>
      </c>
      <c r="L55" s="252">
        <f>_xlfn.XLOOKUP($K55,Inputs!$C$6:$C$23,Inputs!$D$6:$D$23)*$I55</f>
        <v>10.013888888888889</v>
      </c>
      <c r="M55" s="68"/>
      <c r="N55" s="68"/>
      <c r="O55" s="215">
        <v>547</v>
      </c>
      <c r="P55" s="93">
        <f>O55*1.3</f>
        <v>711.1</v>
      </c>
      <c r="Q55" s="94">
        <v>0.9</v>
      </c>
      <c r="R55" s="68" t="s">
        <v>115</v>
      </c>
      <c r="S55" s="182">
        <f>O55*Q55</f>
        <v>492.3</v>
      </c>
      <c r="T55" s="182">
        <f>P55*Q55</f>
        <v>639.99</v>
      </c>
      <c r="U55" s="96" t="s">
        <v>3454</v>
      </c>
      <c r="V55" s="22" t="s">
        <v>2790</v>
      </c>
      <c r="W55" s="96" t="s">
        <v>3743</v>
      </c>
      <c r="X55" s="22" t="s">
        <v>3001</v>
      </c>
      <c r="Y55" s="11" t="s">
        <v>3329</v>
      </c>
      <c r="Z55" s="79"/>
      <c r="AA55" s="187">
        <v>52</v>
      </c>
    </row>
    <row r="56" spans="2:27" ht="20" x14ac:dyDescent="0.2">
      <c r="B56" s="11" t="s">
        <v>629</v>
      </c>
      <c r="C56" s="165" t="s">
        <v>4235</v>
      </c>
      <c r="D56" s="22" t="s">
        <v>2379</v>
      </c>
      <c r="E56" s="34">
        <v>1</v>
      </c>
      <c r="F56" s="22" t="s">
        <v>2223</v>
      </c>
      <c r="G56" s="88">
        <v>17.5</v>
      </c>
      <c r="H56" s="235">
        <f t="shared" si="2"/>
        <v>10.802469135802468</v>
      </c>
      <c r="I56" s="88">
        <v>17.5</v>
      </c>
      <c r="J56" s="235">
        <f t="shared" si="3"/>
        <v>10.802469135802468</v>
      </c>
      <c r="K56" s="201">
        <v>240</v>
      </c>
      <c r="L56" s="252">
        <f>_xlfn.XLOOKUP($K56,Inputs!$C$6:$C$23,Inputs!$D$6:$D$23)*$I56</f>
        <v>8.3449074074074083</v>
      </c>
      <c r="M56" s="68"/>
      <c r="N56" s="68"/>
      <c r="O56" s="215">
        <v>931</v>
      </c>
      <c r="P56" s="93">
        <f>O56*1.3</f>
        <v>1210.3</v>
      </c>
      <c r="Q56" s="94">
        <v>0.9</v>
      </c>
      <c r="R56" s="68" t="s">
        <v>115</v>
      </c>
      <c r="S56" s="182">
        <f>O56*Q56</f>
        <v>837.9</v>
      </c>
      <c r="T56" s="182">
        <f>P56*Q56</f>
        <v>1089.27</v>
      </c>
      <c r="U56" s="96" t="s">
        <v>3454</v>
      </c>
      <c r="V56" s="22" t="s">
        <v>2790</v>
      </c>
      <c r="W56" s="96" t="s">
        <v>3743</v>
      </c>
      <c r="X56" s="22" t="s">
        <v>3001</v>
      </c>
      <c r="Y56" s="11" t="s">
        <v>3329</v>
      </c>
      <c r="Z56" s="79"/>
      <c r="AA56" s="187">
        <v>53</v>
      </c>
    </row>
    <row r="57" spans="2:27" ht="20" x14ac:dyDescent="0.2">
      <c r="B57" s="11" t="s">
        <v>630</v>
      </c>
      <c r="C57" s="165" t="s">
        <v>4235</v>
      </c>
      <c r="D57" s="22" t="s">
        <v>2379</v>
      </c>
      <c r="E57" s="34">
        <v>1</v>
      </c>
      <c r="F57" s="22" t="s">
        <v>2223</v>
      </c>
      <c r="G57" s="235">
        <v>5</v>
      </c>
      <c r="H57" s="235">
        <f t="shared" si="2"/>
        <v>3.0864197530864197</v>
      </c>
      <c r="I57" s="235">
        <v>5</v>
      </c>
      <c r="J57" s="235">
        <f t="shared" si="3"/>
        <v>3.0864197530864197</v>
      </c>
      <c r="K57" s="201">
        <v>240</v>
      </c>
      <c r="L57" s="252">
        <f>_xlfn.XLOOKUP($K57,Inputs!$C$6:$C$23,Inputs!$D$6:$D$23)*$I57</f>
        <v>2.3842592592592595</v>
      </c>
      <c r="M57" s="68"/>
      <c r="N57" s="68"/>
      <c r="O57" s="215">
        <v>594</v>
      </c>
      <c r="P57" s="215">
        <v>713</v>
      </c>
      <c r="Q57" s="94">
        <v>0.9</v>
      </c>
      <c r="R57" s="68" t="s">
        <v>115</v>
      </c>
      <c r="S57" s="182">
        <f>O57*Q57</f>
        <v>534.6</v>
      </c>
      <c r="T57" s="182">
        <f>P57*Q57</f>
        <v>641.70000000000005</v>
      </c>
      <c r="U57" s="96" t="s">
        <v>3472</v>
      </c>
      <c r="V57" s="22" t="s">
        <v>2668</v>
      </c>
      <c r="W57" s="96" t="s">
        <v>3638</v>
      </c>
      <c r="X57" s="22" t="s">
        <v>2918</v>
      </c>
      <c r="Y57" s="11" t="s">
        <v>3310</v>
      </c>
      <c r="Z57" s="79"/>
      <c r="AA57" s="187">
        <v>54</v>
      </c>
    </row>
    <row r="58" spans="2:27" ht="20" x14ac:dyDescent="0.2">
      <c r="B58" s="11" t="s">
        <v>633</v>
      </c>
      <c r="C58" s="165" t="s">
        <v>4235</v>
      </c>
      <c r="D58" s="22" t="s">
        <v>2379</v>
      </c>
      <c r="E58" s="34">
        <v>1</v>
      </c>
      <c r="F58" s="22" t="s">
        <v>2223</v>
      </c>
      <c r="G58" s="88">
        <v>7.1999999999999993</v>
      </c>
      <c r="H58" s="235">
        <f t="shared" si="2"/>
        <v>4.4444444444444438</v>
      </c>
      <c r="I58" s="88">
        <v>7.1999999999999993</v>
      </c>
      <c r="J58" s="235">
        <f t="shared" si="3"/>
        <v>4.4444444444444438</v>
      </c>
      <c r="K58" s="201">
        <v>240</v>
      </c>
      <c r="L58" s="252">
        <f>_xlfn.XLOOKUP($K58,Inputs!$C$6:$C$23,Inputs!$D$6:$D$23)*$I58</f>
        <v>3.4333333333333331</v>
      </c>
      <c r="M58" s="68"/>
      <c r="N58" s="68"/>
      <c r="O58" s="187"/>
      <c r="P58" s="187"/>
      <c r="Q58" s="94">
        <v>0.9</v>
      </c>
      <c r="R58" s="68">
        <f>IF((42.4*(J58)^(-0.6595))&gt;=3,3,(IF(42.4*(J58)^(-0.6595)&lt;=0.5,0.5,(42.4*(J58)^(-0.6595)))))</f>
        <v>3</v>
      </c>
      <c r="S58" s="276">
        <f>_xlfn.XLOOKUP($K58,Inputs!$G$6:$G$23,Inputs!J$6:J$23)*$R58</f>
        <v>438.57868020304568</v>
      </c>
      <c r="T58" s="276">
        <f>_xlfn.XLOOKUP($K58,Inputs!$G$6:$G$23,Inputs!K$6:K$23)*$R58</f>
        <v>476.03305785123973</v>
      </c>
      <c r="U58" s="96" t="s">
        <v>3783</v>
      </c>
      <c r="V58" s="22" t="s">
        <v>3035</v>
      </c>
      <c r="W58" s="96" t="s">
        <v>3641</v>
      </c>
      <c r="X58" s="22" t="s">
        <v>2642</v>
      </c>
      <c r="Y58" s="11" t="s">
        <v>3331</v>
      </c>
      <c r="Z58" s="79"/>
      <c r="AA58" s="187">
        <v>55</v>
      </c>
    </row>
    <row r="59" spans="2:27" ht="20" x14ac:dyDescent="0.2">
      <c r="B59" s="11" t="s">
        <v>635</v>
      </c>
      <c r="C59" s="165" t="s">
        <v>4235</v>
      </c>
      <c r="D59" s="22" t="s">
        <v>2379</v>
      </c>
      <c r="E59" s="34">
        <v>1</v>
      </c>
      <c r="F59" s="22" t="s">
        <v>2223</v>
      </c>
      <c r="G59" s="235">
        <v>40</v>
      </c>
      <c r="H59" s="235">
        <f t="shared" si="2"/>
        <v>24.691358024691358</v>
      </c>
      <c r="I59" s="235">
        <v>40</v>
      </c>
      <c r="J59" s="235">
        <f t="shared" si="3"/>
        <v>24.691358024691358</v>
      </c>
      <c r="K59" s="201">
        <v>240</v>
      </c>
      <c r="L59" s="252">
        <f>_xlfn.XLOOKUP($K59,Inputs!$C$6:$C$23,Inputs!$D$6:$D$23)*$I59</f>
        <v>19.074074074074076</v>
      </c>
      <c r="M59" s="68"/>
      <c r="N59" s="68"/>
      <c r="O59" s="209">
        <v>549</v>
      </c>
      <c r="P59" s="209">
        <v>701</v>
      </c>
      <c r="Q59" s="94">
        <v>0.9</v>
      </c>
      <c r="R59" s="68" t="s">
        <v>115</v>
      </c>
      <c r="S59" s="182">
        <f t="shared" ref="S59:S64" si="10">O59*Q59</f>
        <v>494.1</v>
      </c>
      <c r="T59" s="182">
        <f t="shared" ref="T59:T64" si="11">P59*Q59</f>
        <v>630.9</v>
      </c>
      <c r="U59" s="96" t="s">
        <v>3401</v>
      </c>
      <c r="V59" s="22" t="s">
        <v>2759</v>
      </c>
      <c r="W59" s="96" t="s">
        <v>3638</v>
      </c>
      <c r="X59" s="22" t="s">
        <v>2918</v>
      </c>
      <c r="Y59" s="11" t="s">
        <v>3324</v>
      </c>
      <c r="Z59" s="79"/>
      <c r="AA59" s="187">
        <v>56</v>
      </c>
    </row>
    <row r="60" spans="2:27" ht="20" x14ac:dyDescent="0.2">
      <c r="B60" s="11" t="s">
        <v>1734</v>
      </c>
      <c r="C60" s="165" t="s">
        <v>4236</v>
      </c>
      <c r="D60" s="22" t="s">
        <v>2379</v>
      </c>
      <c r="E60" s="34">
        <v>1</v>
      </c>
      <c r="F60" s="22" t="s">
        <v>2223</v>
      </c>
      <c r="G60" s="88">
        <v>2.5499999999999998</v>
      </c>
      <c r="H60" s="235">
        <f t="shared" si="2"/>
        <v>1.574074074074074</v>
      </c>
      <c r="I60" s="88">
        <v>2.5499999999999998</v>
      </c>
      <c r="J60" s="235">
        <f t="shared" si="3"/>
        <v>1.574074074074074</v>
      </c>
      <c r="K60" s="215">
        <v>138</v>
      </c>
      <c r="L60" s="252">
        <f>_xlfn.XLOOKUP($K60,Inputs!$C$6:$C$23,Inputs!$D$6:$D$23)*$I60</f>
        <v>1.1056071428571428</v>
      </c>
      <c r="M60" s="68"/>
      <c r="N60" s="68"/>
      <c r="O60" s="215">
        <v>287</v>
      </c>
      <c r="P60" s="215">
        <v>287</v>
      </c>
      <c r="Q60" s="94">
        <v>0.9</v>
      </c>
      <c r="R60" s="68" t="s">
        <v>115</v>
      </c>
      <c r="S60" s="182">
        <f t="shared" si="10"/>
        <v>258.3</v>
      </c>
      <c r="T60" s="182">
        <f t="shared" si="11"/>
        <v>258.3</v>
      </c>
      <c r="U60" s="96" t="s">
        <v>1733</v>
      </c>
      <c r="V60" s="22" t="s">
        <v>3083</v>
      </c>
      <c r="W60" s="96" t="s">
        <v>1735</v>
      </c>
      <c r="X60" s="22" t="s">
        <v>3085</v>
      </c>
      <c r="Y60" s="11" t="s">
        <v>4298</v>
      </c>
      <c r="Z60" s="79"/>
      <c r="AA60" s="187">
        <v>57</v>
      </c>
    </row>
    <row r="61" spans="2:27" ht="20" x14ac:dyDescent="0.2">
      <c r="B61" s="11" t="s">
        <v>1736</v>
      </c>
      <c r="C61" s="165" t="s">
        <v>4236</v>
      </c>
      <c r="D61" s="22" t="s">
        <v>2379</v>
      </c>
      <c r="E61" s="34">
        <v>1</v>
      </c>
      <c r="F61" s="22" t="s">
        <v>2223</v>
      </c>
      <c r="G61" s="88">
        <v>8.5</v>
      </c>
      <c r="H61" s="235">
        <f t="shared" si="2"/>
        <v>5.2469135802469129</v>
      </c>
      <c r="I61" s="88">
        <v>8.5</v>
      </c>
      <c r="J61" s="235">
        <f t="shared" si="3"/>
        <v>5.2469135802469129</v>
      </c>
      <c r="K61" s="215">
        <v>138</v>
      </c>
      <c r="L61" s="252">
        <f>_xlfn.XLOOKUP($K61,Inputs!$C$6:$C$23,Inputs!$D$6:$D$23)*$I61</f>
        <v>3.6853571428571432</v>
      </c>
      <c r="M61" s="68"/>
      <c r="N61" s="68"/>
      <c r="O61" s="215">
        <v>161</v>
      </c>
      <c r="P61" s="215">
        <v>191</v>
      </c>
      <c r="Q61" s="94">
        <v>0.9</v>
      </c>
      <c r="R61" s="68" t="s">
        <v>115</v>
      </c>
      <c r="S61" s="182">
        <f t="shared" si="10"/>
        <v>144.9</v>
      </c>
      <c r="T61" s="182">
        <f t="shared" si="11"/>
        <v>171.9</v>
      </c>
      <c r="U61" s="96" t="s">
        <v>1733</v>
      </c>
      <c r="V61" s="22" t="s">
        <v>3083</v>
      </c>
      <c r="W61" s="96" t="s">
        <v>1737</v>
      </c>
      <c r="X61" s="22" t="s">
        <v>3086</v>
      </c>
      <c r="Y61" s="11" t="s">
        <v>4298</v>
      </c>
      <c r="Z61" s="79"/>
      <c r="AA61" s="187">
        <v>58</v>
      </c>
    </row>
    <row r="62" spans="2:27" ht="20" x14ac:dyDescent="0.2">
      <c r="B62" s="11" t="s">
        <v>1732</v>
      </c>
      <c r="C62" s="165" t="s">
        <v>4236</v>
      </c>
      <c r="D62" s="22" t="s">
        <v>2379</v>
      </c>
      <c r="E62" s="34">
        <v>1</v>
      </c>
      <c r="F62" s="22" t="s">
        <v>2223</v>
      </c>
      <c r="G62" s="88">
        <v>5.95</v>
      </c>
      <c r="H62" s="235">
        <f t="shared" si="2"/>
        <v>3.6728395061728394</v>
      </c>
      <c r="I62" s="88">
        <v>5.95</v>
      </c>
      <c r="J62" s="235">
        <f t="shared" si="3"/>
        <v>3.6728395061728394</v>
      </c>
      <c r="K62" s="215">
        <v>138</v>
      </c>
      <c r="L62" s="252">
        <f>_xlfn.XLOOKUP($K62,Inputs!$C$6:$C$23,Inputs!$D$6:$D$23)*$I62</f>
        <v>2.5797500000000002</v>
      </c>
      <c r="M62" s="68"/>
      <c r="N62" s="68"/>
      <c r="O62" s="215">
        <v>305</v>
      </c>
      <c r="P62" s="215">
        <v>379</v>
      </c>
      <c r="Q62" s="94">
        <v>0.9</v>
      </c>
      <c r="R62" s="68" t="s">
        <v>115</v>
      </c>
      <c r="S62" s="182">
        <f t="shared" si="10"/>
        <v>274.5</v>
      </c>
      <c r="T62" s="182">
        <f t="shared" si="11"/>
        <v>341.1</v>
      </c>
      <c r="U62" s="96" t="s">
        <v>4248</v>
      </c>
      <c r="V62" s="22" t="s">
        <v>4249</v>
      </c>
      <c r="W62" s="96" t="s">
        <v>1733</v>
      </c>
      <c r="X62" s="22" t="s">
        <v>3083</v>
      </c>
      <c r="Y62" s="11" t="s">
        <v>4298</v>
      </c>
      <c r="Z62" s="79"/>
      <c r="AA62" s="187">
        <v>59</v>
      </c>
    </row>
    <row r="63" spans="2:27" ht="20" x14ac:dyDescent="0.2">
      <c r="B63" s="11" t="s">
        <v>1832</v>
      </c>
      <c r="C63" s="165" t="s">
        <v>4235</v>
      </c>
      <c r="D63" s="22" t="s">
        <v>2379</v>
      </c>
      <c r="E63" s="34">
        <v>1</v>
      </c>
      <c r="F63" s="22" t="s">
        <v>2223</v>
      </c>
      <c r="G63" s="235">
        <v>25</v>
      </c>
      <c r="H63" s="235">
        <f t="shared" si="2"/>
        <v>15.432098765432098</v>
      </c>
      <c r="I63" s="235">
        <v>25</v>
      </c>
      <c r="J63" s="235">
        <f t="shared" si="3"/>
        <v>15.432098765432098</v>
      </c>
      <c r="K63" s="201">
        <v>240</v>
      </c>
      <c r="L63" s="252">
        <f>_xlfn.XLOOKUP($K63,Inputs!$C$6:$C$23,Inputs!$D$6:$D$23)*$I63</f>
        <v>11.921296296296296</v>
      </c>
      <c r="M63" s="68"/>
      <c r="N63" s="68"/>
      <c r="O63" s="215">
        <v>971</v>
      </c>
      <c r="P63" s="215">
        <v>1207</v>
      </c>
      <c r="Q63" s="94">
        <v>0.9</v>
      </c>
      <c r="R63" s="68" t="s">
        <v>115</v>
      </c>
      <c r="S63" s="182">
        <f t="shared" si="10"/>
        <v>873.9</v>
      </c>
      <c r="T63" s="182">
        <f t="shared" si="11"/>
        <v>1086.3</v>
      </c>
      <c r="U63" s="96" t="s">
        <v>3563</v>
      </c>
      <c r="V63" s="22" t="s">
        <v>2862</v>
      </c>
      <c r="W63" s="96" t="s">
        <v>637</v>
      </c>
      <c r="X63" s="22" t="s">
        <v>3113</v>
      </c>
      <c r="Y63" s="11" t="s">
        <v>4298</v>
      </c>
      <c r="Z63" s="79"/>
      <c r="AA63" s="187">
        <v>60</v>
      </c>
    </row>
    <row r="64" spans="2:27" ht="20" x14ac:dyDescent="0.2">
      <c r="B64" s="11" t="s">
        <v>1833</v>
      </c>
      <c r="C64" s="165" t="s">
        <v>4235</v>
      </c>
      <c r="D64" s="22" t="s">
        <v>2379</v>
      </c>
      <c r="E64" s="34">
        <v>1</v>
      </c>
      <c r="F64" s="22" t="s">
        <v>2223</v>
      </c>
      <c r="G64" s="235">
        <v>25</v>
      </c>
      <c r="H64" s="235">
        <f t="shared" si="2"/>
        <v>15.432098765432098</v>
      </c>
      <c r="I64" s="235">
        <v>25</v>
      </c>
      <c r="J64" s="235">
        <f t="shared" si="3"/>
        <v>15.432098765432098</v>
      </c>
      <c r="K64" s="201">
        <v>240</v>
      </c>
      <c r="L64" s="252">
        <f>_xlfn.XLOOKUP($K64,Inputs!$C$6:$C$23,Inputs!$D$6:$D$23)*$I64</f>
        <v>11.921296296296296</v>
      </c>
      <c r="M64" s="68"/>
      <c r="N64" s="68"/>
      <c r="O64" s="215">
        <v>971</v>
      </c>
      <c r="P64" s="215">
        <v>1207</v>
      </c>
      <c r="Q64" s="94">
        <v>0.9</v>
      </c>
      <c r="R64" s="68" t="s">
        <v>115</v>
      </c>
      <c r="S64" s="182">
        <f t="shared" si="10"/>
        <v>873.9</v>
      </c>
      <c r="T64" s="182">
        <f t="shared" si="11"/>
        <v>1086.3</v>
      </c>
      <c r="U64" s="96" t="s">
        <v>3563</v>
      </c>
      <c r="V64" s="22" t="s">
        <v>2862</v>
      </c>
      <c r="W64" s="96" t="s">
        <v>637</v>
      </c>
      <c r="X64" s="22" t="s">
        <v>3113</v>
      </c>
      <c r="Y64" s="11" t="s">
        <v>4298</v>
      </c>
      <c r="Z64" s="79"/>
      <c r="AA64" s="187">
        <v>61</v>
      </c>
    </row>
    <row r="65" spans="2:27" ht="20" x14ac:dyDescent="0.2">
      <c r="B65" s="11" t="s">
        <v>1831</v>
      </c>
      <c r="C65" s="165" t="s">
        <v>4235</v>
      </c>
      <c r="D65" s="22" t="s">
        <v>2379</v>
      </c>
      <c r="E65" s="34">
        <v>1</v>
      </c>
      <c r="F65" s="22" t="s">
        <v>2223</v>
      </c>
      <c r="G65" s="88">
        <v>11.049999999999999</v>
      </c>
      <c r="H65" s="235">
        <f t="shared" si="2"/>
        <v>6.8209876543209864</v>
      </c>
      <c r="I65" s="88">
        <v>11.049999999999999</v>
      </c>
      <c r="J65" s="235">
        <f t="shared" si="3"/>
        <v>6.8209876543209864</v>
      </c>
      <c r="K65" s="201">
        <v>240</v>
      </c>
      <c r="L65" s="252">
        <f>_xlfn.XLOOKUP($K65,Inputs!$C$6:$C$23,Inputs!$D$6:$D$23)*$I65</f>
        <v>5.2692129629629623</v>
      </c>
      <c r="M65" s="68"/>
      <c r="N65" s="68"/>
      <c r="O65" s="187"/>
      <c r="P65" s="187"/>
      <c r="Q65" s="94">
        <v>0.9</v>
      </c>
      <c r="R65" s="68">
        <f>IF((42.4*(J65)^(-0.6595))&gt;=3,3,(IF(42.4*(J65)^(-0.6595)&lt;=0.5,0.5,(42.4*(J65)^(-0.6595)))))</f>
        <v>3</v>
      </c>
      <c r="S65" s="276">
        <f>_xlfn.XLOOKUP($K65,Inputs!$G$6:$G$23,Inputs!J$6:J$23)*$R65</f>
        <v>438.57868020304568</v>
      </c>
      <c r="T65" s="276">
        <f>_xlfn.XLOOKUP($K65,Inputs!$G$6:$G$23,Inputs!K$6:K$23)*$R65</f>
        <v>476.03305785123973</v>
      </c>
      <c r="U65" s="96" t="s">
        <v>637</v>
      </c>
      <c r="V65" s="22" t="s">
        <v>3113</v>
      </c>
      <c r="W65" s="96" t="s">
        <v>4026</v>
      </c>
      <c r="X65" s="22" t="s">
        <v>2713</v>
      </c>
      <c r="Y65" s="11" t="s">
        <v>3331</v>
      </c>
      <c r="Z65" s="79"/>
      <c r="AA65" s="187">
        <v>62</v>
      </c>
    </row>
    <row r="66" spans="2:27" ht="20" x14ac:dyDescent="0.2">
      <c r="B66" s="11" t="s">
        <v>639</v>
      </c>
      <c r="C66" s="165" t="s">
        <v>4235</v>
      </c>
      <c r="D66" s="22" t="s">
        <v>2379</v>
      </c>
      <c r="E66" s="34">
        <v>1</v>
      </c>
      <c r="F66" s="22" t="s">
        <v>2223</v>
      </c>
      <c r="G66" s="235">
        <v>15</v>
      </c>
      <c r="H66" s="235">
        <f t="shared" si="2"/>
        <v>9.2592592592592595</v>
      </c>
      <c r="I66" s="235">
        <v>15</v>
      </c>
      <c r="J66" s="235">
        <f t="shared" si="3"/>
        <v>9.2592592592592595</v>
      </c>
      <c r="K66" s="201">
        <v>240</v>
      </c>
      <c r="L66" s="252">
        <f>_xlfn.XLOOKUP($K66,Inputs!$C$6:$C$23,Inputs!$D$6:$D$23)*$I66</f>
        <v>7.1527777777777777</v>
      </c>
      <c r="M66" s="68"/>
      <c r="N66" s="68"/>
      <c r="O66" s="187"/>
      <c r="P66" s="187"/>
      <c r="Q66" s="94">
        <v>0.9</v>
      </c>
      <c r="R66" s="68">
        <f>IF((42.4*(J66)^(-0.6595))&gt;=3,3,(IF(42.4*(J66)^(-0.6595)&lt;=0.5,0.5,(42.4*(J66)^(-0.6595)))))</f>
        <v>3</v>
      </c>
      <c r="S66" s="276">
        <f>_xlfn.XLOOKUP($K66,Inputs!$G$6:$G$23,Inputs!J$6:J$23)*$R66</f>
        <v>438.57868020304568</v>
      </c>
      <c r="T66" s="276">
        <f>_xlfn.XLOOKUP($K66,Inputs!$G$6:$G$23,Inputs!K$6:K$23)*$R66</f>
        <v>476.03305785123973</v>
      </c>
      <c r="U66" s="96" t="s">
        <v>3819</v>
      </c>
      <c r="V66" s="22" t="s">
        <v>3065</v>
      </c>
      <c r="W66" s="96" t="s">
        <v>3535</v>
      </c>
      <c r="X66" s="205" t="s">
        <v>2843</v>
      </c>
      <c r="Y66" s="11" t="s">
        <v>3331</v>
      </c>
      <c r="Z66" s="79"/>
      <c r="AA66" s="187">
        <v>63</v>
      </c>
    </row>
    <row r="67" spans="2:27" ht="20" x14ac:dyDescent="0.2">
      <c r="B67" s="11" t="s">
        <v>640</v>
      </c>
      <c r="C67" s="165" t="s">
        <v>4235</v>
      </c>
      <c r="D67" s="22" t="s">
        <v>2379</v>
      </c>
      <c r="E67" s="34">
        <v>1</v>
      </c>
      <c r="F67" s="22" t="s">
        <v>2223</v>
      </c>
      <c r="G67" s="88">
        <v>0.85</v>
      </c>
      <c r="H67" s="235">
        <f t="shared" si="2"/>
        <v>0.52469135802469136</v>
      </c>
      <c r="I67" s="88">
        <v>0.85</v>
      </c>
      <c r="J67" s="235">
        <f t="shared" si="3"/>
        <v>0.52469135802469136</v>
      </c>
      <c r="K67" s="201">
        <v>500</v>
      </c>
      <c r="L67" s="252">
        <f>_xlfn.XLOOKUP($K67,Inputs!$C$6:$C$23,Inputs!$D$6:$D$23)*$I67</f>
        <v>0.33574999999999999</v>
      </c>
      <c r="M67" s="68"/>
      <c r="N67" s="68"/>
      <c r="O67" s="187"/>
      <c r="P67" s="187"/>
      <c r="Q67" s="94">
        <v>0.9</v>
      </c>
      <c r="R67" s="68">
        <f>IF((42.4*(J67)^(-0.6595))&gt;=3,3,(IF(42.4*(J67)^(-0.6595)&lt;=0.5,0.5,(42.4*(J67)^(-0.6595)))))</f>
        <v>3</v>
      </c>
      <c r="S67" s="276">
        <f>_xlfn.XLOOKUP($K67,Inputs!$G$6:$G$23,Inputs!J$6:J$23)*$R67</f>
        <v>2550</v>
      </c>
      <c r="T67" s="276">
        <f>_xlfn.XLOOKUP($K67,Inputs!$G$6:$G$23,Inputs!K$6:K$23)*$R67</f>
        <v>3225</v>
      </c>
      <c r="U67" s="96" t="s">
        <v>3385</v>
      </c>
      <c r="V67" s="22" t="s">
        <v>2749</v>
      </c>
      <c r="W67" s="96" t="s">
        <v>3676</v>
      </c>
      <c r="X67" s="22" t="s">
        <v>2949</v>
      </c>
      <c r="Y67" s="11" t="s">
        <v>3331</v>
      </c>
      <c r="Z67" s="79"/>
      <c r="AA67" s="187">
        <v>64</v>
      </c>
    </row>
    <row r="68" spans="2:27" ht="20" x14ac:dyDescent="0.2">
      <c r="B68" s="11" t="s">
        <v>641</v>
      </c>
      <c r="C68" s="165" t="s">
        <v>4235</v>
      </c>
      <c r="D68" s="22" t="s">
        <v>2379</v>
      </c>
      <c r="E68" s="34">
        <v>1</v>
      </c>
      <c r="F68" s="22" t="s">
        <v>2223</v>
      </c>
      <c r="G68" s="88">
        <v>25.200000000000003</v>
      </c>
      <c r="H68" s="235">
        <f t="shared" si="2"/>
        <v>15.555555555555557</v>
      </c>
      <c r="I68" s="88">
        <v>25.200000000000003</v>
      </c>
      <c r="J68" s="235">
        <f t="shared" si="3"/>
        <v>15.555555555555557</v>
      </c>
      <c r="K68" s="201">
        <v>240</v>
      </c>
      <c r="L68" s="252">
        <f>_xlfn.XLOOKUP($K68,Inputs!$C$6:$C$23,Inputs!$D$6:$D$23)*$I68</f>
        <v>12.016666666666667</v>
      </c>
      <c r="M68" s="68"/>
      <c r="N68" s="68"/>
      <c r="O68" s="209">
        <v>874</v>
      </c>
      <c r="P68" s="209">
        <v>1103</v>
      </c>
      <c r="Q68" s="94">
        <v>0.9</v>
      </c>
      <c r="R68" s="68" t="s">
        <v>115</v>
      </c>
      <c r="S68" s="182">
        <f>O68*Q68</f>
        <v>786.6</v>
      </c>
      <c r="T68" s="182">
        <f>P68*Q68</f>
        <v>992.7</v>
      </c>
      <c r="U68" s="96" t="s">
        <v>3775</v>
      </c>
      <c r="V68" s="22" t="s">
        <v>3029</v>
      </c>
      <c r="W68" s="96" t="s">
        <v>3401</v>
      </c>
      <c r="X68" s="22" t="s">
        <v>2759</v>
      </c>
      <c r="Y68" s="11" t="s">
        <v>3324</v>
      </c>
      <c r="Z68" s="79"/>
      <c r="AA68" s="187">
        <v>65</v>
      </c>
    </row>
    <row r="69" spans="2:27" ht="20" x14ac:dyDescent="0.2">
      <c r="B69" s="11" t="s">
        <v>643</v>
      </c>
      <c r="C69" s="165" t="s">
        <v>4235</v>
      </c>
      <c r="D69" s="22" t="s">
        <v>2379</v>
      </c>
      <c r="E69" s="34">
        <v>1</v>
      </c>
      <c r="F69" s="22" t="s">
        <v>2223</v>
      </c>
      <c r="G69" s="88">
        <v>29.400000000000002</v>
      </c>
      <c r="H69" s="235">
        <f t="shared" ref="H69:H132" si="12">G69/1.62</f>
        <v>18.148148148148149</v>
      </c>
      <c r="I69" s="88">
        <v>29.400000000000002</v>
      </c>
      <c r="J69" s="235">
        <f t="shared" ref="J69:J132" si="13">I69/1.62</f>
        <v>18.148148148148149</v>
      </c>
      <c r="K69" s="201">
        <v>240</v>
      </c>
      <c r="L69" s="252">
        <f>_xlfn.XLOOKUP($K69,Inputs!$C$6:$C$23,Inputs!$D$6:$D$23)*$I69</f>
        <v>14.019444444444446</v>
      </c>
      <c r="M69" s="68"/>
      <c r="N69" s="68"/>
      <c r="O69" s="209">
        <v>874</v>
      </c>
      <c r="P69" s="209">
        <v>1103</v>
      </c>
      <c r="Q69" s="94">
        <v>0.9</v>
      </c>
      <c r="R69" s="68" t="s">
        <v>115</v>
      </c>
      <c r="S69" s="182">
        <f>O69*Q69</f>
        <v>786.6</v>
      </c>
      <c r="T69" s="182">
        <f>P69*Q69</f>
        <v>992.7</v>
      </c>
      <c r="U69" s="96" t="s">
        <v>3775</v>
      </c>
      <c r="V69" s="22" t="s">
        <v>3029</v>
      </c>
      <c r="W69" s="96" t="s">
        <v>3634</v>
      </c>
      <c r="X69" s="22" t="s">
        <v>2915</v>
      </c>
      <c r="Y69" s="11" t="s">
        <v>3324</v>
      </c>
      <c r="Z69" s="79"/>
      <c r="AA69" s="187">
        <v>66</v>
      </c>
    </row>
    <row r="70" spans="2:27" ht="20" x14ac:dyDescent="0.2">
      <c r="B70" s="11" t="s">
        <v>645</v>
      </c>
      <c r="C70" s="165" t="s">
        <v>4235</v>
      </c>
      <c r="D70" s="22" t="s">
        <v>2379</v>
      </c>
      <c r="E70" s="34">
        <v>1</v>
      </c>
      <c r="F70" s="22" t="s">
        <v>2223</v>
      </c>
      <c r="G70" s="235">
        <v>45</v>
      </c>
      <c r="H70" s="235">
        <f t="shared" si="12"/>
        <v>27.777777777777775</v>
      </c>
      <c r="I70" s="235">
        <v>45</v>
      </c>
      <c r="J70" s="235">
        <f t="shared" si="13"/>
        <v>27.777777777777775</v>
      </c>
      <c r="K70" s="221">
        <v>240</v>
      </c>
      <c r="L70" s="252">
        <f>_xlfn.XLOOKUP($K70,Inputs!$C$6:$C$23,Inputs!$D$6:$D$23)*$I70</f>
        <v>21.458333333333332</v>
      </c>
      <c r="M70" s="68"/>
      <c r="N70" s="68"/>
      <c r="O70" s="234">
        <v>874</v>
      </c>
      <c r="P70" s="234">
        <v>1103</v>
      </c>
      <c r="Q70" s="94">
        <v>0.9</v>
      </c>
      <c r="R70" s="68" t="s">
        <v>115</v>
      </c>
      <c r="S70" s="182">
        <f>O70*Q70</f>
        <v>786.6</v>
      </c>
      <c r="T70" s="182">
        <f>P70*Q70</f>
        <v>992.7</v>
      </c>
      <c r="U70" s="96" t="s">
        <v>3608</v>
      </c>
      <c r="V70" s="22" t="s">
        <v>2896</v>
      </c>
      <c r="W70" s="96" t="s">
        <v>3634</v>
      </c>
      <c r="X70" s="22" t="s">
        <v>2915</v>
      </c>
      <c r="Y70" s="11" t="s">
        <v>3324</v>
      </c>
      <c r="Z70" s="79"/>
      <c r="AA70" s="187">
        <v>67</v>
      </c>
    </row>
    <row r="71" spans="2:27" ht="20" x14ac:dyDescent="0.2">
      <c r="B71" s="11" t="s">
        <v>647</v>
      </c>
      <c r="C71" s="165" t="s">
        <v>4235</v>
      </c>
      <c r="D71" s="22" t="s">
        <v>2379</v>
      </c>
      <c r="E71" s="34">
        <v>1</v>
      </c>
      <c r="F71" s="22" t="s">
        <v>2223</v>
      </c>
      <c r="G71" s="235">
        <v>5</v>
      </c>
      <c r="H71" s="235">
        <f t="shared" si="12"/>
        <v>3.0864197530864197</v>
      </c>
      <c r="I71" s="235">
        <v>5</v>
      </c>
      <c r="J71" s="235">
        <f t="shared" si="13"/>
        <v>3.0864197530864197</v>
      </c>
      <c r="K71" s="201">
        <v>240</v>
      </c>
      <c r="L71" s="252">
        <f>_xlfn.XLOOKUP($K71,Inputs!$C$6:$C$23,Inputs!$D$6:$D$23)*$I71</f>
        <v>2.3842592592592595</v>
      </c>
      <c r="M71" s="68"/>
      <c r="N71" s="68"/>
      <c r="O71" s="215">
        <v>647</v>
      </c>
      <c r="P71" s="215">
        <v>802</v>
      </c>
      <c r="Q71" s="94">
        <v>0.9</v>
      </c>
      <c r="R71" s="68" t="s">
        <v>115</v>
      </c>
      <c r="S71" s="182">
        <f>O71*Q71</f>
        <v>582.30000000000007</v>
      </c>
      <c r="T71" s="182">
        <f>P71*Q71</f>
        <v>721.80000000000007</v>
      </c>
      <c r="U71" s="96" t="s">
        <v>3863</v>
      </c>
      <c r="V71" s="22" t="s">
        <v>3131</v>
      </c>
      <c r="W71" s="96" t="s">
        <v>3401</v>
      </c>
      <c r="X71" s="22" t="s">
        <v>2759</v>
      </c>
      <c r="Y71" s="11" t="s">
        <v>3294</v>
      </c>
      <c r="Z71" s="79"/>
      <c r="AA71" s="187">
        <v>68</v>
      </c>
    </row>
    <row r="72" spans="2:27" ht="20" x14ac:dyDescent="0.2">
      <c r="B72" s="11" t="s">
        <v>649</v>
      </c>
      <c r="C72" s="165" t="s">
        <v>4235</v>
      </c>
      <c r="D72" s="22" t="s">
        <v>2379</v>
      </c>
      <c r="E72" s="34">
        <v>1</v>
      </c>
      <c r="F72" s="22" t="s">
        <v>2223</v>
      </c>
      <c r="G72" s="235">
        <v>35</v>
      </c>
      <c r="H72" s="235">
        <f t="shared" si="12"/>
        <v>21.604938271604937</v>
      </c>
      <c r="I72" s="235">
        <v>35</v>
      </c>
      <c r="J72" s="235">
        <f t="shared" si="13"/>
        <v>21.604938271604937</v>
      </c>
      <c r="K72" s="201">
        <v>240</v>
      </c>
      <c r="L72" s="252">
        <f>_xlfn.XLOOKUP($K72,Inputs!$C$6:$C$23,Inputs!$D$6:$D$23)*$I72</f>
        <v>16.689814814814817</v>
      </c>
      <c r="M72" s="68"/>
      <c r="N72" s="68"/>
      <c r="O72" s="215">
        <v>594</v>
      </c>
      <c r="P72" s="215">
        <v>706</v>
      </c>
      <c r="Q72" s="94">
        <v>0.9</v>
      </c>
      <c r="R72" s="68" t="s">
        <v>115</v>
      </c>
      <c r="S72" s="182">
        <f>O72*Q72</f>
        <v>534.6</v>
      </c>
      <c r="T72" s="182">
        <f>P72*Q72</f>
        <v>635.4</v>
      </c>
      <c r="U72" s="96" t="s">
        <v>3355</v>
      </c>
      <c r="V72" s="22" t="s">
        <v>2733</v>
      </c>
      <c r="W72" s="96" t="s">
        <v>3645</v>
      </c>
      <c r="X72" s="22" t="s">
        <v>2922</v>
      </c>
      <c r="Y72" s="11" t="s">
        <v>3300</v>
      </c>
      <c r="Z72" s="79"/>
      <c r="AA72" s="187">
        <v>69</v>
      </c>
    </row>
    <row r="73" spans="2:27" ht="20" x14ac:dyDescent="0.2">
      <c r="B73" s="11" t="s">
        <v>651</v>
      </c>
      <c r="C73" s="165" t="s">
        <v>4235</v>
      </c>
      <c r="D73" s="22" t="s">
        <v>2379</v>
      </c>
      <c r="E73" s="34">
        <v>1</v>
      </c>
      <c r="F73" s="22" t="s">
        <v>2223</v>
      </c>
      <c r="G73" s="88">
        <v>21</v>
      </c>
      <c r="H73" s="235">
        <f t="shared" si="12"/>
        <v>12.962962962962962</v>
      </c>
      <c r="I73" s="88">
        <v>21</v>
      </c>
      <c r="J73" s="235">
        <f t="shared" si="13"/>
        <v>12.962962962962962</v>
      </c>
      <c r="K73" s="201">
        <v>240</v>
      </c>
      <c r="L73" s="252">
        <f>_xlfn.XLOOKUP($K73,Inputs!$C$6:$C$23,Inputs!$D$6:$D$23)*$I73</f>
        <v>10.013888888888889</v>
      </c>
      <c r="M73" s="68"/>
      <c r="N73" s="68"/>
      <c r="O73" s="187"/>
      <c r="P73" s="187"/>
      <c r="Q73" s="94">
        <v>0.9</v>
      </c>
      <c r="R73" s="68">
        <f>IF((42.4*(J73)^(-0.6595))&gt;=3,3,(IF(42.4*(J73)^(-0.6595)&lt;=0.5,0.5,(42.4*(J73)^(-0.6595)))))</f>
        <v>3</v>
      </c>
      <c r="S73" s="276">
        <f>_xlfn.XLOOKUP($K73,Inputs!$G$6:$G$23,Inputs!J$6:J$23)*$R73</f>
        <v>438.57868020304568</v>
      </c>
      <c r="T73" s="276">
        <f>_xlfn.XLOOKUP($K73,Inputs!$G$6:$G$23,Inputs!K$6:K$23)*$R73</f>
        <v>476.03305785123973</v>
      </c>
      <c r="U73" s="96" t="s">
        <v>4262</v>
      </c>
      <c r="V73" s="205" t="s">
        <v>4263</v>
      </c>
      <c r="W73" s="96" t="s">
        <v>3602</v>
      </c>
      <c r="X73" s="22" t="s">
        <v>2892</v>
      </c>
      <c r="Y73" s="11" t="s">
        <v>3331</v>
      </c>
      <c r="Z73" s="79"/>
      <c r="AA73" s="187">
        <v>70</v>
      </c>
    </row>
    <row r="74" spans="2:27" s="186" customFormat="1" ht="20" x14ac:dyDescent="0.2">
      <c r="B74" s="11" t="s">
        <v>1701</v>
      </c>
      <c r="C74" s="165" t="s">
        <v>4235</v>
      </c>
      <c r="D74" s="22" t="s">
        <v>2379</v>
      </c>
      <c r="E74" s="34">
        <v>1</v>
      </c>
      <c r="F74" s="22" t="s">
        <v>2223</v>
      </c>
      <c r="G74" s="235">
        <v>52.5</v>
      </c>
      <c r="H74" s="235">
        <f t="shared" si="12"/>
        <v>32.407407407407405</v>
      </c>
      <c r="I74" s="235">
        <v>52.5</v>
      </c>
      <c r="J74" s="235">
        <f t="shared" si="13"/>
        <v>32.407407407407405</v>
      </c>
      <c r="K74" s="215">
        <v>138</v>
      </c>
      <c r="L74" s="252">
        <f>_xlfn.XLOOKUP($K74,Inputs!$C$6:$C$23,Inputs!$D$6:$D$23)*$I74</f>
        <v>22.762500000000003</v>
      </c>
      <c r="M74" s="68"/>
      <c r="N74" s="68"/>
      <c r="O74" s="215">
        <v>120</v>
      </c>
      <c r="P74" s="215">
        <v>120</v>
      </c>
      <c r="Q74" s="94">
        <v>0.9</v>
      </c>
      <c r="R74" s="68" t="s">
        <v>115</v>
      </c>
      <c r="S74" s="182">
        <f>O74*Q74</f>
        <v>108</v>
      </c>
      <c r="T74" s="182">
        <f>P74*Q74</f>
        <v>108</v>
      </c>
      <c r="U74" s="96" t="s">
        <v>3579</v>
      </c>
      <c r="V74" s="22" t="s">
        <v>2675</v>
      </c>
      <c r="W74" s="96" t="s">
        <v>3840</v>
      </c>
      <c r="X74" s="22" t="s">
        <v>2716</v>
      </c>
      <c r="Y74" s="11" t="s">
        <v>3296</v>
      </c>
      <c r="Z74" s="79"/>
      <c r="AA74" s="187">
        <v>71</v>
      </c>
    </row>
    <row r="75" spans="2:27" ht="20" x14ac:dyDescent="0.2">
      <c r="B75" s="11" t="s">
        <v>652</v>
      </c>
      <c r="C75" s="165" t="s">
        <v>4235</v>
      </c>
      <c r="D75" s="22" t="s">
        <v>2379</v>
      </c>
      <c r="E75" s="34">
        <v>1</v>
      </c>
      <c r="F75" s="22" t="s">
        <v>2223</v>
      </c>
      <c r="G75" s="235">
        <v>15</v>
      </c>
      <c r="H75" s="235">
        <f t="shared" si="12"/>
        <v>9.2592592592592595</v>
      </c>
      <c r="I75" s="235">
        <v>15</v>
      </c>
      <c r="J75" s="235">
        <f t="shared" si="13"/>
        <v>9.2592592592592595</v>
      </c>
      <c r="K75" s="201">
        <v>240</v>
      </c>
      <c r="L75" s="252">
        <f>_xlfn.XLOOKUP($K75,Inputs!$C$6:$C$23,Inputs!$D$6:$D$23)*$I75</f>
        <v>7.1527777777777777</v>
      </c>
      <c r="M75" s="68"/>
      <c r="N75" s="68"/>
      <c r="O75" s="187"/>
      <c r="P75" s="187"/>
      <c r="Q75" s="94">
        <v>0.9</v>
      </c>
      <c r="R75" s="68">
        <f>IF((42.4*(J75)^(-0.6595))&gt;=3,3,(IF(42.4*(J75)^(-0.6595)&lt;=0.5,0.5,(42.4*(J75)^(-0.6595)))))</f>
        <v>3</v>
      </c>
      <c r="S75" s="276">
        <f>_xlfn.XLOOKUP($K75,Inputs!$G$6:$G$23,Inputs!J$6:J$23)*$R75</f>
        <v>438.57868020304568</v>
      </c>
      <c r="T75" s="276">
        <f>_xlfn.XLOOKUP($K75,Inputs!$G$6:$G$23,Inputs!K$6:K$23)*$R75</f>
        <v>476.03305785123973</v>
      </c>
      <c r="U75" s="96" t="s">
        <v>3819</v>
      </c>
      <c r="V75" s="22" t="s">
        <v>3065</v>
      </c>
      <c r="W75" s="96" t="s">
        <v>3535</v>
      </c>
      <c r="X75" s="22" t="s">
        <v>2843</v>
      </c>
      <c r="Y75" s="11" t="s">
        <v>3331</v>
      </c>
      <c r="Z75" s="79"/>
      <c r="AA75" s="187">
        <v>72</v>
      </c>
    </row>
    <row r="76" spans="2:27" ht="20" x14ac:dyDescent="0.2">
      <c r="B76" s="11" t="s">
        <v>653</v>
      </c>
      <c r="C76" s="165" t="s">
        <v>4235</v>
      </c>
      <c r="D76" s="22" t="s">
        <v>2379</v>
      </c>
      <c r="E76" s="34">
        <v>1</v>
      </c>
      <c r="F76" s="22" t="s">
        <v>2223</v>
      </c>
      <c r="G76" s="88">
        <v>10.5</v>
      </c>
      <c r="H76" s="235">
        <f t="shared" si="12"/>
        <v>6.481481481481481</v>
      </c>
      <c r="I76" s="88">
        <v>10.5</v>
      </c>
      <c r="J76" s="235">
        <f t="shared" si="13"/>
        <v>6.481481481481481</v>
      </c>
      <c r="K76" s="201">
        <v>240</v>
      </c>
      <c r="L76" s="252">
        <f>_xlfn.XLOOKUP($K76,Inputs!$C$6:$C$23,Inputs!$D$6:$D$23)*$I76</f>
        <v>5.0069444444444446</v>
      </c>
      <c r="M76" s="68"/>
      <c r="N76" s="68"/>
      <c r="O76" s="187"/>
      <c r="P76" s="187"/>
      <c r="Q76" s="94">
        <v>0.9</v>
      </c>
      <c r="R76" s="68">
        <f>IF((42.4*(J76)^(-0.6595))&gt;=3,3,(IF(42.4*(J76)^(-0.6595)&lt;=0.5,0.5,(42.4*(J76)^(-0.6595)))))</f>
        <v>3</v>
      </c>
      <c r="S76" s="276">
        <f>_xlfn.XLOOKUP($K76,Inputs!$G$6:$G$23,Inputs!J$6:J$23)*$R76</f>
        <v>438.57868020304568</v>
      </c>
      <c r="T76" s="276">
        <f>_xlfn.XLOOKUP($K76,Inputs!$G$6:$G$23,Inputs!K$6:K$23)*$R76</f>
        <v>476.03305785123973</v>
      </c>
      <c r="U76" s="96" t="s">
        <v>3828</v>
      </c>
      <c r="V76" s="22" t="s">
        <v>2650</v>
      </c>
      <c r="W76" s="96" t="s">
        <v>3934</v>
      </c>
      <c r="X76" s="205" t="s">
        <v>2622</v>
      </c>
      <c r="Y76" s="11" t="s">
        <v>3331</v>
      </c>
      <c r="Z76" s="79"/>
      <c r="AA76" s="187">
        <v>73</v>
      </c>
    </row>
    <row r="77" spans="2:27" s="184" customFormat="1" ht="20" x14ac:dyDescent="0.2">
      <c r="B77" s="11" t="s">
        <v>1857</v>
      </c>
      <c r="C77" s="165" t="s">
        <v>4235</v>
      </c>
      <c r="D77" s="22" t="s">
        <v>2379</v>
      </c>
      <c r="E77" s="34">
        <v>1</v>
      </c>
      <c r="F77" s="22" t="s">
        <v>2223</v>
      </c>
      <c r="G77" s="235">
        <v>180</v>
      </c>
      <c r="H77" s="235">
        <f t="shared" si="12"/>
        <v>111.1111111111111</v>
      </c>
      <c r="I77" s="235">
        <v>218.5</v>
      </c>
      <c r="J77" s="235">
        <f t="shared" si="13"/>
        <v>134.87654320987653</v>
      </c>
      <c r="K77" s="201">
        <v>500</v>
      </c>
      <c r="L77" s="252">
        <f>_xlfn.XLOOKUP($K77,Inputs!$C$6:$C$23,Inputs!$D$6:$D$23)*$I77</f>
        <v>86.307500000000005</v>
      </c>
      <c r="M77" s="68"/>
      <c r="N77" s="68"/>
      <c r="O77" s="187"/>
      <c r="P77" s="187"/>
      <c r="Q77" s="94">
        <v>0.9</v>
      </c>
      <c r="R77" s="68">
        <f>IF((42.4*(J77)^(-0.6595))&gt;=3,3,(IF(42.4*(J77)^(-0.6595)&lt;=0.5,0.5,(42.4*(J77)^(-0.6595)))))</f>
        <v>1.6698320142142717</v>
      </c>
      <c r="S77" s="276">
        <f>_xlfn.XLOOKUP($K77,Inputs!$G$6:$G$23,Inputs!J$6:J$23)*$R77</f>
        <v>1419.3572120821309</v>
      </c>
      <c r="T77" s="276">
        <f>_xlfn.XLOOKUP($K77,Inputs!$G$6:$G$23,Inputs!K$6:K$23)*$R77</f>
        <v>1795.0694152803421</v>
      </c>
      <c r="U77" s="212" t="s">
        <v>3385</v>
      </c>
      <c r="V77" s="203" t="s">
        <v>2749</v>
      </c>
      <c r="W77" s="96" t="s">
        <v>3458</v>
      </c>
      <c r="X77" s="22" t="s">
        <v>2793</v>
      </c>
      <c r="Y77" s="11" t="s">
        <v>3331</v>
      </c>
      <c r="Z77" s="79"/>
      <c r="AA77" s="187">
        <v>74</v>
      </c>
    </row>
    <row r="78" spans="2:27" s="184" customFormat="1" ht="20" x14ac:dyDescent="0.2">
      <c r="B78" s="11" t="s">
        <v>1857</v>
      </c>
      <c r="C78" s="165" t="s">
        <v>4235</v>
      </c>
      <c r="D78" s="22" t="s">
        <v>2379</v>
      </c>
      <c r="E78" s="34">
        <v>1</v>
      </c>
      <c r="F78" s="22" t="s">
        <v>2223</v>
      </c>
      <c r="G78" s="88">
        <v>38.5</v>
      </c>
      <c r="H78" s="235">
        <f t="shared" si="12"/>
        <v>23.76543209876543</v>
      </c>
      <c r="I78" s="88">
        <v>218.5</v>
      </c>
      <c r="J78" s="235">
        <f t="shared" si="13"/>
        <v>134.87654320987653</v>
      </c>
      <c r="K78" s="201">
        <v>500</v>
      </c>
      <c r="L78" s="252">
        <f>_xlfn.XLOOKUP($K78,Inputs!$C$6:$C$23,Inputs!$D$6:$D$23)*$I78</f>
        <v>86.307500000000005</v>
      </c>
      <c r="M78" s="68"/>
      <c r="N78" s="68"/>
      <c r="O78" s="187"/>
      <c r="P78" s="187"/>
      <c r="Q78" s="94">
        <v>0.9</v>
      </c>
      <c r="R78" s="68">
        <f>IF((42.4*(J78)^(-0.6595))&gt;=3,3,(IF(42.4*(J78)^(-0.6595)&lt;=0.5,0.5,(42.4*(J78)^(-0.6595)))))</f>
        <v>1.6698320142142717</v>
      </c>
      <c r="S78" s="276">
        <f>_xlfn.XLOOKUP($K78,Inputs!$G$6:$G$23,Inputs!J$6:J$23)*$R78</f>
        <v>1419.3572120821309</v>
      </c>
      <c r="T78" s="276">
        <f>_xlfn.XLOOKUP($K78,Inputs!$G$6:$G$23,Inputs!K$6:K$23)*$R78</f>
        <v>1795.0694152803421</v>
      </c>
      <c r="U78" s="96" t="s">
        <v>3458</v>
      </c>
      <c r="V78" s="22" t="s">
        <v>2793</v>
      </c>
      <c r="W78" s="96" t="s">
        <v>3336</v>
      </c>
      <c r="X78" s="22" t="s">
        <v>2199</v>
      </c>
      <c r="Y78" s="11" t="s">
        <v>3331</v>
      </c>
      <c r="Z78" s="79"/>
      <c r="AA78" s="187">
        <v>75</v>
      </c>
    </row>
    <row r="79" spans="2:27" s="184" customFormat="1" ht="20" x14ac:dyDescent="0.2">
      <c r="B79" s="11" t="s">
        <v>656</v>
      </c>
      <c r="C79" s="165" t="s">
        <v>4235</v>
      </c>
      <c r="D79" s="22" t="s">
        <v>2379</v>
      </c>
      <c r="E79" s="34">
        <v>1</v>
      </c>
      <c r="F79" s="22" t="s">
        <v>2223</v>
      </c>
      <c r="G79" s="235">
        <v>70</v>
      </c>
      <c r="H79" s="235">
        <f t="shared" si="12"/>
        <v>43.209876543209873</v>
      </c>
      <c r="I79" s="235">
        <v>70</v>
      </c>
      <c r="J79" s="235">
        <f t="shared" si="13"/>
        <v>43.209876543209873</v>
      </c>
      <c r="K79" s="221">
        <v>500</v>
      </c>
      <c r="L79" s="252">
        <f>_xlfn.XLOOKUP($K79,Inputs!$C$6:$C$23,Inputs!$D$6:$D$23)*$I79</f>
        <v>27.650000000000002</v>
      </c>
      <c r="M79" s="68"/>
      <c r="N79" s="68"/>
      <c r="O79" s="216">
        <v>2598</v>
      </c>
      <c r="P79" s="216">
        <v>2598</v>
      </c>
      <c r="Q79" s="94">
        <v>0.9</v>
      </c>
      <c r="R79" s="68" t="s">
        <v>115</v>
      </c>
      <c r="S79" s="182">
        <f t="shared" ref="S79:S87" si="14">O79*Q79</f>
        <v>2338.2000000000003</v>
      </c>
      <c r="T79" s="182">
        <f t="shared" ref="T79:T87" si="15">P79*Q79</f>
        <v>2338.2000000000003</v>
      </c>
      <c r="U79" s="96" t="s">
        <v>3535</v>
      </c>
      <c r="V79" s="22" t="s">
        <v>2843</v>
      </c>
      <c r="W79" s="96" t="s">
        <v>3654</v>
      </c>
      <c r="X79" s="205" t="s">
        <v>2688</v>
      </c>
      <c r="Y79" s="11" t="s">
        <v>3288</v>
      </c>
      <c r="Z79" s="79"/>
      <c r="AA79" s="187">
        <v>76</v>
      </c>
    </row>
    <row r="80" spans="2:27" ht="20" x14ac:dyDescent="0.2">
      <c r="B80" s="11" t="s">
        <v>657</v>
      </c>
      <c r="C80" s="165" t="s">
        <v>4235</v>
      </c>
      <c r="D80" s="22" t="s">
        <v>2379</v>
      </c>
      <c r="E80" s="34">
        <v>1</v>
      </c>
      <c r="F80" s="22" t="s">
        <v>2223</v>
      </c>
      <c r="G80" s="88">
        <v>21</v>
      </c>
      <c r="H80" s="235">
        <f t="shared" si="12"/>
        <v>12.962962962962962</v>
      </c>
      <c r="I80" s="88">
        <v>21</v>
      </c>
      <c r="J80" s="235">
        <f t="shared" si="13"/>
        <v>12.962962962962962</v>
      </c>
      <c r="K80" s="201">
        <v>500</v>
      </c>
      <c r="L80" s="252">
        <f>_xlfn.XLOOKUP($K80,Inputs!$C$6:$C$23,Inputs!$D$6:$D$23)*$I80</f>
        <v>8.2949999999999999</v>
      </c>
      <c r="M80" s="68"/>
      <c r="N80" s="68"/>
      <c r="O80" s="215">
        <v>2500</v>
      </c>
      <c r="P80" s="215">
        <v>2500</v>
      </c>
      <c r="Q80" s="94">
        <v>0.9</v>
      </c>
      <c r="R80" s="68" t="s">
        <v>115</v>
      </c>
      <c r="S80" s="182">
        <f t="shared" si="14"/>
        <v>2250</v>
      </c>
      <c r="T80" s="182">
        <f t="shared" si="15"/>
        <v>2250</v>
      </c>
      <c r="U80" s="96" t="s">
        <v>3866</v>
      </c>
      <c r="V80" s="22" t="s">
        <v>3134</v>
      </c>
      <c r="W80" s="96" t="s">
        <v>3654</v>
      </c>
      <c r="X80" s="22" t="s">
        <v>2688</v>
      </c>
      <c r="Y80" s="11" t="s">
        <v>3288</v>
      </c>
      <c r="Z80" s="79"/>
      <c r="AA80" s="187">
        <v>77</v>
      </c>
    </row>
    <row r="81" spans="2:27" ht="20" x14ac:dyDescent="0.2">
      <c r="B81" s="11" t="s">
        <v>658</v>
      </c>
      <c r="C81" s="165" t="s">
        <v>4235</v>
      </c>
      <c r="D81" s="22" t="s">
        <v>2379</v>
      </c>
      <c r="E81" s="34">
        <v>1</v>
      </c>
      <c r="F81" s="22" t="s">
        <v>2223</v>
      </c>
      <c r="G81" s="235">
        <v>138</v>
      </c>
      <c r="H81" s="235">
        <f t="shared" si="12"/>
        <v>85.185185185185176</v>
      </c>
      <c r="I81" s="235">
        <v>138</v>
      </c>
      <c r="J81" s="235">
        <f t="shared" si="13"/>
        <v>85.185185185185176</v>
      </c>
      <c r="K81" s="221">
        <v>500</v>
      </c>
      <c r="L81" s="252">
        <f>_xlfn.XLOOKUP($K81,Inputs!$C$6:$C$23,Inputs!$D$6:$D$23)*$I81</f>
        <v>54.510000000000005</v>
      </c>
      <c r="M81" s="68"/>
      <c r="N81" s="68"/>
      <c r="O81" s="216">
        <v>2598</v>
      </c>
      <c r="P81" s="216">
        <v>2598</v>
      </c>
      <c r="Q81" s="94">
        <v>0.9</v>
      </c>
      <c r="R81" s="68" t="s">
        <v>115</v>
      </c>
      <c r="S81" s="182">
        <f t="shared" si="14"/>
        <v>2338.2000000000003</v>
      </c>
      <c r="T81" s="182">
        <f t="shared" si="15"/>
        <v>2338.2000000000003</v>
      </c>
      <c r="U81" s="96" t="s">
        <v>3535</v>
      </c>
      <c r="V81" s="22" t="s">
        <v>2843</v>
      </c>
      <c r="W81" s="96" t="s">
        <v>3609</v>
      </c>
      <c r="X81" s="22" t="s">
        <v>2897</v>
      </c>
      <c r="Y81" s="11" t="s">
        <v>3288</v>
      </c>
      <c r="Z81" s="79"/>
      <c r="AA81" s="187">
        <v>78</v>
      </c>
    </row>
    <row r="82" spans="2:27" ht="20" x14ac:dyDescent="0.2">
      <c r="B82" s="11" t="s">
        <v>659</v>
      </c>
      <c r="C82" s="165" t="s">
        <v>4235</v>
      </c>
      <c r="D82" s="22" t="s">
        <v>2379</v>
      </c>
      <c r="E82" s="34">
        <v>1</v>
      </c>
      <c r="F82" s="22" t="s">
        <v>2223</v>
      </c>
      <c r="G82" s="235">
        <v>65</v>
      </c>
      <c r="H82" s="235">
        <f t="shared" si="12"/>
        <v>40.123456790123456</v>
      </c>
      <c r="I82" s="235">
        <v>65</v>
      </c>
      <c r="J82" s="235">
        <f t="shared" si="13"/>
        <v>40.123456790123456</v>
      </c>
      <c r="K82" s="221">
        <v>500</v>
      </c>
      <c r="L82" s="252">
        <f>_xlfn.XLOOKUP($K82,Inputs!$C$6:$C$23,Inputs!$D$6:$D$23)*$I82</f>
        <v>25.675000000000001</v>
      </c>
      <c r="M82" s="68"/>
      <c r="N82" s="68"/>
      <c r="O82" s="216">
        <v>2500</v>
      </c>
      <c r="P82" s="216">
        <v>2500</v>
      </c>
      <c r="Q82" s="94">
        <v>0.9</v>
      </c>
      <c r="R82" s="68" t="s">
        <v>115</v>
      </c>
      <c r="S82" s="182">
        <f t="shared" si="14"/>
        <v>2250</v>
      </c>
      <c r="T82" s="182">
        <f t="shared" si="15"/>
        <v>2250</v>
      </c>
      <c r="U82" s="96" t="s">
        <v>3535</v>
      </c>
      <c r="V82" s="22" t="s">
        <v>2843</v>
      </c>
      <c r="W82" s="96" t="s">
        <v>3577</v>
      </c>
      <c r="X82" s="22" t="s">
        <v>2872</v>
      </c>
      <c r="Y82" s="11" t="s">
        <v>3288</v>
      </c>
      <c r="Z82" s="79"/>
      <c r="AA82" s="187">
        <v>79</v>
      </c>
    </row>
    <row r="83" spans="2:27" ht="20" x14ac:dyDescent="0.2">
      <c r="B83" s="11" t="s">
        <v>661</v>
      </c>
      <c r="C83" s="165" t="s">
        <v>4235</v>
      </c>
      <c r="D83" s="22" t="s">
        <v>2379</v>
      </c>
      <c r="E83" s="34">
        <v>1</v>
      </c>
      <c r="F83" s="22" t="s">
        <v>2223</v>
      </c>
      <c r="G83" s="235">
        <v>138</v>
      </c>
      <c r="H83" s="235">
        <f t="shared" si="12"/>
        <v>85.185185185185176</v>
      </c>
      <c r="I83" s="235">
        <v>138</v>
      </c>
      <c r="J83" s="235">
        <f t="shared" si="13"/>
        <v>85.185185185185176</v>
      </c>
      <c r="K83" s="221">
        <v>500</v>
      </c>
      <c r="L83" s="252">
        <f>_xlfn.XLOOKUP($K83,Inputs!$C$6:$C$23,Inputs!$D$6:$D$23)*$I83</f>
        <v>54.510000000000005</v>
      </c>
      <c r="M83" s="68"/>
      <c r="N83" s="68"/>
      <c r="O83" s="216">
        <v>2598</v>
      </c>
      <c r="P83" s="216">
        <v>2598</v>
      </c>
      <c r="Q83" s="94">
        <v>0.9</v>
      </c>
      <c r="R83" s="68" t="s">
        <v>115</v>
      </c>
      <c r="S83" s="182">
        <f t="shared" si="14"/>
        <v>2338.2000000000003</v>
      </c>
      <c r="T83" s="182">
        <f t="shared" si="15"/>
        <v>2338.2000000000003</v>
      </c>
      <c r="U83" s="96" t="s">
        <v>3535</v>
      </c>
      <c r="V83" s="22" t="s">
        <v>2843</v>
      </c>
      <c r="W83" s="96" t="s">
        <v>3609</v>
      </c>
      <c r="X83" s="205" t="s">
        <v>2897</v>
      </c>
      <c r="Y83" s="11" t="s">
        <v>3288</v>
      </c>
      <c r="Z83" s="79"/>
      <c r="AA83" s="187">
        <v>80</v>
      </c>
    </row>
    <row r="84" spans="2:27" ht="20" x14ac:dyDescent="0.2">
      <c r="B84" s="11" t="s">
        <v>662</v>
      </c>
      <c r="C84" s="165" t="s">
        <v>4235</v>
      </c>
      <c r="D84" s="22" t="s">
        <v>2379</v>
      </c>
      <c r="E84" s="34">
        <v>1</v>
      </c>
      <c r="F84" s="22" t="s">
        <v>2223</v>
      </c>
      <c r="G84" s="88">
        <v>12</v>
      </c>
      <c r="H84" s="235">
        <f t="shared" si="12"/>
        <v>7.4074074074074066</v>
      </c>
      <c r="I84" s="88">
        <v>12</v>
      </c>
      <c r="J84" s="235">
        <f t="shared" si="13"/>
        <v>7.4074074074074066</v>
      </c>
      <c r="K84" s="201">
        <v>500</v>
      </c>
      <c r="L84" s="252">
        <f>_xlfn.XLOOKUP($K84,Inputs!$C$6:$C$23,Inputs!$D$6:$D$23)*$I84</f>
        <v>4.74</v>
      </c>
      <c r="M84" s="68"/>
      <c r="N84" s="68"/>
      <c r="O84" s="215">
        <v>3464</v>
      </c>
      <c r="P84" s="215">
        <v>3464</v>
      </c>
      <c r="Q84" s="94">
        <v>0.9</v>
      </c>
      <c r="R84" s="68" t="s">
        <v>115</v>
      </c>
      <c r="S84" s="182">
        <f t="shared" si="14"/>
        <v>3117.6</v>
      </c>
      <c r="T84" s="182">
        <f t="shared" si="15"/>
        <v>3117.6</v>
      </c>
      <c r="U84" s="96" t="s">
        <v>3866</v>
      </c>
      <c r="V84" s="22" t="s">
        <v>3134</v>
      </c>
      <c r="W84" s="96" t="s">
        <v>3577</v>
      </c>
      <c r="X84" s="22" t="s">
        <v>2872</v>
      </c>
      <c r="Y84" s="11" t="s">
        <v>3288</v>
      </c>
      <c r="Z84" s="79"/>
      <c r="AA84" s="187">
        <v>81</v>
      </c>
    </row>
    <row r="85" spans="2:27" s="188" customFormat="1" ht="20" x14ac:dyDescent="0.2">
      <c r="B85" s="11" t="s">
        <v>663</v>
      </c>
      <c r="C85" s="165" t="s">
        <v>4235</v>
      </c>
      <c r="D85" s="22" t="s">
        <v>2379</v>
      </c>
      <c r="E85" s="34">
        <v>1</v>
      </c>
      <c r="F85" s="22" t="s">
        <v>2223</v>
      </c>
      <c r="G85" s="88">
        <v>12</v>
      </c>
      <c r="H85" s="235">
        <f t="shared" si="12"/>
        <v>7.4074074074074066</v>
      </c>
      <c r="I85" s="88">
        <v>12</v>
      </c>
      <c r="J85" s="235">
        <f t="shared" si="13"/>
        <v>7.4074074074074066</v>
      </c>
      <c r="K85" s="201">
        <v>500</v>
      </c>
      <c r="L85" s="252">
        <f>_xlfn.XLOOKUP($K85,Inputs!$C$6:$C$23,Inputs!$D$6:$D$23)*$I85</f>
        <v>4.74</v>
      </c>
      <c r="M85" s="68"/>
      <c r="N85" s="68"/>
      <c r="O85" s="215">
        <v>3464</v>
      </c>
      <c r="P85" s="215">
        <v>3464</v>
      </c>
      <c r="Q85" s="94">
        <v>0.9</v>
      </c>
      <c r="R85" s="68" t="s">
        <v>115</v>
      </c>
      <c r="S85" s="182">
        <f t="shared" si="14"/>
        <v>3117.6</v>
      </c>
      <c r="T85" s="182">
        <f t="shared" si="15"/>
        <v>3117.6</v>
      </c>
      <c r="U85" s="96" t="s">
        <v>3866</v>
      </c>
      <c r="V85" s="22" t="s">
        <v>3134</v>
      </c>
      <c r="W85" s="96" t="s">
        <v>3577</v>
      </c>
      <c r="X85" s="22" t="s">
        <v>2872</v>
      </c>
      <c r="Y85" s="11" t="s">
        <v>3288</v>
      </c>
      <c r="Z85" s="79"/>
      <c r="AA85" s="187">
        <v>82</v>
      </c>
    </row>
    <row r="86" spans="2:27" s="188" customFormat="1" ht="20" x14ac:dyDescent="0.2">
      <c r="B86" s="11" t="s">
        <v>1214</v>
      </c>
      <c r="C86" s="165" t="s">
        <v>4235</v>
      </c>
      <c r="D86" s="22" t="s">
        <v>2379</v>
      </c>
      <c r="E86" s="34">
        <v>1</v>
      </c>
      <c r="F86" s="22" t="s">
        <v>2223</v>
      </c>
      <c r="G86" s="88">
        <v>18</v>
      </c>
      <c r="H86" s="235">
        <f t="shared" si="12"/>
        <v>11.111111111111111</v>
      </c>
      <c r="I86" s="88">
        <v>18</v>
      </c>
      <c r="J86" s="235">
        <f t="shared" si="13"/>
        <v>11.111111111111111</v>
      </c>
      <c r="K86" s="215">
        <v>69</v>
      </c>
      <c r="L86" s="252">
        <f>_xlfn.XLOOKUP($K86,Inputs!$C$6:$C$23,Inputs!$D$6:$D$23)*$I86</f>
        <v>6.9171428571428573</v>
      </c>
      <c r="M86" s="68"/>
      <c r="N86" s="68"/>
      <c r="O86" s="215">
        <v>24</v>
      </c>
      <c r="P86" s="215">
        <v>24</v>
      </c>
      <c r="Q86" s="94">
        <v>0.9</v>
      </c>
      <c r="R86" s="68" t="s">
        <v>115</v>
      </c>
      <c r="S86" s="182">
        <f t="shared" si="14"/>
        <v>21.6</v>
      </c>
      <c r="T86" s="182">
        <f t="shared" si="15"/>
        <v>21.6</v>
      </c>
      <c r="U86" s="96" t="s">
        <v>3902</v>
      </c>
      <c r="V86" s="22" t="s">
        <v>3163</v>
      </c>
      <c r="W86" s="96" t="s">
        <v>3760</v>
      </c>
      <c r="X86" s="22" t="s">
        <v>3017</v>
      </c>
      <c r="Y86" s="11" t="s">
        <v>3280</v>
      </c>
      <c r="Z86" s="79"/>
      <c r="AA86" s="187">
        <v>83</v>
      </c>
    </row>
    <row r="87" spans="2:27" s="188" customFormat="1" ht="20" x14ac:dyDescent="0.2">
      <c r="B87" s="79" t="s">
        <v>2086</v>
      </c>
      <c r="C87" s="165" t="s">
        <v>4235</v>
      </c>
      <c r="D87" s="22" t="s">
        <v>2379</v>
      </c>
      <c r="E87" s="34">
        <v>1</v>
      </c>
      <c r="F87" s="22" t="s">
        <v>2223</v>
      </c>
      <c r="G87" s="88">
        <v>21</v>
      </c>
      <c r="H87" s="235">
        <f t="shared" si="12"/>
        <v>12.962962962962962</v>
      </c>
      <c r="I87" s="88">
        <v>21</v>
      </c>
      <c r="J87" s="235">
        <f t="shared" si="13"/>
        <v>12.962962962962962</v>
      </c>
      <c r="K87" s="215">
        <v>69</v>
      </c>
      <c r="L87" s="252">
        <f>_xlfn.XLOOKUP($K87,Inputs!$C$6:$C$23,Inputs!$D$6:$D$23)*$I87</f>
        <v>8.07</v>
      </c>
      <c r="M87" s="68"/>
      <c r="N87" s="68"/>
      <c r="O87" s="215">
        <v>29</v>
      </c>
      <c r="P87" s="215">
        <v>36</v>
      </c>
      <c r="Q87" s="94">
        <v>0.9</v>
      </c>
      <c r="R87" s="68" t="s">
        <v>115</v>
      </c>
      <c r="S87" s="182">
        <f t="shared" si="14"/>
        <v>26.1</v>
      </c>
      <c r="T87" s="182">
        <f t="shared" si="15"/>
        <v>32.4</v>
      </c>
      <c r="U87" s="96" t="s">
        <v>3902</v>
      </c>
      <c r="V87" s="22" t="s">
        <v>3163</v>
      </c>
      <c r="W87" s="96" t="s">
        <v>3903</v>
      </c>
      <c r="X87" s="22" t="s">
        <v>3164</v>
      </c>
      <c r="Y87" s="11" t="s">
        <v>3280</v>
      </c>
      <c r="Z87" s="79"/>
      <c r="AA87" s="187">
        <v>84</v>
      </c>
    </row>
    <row r="88" spans="2:27" s="188" customFormat="1" ht="20" x14ac:dyDescent="0.2">
      <c r="B88" s="11" t="s">
        <v>664</v>
      </c>
      <c r="C88" s="165" t="s">
        <v>4235</v>
      </c>
      <c r="D88" s="22" t="s">
        <v>2379</v>
      </c>
      <c r="E88" s="34">
        <v>1</v>
      </c>
      <c r="F88" s="22" t="s">
        <v>2223</v>
      </c>
      <c r="G88" s="235">
        <v>360</v>
      </c>
      <c r="H88" s="235">
        <f t="shared" si="12"/>
        <v>222.2222222222222</v>
      </c>
      <c r="I88" s="235">
        <v>360</v>
      </c>
      <c r="J88" s="235">
        <f t="shared" si="13"/>
        <v>222.2222222222222</v>
      </c>
      <c r="K88" s="201">
        <v>500</v>
      </c>
      <c r="L88" s="252">
        <f>_xlfn.XLOOKUP($K88,Inputs!$C$6:$C$23,Inputs!$D$6:$D$23)*$I88</f>
        <v>142.20000000000002</v>
      </c>
      <c r="M88" s="68"/>
      <c r="N88" s="68"/>
      <c r="O88" s="187"/>
      <c r="P88" s="187"/>
      <c r="Q88" s="94">
        <v>0.9</v>
      </c>
      <c r="R88" s="68">
        <f>IF((42.4*(J88)^(-0.6595))&gt;=3,3,(IF(42.4*(J88)^(-0.6595)&lt;=0.5,0.5,(42.4*(J88)^(-0.6595)))))</f>
        <v>1.2013222184627415</v>
      </c>
      <c r="S88" s="276">
        <f>_xlfn.XLOOKUP($K88,Inputs!$G$6:$G$23,Inputs!J$6:J$23)*$R88</f>
        <v>1021.1238856933302</v>
      </c>
      <c r="T88" s="276">
        <f>_xlfn.XLOOKUP($K88,Inputs!$G$6:$G$23,Inputs!K$6:K$23)*$R88</f>
        <v>1291.4213848474471</v>
      </c>
      <c r="U88" s="96" t="s">
        <v>3866</v>
      </c>
      <c r="V88" s="22" t="s">
        <v>3134</v>
      </c>
      <c r="W88" s="96" t="s">
        <v>3684</v>
      </c>
      <c r="X88" s="22" t="s">
        <v>2955</v>
      </c>
      <c r="Y88" s="11" t="s">
        <v>3331</v>
      </c>
      <c r="Z88" s="79"/>
      <c r="AA88" s="187">
        <v>85</v>
      </c>
    </row>
    <row r="89" spans="2:27" s="184" customFormat="1" ht="20" x14ac:dyDescent="0.2">
      <c r="B89" s="11" t="s">
        <v>666</v>
      </c>
      <c r="C89" s="165" t="s">
        <v>4235</v>
      </c>
      <c r="D89" s="22" t="s">
        <v>2379</v>
      </c>
      <c r="E89" s="34">
        <v>1</v>
      </c>
      <c r="F89" s="22" t="s">
        <v>2223</v>
      </c>
      <c r="G89" s="235">
        <v>80</v>
      </c>
      <c r="H89" s="235">
        <f t="shared" si="12"/>
        <v>49.382716049382715</v>
      </c>
      <c r="I89" s="235">
        <v>80</v>
      </c>
      <c r="J89" s="235">
        <f t="shared" si="13"/>
        <v>49.382716049382715</v>
      </c>
      <c r="K89" s="201">
        <v>500</v>
      </c>
      <c r="L89" s="252">
        <f>_xlfn.XLOOKUP($K89,Inputs!$C$6:$C$23,Inputs!$D$6:$D$23)*$I89</f>
        <v>31.6</v>
      </c>
      <c r="M89" s="68"/>
      <c r="N89" s="68"/>
      <c r="O89" s="187"/>
      <c r="P89" s="187"/>
      <c r="Q89" s="94">
        <v>0.9</v>
      </c>
      <c r="R89" s="68">
        <f>IF((42.4*(J89)^(-0.6595))&gt;=3,3,(IF(42.4*(J89)^(-0.6595)&lt;=0.5,0.5,(42.4*(J89)^(-0.6595)))))</f>
        <v>3</v>
      </c>
      <c r="S89" s="276">
        <f>_xlfn.XLOOKUP($K89,Inputs!$G$6:$G$23,Inputs!J$6:J$23)*$R89</f>
        <v>2550</v>
      </c>
      <c r="T89" s="276">
        <f>_xlfn.XLOOKUP($K89,Inputs!$G$6:$G$23,Inputs!K$6:K$23)*$R89</f>
        <v>3225</v>
      </c>
      <c r="U89" s="96" t="s">
        <v>3874</v>
      </c>
      <c r="V89" s="22" t="s">
        <v>3141</v>
      </c>
      <c r="W89" s="96" t="s">
        <v>3684</v>
      </c>
      <c r="X89" s="22" t="s">
        <v>2955</v>
      </c>
      <c r="Y89" s="11" t="s">
        <v>3331</v>
      </c>
      <c r="Z89" s="79"/>
      <c r="AA89" s="187">
        <v>86</v>
      </c>
    </row>
    <row r="90" spans="2:27" s="188" customFormat="1" ht="20" x14ac:dyDescent="0.2">
      <c r="B90" s="11" t="s">
        <v>668</v>
      </c>
      <c r="C90" s="165" t="s">
        <v>4235</v>
      </c>
      <c r="D90" s="22" t="s">
        <v>2379</v>
      </c>
      <c r="E90" s="34">
        <v>1</v>
      </c>
      <c r="F90" s="22" t="s">
        <v>2223</v>
      </c>
      <c r="G90" s="88">
        <v>21</v>
      </c>
      <c r="H90" s="235">
        <f t="shared" si="12"/>
        <v>12.962962962962962</v>
      </c>
      <c r="I90" s="88">
        <v>21</v>
      </c>
      <c r="J90" s="235">
        <f t="shared" si="13"/>
        <v>12.962962962962962</v>
      </c>
      <c r="K90" s="201">
        <v>500</v>
      </c>
      <c r="L90" s="252">
        <f>_xlfn.XLOOKUP($K90,Inputs!$C$6:$C$23,Inputs!$D$6:$D$23)*$I90</f>
        <v>8.2949999999999999</v>
      </c>
      <c r="M90" s="68"/>
      <c r="N90" s="68"/>
      <c r="O90" s="187"/>
      <c r="P90" s="187"/>
      <c r="Q90" s="94">
        <v>0.9</v>
      </c>
      <c r="R90" s="68">
        <f>IF((42.4*(J90)^(-0.6595))&gt;=3,3,(IF(42.4*(J90)^(-0.6595)&lt;=0.5,0.5,(42.4*(J90)^(-0.6595)))))</f>
        <v>3</v>
      </c>
      <c r="S90" s="276">
        <f>_xlfn.XLOOKUP($K90,Inputs!$G$6:$G$23,Inputs!J$6:J$23)*$R90</f>
        <v>2550</v>
      </c>
      <c r="T90" s="276">
        <f>_xlfn.XLOOKUP($K90,Inputs!$G$6:$G$23,Inputs!K$6:K$23)*$R90</f>
        <v>3225</v>
      </c>
      <c r="U90" s="96" t="s">
        <v>3609</v>
      </c>
      <c r="V90" s="22" t="s">
        <v>2897</v>
      </c>
      <c r="W90" s="96" t="s">
        <v>3611</v>
      </c>
      <c r="X90" s="22" t="s">
        <v>4352</v>
      </c>
      <c r="Y90" s="11" t="s">
        <v>3331</v>
      </c>
      <c r="Z90" s="79"/>
      <c r="AA90" s="187">
        <v>87</v>
      </c>
    </row>
    <row r="91" spans="2:27" s="188" customFormat="1" ht="20" x14ac:dyDescent="0.2">
      <c r="B91" s="11" t="s">
        <v>670</v>
      </c>
      <c r="C91" s="165" t="s">
        <v>4235</v>
      </c>
      <c r="D91" s="22" t="s">
        <v>2379</v>
      </c>
      <c r="E91" s="34">
        <v>1</v>
      </c>
      <c r="F91" s="22" t="s">
        <v>2223</v>
      </c>
      <c r="G91" s="88">
        <v>21</v>
      </c>
      <c r="H91" s="235">
        <f t="shared" si="12"/>
        <v>12.962962962962962</v>
      </c>
      <c r="I91" s="88">
        <v>21</v>
      </c>
      <c r="J91" s="235">
        <f t="shared" si="13"/>
        <v>12.962962962962962</v>
      </c>
      <c r="K91" s="201">
        <v>500</v>
      </c>
      <c r="L91" s="252">
        <f>_xlfn.XLOOKUP($K91,Inputs!$C$6:$C$23,Inputs!$D$6:$D$23)*$I91</f>
        <v>8.2949999999999999</v>
      </c>
      <c r="M91" s="68"/>
      <c r="N91" s="68"/>
      <c r="O91" s="187"/>
      <c r="P91" s="187"/>
      <c r="Q91" s="94">
        <v>0.9</v>
      </c>
      <c r="R91" s="68">
        <f>IF((42.4*(J91)^(-0.6595))&gt;=3,3,(IF(42.4*(J91)^(-0.6595)&lt;=0.5,0.5,(42.4*(J91)^(-0.6595)))))</f>
        <v>3</v>
      </c>
      <c r="S91" s="276">
        <f>_xlfn.XLOOKUP($K91,Inputs!$G$6:$G$23,Inputs!J$6:J$23)*$R91</f>
        <v>2550</v>
      </c>
      <c r="T91" s="276">
        <f>_xlfn.XLOOKUP($K91,Inputs!$G$6:$G$23,Inputs!K$6:K$23)*$R91</f>
        <v>3225</v>
      </c>
      <c r="U91" s="96" t="s">
        <v>3609</v>
      </c>
      <c r="V91" s="22" t="s">
        <v>2897</v>
      </c>
      <c r="W91" s="96" t="s">
        <v>3611</v>
      </c>
      <c r="X91" s="22" t="s">
        <v>4352</v>
      </c>
      <c r="Y91" s="11" t="s">
        <v>3331</v>
      </c>
      <c r="Z91" s="79"/>
      <c r="AA91" s="187">
        <v>88</v>
      </c>
    </row>
    <row r="92" spans="2:27" s="184" customFormat="1" ht="20" x14ac:dyDescent="0.2">
      <c r="B92" s="11" t="s">
        <v>1783</v>
      </c>
      <c r="C92" s="165" t="s">
        <v>4236</v>
      </c>
      <c r="D92" s="22" t="s">
        <v>2379</v>
      </c>
      <c r="E92" s="34">
        <v>1</v>
      </c>
      <c r="F92" s="22" t="s">
        <v>2223</v>
      </c>
      <c r="G92" s="88">
        <v>6.8</v>
      </c>
      <c r="H92" s="235">
        <f t="shared" si="12"/>
        <v>4.1975308641975309</v>
      </c>
      <c r="I92" s="88">
        <v>6.8</v>
      </c>
      <c r="J92" s="235">
        <f t="shared" si="13"/>
        <v>4.1975308641975309</v>
      </c>
      <c r="K92" s="215">
        <v>69</v>
      </c>
      <c r="L92" s="252">
        <f>_xlfn.XLOOKUP($K92,Inputs!$C$6:$C$23,Inputs!$D$6:$D$23)*$I92</f>
        <v>2.613142857142857</v>
      </c>
      <c r="M92" s="68"/>
      <c r="N92" s="68"/>
      <c r="O92" s="215">
        <v>66</v>
      </c>
      <c r="P92" s="215">
        <v>72</v>
      </c>
      <c r="Q92" s="94">
        <v>0.9</v>
      </c>
      <c r="R92" s="68" t="s">
        <v>115</v>
      </c>
      <c r="S92" s="182">
        <f>O92*Q92</f>
        <v>59.4</v>
      </c>
      <c r="T92" s="182">
        <f>P92*Q92</f>
        <v>64.8</v>
      </c>
      <c r="U92" s="96" t="s">
        <v>1784</v>
      </c>
      <c r="V92" s="22" t="s">
        <v>3095</v>
      </c>
      <c r="W92" s="96" t="s">
        <v>1735</v>
      </c>
      <c r="X92" s="22" t="s">
        <v>3085</v>
      </c>
      <c r="Y92" s="11" t="s">
        <v>4298</v>
      </c>
      <c r="Z92" s="79"/>
      <c r="AA92" s="187">
        <v>89</v>
      </c>
    </row>
    <row r="93" spans="2:27" s="189" customFormat="1" ht="20" x14ac:dyDescent="0.2">
      <c r="B93" s="11" t="s">
        <v>1768</v>
      </c>
      <c r="C93" s="165" t="s">
        <v>4236</v>
      </c>
      <c r="D93" s="22" t="s">
        <v>2379</v>
      </c>
      <c r="E93" s="34">
        <v>1</v>
      </c>
      <c r="F93" s="22" t="s">
        <v>2223</v>
      </c>
      <c r="G93" s="88">
        <v>3.9099999999999997</v>
      </c>
      <c r="H93" s="235">
        <f t="shared" si="12"/>
        <v>2.4135802469135799</v>
      </c>
      <c r="I93" s="88">
        <v>3.9099999999999997</v>
      </c>
      <c r="J93" s="235">
        <f t="shared" si="13"/>
        <v>2.4135802469135799</v>
      </c>
      <c r="K93" s="215">
        <v>138</v>
      </c>
      <c r="L93" s="252">
        <f>_xlfn.XLOOKUP($K93,Inputs!$C$6:$C$23,Inputs!$D$6:$D$23)*$I93</f>
        <v>1.6952642857142857</v>
      </c>
      <c r="M93" s="68"/>
      <c r="N93" s="68"/>
      <c r="O93" s="215">
        <v>161</v>
      </c>
      <c r="P93" s="215">
        <v>204</v>
      </c>
      <c r="Q93" s="94">
        <v>0.9</v>
      </c>
      <c r="R93" s="68" t="s">
        <v>115</v>
      </c>
      <c r="S93" s="182">
        <f>O93*Q93</f>
        <v>144.9</v>
      </c>
      <c r="T93" s="182">
        <f>P93*Q93</f>
        <v>183.6</v>
      </c>
      <c r="U93" s="96" t="s">
        <v>1769</v>
      </c>
      <c r="V93" s="22" t="s">
        <v>3092</v>
      </c>
      <c r="W93" s="96" t="s">
        <v>1735</v>
      </c>
      <c r="X93" s="205" t="s">
        <v>3085</v>
      </c>
      <c r="Y93" s="11" t="s">
        <v>4298</v>
      </c>
      <c r="Z93" s="79"/>
      <c r="AA93" s="187">
        <v>90</v>
      </c>
    </row>
    <row r="94" spans="2:27" s="189" customFormat="1" ht="20" x14ac:dyDescent="0.2">
      <c r="B94" s="11" t="s">
        <v>671</v>
      </c>
      <c r="C94" s="165" t="s">
        <v>4235</v>
      </c>
      <c r="D94" s="22" t="s">
        <v>2379</v>
      </c>
      <c r="E94" s="34">
        <v>1</v>
      </c>
      <c r="F94" s="22" t="s">
        <v>2223</v>
      </c>
      <c r="G94" s="235">
        <v>300</v>
      </c>
      <c r="H94" s="235">
        <f t="shared" si="12"/>
        <v>185.18518518518516</v>
      </c>
      <c r="I94" s="235">
        <v>300.85000000000002</v>
      </c>
      <c r="J94" s="235">
        <f t="shared" si="13"/>
        <v>185.70987654320987</v>
      </c>
      <c r="K94" s="201">
        <v>500</v>
      </c>
      <c r="L94" s="252">
        <f>_xlfn.XLOOKUP($K94,Inputs!$C$6:$C$23,Inputs!$D$6:$D$23)*$I94</f>
        <v>118.83575000000002</v>
      </c>
      <c r="M94" s="68"/>
      <c r="N94" s="68"/>
      <c r="O94" s="187"/>
      <c r="P94" s="187"/>
      <c r="Q94" s="94">
        <v>0.9</v>
      </c>
      <c r="R94" s="68">
        <f>IF((42.4*(J94)^(-0.6595))&gt;=3,3,(IF(42.4*(J94)^(-0.6595)&lt;=0.5,0.5,(42.4*(J94)^(-0.6595)))))</f>
        <v>1.3522879347904655</v>
      </c>
      <c r="S94" s="276">
        <f>_xlfn.XLOOKUP($K94,Inputs!$G$6:$G$23,Inputs!J$6:J$23)*$R94</f>
        <v>1149.4447445718956</v>
      </c>
      <c r="T94" s="276">
        <f>_xlfn.XLOOKUP($K94,Inputs!$G$6:$G$23,Inputs!K$6:K$23)*$R94</f>
        <v>1453.7095298997504</v>
      </c>
      <c r="U94" s="96" t="s">
        <v>3866</v>
      </c>
      <c r="V94" s="22" t="s">
        <v>3134</v>
      </c>
      <c r="W94" s="96" t="s">
        <v>3496</v>
      </c>
      <c r="X94" s="22" t="s">
        <v>2815</v>
      </c>
      <c r="Y94" s="11" t="s">
        <v>3331</v>
      </c>
      <c r="Z94" s="79"/>
      <c r="AA94" s="187">
        <v>91</v>
      </c>
    </row>
    <row r="95" spans="2:27" s="189" customFormat="1" ht="20" x14ac:dyDescent="0.2">
      <c r="B95" s="11" t="s">
        <v>671</v>
      </c>
      <c r="C95" s="165" t="s">
        <v>4235</v>
      </c>
      <c r="D95" s="22" t="s">
        <v>2379</v>
      </c>
      <c r="E95" s="34">
        <v>1</v>
      </c>
      <c r="F95" s="22" t="s">
        <v>2223</v>
      </c>
      <c r="G95" s="88">
        <v>0.85</v>
      </c>
      <c r="H95" s="235">
        <f t="shared" si="12"/>
        <v>0.52469135802469136</v>
      </c>
      <c r="I95" s="88">
        <v>300.85000000000002</v>
      </c>
      <c r="J95" s="235">
        <f t="shared" si="13"/>
        <v>185.70987654320987</v>
      </c>
      <c r="K95" s="201">
        <v>500</v>
      </c>
      <c r="L95" s="252">
        <f>_xlfn.XLOOKUP($K95,Inputs!$C$6:$C$23,Inputs!$D$6:$D$23)*$I95</f>
        <v>118.83575000000002</v>
      </c>
      <c r="M95" s="68"/>
      <c r="N95" s="68"/>
      <c r="O95" s="187"/>
      <c r="P95" s="187"/>
      <c r="Q95" s="94">
        <v>0.9</v>
      </c>
      <c r="R95" s="68">
        <f>IF((42.4*(J95)^(-0.6595))&gt;=3,3,(IF(42.4*(J95)^(-0.6595)&lt;=0.5,0.5,(42.4*(J95)^(-0.6595)))))</f>
        <v>1.3522879347904655</v>
      </c>
      <c r="S95" s="276">
        <f>_xlfn.XLOOKUP($K95,Inputs!$G$6:$G$23,Inputs!J$6:J$23)*$R95</f>
        <v>1149.4447445718956</v>
      </c>
      <c r="T95" s="276">
        <f>_xlfn.XLOOKUP($K95,Inputs!$G$6:$G$23,Inputs!K$6:K$23)*$R95</f>
        <v>1453.7095298997504</v>
      </c>
      <c r="U95" s="96" t="s">
        <v>3496</v>
      </c>
      <c r="V95" s="22" t="s">
        <v>2815</v>
      </c>
      <c r="W95" s="96" t="s">
        <v>3676</v>
      </c>
      <c r="X95" s="22" t="s">
        <v>2949</v>
      </c>
      <c r="Y95" s="11" t="s">
        <v>3331</v>
      </c>
      <c r="Z95" s="79"/>
      <c r="AA95" s="187">
        <v>92</v>
      </c>
    </row>
    <row r="96" spans="2:27" s="189" customFormat="1" ht="20" x14ac:dyDescent="0.2">
      <c r="B96" s="11" t="s">
        <v>1218</v>
      </c>
      <c r="C96" s="165" t="s">
        <v>4235</v>
      </c>
      <c r="D96" s="22" t="s">
        <v>2379</v>
      </c>
      <c r="E96" s="34">
        <v>1</v>
      </c>
      <c r="F96" s="22" t="s">
        <v>2223</v>
      </c>
      <c r="G96" s="88">
        <v>15</v>
      </c>
      <c r="H96" s="235">
        <f t="shared" si="12"/>
        <v>9.2592592592592595</v>
      </c>
      <c r="I96" s="88">
        <v>45</v>
      </c>
      <c r="J96" s="235">
        <f t="shared" si="13"/>
        <v>27.777777777777775</v>
      </c>
      <c r="K96" s="215">
        <v>69</v>
      </c>
      <c r="L96" s="252">
        <f>_xlfn.XLOOKUP($K96,Inputs!$C$6:$C$23,Inputs!$D$6:$D$23)*$I96</f>
        <v>17.292857142857144</v>
      </c>
      <c r="M96" s="68"/>
      <c r="N96" s="68"/>
      <c r="O96" s="215">
        <v>29</v>
      </c>
      <c r="P96" s="215">
        <v>36</v>
      </c>
      <c r="Q96" s="94">
        <v>0.9</v>
      </c>
      <c r="R96" s="68" t="s">
        <v>115</v>
      </c>
      <c r="S96" s="182">
        <f>O96*Q96</f>
        <v>26.1</v>
      </c>
      <c r="T96" s="182">
        <f>P96*Q96</f>
        <v>32.4</v>
      </c>
      <c r="U96" s="96" t="s">
        <v>3902</v>
      </c>
      <c r="V96" s="22" t="s">
        <v>3163</v>
      </c>
      <c r="W96" s="96" t="s">
        <v>4000</v>
      </c>
      <c r="X96" s="22" t="s">
        <v>2096</v>
      </c>
      <c r="Y96" s="11" t="s">
        <v>3280</v>
      </c>
      <c r="Z96" s="79"/>
      <c r="AA96" s="187">
        <v>93</v>
      </c>
    </row>
    <row r="97" spans="2:27" s="189" customFormat="1" ht="20" x14ac:dyDescent="0.2">
      <c r="B97" s="11" t="s">
        <v>1218</v>
      </c>
      <c r="C97" s="165" t="s">
        <v>4235</v>
      </c>
      <c r="D97" s="22" t="s">
        <v>2379</v>
      </c>
      <c r="E97" s="34">
        <v>1</v>
      </c>
      <c r="F97" s="22" t="s">
        <v>2223</v>
      </c>
      <c r="G97" s="88">
        <v>30</v>
      </c>
      <c r="H97" s="235">
        <f t="shared" si="12"/>
        <v>18.518518518518519</v>
      </c>
      <c r="I97" s="88">
        <v>45</v>
      </c>
      <c r="J97" s="235">
        <f t="shared" si="13"/>
        <v>27.777777777777775</v>
      </c>
      <c r="K97" s="201">
        <v>72</v>
      </c>
      <c r="L97" s="252">
        <f>_xlfn.XLOOKUP($K97,Inputs!$C$6:$C$23,Inputs!$D$6:$D$23)*$I97</f>
        <v>17.389285714285716</v>
      </c>
      <c r="M97" s="68"/>
      <c r="N97" s="68"/>
      <c r="O97" s="187"/>
      <c r="P97" s="187"/>
      <c r="Q97" s="94">
        <v>0.9</v>
      </c>
      <c r="R97" s="68">
        <f>IF((42.4*(J97)^(-0.6595))&gt;=3,3,(IF(42.4*(J97)^(-0.6595)&lt;=0.5,0.5,(42.4*(J97)^(-0.6595)))))</f>
        <v>3</v>
      </c>
      <c r="S97" s="276">
        <f>_xlfn.XLOOKUP($K97,Inputs!$G$6:$G$23,Inputs!J$6:J$23)*$R97</f>
        <v>38.880000000000003</v>
      </c>
      <c r="T97" s="276">
        <f>_xlfn.XLOOKUP($K97,Inputs!$G$6:$G$23,Inputs!K$6:K$23)*$R97</f>
        <v>42.491803278688522</v>
      </c>
      <c r="U97" s="96" t="s">
        <v>4000</v>
      </c>
      <c r="V97" s="22" t="s">
        <v>2096</v>
      </c>
      <c r="W97" s="96" t="s">
        <v>3654</v>
      </c>
      <c r="X97" s="22" t="s">
        <v>2688</v>
      </c>
      <c r="Y97" s="11" t="s">
        <v>3331</v>
      </c>
      <c r="Z97" s="79"/>
      <c r="AA97" s="187">
        <v>94</v>
      </c>
    </row>
    <row r="98" spans="2:27" s="184" customFormat="1" ht="20" x14ac:dyDescent="0.2">
      <c r="B98" s="11" t="s">
        <v>673</v>
      </c>
      <c r="C98" s="165" t="s">
        <v>4237</v>
      </c>
      <c r="D98" s="22" t="s">
        <v>2379</v>
      </c>
      <c r="E98" s="34">
        <v>1</v>
      </c>
      <c r="F98" s="22" t="s">
        <v>2223</v>
      </c>
      <c r="G98" s="235">
        <v>360</v>
      </c>
      <c r="H98" s="235">
        <f t="shared" si="12"/>
        <v>222.2222222222222</v>
      </c>
      <c r="I98" s="235">
        <v>360</v>
      </c>
      <c r="J98" s="235">
        <f t="shared" si="13"/>
        <v>222.2222222222222</v>
      </c>
      <c r="K98" s="201">
        <v>500</v>
      </c>
      <c r="L98" s="252">
        <f>_xlfn.XLOOKUP($K98,Inputs!$C$6:$C$23,Inputs!$D$6:$D$23)*$I98</f>
        <v>142.20000000000002</v>
      </c>
      <c r="M98" s="68"/>
      <c r="N98" s="68"/>
      <c r="O98" s="187"/>
      <c r="P98" s="187"/>
      <c r="Q98" s="94">
        <v>0.9</v>
      </c>
      <c r="R98" s="68">
        <f>IF((42.4*(J98)^(-0.6595))&gt;=3,3,(IF(42.4*(J98)^(-0.6595)&lt;=0.5,0.5,(42.4*(J98)^(-0.6595)))))</f>
        <v>1.2013222184627415</v>
      </c>
      <c r="S98" s="276">
        <f>_xlfn.XLOOKUP($K98,Inputs!$G$6:$G$23,Inputs!J$6:J$23)*$R98</f>
        <v>1021.1238856933302</v>
      </c>
      <c r="T98" s="276">
        <f>_xlfn.XLOOKUP($K98,Inputs!$G$6:$G$23,Inputs!K$6:K$23)*$R98</f>
        <v>1291.4213848474471</v>
      </c>
      <c r="U98" s="96" t="s">
        <v>3611</v>
      </c>
      <c r="V98" s="22" t="s">
        <v>4352</v>
      </c>
      <c r="W98" s="96" t="s">
        <v>3743</v>
      </c>
      <c r="X98" s="22" t="s">
        <v>3001</v>
      </c>
      <c r="Y98" s="11" t="s">
        <v>3331</v>
      </c>
      <c r="Z98" s="79"/>
      <c r="AA98" s="187">
        <v>95</v>
      </c>
    </row>
    <row r="99" spans="2:27" s="184" customFormat="1" ht="20" x14ac:dyDescent="0.2">
      <c r="B99" s="11" t="s">
        <v>1738</v>
      </c>
      <c r="C99" s="165" t="s">
        <v>4236</v>
      </c>
      <c r="D99" s="22" t="s">
        <v>2379</v>
      </c>
      <c r="E99" s="34">
        <v>1</v>
      </c>
      <c r="F99" s="22" t="s">
        <v>2223</v>
      </c>
      <c r="G99" s="88">
        <v>10.199999999999999</v>
      </c>
      <c r="H99" s="235">
        <f t="shared" si="12"/>
        <v>6.2962962962962958</v>
      </c>
      <c r="I99" s="88">
        <v>10.199999999999999</v>
      </c>
      <c r="J99" s="235">
        <f t="shared" si="13"/>
        <v>6.2962962962962958</v>
      </c>
      <c r="K99" s="215">
        <v>138</v>
      </c>
      <c r="L99" s="252">
        <f>_xlfn.XLOOKUP($K99,Inputs!$C$6:$C$23,Inputs!$D$6:$D$23)*$I99</f>
        <v>4.4224285714285712</v>
      </c>
      <c r="M99" s="68"/>
      <c r="N99" s="68"/>
      <c r="O99" s="215">
        <v>176</v>
      </c>
      <c r="P99" s="215">
        <v>215</v>
      </c>
      <c r="Q99" s="94">
        <v>0.9</v>
      </c>
      <c r="R99" s="68" t="s">
        <v>115</v>
      </c>
      <c r="S99" s="182">
        <f t="shared" ref="S99:S115" si="16">O99*Q99</f>
        <v>158.4</v>
      </c>
      <c r="T99" s="182">
        <f t="shared" ref="T99:T115" si="17">P99*Q99</f>
        <v>193.5</v>
      </c>
      <c r="U99" s="96" t="s">
        <v>461</v>
      </c>
      <c r="V99" s="22" t="s">
        <v>2643</v>
      </c>
      <c r="W99" s="96" t="s">
        <v>1737</v>
      </c>
      <c r="X99" s="22" t="s">
        <v>3086</v>
      </c>
      <c r="Y99" s="11" t="s">
        <v>4298</v>
      </c>
      <c r="Z99" s="79"/>
      <c r="AA99" s="187">
        <v>96</v>
      </c>
    </row>
    <row r="100" spans="2:27" s="184" customFormat="1" ht="20" x14ac:dyDescent="0.2">
      <c r="B100" s="11" t="s">
        <v>1790</v>
      </c>
      <c r="C100" s="165" t="s">
        <v>4236</v>
      </c>
      <c r="D100" s="22" t="s">
        <v>2379</v>
      </c>
      <c r="E100" s="34">
        <v>1</v>
      </c>
      <c r="F100" s="22" t="s">
        <v>2223</v>
      </c>
      <c r="G100" s="88">
        <v>8.5</v>
      </c>
      <c r="H100" s="235">
        <f t="shared" si="12"/>
        <v>5.2469135802469129</v>
      </c>
      <c r="I100" s="88">
        <v>8.5</v>
      </c>
      <c r="J100" s="235">
        <f t="shared" si="13"/>
        <v>5.2469135802469129</v>
      </c>
      <c r="K100" s="215">
        <v>69</v>
      </c>
      <c r="L100" s="252">
        <f>_xlfn.XLOOKUP($K100,Inputs!$C$6:$C$23,Inputs!$D$6:$D$23)*$I100</f>
        <v>3.2664285714285715</v>
      </c>
      <c r="M100" s="68"/>
      <c r="N100" s="68"/>
      <c r="O100" s="215">
        <v>72</v>
      </c>
      <c r="P100" s="215">
        <v>72</v>
      </c>
      <c r="Q100" s="94">
        <v>0.9</v>
      </c>
      <c r="R100" s="68" t="s">
        <v>115</v>
      </c>
      <c r="S100" s="182">
        <f t="shared" si="16"/>
        <v>64.8</v>
      </c>
      <c r="T100" s="182">
        <f t="shared" si="17"/>
        <v>64.8</v>
      </c>
      <c r="U100" s="96" t="s">
        <v>1792</v>
      </c>
      <c r="V100" s="22" t="s">
        <v>3087</v>
      </c>
      <c r="W100" s="96" t="s">
        <v>1741</v>
      </c>
      <c r="X100" s="22" t="s">
        <v>3091</v>
      </c>
      <c r="Y100" s="11" t="s">
        <v>4298</v>
      </c>
      <c r="Z100" s="79"/>
      <c r="AA100" s="187">
        <v>97</v>
      </c>
    </row>
    <row r="101" spans="2:27" s="189" customFormat="1" ht="20" x14ac:dyDescent="0.2">
      <c r="B101" s="11" t="s">
        <v>1791</v>
      </c>
      <c r="C101" s="165" t="s">
        <v>4236</v>
      </c>
      <c r="D101" s="22" t="s">
        <v>2379</v>
      </c>
      <c r="E101" s="34">
        <v>1</v>
      </c>
      <c r="F101" s="22" t="s">
        <v>2223</v>
      </c>
      <c r="G101" s="88">
        <v>5.0999999999999996</v>
      </c>
      <c r="H101" s="235">
        <f t="shared" si="12"/>
        <v>3.1481481481481479</v>
      </c>
      <c r="I101" s="88">
        <v>5.0999999999999996</v>
      </c>
      <c r="J101" s="235">
        <f t="shared" si="13"/>
        <v>3.1481481481481479</v>
      </c>
      <c r="K101" s="215">
        <v>69</v>
      </c>
      <c r="L101" s="252">
        <f>_xlfn.XLOOKUP($K101,Inputs!$C$6:$C$23,Inputs!$D$6:$D$23)*$I101</f>
        <v>1.9598571428571427</v>
      </c>
      <c r="M101" s="68"/>
      <c r="N101" s="68"/>
      <c r="O101" s="215">
        <v>72</v>
      </c>
      <c r="P101" s="215">
        <v>72</v>
      </c>
      <c r="Q101" s="94">
        <v>0.9</v>
      </c>
      <c r="R101" s="68" t="s">
        <v>115</v>
      </c>
      <c r="S101" s="182">
        <f t="shared" si="16"/>
        <v>64.8</v>
      </c>
      <c r="T101" s="182">
        <f t="shared" si="17"/>
        <v>64.8</v>
      </c>
      <c r="U101" s="96" t="s">
        <v>1792</v>
      </c>
      <c r="V101" s="22" t="s">
        <v>3087</v>
      </c>
      <c r="W101" s="96" t="s">
        <v>1786</v>
      </c>
      <c r="X101" s="22" t="s">
        <v>3088</v>
      </c>
      <c r="Y101" s="11" t="s">
        <v>4298</v>
      </c>
      <c r="Z101" s="79"/>
      <c r="AA101" s="187">
        <v>98</v>
      </c>
    </row>
    <row r="102" spans="2:27" s="189" customFormat="1" ht="20" x14ac:dyDescent="0.2">
      <c r="B102" s="11" t="s">
        <v>1673</v>
      </c>
      <c r="C102" s="165" t="s">
        <v>4235</v>
      </c>
      <c r="D102" s="22" t="s">
        <v>2379</v>
      </c>
      <c r="E102" s="34">
        <v>1</v>
      </c>
      <c r="F102" s="22" t="s">
        <v>2223</v>
      </c>
      <c r="G102" s="88">
        <v>28</v>
      </c>
      <c r="H102" s="235">
        <f t="shared" si="12"/>
        <v>17.283950617283949</v>
      </c>
      <c r="I102" s="88">
        <v>45.5</v>
      </c>
      <c r="J102" s="235">
        <f t="shared" si="13"/>
        <v>28.086419753086417</v>
      </c>
      <c r="K102" s="215">
        <v>138</v>
      </c>
      <c r="L102" s="252">
        <f>_xlfn.XLOOKUP($K102,Inputs!$C$6:$C$23,Inputs!$D$6:$D$23)*$I102</f>
        <v>19.727500000000003</v>
      </c>
      <c r="M102" s="68"/>
      <c r="N102" s="68"/>
      <c r="O102" s="215">
        <v>173</v>
      </c>
      <c r="P102" s="215">
        <v>250</v>
      </c>
      <c r="Q102" s="94">
        <v>0.9</v>
      </c>
      <c r="R102" s="68" t="s">
        <v>115</v>
      </c>
      <c r="S102" s="182">
        <f t="shared" si="16"/>
        <v>155.70000000000002</v>
      </c>
      <c r="T102" s="182">
        <f t="shared" si="17"/>
        <v>225</v>
      </c>
      <c r="U102" s="96" t="s">
        <v>3818</v>
      </c>
      <c r="V102" s="22" t="s">
        <v>3064</v>
      </c>
      <c r="W102" s="96" t="s">
        <v>3959</v>
      </c>
      <c r="X102" s="22" t="s">
        <v>2097</v>
      </c>
      <c r="Y102" s="11" t="s">
        <v>3296</v>
      </c>
      <c r="Z102" s="79"/>
      <c r="AA102" s="187">
        <v>99</v>
      </c>
    </row>
    <row r="103" spans="2:27" s="188" customFormat="1" ht="20" x14ac:dyDescent="0.2">
      <c r="B103" s="11" t="s">
        <v>1673</v>
      </c>
      <c r="C103" s="165" t="s">
        <v>4235</v>
      </c>
      <c r="D103" s="22" t="s">
        <v>2379</v>
      </c>
      <c r="E103" s="34">
        <v>1</v>
      </c>
      <c r="F103" s="22" t="s">
        <v>2223</v>
      </c>
      <c r="G103" s="88">
        <v>17.5</v>
      </c>
      <c r="H103" s="235">
        <f t="shared" si="12"/>
        <v>10.802469135802468</v>
      </c>
      <c r="I103" s="88">
        <v>45.5</v>
      </c>
      <c r="J103" s="235">
        <f t="shared" si="13"/>
        <v>28.086419753086417</v>
      </c>
      <c r="K103" s="215">
        <v>138</v>
      </c>
      <c r="L103" s="252">
        <f>_xlfn.XLOOKUP($K103,Inputs!$C$6:$C$23,Inputs!$D$6:$D$23)*$I103</f>
        <v>19.727500000000003</v>
      </c>
      <c r="M103" s="68"/>
      <c r="N103" s="68"/>
      <c r="O103" s="215">
        <v>143</v>
      </c>
      <c r="P103" s="215">
        <v>172</v>
      </c>
      <c r="Q103" s="94">
        <v>0.9</v>
      </c>
      <c r="R103" s="68" t="s">
        <v>115</v>
      </c>
      <c r="S103" s="182">
        <f t="shared" si="16"/>
        <v>128.70000000000002</v>
      </c>
      <c r="T103" s="182">
        <f t="shared" si="17"/>
        <v>154.80000000000001</v>
      </c>
      <c r="U103" s="96" t="s">
        <v>3959</v>
      </c>
      <c r="V103" s="22" t="s">
        <v>2097</v>
      </c>
      <c r="W103" s="96" t="s">
        <v>3579</v>
      </c>
      <c r="X103" s="22" t="s">
        <v>2675</v>
      </c>
      <c r="Y103" s="11" t="s">
        <v>3296</v>
      </c>
      <c r="Z103" s="79"/>
      <c r="AA103" s="187">
        <v>100</v>
      </c>
    </row>
    <row r="104" spans="2:27" s="189" customFormat="1" ht="20" x14ac:dyDescent="0.2">
      <c r="B104" s="11" t="s">
        <v>1675</v>
      </c>
      <c r="C104" s="165" t="s">
        <v>4235</v>
      </c>
      <c r="D104" s="22" t="s">
        <v>2379</v>
      </c>
      <c r="E104" s="34">
        <v>1</v>
      </c>
      <c r="F104" s="22" t="s">
        <v>2223</v>
      </c>
      <c r="G104" s="88">
        <v>7</v>
      </c>
      <c r="H104" s="235">
        <f t="shared" si="12"/>
        <v>4.3209876543209873</v>
      </c>
      <c r="I104" s="88">
        <v>7</v>
      </c>
      <c r="J104" s="235">
        <f t="shared" si="13"/>
        <v>4.3209876543209873</v>
      </c>
      <c r="K104" s="215">
        <v>138</v>
      </c>
      <c r="L104" s="252">
        <f>_xlfn.XLOOKUP($K104,Inputs!$C$6:$C$23,Inputs!$D$6:$D$23)*$I104</f>
        <v>3.0350000000000001</v>
      </c>
      <c r="M104" s="68"/>
      <c r="N104" s="68"/>
      <c r="O104" s="215">
        <v>98</v>
      </c>
      <c r="P104" s="215">
        <v>132</v>
      </c>
      <c r="Q104" s="94">
        <v>0.9</v>
      </c>
      <c r="R104" s="68" t="s">
        <v>115</v>
      </c>
      <c r="S104" s="182">
        <f t="shared" si="16"/>
        <v>88.2</v>
      </c>
      <c r="T104" s="182">
        <f t="shared" si="17"/>
        <v>118.8</v>
      </c>
      <c r="U104" s="96" t="s">
        <v>3959</v>
      </c>
      <c r="V104" s="205" t="s">
        <v>2097</v>
      </c>
      <c r="W104" s="96" t="s">
        <v>3648</v>
      </c>
      <c r="X104" s="22" t="s">
        <v>2924</v>
      </c>
      <c r="Y104" s="11" t="s">
        <v>3296</v>
      </c>
      <c r="Z104" s="79"/>
      <c r="AA104" s="187">
        <v>101</v>
      </c>
    </row>
    <row r="105" spans="2:27" s="184" customFormat="1" ht="20" x14ac:dyDescent="0.2">
      <c r="B105" s="11" t="s">
        <v>2016</v>
      </c>
      <c r="C105" s="165" t="s">
        <v>4235</v>
      </c>
      <c r="D105" s="22" t="s">
        <v>2379</v>
      </c>
      <c r="E105" s="34">
        <v>1</v>
      </c>
      <c r="F105" s="22" t="s">
        <v>2223</v>
      </c>
      <c r="G105" s="235">
        <v>55</v>
      </c>
      <c r="H105" s="235">
        <f t="shared" si="12"/>
        <v>33.950617283950614</v>
      </c>
      <c r="I105" s="235">
        <v>65</v>
      </c>
      <c r="J105" s="235">
        <f t="shared" si="13"/>
        <v>40.123456790123456</v>
      </c>
      <c r="K105" s="215">
        <v>138</v>
      </c>
      <c r="L105" s="252">
        <f>_xlfn.XLOOKUP($K105,Inputs!$C$6:$C$23,Inputs!$D$6:$D$23)*$I105</f>
        <v>28.18214285714286</v>
      </c>
      <c r="M105" s="68"/>
      <c r="N105" s="68"/>
      <c r="O105" s="215">
        <v>126</v>
      </c>
      <c r="P105" s="215">
        <v>169</v>
      </c>
      <c r="Q105" s="94">
        <v>0.9</v>
      </c>
      <c r="R105" s="68" t="s">
        <v>115</v>
      </c>
      <c r="S105" s="182">
        <f t="shared" si="16"/>
        <v>113.4</v>
      </c>
      <c r="T105" s="182">
        <f t="shared" si="17"/>
        <v>152.1</v>
      </c>
      <c r="U105" s="96" t="s">
        <v>3902</v>
      </c>
      <c r="V105" s="22" t="s">
        <v>3163</v>
      </c>
      <c r="W105" s="96" t="s">
        <v>4003</v>
      </c>
      <c r="X105" s="22" t="s">
        <v>2098</v>
      </c>
      <c r="Y105" s="11" t="s">
        <v>3280</v>
      </c>
      <c r="Z105" s="79"/>
      <c r="AA105" s="187">
        <v>102</v>
      </c>
    </row>
    <row r="106" spans="2:27" s="184" customFormat="1" ht="20" x14ac:dyDescent="0.2">
      <c r="B106" s="11" t="s">
        <v>2016</v>
      </c>
      <c r="C106" s="165" t="s">
        <v>4235</v>
      </c>
      <c r="D106" s="22" t="s">
        <v>2379</v>
      </c>
      <c r="E106" s="34">
        <v>1</v>
      </c>
      <c r="F106" s="22" t="s">
        <v>2223</v>
      </c>
      <c r="G106" s="88">
        <v>10</v>
      </c>
      <c r="H106" s="235">
        <f t="shared" si="12"/>
        <v>6.1728395061728394</v>
      </c>
      <c r="I106" s="88">
        <v>65</v>
      </c>
      <c r="J106" s="235">
        <f t="shared" si="13"/>
        <v>40.123456790123456</v>
      </c>
      <c r="K106" s="215">
        <v>138</v>
      </c>
      <c r="L106" s="252">
        <f>_xlfn.XLOOKUP($K106,Inputs!$C$6:$C$23,Inputs!$D$6:$D$23)*$I106</f>
        <v>28.18214285714286</v>
      </c>
      <c r="M106" s="68"/>
      <c r="N106" s="68"/>
      <c r="O106" s="215">
        <v>126</v>
      </c>
      <c r="P106" s="215">
        <v>169</v>
      </c>
      <c r="Q106" s="94">
        <v>0.9</v>
      </c>
      <c r="R106" s="68" t="s">
        <v>115</v>
      </c>
      <c r="S106" s="182">
        <f t="shared" si="16"/>
        <v>113.4</v>
      </c>
      <c r="T106" s="182">
        <f t="shared" si="17"/>
        <v>152.1</v>
      </c>
      <c r="U106" s="96" t="s">
        <v>4003</v>
      </c>
      <c r="V106" s="22" t="s">
        <v>2098</v>
      </c>
      <c r="W106" s="96" t="s">
        <v>3544</v>
      </c>
      <c r="X106" s="22" t="s">
        <v>2848</v>
      </c>
      <c r="Y106" s="11" t="s">
        <v>3280</v>
      </c>
      <c r="Z106" s="79"/>
      <c r="AA106" s="187">
        <v>103</v>
      </c>
    </row>
    <row r="107" spans="2:27" ht="20" x14ac:dyDescent="0.2">
      <c r="B107" s="11" t="s">
        <v>1213</v>
      </c>
      <c r="C107" s="165" t="s">
        <v>4235</v>
      </c>
      <c r="D107" s="22" t="s">
        <v>2379</v>
      </c>
      <c r="E107" s="34">
        <v>1</v>
      </c>
      <c r="F107" s="22" t="s">
        <v>2223</v>
      </c>
      <c r="G107" s="88">
        <v>10</v>
      </c>
      <c r="H107" s="235">
        <f t="shared" si="12"/>
        <v>6.1728395061728394</v>
      </c>
      <c r="I107" s="88">
        <v>10</v>
      </c>
      <c r="J107" s="235">
        <f t="shared" si="13"/>
        <v>6.1728395061728394</v>
      </c>
      <c r="K107" s="216">
        <v>138</v>
      </c>
      <c r="L107" s="252">
        <f>_xlfn.XLOOKUP($K107,Inputs!$C$6:$C$23,Inputs!$D$6:$D$23)*$I107</f>
        <v>4.3357142857142863</v>
      </c>
      <c r="M107" s="68"/>
      <c r="N107" s="68"/>
      <c r="O107" s="216">
        <v>121</v>
      </c>
      <c r="P107" s="216">
        <v>149</v>
      </c>
      <c r="Q107" s="94">
        <v>0.9</v>
      </c>
      <c r="R107" s="68" t="s">
        <v>115</v>
      </c>
      <c r="S107" s="182">
        <f t="shared" si="16"/>
        <v>108.9</v>
      </c>
      <c r="T107" s="182">
        <f t="shared" si="17"/>
        <v>134.1</v>
      </c>
      <c r="U107" s="96" t="s">
        <v>4003</v>
      </c>
      <c r="V107" s="22" t="s">
        <v>2098</v>
      </c>
      <c r="W107" s="96" t="s">
        <v>3871</v>
      </c>
      <c r="X107" s="22" t="s">
        <v>3266</v>
      </c>
      <c r="Y107" s="11" t="s">
        <v>3280</v>
      </c>
      <c r="Z107" s="79"/>
      <c r="AA107" s="187">
        <v>104</v>
      </c>
    </row>
    <row r="108" spans="2:27" ht="20" x14ac:dyDescent="0.2">
      <c r="B108" s="11" t="s">
        <v>2034</v>
      </c>
      <c r="C108" s="165" t="s">
        <v>4235</v>
      </c>
      <c r="D108" s="22" t="s">
        <v>2379</v>
      </c>
      <c r="E108" s="34">
        <v>1</v>
      </c>
      <c r="F108" s="22" t="s">
        <v>2223</v>
      </c>
      <c r="G108" s="88">
        <v>11.9</v>
      </c>
      <c r="H108" s="235">
        <f t="shared" si="12"/>
        <v>7.3456790123456788</v>
      </c>
      <c r="I108" s="88">
        <v>11.9</v>
      </c>
      <c r="J108" s="235">
        <f t="shared" si="13"/>
        <v>7.3456790123456788</v>
      </c>
      <c r="K108" s="215">
        <v>69</v>
      </c>
      <c r="L108" s="252">
        <f>_xlfn.XLOOKUP($K108,Inputs!$C$6:$C$23,Inputs!$D$6:$D$23)*$I108</f>
        <v>4.5730000000000004</v>
      </c>
      <c r="M108" s="68"/>
      <c r="N108" s="68"/>
      <c r="O108" s="215">
        <v>16</v>
      </c>
      <c r="P108" s="215">
        <v>20</v>
      </c>
      <c r="Q108" s="94">
        <v>0.9</v>
      </c>
      <c r="R108" s="68" t="s">
        <v>115</v>
      </c>
      <c r="S108" s="182">
        <f t="shared" si="16"/>
        <v>14.4</v>
      </c>
      <c r="T108" s="182">
        <f t="shared" si="17"/>
        <v>18</v>
      </c>
      <c r="U108" s="96" t="s">
        <v>3615</v>
      </c>
      <c r="V108" s="22" t="s">
        <v>2903</v>
      </c>
      <c r="W108" s="96" t="s">
        <v>3399</v>
      </c>
      <c r="X108" s="22" t="s">
        <v>2758</v>
      </c>
      <c r="Y108" s="11" t="s">
        <v>3285</v>
      </c>
      <c r="Z108" s="79"/>
      <c r="AA108" s="187">
        <v>105</v>
      </c>
    </row>
    <row r="109" spans="2:27" ht="20" x14ac:dyDescent="0.2">
      <c r="B109" s="11" t="s">
        <v>1787</v>
      </c>
      <c r="C109" s="165" t="s">
        <v>4236</v>
      </c>
      <c r="D109" s="22" t="s">
        <v>2379</v>
      </c>
      <c r="E109" s="34">
        <v>1</v>
      </c>
      <c r="F109" s="22" t="s">
        <v>2223</v>
      </c>
      <c r="G109" s="88">
        <v>3.4</v>
      </c>
      <c r="H109" s="235">
        <f t="shared" si="12"/>
        <v>2.0987654320987654</v>
      </c>
      <c r="I109" s="88">
        <v>3.4</v>
      </c>
      <c r="J109" s="235">
        <f t="shared" si="13"/>
        <v>2.0987654320987654</v>
      </c>
      <c r="K109" s="215">
        <v>69</v>
      </c>
      <c r="L109" s="252">
        <f>_xlfn.XLOOKUP($K109,Inputs!$C$6:$C$23,Inputs!$D$6:$D$23)*$I109</f>
        <v>1.3065714285714285</v>
      </c>
      <c r="M109" s="68"/>
      <c r="N109" s="68"/>
      <c r="O109" s="215">
        <v>72</v>
      </c>
      <c r="P109" s="215">
        <v>72</v>
      </c>
      <c r="Q109" s="94">
        <v>0.9</v>
      </c>
      <c r="R109" s="68" t="s">
        <v>115</v>
      </c>
      <c r="S109" s="182">
        <f t="shared" si="16"/>
        <v>64.8</v>
      </c>
      <c r="T109" s="182">
        <f t="shared" si="17"/>
        <v>64.8</v>
      </c>
      <c r="U109" s="96" t="s">
        <v>1788</v>
      </c>
      <c r="V109" s="22" t="s">
        <v>3101</v>
      </c>
      <c r="W109" s="96" t="s">
        <v>1786</v>
      </c>
      <c r="X109" s="22" t="s">
        <v>3088</v>
      </c>
      <c r="Y109" s="11" t="s">
        <v>4298</v>
      </c>
      <c r="Z109" s="79"/>
      <c r="AA109" s="187">
        <v>106</v>
      </c>
    </row>
    <row r="110" spans="2:27" ht="20" x14ac:dyDescent="0.2">
      <c r="B110" s="11" t="s">
        <v>1785</v>
      </c>
      <c r="C110" s="165" t="s">
        <v>4236</v>
      </c>
      <c r="D110" s="22" t="s">
        <v>2379</v>
      </c>
      <c r="E110" s="34">
        <v>1</v>
      </c>
      <c r="F110" s="22" t="s">
        <v>2223</v>
      </c>
      <c r="G110" s="88">
        <v>3.4</v>
      </c>
      <c r="H110" s="235">
        <f t="shared" si="12"/>
        <v>2.0987654320987654</v>
      </c>
      <c r="I110" s="88">
        <v>3.4</v>
      </c>
      <c r="J110" s="235">
        <f t="shared" si="13"/>
        <v>2.0987654320987654</v>
      </c>
      <c r="K110" s="215">
        <v>69</v>
      </c>
      <c r="L110" s="252">
        <f>_xlfn.XLOOKUP($K110,Inputs!$C$6:$C$23,Inputs!$D$6:$D$23)*$I110</f>
        <v>1.3065714285714285</v>
      </c>
      <c r="M110" s="68"/>
      <c r="N110" s="68"/>
      <c r="O110" s="215">
        <v>72</v>
      </c>
      <c r="P110" s="215">
        <v>72</v>
      </c>
      <c r="Q110" s="94">
        <v>0.9</v>
      </c>
      <c r="R110" s="68" t="s">
        <v>115</v>
      </c>
      <c r="S110" s="182">
        <f t="shared" si="16"/>
        <v>64.8</v>
      </c>
      <c r="T110" s="182">
        <f t="shared" si="17"/>
        <v>64.8</v>
      </c>
      <c r="U110" s="96" t="s">
        <v>1784</v>
      </c>
      <c r="V110" s="22" t="s">
        <v>3095</v>
      </c>
      <c r="W110" s="96" t="s">
        <v>1786</v>
      </c>
      <c r="X110" s="22" t="s">
        <v>3088</v>
      </c>
      <c r="Y110" s="11" t="s">
        <v>4298</v>
      </c>
      <c r="Z110" s="79"/>
      <c r="AA110" s="187">
        <v>107</v>
      </c>
    </row>
    <row r="111" spans="2:27" ht="20" x14ac:dyDescent="0.2">
      <c r="B111" s="11" t="s">
        <v>1789</v>
      </c>
      <c r="C111" s="165" t="s">
        <v>4236</v>
      </c>
      <c r="D111" s="22" t="s">
        <v>2379</v>
      </c>
      <c r="E111" s="34">
        <v>1</v>
      </c>
      <c r="F111" s="22" t="s">
        <v>2223</v>
      </c>
      <c r="G111" s="88">
        <v>5.95</v>
      </c>
      <c r="H111" s="235">
        <f t="shared" si="12"/>
        <v>3.6728395061728394</v>
      </c>
      <c r="I111" s="88">
        <v>5.95</v>
      </c>
      <c r="J111" s="235">
        <f t="shared" si="13"/>
        <v>3.6728395061728394</v>
      </c>
      <c r="K111" s="216">
        <v>69</v>
      </c>
      <c r="L111" s="252">
        <f>_xlfn.XLOOKUP($K111,Inputs!$C$6:$C$23,Inputs!$D$6:$D$23)*$I111</f>
        <v>2.2865000000000002</v>
      </c>
      <c r="M111" s="68"/>
      <c r="N111" s="68"/>
      <c r="O111" s="216">
        <v>72</v>
      </c>
      <c r="P111" s="216">
        <v>72</v>
      </c>
      <c r="Q111" s="94">
        <v>0.9</v>
      </c>
      <c r="R111" s="68" t="s">
        <v>115</v>
      </c>
      <c r="S111" s="182">
        <f t="shared" si="16"/>
        <v>64.8</v>
      </c>
      <c r="T111" s="182">
        <f t="shared" si="17"/>
        <v>64.8</v>
      </c>
      <c r="U111" s="96" t="s">
        <v>461</v>
      </c>
      <c r="V111" s="22" t="s">
        <v>2643</v>
      </c>
      <c r="W111" s="96" t="s">
        <v>1786</v>
      </c>
      <c r="X111" s="22" t="s">
        <v>3088</v>
      </c>
      <c r="Y111" s="11" t="s">
        <v>4298</v>
      </c>
      <c r="Z111" s="79"/>
      <c r="AA111" s="187">
        <v>108</v>
      </c>
    </row>
    <row r="112" spans="2:27" s="184" customFormat="1" ht="20" x14ac:dyDescent="0.2">
      <c r="B112" s="11" t="s">
        <v>1944</v>
      </c>
      <c r="C112" s="165" t="s">
        <v>4235</v>
      </c>
      <c r="D112" s="22" t="s">
        <v>2379</v>
      </c>
      <c r="E112" s="34">
        <v>1</v>
      </c>
      <c r="F112" s="22" t="s">
        <v>2223</v>
      </c>
      <c r="G112" s="235">
        <v>50</v>
      </c>
      <c r="H112" s="235">
        <f t="shared" si="12"/>
        <v>30.864197530864196</v>
      </c>
      <c r="I112" s="235">
        <v>50</v>
      </c>
      <c r="J112" s="235">
        <f t="shared" si="13"/>
        <v>30.864197530864196</v>
      </c>
      <c r="K112" s="215">
        <v>138</v>
      </c>
      <c r="L112" s="252">
        <f>_xlfn.XLOOKUP($K112,Inputs!$C$6:$C$23,Inputs!$D$6:$D$23)*$I112</f>
        <v>21.678571428571431</v>
      </c>
      <c r="M112" s="68"/>
      <c r="N112" s="68"/>
      <c r="O112" s="215">
        <v>117</v>
      </c>
      <c r="P112" s="215">
        <v>120</v>
      </c>
      <c r="Q112" s="94">
        <v>0.9</v>
      </c>
      <c r="R112" s="68" t="s">
        <v>115</v>
      </c>
      <c r="S112" s="182">
        <f t="shared" si="16"/>
        <v>105.3</v>
      </c>
      <c r="T112" s="182">
        <f t="shared" si="17"/>
        <v>108</v>
      </c>
      <c r="U112" s="96" t="s">
        <v>3901</v>
      </c>
      <c r="V112" s="22" t="s">
        <v>3162</v>
      </c>
      <c r="W112" s="96" t="s">
        <v>3787</v>
      </c>
      <c r="X112" s="22" t="s">
        <v>3038</v>
      </c>
      <c r="Y112" s="11" t="s">
        <v>3303</v>
      </c>
      <c r="Z112" s="79"/>
      <c r="AA112" s="187">
        <v>109</v>
      </c>
    </row>
    <row r="113" spans="2:27" s="184" customFormat="1" ht="20" x14ac:dyDescent="0.2">
      <c r="B113" s="11" t="s">
        <v>1729</v>
      </c>
      <c r="C113" s="165" t="s">
        <v>4236</v>
      </c>
      <c r="D113" s="22" t="s">
        <v>2379</v>
      </c>
      <c r="E113" s="34">
        <v>1</v>
      </c>
      <c r="F113" s="22" t="s">
        <v>2223</v>
      </c>
      <c r="G113" s="88">
        <v>4.25</v>
      </c>
      <c r="H113" s="235">
        <f t="shared" si="12"/>
        <v>2.6234567901234565</v>
      </c>
      <c r="I113" s="88">
        <v>4.25</v>
      </c>
      <c r="J113" s="235">
        <f t="shared" si="13"/>
        <v>2.6234567901234565</v>
      </c>
      <c r="K113" s="215">
        <v>138</v>
      </c>
      <c r="L113" s="252">
        <f>_xlfn.XLOOKUP($K113,Inputs!$C$6:$C$23,Inputs!$D$6:$D$23)*$I113</f>
        <v>1.8426785714285716</v>
      </c>
      <c r="M113" s="68"/>
      <c r="N113" s="68"/>
      <c r="O113" s="215">
        <v>287</v>
      </c>
      <c r="P113" s="215">
        <v>287</v>
      </c>
      <c r="Q113" s="94">
        <v>0.9</v>
      </c>
      <c r="R113" s="68" t="s">
        <v>115</v>
      </c>
      <c r="S113" s="182">
        <f t="shared" si="16"/>
        <v>258.3</v>
      </c>
      <c r="T113" s="182">
        <f t="shared" si="17"/>
        <v>258.3</v>
      </c>
      <c r="U113" s="96" t="s">
        <v>4248</v>
      </c>
      <c r="V113" s="22" t="s">
        <v>4249</v>
      </c>
      <c r="W113" s="96" t="s">
        <v>3886</v>
      </c>
      <c r="X113" s="22" t="s">
        <v>2631</v>
      </c>
      <c r="Y113" s="11" t="s">
        <v>3320</v>
      </c>
      <c r="Z113" s="79"/>
      <c r="AA113" s="187">
        <v>110</v>
      </c>
    </row>
    <row r="114" spans="2:27" s="184" customFormat="1" ht="20" x14ac:dyDescent="0.2">
      <c r="B114" s="11" t="s">
        <v>1880</v>
      </c>
      <c r="C114" s="165" t="s">
        <v>4235</v>
      </c>
      <c r="D114" s="22" t="s">
        <v>2379</v>
      </c>
      <c r="E114" s="34">
        <v>1</v>
      </c>
      <c r="F114" s="22" t="s">
        <v>2223</v>
      </c>
      <c r="G114" s="88">
        <v>38.5</v>
      </c>
      <c r="H114" s="235">
        <f t="shared" si="12"/>
        <v>23.76543209876543</v>
      </c>
      <c r="I114" s="88">
        <v>38.5</v>
      </c>
      <c r="J114" s="235">
        <f t="shared" si="13"/>
        <v>23.76543209876543</v>
      </c>
      <c r="K114" s="215">
        <v>69</v>
      </c>
      <c r="L114" s="252">
        <f>_xlfn.XLOOKUP($K114,Inputs!$C$6:$C$23,Inputs!$D$6:$D$23)*$I114</f>
        <v>14.795</v>
      </c>
      <c r="M114" s="68"/>
      <c r="N114" s="68"/>
      <c r="O114" s="215">
        <v>40</v>
      </c>
      <c r="P114" s="93">
        <f>O114*1.3</f>
        <v>52</v>
      </c>
      <c r="Q114" s="94">
        <v>0.9</v>
      </c>
      <c r="R114" s="68" t="s">
        <v>115</v>
      </c>
      <c r="S114" s="182">
        <f t="shared" si="16"/>
        <v>36</v>
      </c>
      <c r="T114" s="182">
        <f t="shared" si="17"/>
        <v>46.800000000000004</v>
      </c>
      <c r="U114" s="96" t="s">
        <v>3516</v>
      </c>
      <c r="V114" s="22" t="s">
        <v>2831</v>
      </c>
      <c r="W114" s="96" t="s">
        <v>3582</v>
      </c>
      <c r="X114" s="22" t="s">
        <v>2602</v>
      </c>
      <c r="Y114" s="11" t="s">
        <v>3325</v>
      </c>
      <c r="Z114" s="79"/>
      <c r="AA114" s="187">
        <v>111</v>
      </c>
    </row>
    <row r="115" spans="2:27" s="184" customFormat="1" ht="20" x14ac:dyDescent="0.2">
      <c r="B115" s="11" t="s">
        <v>1868</v>
      </c>
      <c r="C115" s="165" t="s">
        <v>4235</v>
      </c>
      <c r="D115" s="22" t="s">
        <v>2379</v>
      </c>
      <c r="E115" s="34">
        <v>1</v>
      </c>
      <c r="F115" s="22" t="s">
        <v>2223</v>
      </c>
      <c r="G115" s="235">
        <v>20</v>
      </c>
      <c r="H115" s="235">
        <f t="shared" si="12"/>
        <v>12.345679012345679</v>
      </c>
      <c r="I115" s="235">
        <v>20</v>
      </c>
      <c r="J115" s="235">
        <f t="shared" si="13"/>
        <v>12.345679012345679</v>
      </c>
      <c r="K115" s="215">
        <v>138</v>
      </c>
      <c r="L115" s="252">
        <f>_xlfn.XLOOKUP($K115,Inputs!$C$6:$C$23,Inputs!$D$6:$D$23)*$I115</f>
        <v>8.6714285714285726</v>
      </c>
      <c r="M115" s="68"/>
      <c r="N115" s="68"/>
      <c r="O115" s="215">
        <v>111</v>
      </c>
      <c r="P115" s="93">
        <f>O115*1.3</f>
        <v>144.30000000000001</v>
      </c>
      <c r="Q115" s="94">
        <v>0.9</v>
      </c>
      <c r="R115" s="68" t="s">
        <v>115</v>
      </c>
      <c r="S115" s="182">
        <f t="shared" si="16"/>
        <v>99.9</v>
      </c>
      <c r="T115" s="182">
        <f t="shared" si="17"/>
        <v>129.87</v>
      </c>
      <c r="U115" s="96" t="s">
        <v>3584</v>
      </c>
      <c r="V115" s="22" t="s">
        <v>2620</v>
      </c>
      <c r="W115" s="96" t="s">
        <v>3516</v>
      </c>
      <c r="X115" s="205" t="s">
        <v>2831</v>
      </c>
      <c r="Y115" s="11" t="s">
        <v>3325</v>
      </c>
      <c r="Z115" s="79"/>
      <c r="AA115" s="187">
        <v>112</v>
      </c>
    </row>
    <row r="116" spans="2:27" s="184" customFormat="1" ht="20" x14ac:dyDescent="0.2">
      <c r="B116" s="11" t="s">
        <v>1653</v>
      </c>
      <c r="C116" s="165" t="s">
        <v>4235</v>
      </c>
      <c r="D116" s="22" t="s">
        <v>2379</v>
      </c>
      <c r="E116" s="34">
        <v>1</v>
      </c>
      <c r="F116" s="22" t="s">
        <v>2223</v>
      </c>
      <c r="G116" s="88">
        <v>6</v>
      </c>
      <c r="H116" s="235">
        <f t="shared" si="12"/>
        <v>3.7037037037037033</v>
      </c>
      <c r="I116" s="88">
        <v>18</v>
      </c>
      <c r="J116" s="235">
        <f t="shared" si="13"/>
        <v>11.111111111111111</v>
      </c>
      <c r="K116" s="201">
        <v>144</v>
      </c>
      <c r="L116" s="252">
        <f>_xlfn.XLOOKUP($K116,Inputs!$C$6:$C$23,Inputs!$D$6:$D$23)*$I116</f>
        <v>7.8814285714285717</v>
      </c>
      <c r="M116" s="68"/>
      <c r="N116" s="68"/>
      <c r="O116" s="187"/>
      <c r="P116" s="187"/>
      <c r="Q116" s="94">
        <v>0.9</v>
      </c>
      <c r="R116" s="68">
        <f>IF((42.4*(J116)^(-0.6595))&gt;=3,3,(IF(42.4*(J116)^(-0.6595)&lt;=0.5,0.5,(42.4*(J116)^(-0.6595)))))</f>
        <v>3</v>
      </c>
      <c r="S116" s="276">
        <f>_xlfn.XLOOKUP($K116,Inputs!$G$6:$G$23,Inputs!J$6:J$23)*$R116</f>
        <v>153.60000000000002</v>
      </c>
      <c r="T116" s="276">
        <f>_xlfn.XLOOKUP($K116,Inputs!$G$6:$G$23,Inputs!K$6:K$23)*$R116</f>
        <v>169.96721311475409</v>
      </c>
      <c r="U116" s="96" t="s">
        <v>3644</v>
      </c>
      <c r="V116" s="22" t="s">
        <v>2921</v>
      </c>
      <c r="W116" s="96" t="s">
        <v>3998</v>
      </c>
      <c r="X116" s="22" t="s">
        <v>2099</v>
      </c>
      <c r="Y116" s="11" t="s">
        <v>3331</v>
      </c>
      <c r="Z116" s="79"/>
      <c r="AA116" s="187">
        <v>113</v>
      </c>
    </row>
    <row r="117" spans="2:27" s="184" customFormat="1" ht="20" x14ac:dyDescent="0.2">
      <c r="B117" s="11" t="s">
        <v>1653</v>
      </c>
      <c r="C117" s="165" t="s">
        <v>4235</v>
      </c>
      <c r="D117" s="22" t="s">
        <v>2379</v>
      </c>
      <c r="E117" s="34">
        <v>1</v>
      </c>
      <c r="F117" s="22" t="s">
        <v>2223</v>
      </c>
      <c r="G117" s="88">
        <v>12</v>
      </c>
      <c r="H117" s="235">
        <f t="shared" si="12"/>
        <v>7.4074074074074066</v>
      </c>
      <c r="I117" s="88">
        <v>18</v>
      </c>
      <c r="J117" s="235">
        <f t="shared" si="13"/>
        <v>11.111111111111111</v>
      </c>
      <c r="K117" s="201">
        <v>144</v>
      </c>
      <c r="L117" s="252">
        <f>_xlfn.XLOOKUP($K117,Inputs!$C$6:$C$23,Inputs!$D$6:$D$23)*$I117</f>
        <v>7.8814285714285717</v>
      </c>
      <c r="M117" s="68"/>
      <c r="N117" s="68"/>
      <c r="O117" s="198"/>
      <c r="P117" s="198"/>
      <c r="Q117" s="94">
        <v>0.9</v>
      </c>
      <c r="R117" s="68">
        <f>IF((42.4*(J117)^(-0.6595))&gt;=3,3,(IF(42.4*(J117)^(-0.6595)&lt;=0.5,0.5,(42.4*(J117)^(-0.6595)))))</f>
        <v>3</v>
      </c>
      <c r="S117" s="276">
        <f>_xlfn.XLOOKUP($K117,Inputs!$G$6:$G$23,Inputs!J$6:J$23)*$R117</f>
        <v>153.60000000000002</v>
      </c>
      <c r="T117" s="276">
        <f>_xlfn.XLOOKUP($K117,Inputs!$G$6:$G$23,Inputs!K$6:K$23)*$R117</f>
        <v>169.96721311475409</v>
      </c>
      <c r="U117" s="96" t="s">
        <v>3998</v>
      </c>
      <c r="V117" s="22" t="s">
        <v>2099</v>
      </c>
      <c r="W117" s="96" t="s">
        <v>3601</v>
      </c>
      <c r="X117" s="22" t="s">
        <v>4266</v>
      </c>
      <c r="Y117" s="11" t="s">
        <v>3331</v>
      </c>
      <c r="Z117" s="79"/>
      <c r="AA117" s="187">
        <v>114</v>
      </c>
    </row>
    <row r="118" spans="2:27" s="188" customFormat="1" ht="20" x14ac:dyDescent="0.2">
      <c r="B118" s="11" t="s">
        <v>1654</v>
      </c>
      <c r="C118" s="165" t="s">
        <v>4235</v>
      </c>
      <c r="D118" s="22" t="s">
        <v>2379</v>
      </c>
      <c r="E118" s="34">
        <v>1</v>
      </c>
      <c r="F118" s="22" t="s">
        <v>2223</v>
      </c>
      <c r="G118" s="88">
        <v>6</v>
      </c>
      <c r="H118" s="235">
        <f t="shared" si="12"/>
        <v>3.7037037037037033</v>
      </c>
      <c r="I118" s="88">
        <v>6</v>
      </c>
      <c r="J118" s="235">
        <f t="shared" si="13"/>
        <v>3.7037037037037033</v>
      </c>
      <c r="K118" s="201">
        <v>144</v>
      </c>
      <c r="L118" s="252">
        <f>_xlfn.XLOOKUP($K118,Inputs!$C$6:$C$23,Inputs!$D$6:$D$23)*$I118</f>
        <v>2.6271428571428572</v>
      </c>
      <c r="M118" s="68"/>
      <c r="N118" s="68"/>
      <c r="O118" s="187"/>
      <c r="P118" s="187"/>
      <c r="Q118" s="94">
        <v>0.9</v>
      </c>
      <c r="R118" s="68">
        <f>IF((42.4*(J118)^(-0.6595))&gt;=3,3,(IF(42.4*(J118)^(-0.6595)&lt;=0.5,0.5,(42.4*(J118)^(-0.6595)))))</f>
        <v>3</v>
      </c>
      <c r="S118" s="276">
        <f>_xlfn.XLOOKUP($K118,Inputs!$G$6:$G$23,Inputs!J$6:J$23)*$R118</f>
        <v>153.60000000000002</v>
      </c>
      <c r="T118" s="276">
        <f>_xlfn.XLOOKUP($K118,Inputs!$G$6:$G$23,Inputs!K$6:K$23)*$R118</f>
        <v>169.96721311475409</v>
      </c>
      <c r="U118" s="96" t="s">
        <v>3998</v>
      </c>
      <c r="V118" s="22" t="s">
        <v>2099</v>
      </c>
      <c r="W118" s="96" t="s">
        <v>3830</v>
      </c>
      <c r="X118" s="22" t="s">
        <v>2677</v>
      </c>
      <c r="Y118" s="11" t="s">
        <v>3331</v>
      </c>
      <c r="Z118" s="79"/>
      <c r="AA118" s="187">
        <v>115</v>
      </c>
    </row>
    <row r="119" spans="2:27" s="184" customFormat="1" ht="20" x14ac:dyDescent="0.2">
      <c r="B119" s="11" t="s">
        <v>1861</v>
      </c>
      <c r="C119" s="165" t="s">
        <v>4235</v>
      </c>
      <c r="D119" s="22" t="s">
        <v>2379</v>
      </c>
      <c r="E119" s="34">
        <v>1</v>
      </c>
      <c r="F119" s="22" t="s">
        <v>2223</v>
      </c>
      <c r="G119" s="88">
        <v>24.5</v>
      </c>
      <c r="H119" s="235">
        <f t="shared" si="12"/>
        <v>15.123456790123456</v>
      </c>
      <c r="I119" s="88">
        <v>24.5</v>
      </c>
      <c r="J119" s="235">
        <f t="shared" si="13"/>
        <v>15.123456790123456</v>
      </c>
      <c r="K119" s="216">
        <v>138</v>
      </c>
      <c r="L119" s="252">
        <f>_xlfn.XLOOKUP($K119,Inputs!$C$6:$C$23,Inputs!$D$6:$D$23)*$I119</f>
        <v>10.6225</v>
      </c>
      <c r="M119" s="68"/>
      <c r="N119" s="68"/>
      <c r="O119" s="216">
        <v>121</v>
      </c>
      <c r="P119" s="216">
        <v>148</v>
      </c>
      <c r="Q119" s="94">
        <v>0.9</v>
      </c>
      <c r="R119" s="68" t="s">
        <v>115</v>
      </c>
      <c r="S119" s="182">
        <f t="shared" ref="S119:S132" si="18">O119*Q119</f>
        <v>108.9</v>
      </c>
      <c r="T119" s="182">
        <f t="shared" ref="T119:T132" si="19">P119*Q119</f>
        <v>133.20000000000002</v>
      </c>
      <c r="U119" s="96" t="s">
        <v>3484</v>
      </c>
      <c r="V119" s="22" t="s">
        <v>2807</v>
      </c>
      <c r="W119" s="96" t="s">
        <v>3809</v>
      </c>
      <c r="X119" s="22" t="s">
        <v>3057</v>
      </c>
      <c r="Y119" s="11" t="s">
        <v>3307</v>
      </c>
      <c r="Z119" s="79"/>
      <c r="AA119" s="187">
        <v>116</v>
      </c>
    </row>
    <row r="120" spans="2:27" s="184" customFormat="1" ht="20" x14ac:dyDescent="0.2">
      <c r="B120" s="11" t="s">
        <v>1863</v>
      </c>
      <c r="C120" s="165" t="s">
        <v>4235</v>
      </c>
      <c r="D120" s="22" t="s">
        <v>2379</v>
      </c>
      <c r="E120" s="34">
        <v>1</v>
      </c>
      <c r="F120" s="22" t="s">
        <v>2223</v>
      </c>
      <c r="G120" s="88">
        <v>14</v>
      </c>
      <c r="H120" s="235">
        <f t="shared" si="12"/>
        <v>8.6419753086419746</v>
      </c>
      <c r="I120" s="88">
        <v>14</v>
      </c>
      <c r="J120" s="235">
        <f t="shared" si="13"/>
        <v>8.6419753086419746</v>
      </c>
      <c r="K120" s="215">
        <v>138</v>
      </c>
      <c r="L120" s="252">
        <f>_xlfn.XLOOKUP($K120,Inputs!$C$6:$C$23,Inputs!$D$6:$D$23)*$I120</f>
        <v>6.07</v>
      </c>
      <c r="M120" s="68"/>
      <c r="N120" s="68"/>
      <c r="O120" s="215">
        <v>120</v>
      </c>
      <c r="P120" s="215">
        <v>148</v>
      </c>
      <c r="Q120" s="94">
        <v>0.9</v>
      </c>
      <c r="R120" s="68" t="s">
        <v>115</v>
      </c>
      <c r="S120" s="182">
        <f t="shared" si="18"/>
        <v>108</v>
      </c>
      <c r="T120" s="182">
        <f t="shared" si="19"/>
        <v>133.20000000000002</v>
      </c>
      <c r="U120" s="96" t="s">
        <v>3809</v>
      </c>
      <c r="V120" s="22" t="s">
        <v>3057</v>
      </c>
      <c r="W120" s="96" t="s">
        <v>3455</v>
      </c>
      <c r="X120" s="22" t="s">
        <v>2665</v>
      </c>
      <c r="Y120" s="11" t="s">
        <v>3307</v>
      </c>
      <c r="Z120" s="79" t="s">
        <v>2208</v>
      </c>
      <c r="AA120" s="187">
        <v>117</v>
      </c>
    </row>
    <row r="121" spans="2:27" s="184" customFormat="1" ht="20" x14ac:dyDescent="0.2">
      <c r="B121" s="11" t="s">
        <v>1914</v>
      </c>
      <c r="C121" s="165" t="s">
        <v>4235</v>
      </c>
      <c r="D121" s="22" t="s">
        <v>2379</v>
      </c>
      <c r="E121" s="34">
        <v>1</v>
      </c>
      <c r="F121" s="22" t="s">
        <v>2223</v>
      </c>
      <c r="G121" s="88">
        <v>14</v>
      </c>
      <c r="H121" s="235">
        <f t="shared" si="12"/>
        <v>8.6419753086419746</v>
      </c>
      <c r="I121" s="88">
        <v>76</v>
      </c>
      <c r="J121" s="235">
        <f t="shared" si="13"/>
        <v>46.913580246913575</v>
      </c>
      <c r="K121" s="215">
        <v>138</v>
      </c>
      <c r="L121" s="252">
        <f>_xlfn.XLOOKUP($K121,Inputs!$C$6:$C$23,Inputs!$D$6:$D$23)*$I121</f>
        <v>32.951428571428572</v>
      </c>
      <c r="M121" s="68"/>
      <c r="N121" s="68"/>
      <c r="O121" s="215">
        <v>85</v>
      </c>
      <c r="P121" s="215">
        <v>90</v>
      </c>
      <c r="Q121" s="94">
        <v>0.9</v>
      </c>
      <c r="R121" s="68" t="s">
        <v>115</v>
      </c>
      <c r="S121" s="182">
        <f t="shared" si="18"/>
        <v>76.5</v>
      </c>
      <c r="T121" s="182">
        <f t="shared" si="19"/>
        <v>81</v>
      </c>
      <c r="U121" s="96" t="s">
        <v>3471</v>
      </c>
      <c r="V121" s="22" t="s">
        <v>2799</v>
      </c>
      <c r="W121" s="96" t="s">
        <v>3752</v>
      </c>
      <c r="X121" s="22" t="s">
        <v>3010</v>
      </c>
      <c r="Y121" s="11" t="s">
        <v>3303</v>
      </c>
      <c r="Z121" s="79"/>
      <c r="AA121" s="187">
        <v>118</v>
      </c>
    </row>
    <row r="122" spans="2:27" s="188" customFormat="1" ht="20" x14ac:dyDescent="0.2">
      <c r="B122" s="11" t="s">
        <v>1914</v>
      </c>
      <c r="C122" s="165" t="s">
        <v>4235</v>
      </c>
      <c r="D122" s="22" t="s">
        <v>2379</v>
      </c>
      <c r="E122" s="34">
        <v>1</v>
      </c>
      <c r="F122" s="22" t="s">
        <v>2223</v>
      </c>
      <c r="G122" s="235">
        <v>20</v>
      </c>
      <c r="H122" s="235">
        <f t="shared" si="12"/>
        <v>12.345679012345679</v>
      </c>
      <c r="I122" s="235">
        <v>76</v>
      </c>
      <c r="J122" s="235">
        <f t="shared" si="13"/>
        <v>46.913580246913575</v>
      </c>
      <c r="K122" s="215">
        <v>138</v>
      </c>
      <c r="L122" s="252">
        <f>_xlfn.XLOOKUP($K122,Inputs!$C$6:$C$23,Inputs!$D$6:$D$23)*$I122</f>
        <v>32.951428571428572</v>
      </c>
      <c r="M122" s="68"/>
      <c r="N122" s="68"/>
      <c r="O122" s="215">
        <v>119</v>
      </c>
      <c r="P122" s="215">
        <v>146</v>
      </c>
      <c r="Q122" s="94">
        <v>0.9</v>
      </c>
      <c r="R122" s="68" t="s">
        <v>115</v>
      </c>
      <c r="S122" s="182">
        <f t="shared" si="18"/>
        <v>107.10000000000001</v>
      </c>
      <c r="T122" s="182">
        <f t="shared" si="19"/>
        <v>131.4</v>
      </c>
      <c r="U122" s="96" t="s">
        <v>3752</v>
      </c>
      <c r="V122" s="22" t="s">
        <v>3010</v>
      </c>
      <c r="W122" s="96" t="s">
        <v>3480</v>
      </c>
      <c r="X122" s="22" t="s">
        <v>2670</v>
      </c>
      <c r="Y122" s="11" t="s">
        <v>3301</v>
      </c>
      <c r="Z122" s="79"/>
      <c r="AA122" s="187">
        <v>119</v>
      </c>
    </row>
    <row r="123" spans="2:27" s="188" customFormat="1" ht="20" x14ac:dyDescent="0.2">
      <c r="B123" s="11" t="s">
        <v>1914</v>
      </c>
      <c r="C123" s="165" t="s">
        <v>4235</v>
      </c>
      <c r="D123" s="22" t="s">
        <v>2379</v>
      </c>
      <c r="E123" s="34">
        <v>1</v>
      </c>
      <c r="F123" s="22" t="s">
        <v>2223</v>
      </c>
      <c r="G123" s="88">
        <v>24.5</v>
      </c>
      <c r="H123" s="235">
        <f t="shared" si="12"/>
        <v>15.123456790123456</v>
      </c>
      <c r="I123" s="88">
        <v>76</v>
      </c>
      <c r="J123" s="235">
        <f t="shared" si="13"/>
        <v>46.913580246913575</v>
      </c>
      <c r="K123" s="215">
        <v>138</v>
      </c>
      <c r="L123" s="252">
        <f>_xlfn.XLOOKUP($K123,Inputs!$C$6:$C$23,Inputs!$D$6:$D$23)*$I123</f>
        <v>32.951428571428572</v>
      </c>
      <c r="M123" s="68"/>
      <c r="N123" s="68"/>
      <c r="O123" s="215">
        <v>119</v>
      </c>
      <c r="P123" s="215">
        <v>146</v>
      </c>
      <c r="Q123" s="94">
        <v>0.9</v>
      </c>
      <c r="R123" s="68" t="s">
        <v>115</v>
      </c>
      <c r="S123" s="182">
        <f t="shared" si="18"/>
        <v>107.10000000000001</v>
      </c>
      <c r="T123" s="182">
        <f t="shared" si="19"/>
        <v>131.4</v>
      </c>
      <c r="U123" s="96" t="s">
        <v>3480</v>
      </c>
      <c r="V123" s="22" t="s">
        <v>2670</v>
      </c>
      <c r="W123" s="96" t="s">
        <v>3955</v>
      </c>
      <c r="X123" s="22" t="s">
        <v>2100</v>
      </c>
      <c r="Y123" s="11" t="s">
        <v>3293</v>
      </c>
      <c r="Z123" s="79"/>
      <c r="AA123" s="187">
        <v>120</v>
      </c>
    </row>
    <row r="124" spans="2:27" s="188" customFormat="1" ht="20" x14ac:dyDescent="0.2">
      <c r="B124" s="11" t="s">
        <v>1914</v>
      </c>
      <c r="C124" s="165" t="s">
        <v>4235</v>
      </c>
      <c r="D124" s="22" t="s">
        <v>2379</v>
      </c>
      <c r="E124" s="34">
        <v>1</v>
      </c>
      <c r="F124" s="22" t="s">
        <v>2223</v>
      </c>
      <c r="G124" s="88">
        <v>17.5</v>
      </c>
      <c r="H124" s="235">
        <f t="shared" si="12"/>
        <v>10.802469135802468</v>
      </c>
      <c r="I124" s="88">
        <v>76</v>
      </c>
      <c r="J124" s="235">
        <f t="shared" si="13"/>
        <v>46.913580246913575</v>
      </c>
      <c r="K124" s="215">
        <v>138</v>
      </c>
      <c r="L124" s="252">
        <f>_xlfn.XLOOKUP($K124,Inputs!$C$6:$C$23,Inputs!$D$6:$D$23)*$I124</f>
        <v>32.951428571428572</v>
      </c>
      <c r="M124" s="68"/>
      <c r="N124" s="68"/>
      <c r="O124" s="215">
        <v>119</v>
      </c>
      <c r="P124" s="215">
        <v>146</v>
      </c>
      <c r="Q124" s="94">
        <v>0.9</v>
      </c>
      <c r="R124" s="68" t="s">
        <v>115</v>
      </c>
      <c r="S124" s="182">
        <f t="shared" si="18"/>
        <v>107.10000000000001</v>
      </c>
      <c r="T124" s="182">
        <f t="shared" si="19"/>
        <v>131.4</v>
      </c>
      <c r="U124" s="96" t="s">
        <v>3955</v>
      </c>
      <c r="V124" s="22" t="s">
        <v>2100</v>
      </c>
      <c r="W124" s="96" t="s">
        <v>3872</v>
      </c>
      <c r="X124" s="22" t="s">
        <v>2629</v>
      </c>
      <c r="Y124" s="11" t="s">
        <v>3293</v>
      </c>
      <c r="Z124" s="79"/>
      <c r="AA124" s="187">
        <v>121</v>
      </c>
    </row>
    <row r="125" spans="2:27" s="184" customFormat="1" ht="20" x14ac:dyDescent="0.2">
      <c r="B125" s="11" t="s">
        <v>1916</v>
      </c>
      <c r="C125" s="165" t="s">
        <v>4235</v>
      </c>
      <c r="D125" s="22" t="s">
        <v>2379</v>
      </c>
      <c r="E125" s="34">
        <v>1</v>
      </c>
      <c r="F125" s="22" t="s">
        <v>2223</v>
      </c>
      <c r="G125" s="88">
        <v>21</v>
      </c>
      <c r="H125" s="235">
        <f t="shared" si="12"/>
        <v>12.962962962962962</v>
      </c>
      <c r="I125" s="88">
        <v>21</v>
      </c>
      <c r="J125" s="235">
        <f t="shared" si="13"/>
        <v>12.962962962962962</v>
      </c>
      <c r="K125" s="215">
        <v>138</v>
      </c>
      <c r="L125" s="252">
        <f>_xlfn.XLOOKUP($K125,Inputs!$C$6:$C$23,Inputs!$D$6:$D$23)*$I125</f>
        <v>9.1050000000000004</v>
      </c>
      <c r="M125" s="68"/>
      <c r="N125" s="68"/>
      <c r="O125" s="215">
        <v>119</v>
      </c>
      <c r="P125" s="215">
        <v>146</v>
      </c>
      <c r="Q125" s="94">
        <v>0.9</v>
      </c>
      <c r="R125" s="68" t="s">
        <v>115</v>
      </c>
      <c r="S125" s="182">
        <f t="shared" si="18"/>
        <v>107.10000000000001</v>
      </c>
      <c r="T125" s="182">
        <f t="shared" si="19"/>
        <v>131.4</v>
      </c>
      <c r="U125" s="96" t="s">
        <v>3955</v>
      </c>
      <c r="V125" s="22" t="s">
        <v>2100</v>
      </c>
      <c r="W125" s="96" t="s">
        <v>3617</v>
      </c>
      <c r="X125" s="22" t="s">
        <v>2613</v>
      </c>
      <c r="Y125" s="11" t="s">
        <v>3293</v>
      </c>
      <c r="Z125" s="79"/>
      <c r="AA125" s="187">
        <v>122</v>
      </c>
    </row>
    <row r="126" spans="2:27" s="184" customFormat="1" ht="20" x14ac:dyDescent="0.2">
      <c r="B126" s="11" t="s">
        <v>1373</v>
      </c>
      <c r="C126" s="165" t="s">
        <v>4235</v>
      </c>
      <c r="D126" s="22" t="s">
        <v>2379</v>
      </c>
      <c r="E126" s="34">
        <v>1</v>
      </c>
      <c r="F126" s="22" t="s">
        <v>2223</v>
      </c>
      <c r="G126" s="235">
        <v>35</v>
      </c>
      <c r="H126" s="235">
        <f t="shared" si="12"/>
        <v>21.604938271604937</v>
      </c>
      <c r="I126" s="235">
        <v>92</v>
      </c>
      <c r="J126" s="235">
        <f t="shared" si="13"/>
        <v>56.79012345679012</v>
      </c>
      <c r="K126" s="215">
        <v>138</v>
      </c>
      <c r="L126" s="252">
        <f>_xlfn.XLOOKUP($K126,Inputs!$C$6:$C$23,Inputs!$D$6:$D$23)*$I126</f>
        <v>39.888571428571431</v>
      </c>
      <c r="M126" s="68"/>
      <c r="N126" s="68"/>
      <c r="O126" s="215">
        <v>85</v>
      </c>
      <c r="P126" s="215">
        <v>90</v>
      </c>
      <c r="Q126" s="94">
        <v>0.9</v>
      </c>
      <c r="R126" s="68" t="s">
        <v>115</v>
      </c>
      <c r="S126" s="182">
        <f t="shared" si="18"/>
        <v>76.5</v>
      </c>
      <c r="T126" s="182">
        <f t="shared" si="19"/>
        <v>81</v>
      </c>
      <c r="U126" s="96" t="s">
        <v>3819</v>
      </c>
      <c r="V126" s="22" t="s">
        <v>3065</v>
      </c>
      <c r="W126" s="96" t="s">
        <v>3488</v>
      </c>
      <c r="X126" s="22" t="s">
        <v>2809</v>
      </c>
      <c r="Y126" s="11" t="s">
        <v>3304</v>
      </c>
      <c r="Z126" s="79"/>
      <c r="AA126" s="187">
        <v>123</v>
      </c>
    </row>
    <row r="127" spans="2:27" s="184" customFormat="1" ht="20" x14ac:dyDescent="0.2">
      <c r="B127" s="11" t="s">
        <v>1373</v>
      </c>
      <c r="C127" s="165" t="s">
        <v>4235</v>
      </c>
      <c r="D127" s="22" t="s">
        <v>2379</v>
      </c>
      <c r="E127" s="34">
        <v>1</v>
      </c>
      <c r="F127" s="22" t="s">
        <v>2223</v>
      </c>
      <c r="G127" s="88">
        <v>27</v>
      </c>
      <c r="H127" s="235">
        <f t="shared" si="12"/>
        <v>16.666666666666664</v>
      </c>
      <c r="I127" s="88">
        <v>92</v>
      </c>
      <c r="J127" s="235">
        <f t="shared" si="13"/>
        <v>56.79012345679012</v>
      </c>
      <c r="K127" s="215">
        <v>138</v>
      </c>
      <c r="L127" s="252">
        <f>_xlfn.XLOOKUP($K127,Inputs!$C$6:$C$23,Inputs!$D$6:$D$23)*$I127</f>
        <v>39.888571428571431</v>
      </c>
      <c r="M127" s="68"/>
      <c r="N127" s="68"/>
      <c r="O127" s="215">
        <v>85.1</v>
      </c>
      <c r="P127" s="215">
        <v>90.1</v>
      </c>
      <c r="Q127" s="94">
        <v>0.9</v>
      </c>
      <c r="R127" s="68" t="s">
        <v>115</v>
      </c>
      <c r="S127" s="182">
        <f t="shared" si="18"/>
        <v>76.59</v>
      </c>
      <c r="T127" s="182">
        <f t="shared" si="19"/>
        <v>81.09</v>
      </c>
      <c r="U127" s="96" t="s">
        <v>3488</v>
      </c>
      <c r="V127" s="22" t="s">
        <v>2809</v>
      </c>
      <c r="W127" s="96" t="s">
        <v>3367</v>
      </c>
      <c r="X127" s="22" t="s">
        <v>2739</v>
      </c>
      <c r="Y127" s="11" t="s">
        <v>3304</v>
      </c>
      <c r="Z127" s="79"/>
      <c r="AA127" s="187">
        <v>124</v>
      </c>
    </row>
    <row r="128" spans="2:27" s="184" customFormat="1" ht="20" x14ac:dyDescent="0.2">
      <c r="B128" s="11" t="s">
        <v>1373</v>
      </c>
      <c r="C128" s="165" t="s">
        <v>4235</v>
      </c>
      <c r="D128" s="22" t="s">
        <v>2379</v>
      </c>
      <c r="E128" s="34">
        <v>1</v>
      </c>
      <c r="F128" s="22" t="s">
        <v>2223</v>
      </c>
      <c r="G128" s="88">
        <v>30</v>
      </c>
      <c r="H128" s="235">
        <f t="shared" si="12"/>
        <v>18.518518518518519</v>
      </c>
      <c r="I128" s="88">
        <v>92</v>
      </c>
      <c r="J128" s="235">
        <f t="shared" si="13"/>
        <v>56.79012345679012</v>
      </c>
      <c r="K128" s="215">
        <v>138</v>
      </c>
      <c r="L128" s="252">
        <f>_xlfn.XLOOKUP($K128,Inputs!$C$6:$C$23,Inputs!$D$6:$D$23)*$I128</f>
        <v>39.888571428571431</v>
      </c>
      <c r="M128" s="68"/>
      <c r="N128" s="68"/>
      <c r="O128" s="215">
        <v>85</v>
      </c>
      <c r="P128" s="215">
        <v>90</v>
      </c>
      <c r="Q128" s="94">
        <v>0.9</v>
      </c>
      <c r="R128" s="68" t="s">
        <v>115</v>
      </c>
      <c r="S128" s="182">
        <f t="shared" si="18"/>
        <v>76.5</v>
      </c>
      <c r="T128" s="182">
        <f t="shared" si="19"/>
        <v>81</v>
      </c>
      <c r="U128" s="96" t="s">
        <v>3367</v>
      </c>
      <c r="V128" s="22" t="s">
        <v>2739</v>
      </c>
      <c r="W128" s="96" t="s">
        <v>3751</v>
      </c>
      <c r="X128" s="22" t="s">
        <v>3009</v>
      </c>
      <c r="Y128" s="11" t="s">
        <v>3309</v>
      </c>
      <c r="Z128" s="79"/>
      <c r="AA128" s="187">
        <v>125</v>
      </c>
    </row>
    <row r="129" spans="2:27" s="184" customFormat="1" ht="20" x14ac:dyDescent="0.2">
      <c r="B129" s="11" t="s">
        <v>1939</v>
      </c>
      <c r="C129" s="165" t="s">
        <v>4235</v>
      </c>
      <c r="D129" s="22" t="s">
        <v>2379</v>
      </c>
      <c r="E129" s="34">
        <v>1</v>
      </c>
      <c r="F129" s="22" t="s">
        <v>2223</v>
      </c>
      <c r="G129" s="88">
        <v>24.5</v>
      </c>
      <c r="H129" s="235">
        <f t="shared" si="12"/>
        <v>15.123456790123456</v>
      </c>
      <c r="I129" s="88">
        <v>42</v>
      </c>
      <c r="J129" s="235">
        <f t="shared" si="13"/>
        <v>25.925925925925924</v>
      </c>
      <c r="K129" s="216">
        <v>138</v>
      </c>
      <c r="L129" s="252">
        <f>_xlfn.XLOOKUP($K129,Inputs!$C$6:$C$23,Inputs!$D$6:$D$23)*$I129</f>
        <v>18.21</v>
      </c>
      <c r="M129" s="68"/>
      <c r="N129" s="68"/>
      <c r="O129" s="216">
        <v>112</v>
      </c>
      <c r="P129" s="216">
        <v>135</v>
      </c>
      <c r="Q129" s="94">
        <v>0.9</v>
      </c>
      <c r="R129" s="68" t="s">
        <v>115</v>
      </c>
      <c r="S129" s="182">
        <f t="shared" si="18"/>
        <v>100.8</v>
      </c>
      <c r="T129" s="182">
        <f t="shared" si="19"/>
        <v>121.5</v>
      </c>
      <c r="U129" s="96" t="s">
        <v>3567</v>
      </c>
      <c r="V129" s="22" t="s">
        <v>2691</v>
      </c>
      <c r="W129" s="96" t="s">
        <v>3527</v>
      </c>
      <c r="X129" s="22" t="s">
        <v>2614</v>
      </c>
      <c r="Y129" s="11" t="s">
        <v>3303</v>
      </c>
      <c r="Z129" s="79"/>
      <c r="AA129" s="187">
        <v>126</v>
      </c>
    </row>
    <row r="130" spans="2:27" s="184" customFormat="1" ht="20" x14ac:dyDescent="0.2">
      <c r="B130" s="11" t="s">
        <v>1939</v>
      </c>
      <c r="C130" s="165" t="s">
        <v>4235</v>
      </c>
      <c r="D130" s="22" t="s">
        <v>2379</v>
      </c>
      <c r="E130" s="34">
        <v>1</v>
      </c>
      <c r="F130" s="22" t="s">
        <v>2223</v>
      </c>
      <c r="G130" s="88">
        <v>17.5</v>
      </c>
      <c r="H130" s="235">
        <f t="shared" si="12"/>
        <v>10.802469135802468</v>
      </c>
      <c r="I130" s="88">
        <v>42</v>
      </c>
      <c r="J130" s="235">
        <f t="shared" si="13"/>
        <v>25.925925925925924</v>
      </c>
      <c r="K130" s="215">
        <v>138</v>
      </c>
      <c r="L130" s="252">
        <f>_xlfn.XLOOKUP($K130,Inputs!$C$6:$C$23,Inputs!$D$6:$D$23)*$I130</f>
        <v>18.21</v>
      </c>
      <c r="M130" s="68"/>
      <c r="N130" s="68"/>
      <c r="O130" s="215">
        <v>112</v>
      </c>
      <c r="P130" s="215">
        <v>120</v>
      </c>
      <c r="Q130" s="94">
        <v>0.9</v>
      </c>
      <c r="R130" s="68" t="s">
        <v>115</v>
      </c>
      <c r="S130" s="182">
        <f t="shared" si="18"/>
        <v>100.8</v>
      </c>
      <c r="T130" s="182">
        <f t="shared" si="19"/>
        <v>108</v>
      </c>
      <c r="U130" s="96" t="s">
        <v>3527</v>
      </c>
      <c r="V130" s="22" t="s">
        <v>2614</v>
      </c>
      <c r="W130" s="96" t="s">
        <v>3901</v>
      </c>
      <c r="X130" s="22" t="s">
        <v>3162</v>
      </c>
      <c r="Y130" s="11" t="s">
        <v>3303</v>
      </c>
      <c r="Z130" s="79"/>
      <c r="AA130" s="187">
        <v>127</v>
      </c>
    </row>
    <row r="131" spans="2:27" s="188" customFormat="1" ht="20" x14ac:dyDescent="0.2">
      <c r="B131" s="11" t="s">
        <v>1874</v>
      </c>
      <c r="C131" s="165" t="s">
        <v>4235</v>
      </c>
      <c r="D131" s="22" t="s">
        <v>2379</v>
      </c>
      <c r="E131" s="34">
        <v>1</v>
      </c>
      <c r="F131" s="22" t="s">
        <v>2223</v>
      </c>
      <c r="G131" s="235">
        <v>55</v>
      </c>
      <c r="H131" s="235">
        <f t="shared" si="12"/>
        <v>33.950617283950614</v>
      </c>
      <c r="I131" s="235">
        <v>83</v>
      </c>
      <c r="J131" s="235">
        <f t="shared" si="13"/>
        <v>51.234567901234563</v>
      </c>
      <c r="K131" s="215">
        <v>69</v>
      </c>
      <c r="L131" s="252">
        <f>_xlfn.XLOOKUP($K131,Inputs!$C$6:$C$23,Inputs!$D$6:$D$23)*$I131</f>
        <v>31.895714285714284</v>
      </c>
      <c r="M131" s="68"/>
      <c r="N131" s="68"/>
      <c r="O131" s="215">
        <v>41</v>
      </c>
      <c r="P131" s="215">
        <v>53</v>
      </c>
      <c r="Q131" s="94">
        <v>0.9</v>
      </c>
      <c r="R131" s="68" t="s">
        <v>115</v>
      </c>
      <c r="S131" s="182">
        <f t="shared" si="18"/>
        <v>36.9</v>
      </c>
      <c r="T131" s="182">
        <f t="shared" si="19"/>
        <v>47.7</v>
      </c>
      <c r="U131" s="96" t="s">
        <v>3776</v>
      </c>
      <c r="V131" s="22" t="s">
        <v>2615</v>
      </c>
      <c r="W131" s="96" t="s">
        <v>3912</v>
      </c>
      <c r="X131" s="22" t="s">
        <v>3173</v>
      </c>
      <c r="Y131" s="11" t="s">
        <v>3307</v>
      </c>
      <c r="Z131" s="79"/>
      <c r="AA131" s="187">
        <v>128</v>
      </c>
    </row>
    <row r="132" spans="2:27" s="188" customFormat="1" ht="20" x14ac:dyDescent="0.2">
      <c r="B132" s="11" t="s">
        <v>1874</v>
      </c>
      <c r="C132" s="165" t="s">
        <v>4235</v>
      </c>
      <c r="D132" s="22" t="s">
        <v>2379</v>
      </c>
      <c r="E132" s="34">
        <v>1</v>
      </c>
      <c r="F132" s="22" t="s">
        <v>2223</v>
      </c>
      <c r="G132" s="88">
        <v>28</v>
      </c>
      <c r="H132" s="235">
        <f t="shared" si="12"/>
        <v>17.283950617283949</v>
      </c>
      <c r="I132" s="88">
        <v>83</v>
      </c>
      <c r="J132" s="235">
        <f t="shared" si="13"/>
        <v>51.234567901234563</v>
      </c>
      <c r="K132" s="215">
        <v>69</v>
      </c>
      <c r="L132" s="252">
        <f>_xlfn.XLOOKUP($K132,Inputs!$C$6:$C$23,Inputs!$D$6:$D$23)*$I132</f>
        <v>31.895714285714284</v>
      </c>
      <c r="M132" s="68"/>
      <c r="N132" s="68"/>
      <c r="O132" s="215">
        <v>57</v>
      </c>
      <c r="P132" s="215">
        <v>69</v>
      </c>
      <c r="Q132" s="94">
        <v>0.9</v>
      </c>
      <c r="R132" s="68" t="s">
        <v>115</v>
      </c>
      <c r="S132" s="182">
        <f t="shared" si="18"/>
        <v>51.300000000000004</v>
      </c>
      <c r="T132" s="182">
        <f t="shared" si="19"/>
        <v>62.1</v>
      </c>
      <c r="U132" s="96" t="s">
        <v>3912</v>
      </c>
      <c r="V132" s="22" t="s">
        <v>3173</v>
      </c>
      <c r="W132" s="96" t="s">
        <v>3516</v>
      </c>
      <c r="X132" s="205" t="s">
        <v>2831</v>
      </c>
      <c r="Y132" s="11" t="s">
        <v>3307</v>
      </c>
      <c r="Z132" s="79"/>
      <c r="AA132" s="187">
        <v>129</v>
      </c>
    </row>
    <row r="133" spans="2:27" s="188" customFormat="1" ht="20" x14ac:dyDescent="0.2">
      <c r="B133" s="11" t="s">
        <v>1877</v>
      </c>
      <c r="C133" s="165" t="s">
        <v>4235</v>
      </c>
      <c r="D133" s="22" t="s">
        <v>2379</v>
      </c>
      <c r="E133" s="34">
        <v>1</v>
      </c>
      <c r="F133" s="22" t="s">
        <v>2223</v>
      </c>
      <c r="G133" s="88">
        <v>14</v>
      </c>
      <c r="H133" s="235">
        <f t="shared" ref="H133:H196" si="20">G133/1.62</f>
        <v>8.6419753086419746</v>
      </c>
      <c r="I133" s="88">
        <v>14</v>
      </c>
      <c r="J133" s="235">
        <f t="shared" ref="J133:J196" si="21">I133/1.62</f>
        <v>8.6419753086419746</v>
      </c>
      <c r="K133" s="201">
        <v>72</v>
      </c>
      <c r="L133" s="252">
        <f>_xlfn.XLOOKUP($K133,Inputs!$C$6:$C$23,Inputs!$D$6:$D$23)*$I133</f>
        <v>5.41</v>
      </c>
      <c r="M133" s="68"/>
      <c r="N133" s="68"/>
      <c r="O133" s="187"/>
      <c r="P133" s="187"/>
      <c r="Q133" s="94">
        <v>0.9</v>
      </c>
      <c r="R133" s="68">
        <f>IF((42.4*(J133)^(-0.6595))&gt;=3,3,(IF(42.4*(J133)^(-0.6595)&lt;=0.5,0.5,(42.4*(J133)^(-0.6595)))))</f>
        <v>3</v>
      </c>
      <c r="S133" s="276">
        <f>_xlfn.XLOOKUP($K133,Inputs!$G$6:$G$23,Inputs!J$6:J$23)*$R133</f>
        <v>38.880000000000003</v>
      </c>
      <c r="T133" s="276">
        <f>_xlfn.XLOOKUP($K133,Inputs!$G$6:$G$23,Inputs!K$6:K$23)*$R133</f>
        <v>42.491803278688522</v>
      </c>
      <c r="U133" s="96" t="s">
        <v>3516</v>
      </c>
      <c r="V133" s="22" t="s">
        <v>2831</v>
      </c>
      <c r="W133" s="96" t="s">
        <v>3790</v>
      </c>
      <c r="X133" s="22" t="s">
        <v>3040</v>
      </c>
      <c r="Y133" s="11" t="s">
        <v>3331</v>
      </c>
      <c r="Z133" s="79"/>
      <c r="AA133" s="187">
        <v>130</v>
      </c>
    </row>
    <row r="134" spans="2:27" s="184" customFormat="1" ht="20" x14ac:dyDescent="0.2">
      <c r="B134" s="11" t="s">
        <v>1651</v>
      </c>
      <c r="C134" s="165" t="s">
        <v>4235</v>
      </c>
      <c r="D134" s="22" t="s">
        <v>2379</v>
      </c>
      <c r="E134" s="34">
        <v>1</v>
      </c>
      <c r="F134" s="22" t="s">
        <v>2223</v>
      </c>
      <c r="G134" s="88">
        <v>15</v>
      </c>
      <c r="H134" s="235">
        <f t="shared" si="20"/>
        <v>9.2592592592592595</v>
      </c>
      <c r="I134" s="88">
        <v>15</v>
      </c>
      <c r="J134" s="235">
        <f t="shared" si="21"/>
        <v>9.2592592592592595</v>
      </c>
      <c r="K134" s="201">
        <v>144</v>
      </c>
      <c r="L134" s="252">
        <f>_xlfn.XLOOKUP($K134,Inputs!$C$6:$C$23,Inputs!$D$6:$D$23)*$I134</f>
        <v>6.5678571428571431</v>
      </c>
      <c r="M134" s="68"/>
      <c r="N134" s="68"/>
      <c r="O134" s="187"/>
      <c r="P134" s="187"/>
      <c r="Q134" s="94">
        <v>0.9</v>
      </c>
      <c r="R134" s="68">
        <f>IF((42.4*(J134)^(-0.6595))&gt;=3,3,(IF(42.4*(J134)^(-0.6595)&lt;=0.5,0.5,(42.4*(J134)^(-0.6595)))))</f>
        <v>3</v>
      </c>
      <c r="S134" s="276">
        <f>_xlfn.XLOOKUP($K134,Inputs!$G$6:$G$23,Inputs!J$6:J$23)*$R134</f>
        <v>153.60000000000002</v>
      </c>
      <c r="T134" s="276">
        <f>_xlfn.XLOOKUP($K134,Inputs!$G$6:$G$23,Inputs!K$6:K$23)*$R134</f>
        <v>169.96721311475409</v>
      </c>
      <c r="U134" s="96" t="s">
        <v>3966</v>
      </c>
      <c r="V134" s="22" t="s">
        <v>2101</v>
      </c>
      <c r="W134" s="96" t="s">
        <v>3696</v>
      </c>
      <c r="X134" s="22" t="s">
        <v>2964</v>
      </c>
      <c r="Y134" s="11" t="s">
        <v>3331</v>
      </c>
      <c r="Z134" s="79"/>
      <c r="AA134" s="187">
        <v>131</v>
      </c>
    </row>
    <row r="135" spans="2:27" s="184" customFormat="1" ht="20" x14ac:dyDescent="0.2">
      <c r="B135" s="11" t="s">
        <v>676</v>
      </c>
      <c r="C135" s="165" t="s">
        <v>4235</v>
      </c>
      <c r="D135" s="22" t="s">
        <v>2379</v>
      </c>
      <c r="E135" s="34">
        <v>1</v>
      </c>
      <c r="F135" s="22" t="s">
        <v>2223</v>
      </c>
      <c r="G135" s="235">
        <v>140</v>
      </c>
      <c r="H135" s="235">
        <f t="shared" si="20"/>
        <v>86.419753086419746</v>
      </c>
      <c r="I135" s="235">
        <v>140</v>
      </c>
      <c r="J135" s="235">
        <f t="shared" si="21"/>
        <v>86.419753086419746</v>
      </c>
      <c r="K135" s="201">
        <v>240</v>
      </c>
      <c r="L135" s="252">
        <f>_xlfn.XLOOKUP($K135,Inputs!$C$6:$C$23,Inputs!$D$6:$D$23)*$I135</f>
        <v>66.759259259259267</v>
      </c>
      <c r="M135" s="68"/>
      <c r="N135" s="68"/>
      <c r="O135" s="215">
        <v>466</v>
      </c>
      <c r="P135" s="215">
        <v>499</v>
      </c>
      <c r="Q135" s="94">
        <v>0.9</v>
      </c>
      <c r="R135" s="68" t="s">
        <v>115</v>
      </c>
      <c r="S135" s="182">
        <f>O135*Q135</f>
        <v>419.40000000000003</v>
      </c>
      <c r="T135" s="182">
        <f>P135*Q135</f>
        <v>449.1</v>
      </c>
      <c r="U135" s="96" t="s">
        <v>3654</v>
      </c>
      <c r="V135" s="22" t="s">
        <v>2688</v>
      </c>
      <c r="W135" s="96" t="s">
        <v>3383</v>
      </c>
      <c r="X135" s="22" t="s">
        <v>2747</v>
      </c>
      <c r="Y135" s="11" t="s">
        <v>3280</v>
      </c>
      <c r="Z135" s="79"/>
      <c r="AA135" s="187">
        <v>132</v>
      </c>
    </row>
    <row r="136" spans="2:27" s="184" customFormat="1" ht="20" x14ac:dyDescent="0.2">
      <c r="B136" s="11" t="s">
        <v>1942</v>
      </c>
      <c r="C136" s="165" t="s">
        <v>4235</v>
      </c>
      <c r="D136" s="22" t="s">
        <v>2379</v>
      </c>
      <c r="E136" s="34">
        <v>1</v>
      </c>
      <c r="F136" s="22" t="s">
        <v>2223</v>
      </c>
      <c r="G136" s="88">
        <v>14</v>
      </c>
      <c r="H136" s="235">
        <f t="shared" si="20"/>
        <v>8.6419753086419746</v>
      </c>
      <c r="I136" s="88">
        <v>14</v>
      </c>
      <c r="J136" s="235">
        <f t="shared" si="21"/>
        <v>8.6419753086419746</v>
      </c>
      <c r="K136" s="201">
        <v>144</v>
      </c>
      <c r="L136" s="252">
        <f>_xlfn.XLOOKUP($K136,Inputs!$C$6:$C$23,Inputs!$D$6:$D$23)*$I136</f>
        <v>6.1300000000000008</v>
      </c>
      <c r="M136" s="68"/>
      <c r="N136" s="68"/>
      <c r="O136" s="187"/>
      <c r="P136" s="187"/>
      <c r="Q136" s="94">
        <v>0.9</v>
      </c>
      <c r="R136" s="68">
        <f>IF((42.4*(J136)^(-0.6595))&gt;=3,3,(IF(42.4*(J136)^(-0.6595)&lt;=0.5,0.5,(42.4*(J136)^(-0.6595)))))</f>
        <v>3</v>
      </c>
      <c r="S136" s="276">
        <f>_xlfn.XLOOKUP($K136,Inputs!$G$6:$G$23,Inputs!J$6:J$23)*$R136</f>
        <v>153.60000000000002</v>
      </c>
      <c r="T136" s="276">
        <f>_xlfn.XLOOKUP($K136,Inputs!$G$6:$G$23,Inputs!K$6:K$23)*$R136</f>
        <v>169.96721311475409</v>
      </c>
      <c r="U136" s="96" t="s">
        <v>3527</v>
      </c>
      <c r="V136" s="22" t="s">
        <v>2614</v>
      </c>
      <c r="W136" s="96" t="s">
        <v>3845</v>
      </c>
      <c r="X136" s="22" t="s">
        <v>2635</v>
      </c>
      <c r="Y136" s="11" t="s">
        <v>3331</v>
      </c>
      <c r="Z136" s="79"/>
      <c r="AA136" s="187">
        <v>133</v>
      </c>
    </row>
    <row r="137" spans="2:27" s="184" customFormat="1" ht="20" x14ac:dyDescent="0.2">
      <c r="B137" s="11" t="s">
        <v>2009</v>
      </c>
      <c r="C137" s="165" t="s">
        <v>4235</v>
      </c>
      <c r="D137" s="22" t="s">
        <v>2379</v>
      </c>
      <c r="E137" s="34">
        <v>1</v>
      </c>
      <c r="F137" s="22" t="s">
        <v>2223</v>
      </c>
      <c r="G137" s="88">
        <v>18</v>
      </c>
      <c r="H137" s="235">
        <f t="shared" si="20"/>
        <v>11.111111111111111</v>
      </c>
      <c r="I137" s="88">
        <v>53</v>
      </c>
      <c r="J137" s="235">
        <f t="shared" si="21"/>
        <v>32.716049382716044</v>
      </c>
      <c r="K137" s="215">
        <v>138</v>
      </c>
      <c r="L137" s="252">
        <f>_xlfn.XLOOKUP($K137,Inputs!$C$6:$C$23,Inputs!$D$6:$D$23)*$I137</f>
        <v>22.979285714285716</v>
      </c>
      <c r="M137" s="68"/>
      <c r="N137" s="68"/>
      <c r="O137" s="215">
        <v>119</v>
      </c>
      <c r="P137" s="215">
        <v>146</v>
      </c>
      <c r="Q137" s="94">
        <v>0.9</v>
      </c>
      <c r="R137" s="68" t="s">
        <v>115</v>
      </c>
      <c r="S137" s="182">
        <f>O137*Q137</f>
        <v>107.10000000000001</v>
      </c>
      <c r="T137" s="182">
        <f>P137*Q137</f>
        <v>131.4</v>
      </c>
      <c r="U137" s="96" t="s">
        <v>3571</v>
      </c>
      <c r="V137" s="22" t="s">
        <v>2866</v>
      </c>
      <c r="W137" s="96" t="s">
        <v>4271</v>
      </c>
      <c r="X137" s="22" t="s">
        <v>2102</v>
      </c>
      <c r="Y137" s="11" t="s">
        <v>3328</v>
      </c>
      <c r="Z137" s="79"/>
      <c r="AA137" s="187">
        <v>134</v>
      </c>
    </row>
    <row r="138" spans="2:27" s="184" customFormat="1" ht="20" x14ac:dyDescent="0.2">
      <c r="B138" s="11" t="s">
        <v>2009</v>
      </c>
      <c r="C138" s="165" t="s">
        <v>4235</v>
      </c>
      <c r="D138" s="22" t="s">
        <v>2379</v>
      </c>
      <c r="E138" s="34">
        <v>1</v>
      </c>
      <c r="F138" s="22" t="s">
        <v>2223</v>
      </c>
      <c r="G138" s="88">
        <v>35</v>
      </c>
      <c r="H138" s="235">
        <f t="shared" si="20"/>
        <v>21.604938271604937</v>
      </c>
      <c r="I138" s="88">
        <v>53</v>
      </c>
      <c r="J138" s="235">
        <f t="shared" si="21"/>
        <v>32.716049382716044</v>
      </c>
      <c r="K138" s="201">
        <v>144</v>
      </c>
      <c r="L138" s="252">
        <f>_xlfn.XLOOKUP($K138,Inputs!$C$6:$C$23,Inputs!$D$6:$D$23)*$I138</f>
        <v>23.206428571428575</v>
      </c>
      <c r="M138" s="68"/>
      <c r="N138" s="68"/>
      <c r="O138" s="187"/>
      <c r="P138" s="187"/>
      <c r="Q138" s="94">
        <v>0.9</v>
      </c>
      <c r="R138" s="68">
        <f>IF((42.4*(J138)^(-0.6595))&gt;=3,3,(IF(42.4*(J138)^(-0.6595)&lt;=0.5,0.5,(42.4*(J138)^(-0.6595)))))</f>
        <v>3</v>
      </c>
      <c r="S138" s="276">
        <f>_xlfn.XLOOKUP($K138,Inputs!$G$6:$G$23,Inputs!J$6:J$23)*$R138</f>
        <v>153.60000000000002</v>
      </c>
      <c r="T138" s="276">
        <f>_xlfn.XLOOKUP($K138,Inputs!$G$6:$G$23,Inputs!K$6:K$23)*$R138</f>
        <v>169.96721311475409</v>
      </c>
      <c r="U138" s="96" t="s">
        <v>4271</v>
      </c>
      <c r="V138" s="22" t="s">
        <v>2102</v>
      </c>
      <c r="W138" s="96" t="s">
        <v>3930</v>
      </c>
      <c r="X138" s="22" t="s">
        <v>2609</v>
      </c>
      <c r="Y138" s="11" t="s">
        <v>3331</v>
      </c>
      <c r="Z138" s="79"/>
      <c r="AA138" s="187">
        <v>135</v>
      </c>
    </row>
    <row r="139" spans="2:27" s="184" customFormat="1" ht="20" x14ac:dyDescent="0.2">
      <c r="B139" s="11" t="s">
        <v>1195</v>
      </c>
      <c r="C139" s="165" t="s">
        <v>4235</v>
      </c>
      <c r="D139" s="22" t="s">
        <v>2379</v>
      </c>
      <c r="E139" s="34">
        <v>1</v>
      </c>
      <c r="F139" s="22" t="s">
        <v>2223</v>
      </c>
      <c r="G139" s="88">
        <v>10</v>
      </c>
      <c r="H139" s="235">
        <f t="shared" si="20"/>
        <v>6.1728395061728394</v>
      </c>
      <c r="I139" s="88">
        <v>10</v>
      </c>
      <c r="J139" s="235">
        <f t="shared" si="21"/>
        <v>6.1728395061728394</v>
      </c>
      <c r="K139" s="201">
        <v>144</v>
      </c>
      <c r="L139" s="252">
        <f>_xlfn.XLOOKUP($K139,Inputs!$C$6:$C$23,Inputs!$D$6:$D$23)*$I139</f>
        <v>4.378571428571429</v>
      </c>
      <c r="M139" s="68"/>
      <c r="N139" s="68"/>
      <c r="O139" s="187"/>
      <c r="P139" s="187"/>
      <c r="Q139" s="94">
        <v>0.9</v>
      </c>
      <c r="R139" s="68">
        <f>IF((42.4*(J139)^(-0.6595))&gt;=3,3,(IF(42.4*(J139)^(-0.6595)&lt;=0.5,0.5,(42.4*(J139)^(-0.6595)))))</f>
        <v>3</v>
      </c>
      <c r="S139" s="276">
        <f>_xlfn.XLOOKUP($K139,Inputs!$G$6:$G$23,Inputs!J$6:J$23)*$R139</f>
        <v>153.60000000000002</v>
      </c>
      <c r="T139" s="276">
        <f>_xlfn.XLOOKUP($K139,Inputs!$G$6:$G$23,Inputs!K$6:K$23)*$R139</f>
        <v>169.96721311475409</v>
      </c>
      <c r="U139" s="96" t="s">
        <v>4271</v>
      </c>
      <c r="V139" s="22" t="s">
        <v>2102</v>
      </c>
      <c r="W139" s="96" t="s">
        <v>4270</v>
      </c>
      <c r="X139" s="22" t="s">
        <v>2633</v>
      </c>
      <c r="Y139" s="11" t="s">
        <v>3331</v>
      </c>
      <c r="Z139" s="79"/>
      <c r="AA139" s="187">
        <v>136</v>
      </c>
    </row>
    <row r="140" spans="2:27" s="184" customFormat="1" ht="20" x14ac:dyDescent="0.2">
      <c r="B140" s="11" t="s">
        <v>1780</v>
      </c>
      <c r="C140" s="165" t="s">
        <v>4236</v>
      </c>
      <c r="D140" s="22" t="s">
        <v>2379</v>
      </c>
      <c r="E140" s="34">
        <v>1</v>
      </c>
      <c r="F140" s="22" t="s">
        <v>2223</v>
      </c>
      <c r="G140" s="88">
        <v>7.6499999999999995</v>
      </c>
      <c r="H140" s="235">
        <f t="shared" si="20"/>
        <v>4.7222222222222214</v>
      </c>
      <c r="I140" s="88">
        <v>7.6499999999999995</v>
      </c>
      <c r="J140" s="235">
        <f t="shared" si="21"/>
        <v>4.7222222222222214</v>
      </c>
      <c r="K140" s="215">
        <v>138</v>
      </c>
      <c r="L140" s="252">
        <f>_xlfn.XLOOKUP($K140,Inputs!$C$6:$C$23,Inputs!$D$6:$D$23)*$I140</f>
        <v>3.3168214285714286</v>
      </c>
      <c r="M140" s="68"/>
      <c r="N140" s="68"/>
      <c r="O140" s="215">
        <v>285</v>
      </c>
      <c r="P140" s="215">
        <v>350</v>
      </c>
      <c r="Q140" s="94">
        <v>0.9</v>
      </c>
      <c r="R140" s="68" t="s">
        <v>115</v>
      </c>
      <c r="S140" s="182">
        <f t="shared" ref="S140:S148" si="22">O140*Q140</f>
        <v>256.5</v>
      </c>
      <c r="T140" s="182">
        <f t="shared" ref="T140:T148" si="23">P140*Q140</f>
        <v>315</v>
      </c>
      <c r="U140" s="96" t="s">
        <v>1758</v>
      </c>
      <c r="V140" s="22" t="s">
        <v>4288</v>
      </c>
      <c r="W140" s="96" t="s">
        <v>1781</v>
      </c>
      <c r="X140" s="22" t="s">
        <v>3093</v>
      </c>
      <c r="Y140" s="11" t="s">
        <v>4298</v>
      </c>
      <c r="Z140" s="79"/>
      <c r="AA140" s="187">
        <v>137</v>
      </c>
    </row>
    <row r="141" spans="2:27" s="184" customFormat="1" ht="20" x14ac:dyDescent="0.2">
      <c r="B141" s="11" t="s">
        <v>1800</v>
      </c>
      <c r="C141" s="165" t="s">
        <v>4236</v>
      </c>
      <c r="D141" s="22" t="s">
        <v>2379</v>
      </c>
      <c r="E141" s="34">
        <v>1</v>
      </c>
      <c r="F141" s="22" t="s">
        <v>2223</v>
      </c>
      <c r="G141" s="88">
        <v>11.049999999999999</v>
      </c>
      <c r="H141" s="235">
        <f t="shared" si="20"/>
        <v>6.8209876543209864</v>
      </c>
      <c r="I141" s="88">
        <v>11.049999999999999</v>
      </c>
      <c r="J141" s="235">
        <f t="shared" si="21"/>
        <v>6.8209876543209864</v>
      </c>
      <c r="K141" s="215">
        <v>138</v>
      </c>
      <c r="L141" s="252">
        <f>_xlfn.XLOOKUP($K141,Inputs!$C$6:$C$23,Inputs!$D$6:$D$23)*$I141</f>
        <v>4.7909642857142858</v>
      </c>
      <c r="M141" s="68"/>
      <c r="N141" s="68"/>
      <c r="O141" s="215">
        <v>287</v>
      </c>
      <c r="P141" s="215">
        <v>287</v>
      </c>
      <c r="Q141" s="94">
        <v>0.9</v>
      </c>
      <c r="R141" s="68" t="s">
        <v>115</v>
      </c>
      <c r="S141" s="182">
        <f t="shared" si="22"/>
        <v>258.3</v>
      </c>
      <c r="T141" s="182">
        <f t="shared" si="23"/>
        <v>258.3</v>
      </c>
      <c r="U141" s="96" t="s">
        <v>1758</v>
      </c>
      <c r="V141" s="22" t="s">
        <v>4288</v>
      </c>
      <c r="W141" s="96" t="s">
        <v>1801</v>
      </c>
      <c r="X141" s="22" t="s">
        <v>4290</v>
      </c>
      <c r="Y141" s="11" t="s">
        <v>4298</v>
      </c>
      <c r="Z141" s="79"/>
      <c r="AA141" s="187">
        <v>138</v>
      </c>
    </row>
    <row r="142" spans="2:27" s="184" customFormat="1" ht="20" x14ac:dyDescent="0.2">
      <c r="B142" s="11" t="s">
        <v>1778</v>
      </c>
      <c r="C142" s="165" t="s">
        <v>4236</v>
      </c>
      <c r="D142" s="22" t="s">
        <v>2379</v>
      </c>
      <c r="E142" s="34">
        <v>1</v>
      </c>
      <c r="F142" s="22" t="s">
        <v>2223</v>
      </c>
      <c r="G142" s="88">
        <v>5.95</v>
      </c>
      <c r="H142" s="235">
        <f t="shared" si="20"/>
        <v>3.6728395061728394</v>
      </c>
      <c r="I142" s="88">
        <v>5.95</v>
      </c>
      <c r="J142" s="235">
        <f t="shared" si="21"/>
        <v>3.6728395061728394</v>
      </c>
      <c r="K142" s="215">
        <v>138</v>
      </c>
      <c r="L142" s="252">
        <f>_xlfn.XLOOKUP($K142,Inputs!$C$6:$C$23,Inputs!$D$6:$D$23)*$I142</f>
        <v>2.5797500000000002</v>
      </c>
      <c r="M142" s="68"/>
      <c r="N142" s="68"/>
      <c r="O142" s="215">
        <v>322</v>
      </c>
      <c r="P142" s="215">
        <v>349</v>
      </c>
      <c r="Q142" s="94">
        <v>0.9</v>
      </c>
      <c r="R142" s="68" t="s">
        <v>115</v>
      </c>
      <c r="S142" s="182">
        <f t="shared" si="22"/>
        <v>289.8</v>
      </c>
      <c r="T142" s="182">
        <f t="shared" si="23"/>
        <v>314.10000000000002</v>
      </c>
      <c r="U142" s="96" t="s">
        <v>1758</v>
      </c>
      <c r="V142" s="22" t="s">
        <v>4288</v>
      </c>
      <c r="W142" s="96" t="s">
        <v>1763</v>
      </c>
      <c r="X142" s="22" t="s">
        <v>4289</v>
      </c>
      <c r="Y142" s="11" t="s">
        <v>4298</v>
      </c>
      <c r="Z142" s="79"/>
      <c r="AA142" s="187">
        <v>139</v>
      </c>
    </row>
    <row r="143" spans="2:27" s="184" customFormat="1" ht="20" x14ac:dyDescent="0.2">
      <c r="B143" s="11" t="s">
        <v>1779</v>
      </c>
      <c r="C143" s="165" t="s">
        <v>4236</v>
      </c>
      <c r="D143" s="22" t="s">
        <v>2379</v>
      </c>
      <c r="E143" s="34">
        <v>1</v>
      </c>
      <c r="F143" s="22" t="s">
        <v>2223</v>
      </c>
      <c r="G143" s="88">
        <v>4</v>
      </c>
      <c r="H143" s="235">
        <f t="shared" si="20"/>
        <v>2.4691358024691357</v>
      </c>
      <c r="I143" s="88">
        <v>9</v>
      </c>
      <c r="J143" s="235">
        <f t="shared" si="21"/>
        <v>5.5555555555555554</v>
      </c>
      <c r="K143" s="216">
        <v>138</v>
      </c>
      <c r="L143" s="252">
        <f>_xlfn.XLOOKUP($K143,Inputs!$C$6:$C$23,Inputs!$D$6:$D$23)*$I143</f>
        <v>3.9021428571428576</v>
      </c>
      <c r="M143" s="68"/>
      <c r="N143" s="68"/>
      <c r="O143" s="216">
        <v>287</v>
      </c>
      <c r="P143" s="216">
        <v>287</v>
      </c>
      <c r="Q143" s="94">
        <v>0.9</v>
      </c>
      <c r="R143" s="68" t="s">
        <v>115</v>
      </c>
      <c r="S143" s="182">
        <f t="shared" si="22"/>
        <v>258.3</v>
      </c>
      <c r="T143" s="182">
        <f t="shared" si="23"/>
        <v>258.3</v>
      </c>
      <c r="U143" s="96" t="s">
        <v>1758</v>
      </c>
      <c r="V143" s="22" t="s">
        <v>4288</v>
      </c>
      <c r="W143" s="96" t="s">
        <v>1763</v>
      </c>
      <c r="X143" s="22" t="s">
        <v>4289</v>
      </c>
      <c r="Y143" s="11" t="s">
        <v>4298</v>
      </c>
      <c r="Z143" s="79"/>
      <c r="AA143" s="187">
        <v>140</v>
      </c>
    </row>
    <row r="144" spans="2:27" s="188" customFormat="1" ht="20" x14ac:dyDescent="0.2">
      <c r="B144" s="79" t="s">
        <v>1779</v>
      </c>
      <c r="C144" s="165" t="s">
        <v>4236</v>
      </c>
      <c r="D144" s="22" t="s">
        <v>2379</v>
      </c>
      <c r="E144" s="34">
        <v>1</v>
      </c>
      <c r="F144" s="22" t="s">
        <v>2223</v>
      </c>
      <c r="G144" s="88">
        <v>5</v>
      </c>
      <c r="H144" s="235">
        <f t="shared" si="20"/>
        <v>3.0864197530864197</v>
      </c>
      <c r="I144" s="88">
        <v>9</v>
      </c>
      <c r="J144" s="235">
        <f t="shared" si="21"/>
        <v>5.5555555555555554</v>
      </c>
      <c r="K144" s="215">
        <v>138</v>
      </c>
      <c r="L144" s="252">
        <f>_xlfn.XLOOKUP($K144,Inputs!$C$6:$C$23,Inputs!$D$6:$D$23)*$I144</f>
        <v>3.9021428571428576</v>
      </c>
      <c r="M144" s="68"/>
      <c r="N144" s="68"/>
      <c r="O144" s="215">
        <v>338</v>
      </c>
      <c r="P144" s="215">
        <v>354</v>
      </c>
      <c r="Q144" s="94">
        <v>0.9</v>
      </c>
      <c r="R144" s="68" t="s">
        <v>115</v>
      </c>
      <c r="S144" s="182">
        <f t="shared" si="22"/>
        <v>304.2</v>
      </c>
      <c r="T144" s="182">
        <f t="shared" si="23"/>
        <v>318.60000000000002</v>
      </c>
      <c r="U144" s="96" t="s">
        <v>1763</v>
      </c>
      <c r="V144" s="22" t="s">
        <v>4289</v>
      </c>
      <c r="W144" s="96" t="s">
        <v>1735</v>
      </c>
      <c r="X144" s="22" t="s">
        <v>3085</v>
      </c>
      <c r="Y144" s="11" t="s">
        <v>4298</v>
      </c>
      <c r="Z144" s="79"/>
      <c r="AA144" s="187">
        <v>142</v>
      </c>
    </row>
    <row r="145" spans="2:27" s="184" customFormat="1" ht="20" x14ac:dyDescent="0.2">
      <c r="B145" s="79" t="s">
        <v>1751</v>
      </c>
      <c r="C145" s="165" t="s">
        <v>4236</v>
      </c>
      <c r="D145" s="22" t="s">
        <v>2379</v>
      </c>
      <c r="E145" s="34">
        <v>1</v>
      </c>
      <c r="F145" s="22" t="s">
        <v>2223</v>
      </c>
      <c r="G145" s="88">
        <v>5.0999999999999996</v>
      </c>
      <c r="H145" s="235">
        <f t="shared" si="20"/>
        <v>3.1481481481481479</v>
      </c>
      <c r="I145" s="88">
        <v>5.0999999999999996</v>
      </c>
      <c r="J145" s="235">
        <f t="shared" si="21"/>
        <v>3.1481481481481479</v>
      </c>
      <c r="K145" s="215">
        <v>138</v>
      </c>
      <c r="L145" s="252">
        <f>_xlfn.XLOOKUP($K145,Inputs!$C$6:$C$23,Inputs!$D$6:$D$23)*$I145</f>
        <v>2.2112142857142856</v>
      </c>
      <c r="M145" s="68"/>
      <c r="N145" s="68"/>
      <c r="O145" s="215">
        <v>160</v>
      </c>
      <c r="P145" s="215">
        <v>191</v>
      </c>
      <c r="Q145" s="94">
        <v>0.9</v>
      </c>
      <c r="R145" s="68" t="s">
        <v>115</v>
      </c>
      <c r="S145" s="182">
        <f t="shared" si="22"/>
        <v>144</v>
      </c>
      <c r="T145" s="182">
        <f t="shared" si="23"/>
        <v>171.9</v>
      </c>
      <c r="U145" s="96" t="s">
        <v>1741</v>
      </c>
      <c r="V145" s="22" t="s">
        <v>3091</v>
      </c>
      <c r="W145" s="96" t="s">
        <v>1749</v>
      </c>
      <c r="X145" s="22" t="s">
        <v>3090</v>
      </c>
      <c r="Y145" s="11" t="s">
        <v>4298</v>
      </c>
      <c r="Z145" s="79"/>
      <c r="AA145" s="187">
        <v>143</v>
      </c>
    </row>
    <row r="146" spans="2:27" s="184" customFormat="1" ht="20" x14ac:dyDescent="0.2">
      <c r="B146" s="11" t="s">
        <v>678</v>
      </c>
      <c r="C146" s="165" t="s">
        <v>4235</v>
      </c>
      <c r="D146" s="22" t="s">
        <v>2379</v>
      </c>
      <c r="E146" s="34">
        <v>1</v>
      </c>
      <c r="F146" s="22" t="s">
        <v>2223</v>
      </c>
      <c r="G146" s="235">
        <v>85</v>
      </c>
      <c r="H146" s="235">
        <f t="shared" si="20"/>
        <v>52.469135802469133</v>
      </c>
      <c r="I146" s="235">
        <v>119.2</v>
      </c>
      <c r="J146" s="235">
        <f t="shared" si="21"/>
        <v>73.58024691358024</v>
      </c>
      <c r="K146" s="215">
        <v>138</v>
      </c>
      <c r="L146" s="252">
        <f>_xlfn.XLOOKUP($K146,Inputs!$C$6:$C$23,Inputs!$D$6:$D$23)*$I146</f>
        <v>51.681714285714293</v>
      </c>
      <c r="M146" s="68"/>
      <c r="N146" s="68"/>
      <c r="O146" s="215">
        <v>85</v>
      </c>
      <c r="P146" s="215">
        <v>90</v>
      </c>
      <c r="Q146" s="94">
        <v>0.9</v>
      </c>
      <c r="R146" s="68" t="s">
        <v>115</v>
      </c>
      <c r="S146" s="182">
        <f t="shared" si="22"/>
        <v>76.5</v>
      </c>
      <c r="T146" s="182">
        <f t="shared" si="23"/>
        <v>81</v>
      </c>
      <c r="U146" s="96" t="s">
        <v>3532</v>
      </c>
      <c r="V146" s="22" t="s">
        <v>2672</v>
      </c>
      <c r="W146" s="96" t="s">
        <v>4272</v>
      </c>
      <c r="X146" s="22" t="s">
        <v>2819</v>
      </c>
      <c r="Y146" s="11" t="s">
        <v>3328</v>
      </c>
      <c r="Z146" s="79"/>
      <c r="AA146" s="187">
        <v>144</v>
      </c>
    </row>
    <row r="147" spans="2:27" s="184" customFormat="1" ht="20" x14ac:dyDescent="0.2">
      <c r="B147" s="11" t="s">
        <v>678</v>
      </c>
      <c r="C147" s="165" t="s">
        <v>4235</v>
      </c>
      <c r="D147" s="22" t="s">
        <v>2379</v>
      </c>
      <c r="E147" s="34">
        <v>1</v>
      </c>
      <c r="F147" s="22" t="s">
        <v>2223</v>
      </c>
      <c r="G147" s="88">
        <v>12</v>
      </c>
      <c r="H147" s="235">
        <f t="shared" si="20"/>
        <v>7.4074074074074066</v>
      </c>
      <c r="I147" s="88">
        <v>119.2</v>
      </c>
      <c r="J147" s="235">
        <f t="shared" si="21"/>
        <v>73.58024691358024</v>
      </c>
      <c r="K147" s="215">
        <v>138</v>
      </c>
      <c r="L147" s="252">
        <f>_xlfn.XLOOKUP($K147,Inputs!$C$6:$C$23,Inputs!$D$6:$D$23)*$I147</f>
        <v>51.681714285714293</v>
      </c>
      <c r="M147" s="68"/>
      <c r="N147" s="68"/>
      <c r="O147" s="215">
        <v>98</v>
      </c>
      <c r="P147" s="215">
        <v>132</v>
      </c>
      <c r="Q147" s="94">
        <v>0.9</v>
      </c>
      <c r="R147" s="68" t="s">
        <v>115</v>
      </c>
      <c r="S147" s="182">
        <f t="shared" si="22"/>
        <v>88.2</v>
      </c>
      <c r="T147" s="182">
        <f t="shared" si="23"/>
        <v>118.8</v>
      </c>
      <c r="U147" s="96" t="s">
        <v>4272</v>
      </c>
      <c r="V147" s="22" t="s">
        <v>2819</v>
      </c>
      <c r="W147" s="96" t="s">
        <v>4012</v>
      </c>
      <c r="X147" s="22" t="s">
        <v>2103</v>
      </c>
      <c r="Y147" s="11" t="s">
        <v>3328</v>
      </c>
      <c r="Z147" s="79"/>
      <c r="AA147" s="187">
        <v>145</v>
      </c>
    </row>
    <row r="148" spans="2:27" s="184" customFormat="1" ht="20" x14ac:dyDescent="0.2">
      <c r="B148" s="11" t="s">
        <v>678</v>
      </c>
      <c r="C148" s="165" t="s">
        <v>4235</v>
      </c>
      <c r="D148" s="22" t="s">
        <v>2379</v>
      </c>
      <c r="E148" s="34">
        <v>1</v>
      </c>
      <c r="F148" s="22" t="s">
        <v>2223</v>
      </c>
      <c r="G148" s="88">
        <v>7.1999999999999993</v>
      </c>
      <c r="H148" s="235">
        <f t="shared" si="20"/>
        <v>4.4444444444444438</v>
      </c>
      <c r="I148" s="88">
        <v>119.2</v>
      </c>
      <c r="J148" s="235">
        <f t="shared" si="21"/>
        <v>73.58024691358024</v>
      </c>
      <c r="K148" s="215">
        <v>138</v>
      </c>
      <c r="L148" s="252">
        <f>_xlfn.XLOOKUP($K148,Inputs!$C$6:$C$23,Inputs!$D$6:$D$23)*$I148</f>
        <v>51.681714285714293</v>
      </c>
      <c r="M148" s="68"/>
      <c r="N148" s="68"/>
      <c r="O148" s="215">
        <v>98</v>
      </c>
      <c r="P148" s="215">
        <v>132</v>
      </c>
      <c r="Q148" s="94">
        <v>0.9</v>
      </c>
      <c r="R148" s="68" t="s">
        <v>115</v>
      </c>
      <c r="S148" s="182">
        <f t="shared" si="22"/>
        <v>88.2</v>
      </c>
      <c r="T148" s="182">
        <f t="shared" si="23"/>
        <v>118.8</v>
      </c>
      <c r="U148" s="96" t="s">
        <v>4012</v>
      </c>
      <c r="V148" s="22" t="s">
        <v>2103</v>
      </c>
      <c r="W148" s="96" t="s">
        <v>3686</v>
      </c>
      <c r="X148" s="22" t="s">
        <v>2957</v>
      </c>
      <c r="Y148" s="11" t="s">
        <v>3328</v>
      </c>
      <c r="Z148" s="79"/>
      <c r="AA148" s="187">
        <v>146</v>
      </c>
    </row>
    <row r="149" spans="2:27" s="184" customFormat="1" ht="20" x14ac:dyDescent="0.2">
      <c r="B149" s="11" t="s">
        <v>678</v>
      </c>
      <c r="C149" s="165" t="s">
        <v>4235</v>
      </c>
      <c r="D149" s="22" t="s">
        <v>2379</v>
      </c>
      <c r="E149" s="34">
        <v>1</v>
      </c>
      <c r="F149" s="22" t="s">
        <v>2223</v>
      </c>
      <c r="G149" s="88">
        <v>15</v>
      </c>
      <c r="H149" s="235">
        <f t="shared" si="20"/>
        <v>9.2592592592592595</v>
      </c>
      <c r="I149" s="88">
        <v>119.2</v>
      </c>
      <c r="J149" s="235">
        <f t="shared" si="21"/>
        <v>73.58024691358024</v>
      </c>
      <c r="K149" s="201">
        <v>144</v>
      </c>
      <c r="L149" s="252">
        <f>_xlfn.XLOOKUP($K149,Inputs!$C$6:$C$23,Inputs!$D$6:$D$23)*$I149</f>
        <v>52.192571428571434</v>
      </c>
      <c r="M149" s="68"/>
      <c r="N149" s="68"/>
      <c r="O149" s="187"/>
      <c r="P149" s="187"/>
      <c r="Q149" s="94">
        <v>0.9</v>
      </c>
      <c r="R149" s="68">
        <f>IF((42.4*(J149)^(-0.6595))&gt;=3,3,(IF(42.4*(J149)^(-0.6595)&lt;=0.5,0.5,(42.4*(J149)^(-0.6595)))))</f>
        <v>2.4902148477348609</v>
      </c>
      <c r="S149" s="276">
        <f>_xlfn.XLOOKUP($K149,Inputs!$G$6:$G$23,Inputs!J$6:J$23)*$R149</f>
        <v>127.49900020402488</v>
      </c>
      <c r="T149" s="276">
        <f>_xlfn.XLOOKUP($K149,Inputs!$G$6:$G$23,Inputs!K$6:K$23)*$R149</f>
        <v>141.08495924215867</v>
      </c>
      <c r="U149" s="96" t="s">
        <v>3686</v>
      </c>
      <c r="V149" s="22" t="s">
        <v>2957</v>
      </c>
      <c r="W149" s="96" t="s">
        <v>3419</v>
      </c>
      <c r="X149" s="22" t="s">
        <v>2659</v>
      </c>
      <c r="Y149" s="11" t="s">
        <v>3331</v>
      </c>
      <c r="Z149" s="79"/>
      <c r="AA149" s="187">
        <v>147</v>
      </c>
    </row>
    <row r="150" spans="2:27" s="184" customFormat="1" ht="20" x14ac:dyDescent="0.2">
      <c r="B150" s="79" t="s">
        <v>1566</v>
      </c>
      <c r="C150" s="165" t="s">
        <v>4235</v>
      </c>
      <c r="D150" s="22" t="s">
        <v>2379</v>
      </c>
      <c r="E150" s="34">
        <v>1</v>
      </c>
      <c r="F150" s="22" t="s">
        <v>2223</v>
      </c>
      <c r="G150" s="88">
        <v>7.1999999999999993</v>
      </c>
      <c r="H150" s="235">
        <f t="shared" si="20"/>
        <v>4.4444444444444438</v>
      </c>
      <c r="I150" s="88">
        <v>7.1999999999999993</v>
      </c>
      <c r="J150" s="235">
        <f t="shared" si="21"/>
        <v>4.4444444444444438</v>
      </c>
      <c r="K150" s="201">
        <v>144</v>
      </c>
      <c r="L150" s="252">
        <f>_xlfn.XLOOKUP($K150,Inputs!$C$6:$C$23,Inputs!$D$6:$D$23)*$I150</f>
        <v>3.1525714285714286</v>
      </c>
      <c r="M150" s="68"/>
      <c r="N150" s="68"/>
      <c r="O150" s="187"/>
      <c r="P150" s="187"/>
      <c r="Q150" s="94">
        <v>0.9</v>
      </c>
      <c r="R150" s="68">
        <f>IF((42.4*(J150)^(-0.6595))&gt;=3,3,(IF(42.4*(J150)^(-0.6595)&lt;=0.5,0.5,(42.4*(J150)^(-0.6595)))))</f>
        <v>3</v>
      </c>
      <c r="S150" s="276">
        <f>_xlfn.XLOOKUP($K150,Inputs!$G$6:$G$23,Inputs!J$6:J$23)*$R150</f>
        <v>153.60000000000002</v>
      </c>
      <c r="T150" s="276">
        <f>_xlfn.XLOOKUP($K150,Inputs!$G$6:$G$23,Inputs!K$6:K$23)*$R150</f>
        <v>169.96721311475409</v>
      </c>
      <c r="U150" s="96" t="s">
        <v>4012</v>
      </c>
      <c r="V150" s="22" t="s">
        <v>2103</v>
      </c>
      <c r="W150" s="96" t="s">
        <v>3921</v>
      </c>
      <c r="X150" s="22" t="s">
        <v>3182</v>
      </c>
      <c r="Y150" s="11" t="s">
        <v>3331</v>
      </c>
      <c r="Z150" s="79"/>
      <c r="AA150" s="187">
        <v>148</v>
      </c>
    </row>
    <row r="151" spans="2:27" s="188" customFormat="1" ht="20" x14ac:dyDescent="0.2">
      <c r="B151" s="11" t="s">
        <v>1927</v>
      </c>
      <c r="C151" s="165" t="s">
        <v>4235</v>
      </c>
      <c r="D151" s="22" t="s">
        <v>2379</v>
      </c>
      <c r="E151" s="34">
        <v>1</v>
      </c>
      <c r="F151" s="22" t="s">
        <v>2223</v>
      </c>
      <c r="G151" s="88">
        <v>10.5</v>
      </c>
      <c r="H151" s="235">
        <f t="shared" si="20"/>
        <v>6.481481481481481</v>
      </c>
      <c r="I151" s="88">
        <v>10.5</v>
      </c>
      <c r="J151" s="235">
        <f t="shared" si="21"/>
        <v>6.481481481481481</v>
      </c>
      <c r="K151" s="215">
        <v>138</v>
      </c>
      <c r="L151" s="252">
        <f>_xlfn.XLOOKUP($K151,Inputs!$C$6:$C$23,Inputs!$D$6:$D$23)*$I151</f>
        <v>4.5525000000000002</v>
      </c>
      <c r="M151" s="68"/>
      <c r="N151" s="68"/>
      <c r="O151" s="215">
        <v>120</v>
      </c>
      <c r="P151" s="215">
        <v>148</v>
      </c>
      <c r="Q151" s="94">
        <v>0.9</v>
      </c>
      <c r="R151" s="68" t="s">
        <v>115</v>
      </c>
      <c r="S151" s="182">
        <f t="shared" ref="S151:S160" si="24">O151*Q151</f>
        <v>108</v>
      </c>
      <c r="T151" s="182">
        <f t="shared" ref="T151:T160" si="25">P151*Q151</f>
        <v>133.20000000000002</v>
      </c>
      <c r="U151" s="96" t="s">
        <v>3752</v>
      </c>
      <c r="V151" s="22" t="s">
        <v>3010</v>
      </c>
      <c r="W151" s="96" t="s">
        <v>3479</v>
      </c>
      <c r="X151" s="22" t="s">
        <v>2804</v>
      </c>
      <c r="Y151" s="11" t="s">
        <v>3303</v>
      </c>
      <c r="Z151" s="79"/>
      <c r="AA151" s="187">
        <v>149</v>
      </c>
    </row>
    <row r="152" spans="2:27" s="184" customFormat="1" ht="20" x14ac:dyDescent="0.2">
      <c r="B152" s="11" t="s">
        <v>1793</v>
      </c>
      <c r="C152" s="165" t="s">
        <v>4236</v>
      </c>
      <c r="D152" s="22" t="s">
        <v>2379</v>
      </c>
      <c r="E152" s="34">
        <v>1</v>
      </c>
      <c r="F152" s="22" t="s">
        <v>2223</v>
      </c>
      <c r="G152" s="88">
        <v>12.75</v>
      </c>
      <c r="H152" s="235">
        <f t="shared" si="20"/>
        <v>7.8703703703703702</v>
      </c>
      <c r="I152" s="88">
        <v>12.75</v>
      </c>
      <c r="J152" s="235">
        <f t="shared" si="21"/>
        <v>7.8703703703703702</v>
      </c>
      <c r="K152" s="215">
        <v>69</v>
      </c>
      <c r="L152" s="252">
        <f>_xlfn.XLOOKUP($K152,Inputs!$C$6:$C$23,Inputs!$D$6:$D$23)*$I152</f>
        <v>4.8996428571428572</v>
      </c>
      <c r="M152" s="68"/>
      <c r="N152" s="68"/>
      <c r="O152" s="215">
        <v>72</v>
      </c>
      <c r="P152" s="215">
        <v>72</v>
      </c>
      <c r="Q152" s="94">
        <v>0.9</v>
      </c>
      <c r="R152" s="68" t="s">
        <v>115</v>
      </c>
      <c r="S152" s="182">
        <f t="shared" si="24"/>
        <v>64.8</v>
      </c>
      <c r="T152" s="182">
        <f t="shared" si="25"/>
        <v>64.8</v>
      </c>
      <c r="U152" s="96" t="s">
        <v>1788</v>
      </c>
      <c r="V152" s="22" t="s">
        <v>3101</v>
      </c>
      <c r="W152" s="96" t="s">
        <v>1741</v>
      </c>
      <c r="X152" s="22" t="s">
        <v>3091</v>
      </c>
      <c r="Y152" s="11" t="s">
        <v>4298</v>
      </c>
      <c r="Z152" s="79"/>
      <c r="AA152" s="187">
        <v>150</v>
      </c>
    </row>
    <row r="153" spans="2:27" s="184" customFormat="1" ht="20" x14ac:dyDescent="0.2">
      <c r="B153" s="11" t="s">
        <v>1745</v>
      </c>
      <c r="C153" s="165" t="s">
        <v>4236</v>
      </c>
      <c r="D153" s="22" t="s">
        <v>2379</v>
      </c>
      <c r="E153" s="34">
        <v>1</v>
      </c>
      <c r="F153" s="22" t="s">
        <v>2223</v>
      </c>
      <c r="G153" s="88">
        <v>5.95</v>
      </c>
      <c r="H153" s="235">
        <f t="shared" si="20"/>
        <v>3.6728395061728394</v>
      </c>
      <c r="I153" s="88">
        <v>5.95</v>
      </c>
      <c r="J153" s="235">
        <f t="shared" si="21"/>
        <v>3.6728395061728394</v>
      </c>
      <c r="K153" s="215">
        <v>138</v>
      </c>
      <c r="L153" s="252">
        <f>_xlfn.XLOOKUP($K153,Inputs!$C$6:$C$23,Inputs!$D$6:$D$23)*$I153</f>
        <v>2.5797500000000002</v>
      </c>
      <c r="M153" s="68"/>
      <c r="N153" s="68"/>
      <c r="O153" s="215">
        <v>236</v>
      </c>
      <c r="P153" s="215">
        <v>262</v>
      </c>
      <c r="Q153" s="94">
        <v>0.9</v>
      </c>
      <c r="R153" s="68" t="s">
        <v>115</v>
      </c>
      <c r="S153" s="182">
        <f t="shared" si="24"/>
        <v>212.4</v>
      </c>
      <c r="T153" s="182">
        <f t="shared" si="25"/>
        <v>235.8</v>
      </c>
      <c r="U153" s="96" t="s">
        <v>3818</v>
      </c>
      <c r="V153" s="22" t="s">
        <v>3064</v>
      </c>
      <c r="W153" s="96" t="s">
        <v>1741</v>
      </c>
      <c r="X153" s="22" t="s">
        <v>3091</v>
      </c>
      <c r="Y153" s="11" t="s">
        <v>4298</v>
      </c>
      <c r="Z153" s="79"/>
      <c r="AA153" s="187">
        <v>151</v>
      </c>
    </row>
    <row r="154" spans="2:27" s="184" customFormat="1" ht="20" x14ac:dyDescent="0.2">
      <c r="B154" s="11" t="s">
        <v>1320</v>
      </c>
      <c r="C154" s="165" t="s">
        <v>4235</v>
      </c>
      <c r="D154" s="22" t="s">
        <v>2379</v>
      </c>
      <c r="E154" s="34">
        <v>1</v>
      </c>
      <c r="F154" s="22" t="s">
        <v>2223</v>
      </c>
      <c r="G154" s="88">
        <v>4.5999999999999996</v>
      </c>
      <c r="H154" s="235">
        <f t="shared" si="20"/>
        <v>2.8395061728395059</v>
      </c>
      <c r="I154" s="88">
        <v>4.5999999999999996</v>
      </c>
      <c r="J154" s="235">
        <f t="shared" si="21"/>
        <v>2.8395061728395059</v>
      </c>
      <c r="K154" s="215">
        <v>138</v>
      </c>
      <c r="L154" s="252">
        <f>_xlfn.XLOOKUP($K154,Inputs!$C$6:$C$23,Inputs!$D$6:$D$23)*$I154</f>
        <v>1.9944285714285714</v>
      </c>
      <c r="M154" s="68"/>
      <c r="N154" s="68"/>
      <c r="O154" s="215">
        <v>120</v>
      </c>
      <c r="P154" s="215">
        <v>146</v>
      </c>
      <c r="Q154" s="94">
        <v>0.9</v>
      </c>
      <c r="R154" s="68" t="s">
        <v>115</v>
      </c>
      <c r="S154" s="182">
        <f t="shared" si="24"/>
        <v>108</v>
      </c>
      <c r="T154" s="182">
        <f t="shared" si="25"/>
        <v>131.4</v>
      </c>
      <c r="U154" s="96" t="s">
        <v>3524</v>
      </c>
      <c r="V154" s="22" t="s">
        <v>2837</v>
      </c>
      <c r="W154" s="96" t="s">
        <v>3944</v>
      </c>
      <c r="X154" s="22" t="s">
        <v>3196</v>
      </c>
      <c r="Y154" s="11" t="s">
        <v>3306</v>
      </c>
      <c r="Z154" s="79"/>
      <c r="AA154" s="187">
        <v>152</v>
      </c>
    </row>
    <row r="155" spans="2:27" s="184" customFormat="1" ht="20" x14ac:dyDescent="0.2">
      <c r="B155" s="11" t="s">
        <v>1770</v>
      </c>
      <c r="C155" s="165" t="s">
        <v>4236</v>
      </c>
      <c r="D155" s="22" t="s">
        <v>2379</v>
      </c>
      <c r="E155" s="34">
        <v>1</v>
      </c>
      <c r="F155" s="22" t="s">
        <v>2223</v>
      </c>
      <c r="G155" s="88">
        <v>5.95</v>
      </c>
      <c r="H155" s="235">
        <f t="shared" si="20"/>
        <v>3.6728395061728394</v>
      </c>
      <c r="I155" s="88">
        <v>5.95</v>
      </c>
      <c r="J155" s="235">
        <f t="shared" si="21"/>
        <v>3.6728395061728394</v>
      </c>
      <c r="K155" s="215">
        <v>138</v>
      </c>
      <c r="L155" s="252">
        <f>_xlfn.XLOOKUP($K155,Inputs!$C$6:$C$23,Inputs!$D$6:$D$23)*$I155</f>
        <v>2.5797500000000002</v>
      </c>
      <c r="M155" s="68"/>
      <c r="N155" s="68"/>
      <c r="O155" s="215">
        <v>285</v>
      </c>
      <c r="P155" s="215">
        <v>287</v>
      </c>
      <c r="Q155" s="94">
        <v>0.9</v>
      </c>
      <c r="R155" s="68" t="s">
        <v>115</v>
      </c>
      <c r="S155" s="182">
        <f t="shared" si="24"/>
        <v>256.5</v>
      </c>
      <c r="T155" s="182">
        <f t="shared" si="25"/>
        <v>258.3</v>
      </c>
      <c r="U155" s="96" t="s">
        <v>1769</v>
      </c>
      <c r="V155" s="22" t="s">
        <v>3092</v>
      </c>
      <c r="W155" s="96" t="s">
        <v>1771</v>
      </c>
      <c r="X155" s="22" t="s">
        <v>3105</v>
      </c>
      <c r="Y155" s="11" t="s">
        <v>4298</v>
      </c>
      <c r="Z155" s="79"/>
      <c r="AA155" s="187">
        <v>153</v>
      </c>
    </row>
    <row r="156" spans="2:27" s="184" customFormat="1" ht="20" x14ac:dyDescent="0.2">
      <c r="B156" s="11" t="s">
        <v>680</v>
      </c>
      <c r="C156" s="165" t="s">
        <v>4235</v>
      </c>
      <c r="D156" s="22" t="s">
        <v>2379</v>
      </c>
      <c r="E156" s="34">
        <v>1</v>
      </c>
      <c r="F156" s="22" t="s">
        <v>2223</v>
      </c>
      <c r="G156" s="88">
        <v>37.800000000000004</v>
      </c>
      <c r="H156" s="235">
        <f t="shared" si="20"/>
        <v>23.333333333333336</v>
      </c>
      <c r="I156" s="88">
        <v>37.800000000000004</v>
      </c>
      <c r="J156" s="235">
        <f t="shared" si="21"/>
        <v>23.333333333333336</v>
      </c>
      <c r="K156" s="201">
        <v>144</v>
      </c>
      <c r="L156" s="252">
        <f>_xlfn.XLOOKUP($K156,Inputs!$C$6:$C$23,Inputs!$D$6:$D$23)*$I156</f>
        <v>16.551000000000002</v>
      </c>
      <c r="M156" s="68"/>
      <c r="N156" s="68"/>
      <c r="O156" s="215">
        <v>85</v>
      </c>
      <c r="P156" s="215">
        <v>90</v>
      </c>
      <c r="Q156" s="94">
        <v>0.9</v>
      </c>
      <c r="R156" s="68" t="s">
        <v>115</v>
      </c>
      <c r="S156" s="182">
        <f t="shared" si="24"/>
        <v>76.5</v>
      </c>
      <c r="T156" s="182">
        <f t="shared" si="25"/>
        <v>81</v>
      </c>
      <c r="U156" s="96" t="s">
        <v>3485</v>
      </c>
      <c r="V156" s="22" t="s">
        <v>2808</v>
      </c>
      <c r="W156" s="96" t="s">
        <v>3476</v>
      </c>
      <c r="X156" s="22" t="s">
        <v>2802</v>
      </c>
      <c r="Y156" s="11" t="s">
        <v>3286</v>
      </c>
      <c r="Z156" s="79"/>
      <c r="AA156" s="187">
        <v>154</v>
      </c>
    </row>
    <row r="157" spans="2:27" s="188" customFormat="1" ht="20" x14ac:dyDescent="0.2">
      <c r="B157" s="11" t="s">
        <v>1882</v>
      </c>
      <c r="C157" s="165" t="s">
        <v>4235</v>
      </c>
      <c r="D157" s="22" t="s">
        <v>2379</v>
      </c>
      <c r="E157" s="34">
        <v>1</v>
      </c>
      <c r="F157" s="22" t="s">
        <v>2223</v>
      </c>
      <c r="G157" s="88">
        <v>28</v>
      </c>
      <c r="H157" s="235">
        <f t="shared" si="20"/>
        <v>17.283950617283949</v>
      </c>
      <c r="I157" s="88">
        <v>89.6</v>
      </c>
      <c r="J157" s="235">
        <f t="shared" si="21"/>
        <v>55.308641975308632</v>
      </c>
      <c r="K157" s="215">
        <v>69</v>
      </c>
      <c r="L157" s="252">
        <f>_xlfn.XLOOKUP($K157,Inputs!$C$6:$C$23,Inputs!$D$6:$D$23)*$I157</f>
        <v>34.431999999999995</v>
      </c>
      <c r="M157" s="68"/>
      <c r="N157" s="68"/>
      <c r="O157" s="215">
        <v>22</v>
      </c>
      <c r="P157" s="93">
        <f>O157*1.3</f>
        <v>28.6</v>
      </c>
      <c r="Q157" s="94">
        <v>0.9</v>
      </c>
      <c r="R157" s="68" t="s">
        <v>115</v>
      </c>
      <c r="S157" s="182">
        <f t="shared" si="24"/>
        <v>19.8</v>
      </c>
      <c r="T157" s="182">
        <f t="shared" si="25"/>
        <v>25.740000000000002</v>
      </c>
      <c r="U157" s="96" t="s">
        <v>3582</v>
      </c>
      <c r="V157" s="22" t="s">
        <v>2602</v>
      </c>
      <c r="W157" s="96" t="s">
        <v>3841</v>
      </c>
      <c r="X157" s="22" t="s">
        <v>2717</v>
      </c>
      <c r="Y157" s="11" t="s">
        <v>3302</v>
      </c>
      <c r="Z157" s="79"/>
      <c r="AA157" s="187">
        <v>155</v>
      </c>
    </row>
    <row r="158" spans="2:27" s="184" customFormat="1" ht="20" x14ac:dyDescent="0.2">
      <c r="B158" s="11" t="s">
        <v>1882</v>
      </c>
      <c r="C158" s="165" t="s">
        <v>4235</v>
      </c>
      <c r="D158" s="22" t="s">
        <v>2379</v>
      </c>
      <c r="E158" s="34">
        <v>1</v>
      </c>
      <c r="F158" s="22" t="s">
        <v>2223</v>
      </c>
      <c r="G158" s="88">
        <v>24.5</v>
      </c>
      <c r="H158" s="235">
        <f t="shared" si="20"/>
        <v>15.123456790123456</v>
      </c>
      <c r="I158" s="88">
        <v>89.6</v>
      </c>
      <c r="J158" s="235">
        <f t="shared" si="21"/>
        <v>55.308641975308632</v>
      </c>
      <c r="K158" s="215">
        <v>69</v>
      </c>
      <c r="L158" s="252">
        <f>_xlfn.XLOOKUP($K158,Inputs!$C$6:$C$23,Inputs!$D$6:$D$23)*$I158</f>
        <v>34.431999999999995</v>
      </c>
      <c r="M158" s="68"/>
      <c r="N158" s="68"/>
      <c r="O158" s="215">
        <v>24</v>
      </c>
      <c r="P158" s="93">
        <f>O158*1.3</f>
        <v>31.200000000000003</v>
      </c>
      <c r="Q158" s="94">
        <v>0.9</v>
      </c>
      <c r="R158" s="68" t="s">
        <v>115</v>
      </c>
      <c r="S158" s="182">
        <f t="shared" si="24"/>
        <v>21.6</v>
      </c>
      <c r="T158" s="182">
        <f t="shared" si="25"/>
        <v>28.080000000000002</v>
      </c>
      <c r="U158" s="96" t="s">
        <v>3841</v>
      </c>
      <c r="V158" s="22" t="s">
        <v>2717</v>
      </c>
      <c r="W158" s="96" t="s">
        <v>3698</v>
      </c>
      <c r="X158" s="22" t="s">
        <v>2694</v>
      </c>
      <c r="Y158" s="11" t="s">
        <v>3302</v>
      </c>
      <c r="Z158" s="79"/>
      <c r="AA158" s="187">
        <v>156</v>
      </c>
    </row>
    <row r="159" spans="2:27" s="184" customFormat="1" ht="20" x14ac:dyDescent="0.2">
      <c r="B159" s="11" t="s">
        <v>1882</v>
      </c>
      <c r="C159" s="165" t="s">
        <v>4235</v>
      </c>
      <c r="D159" s="22" t="s">
        <v>2379</v>
      </c>
      <c r="E159" s="34">
        <v>1</v>
      </c>
      <c r="F159" s="22" t="s">
        <v>2223</v>
      </c>
      <c r="G159" s="88">
        <v>16.099999999999998</v>
      </c>
      <c r="H159" s="235">
        <f t="shared" si="20"/>
        <v>9.9382716049382704</v>
      </c>
      <c r="I159" s="88">
        <v>89.6</v>
      </c>
      <c r="J159" s="235">
        <f t="shared" si="21"/>
        <v>55.308641975308632</v>
      </c>
      <c r="K159" s="215">
        <v>69</v>
      </c>
      <c r="L159" s="252">
        <f>_xlfn.XLOOKUP($K159,Inputs!$C$6:$C$23,Inputs!$D$6:$D$23)*$I159</f>
        <v>34.431999999999995</v>
      </c>
      <c r="M159" s="68"/>
      <c r="N159" s="68"/>
      <c r="O159" s="215">
        <v>25</v>
      </c>
      <c r="P159" s="93">
        <f>O159*1.3</f>
        <v>32.5</v>
      </c>
      <c r="Q159" s="94">
        <v>0.9</v>
      </c>
      <c r="R159" s="68" t="s">
        <v>115</v>
      </c>
      <c r="S159" s="182">
        <f t="shared" si="24"/>
        <v>22.5</v>
      </c>
      <c r="T159" s="182">
        <f t="shared" si="25"/>
        <v>29.25</v>
      </c>
      <c r="U159" s="96" t="s">
        <v>3698</v>
      </c>
      <c r="V159" s="22" t="s">
        <v>2694</v>
      </c>
      <c r="W159" s="96" t="s">
        <v>3987</v>
      </c>
      <c r="X159" s="22" t="s">
        <v>2104</v>
      </c>
      <c r="Y159" s="11" t="s">
        <v>3302</v>
      </c>
      <c r="Z159" s="79"/>
      <c r="AA159" s="187">
        <v>157</v>
      </c>
    </row>
    <row r="160" spans="2:27" s="184" customFormat="1" ht="20" x14ac:dyDescent="0.2">
      <c r="B160" s="11" t="s">
        <v>1882</v>
      </c>
      <c r="C160" s="165" t="s">
        <v>4235</v>
      </c>
      <c r="D160" s="22" t="s">
        <v>2379</v>
      </c>
      <c r="E160" s="34">
        <v>1</v>
      </c>
      <c r="F160" s="22" t="s">
        <v>2223</v>
      </c>
      <c r="G160" s="88">
        <v>21</v>
      </c>
      <c r="H160" s="235">
        <f t="shared" si="20"/>
        <v>12.962962962962962</v>
      </c>
      <c r="I160" s="88">
        <v>89.6</v>
      </c>
      <c r="J160" s="235">
        <f t="shared" si="21"/>
        <v>55.308641975308632</v>
      </c>
      <c r="K160" s="215">
        <v>69</v>
      </c>
      <c r="L160" s="252">
        <f>_xlfn.XLOOKUP($K160,Inputs!$C$6:$C$23,Inputs!$D$6:$D$23)*$I160</f>
        <v>34.431999999999995</v>
      </c>
      <c r="M160" s="68"/>
      <c r="N160" s="68"/>
      <c r="O160" s="215">
        <v>25</v>
      </c>
      <c r="P160" s="93">
        <f>O160*1.3</f>
        <v>32.5</v>
      </c>
      <c r="Q160" s="94">
        <v>0.9</v>
      </c>
      <c r="R160" s="68" t="s">
        <v>115</v>
      </c>
      <c r="S160" s="182">
        <f t="shared" si="24"/>
        <v>22.5</v>
      </c>
      <c r="T160" s="182">
        <f t="shared" si="25"/>
        <v>29.25</v>
      </c>
      <c r="U160" s="96" t="s">
        <v>3987</v>
      </c>
      <c r="V160" s="22" t="s">
        <v>2104</v>
      </c>
      <c r="W160" s="96" t="s">
        <v>3848</v>
      </c>
      <c r="X160" s="22" t="s">
        <v>2718</v>
      </c>
      <c r="Y160" s="11" t="s">
        <v>3302</v>
      </c>
      <c r="Z160" s="79"/>
      <c r="AA160" s="187">
        <v>158</v>
      </c>
    </row>
    <row r="161" spans="1:27" s="184" customFormat="1" ht="20" x14ac:dyDescent="0.2">
      <c r="B161" s="11" t="s">
        <v>1906</v>
      </c>
      <c r="C161" s="165" t="s">
        <v>4235</v>
      </c>
      <c r="D161" s="22" t="s">
        <v>2379</v>
      </c>
      <c r="E161" s="34">
        <v>1</v>
      </c>
      <c r="F161" s="22" t="s">
        <v>2223</v>
      </c>
      <c r="G161" s="88">
        <v>7</v>
      </c>
      <c r="H161" s="235">
        <f t="shared" si="20"/>
        <v>4.3209876543209873</v>
      </c>
      <c r="I161" s="88">
        <v>7</v>
      </c>
      <c r="J161" s="235">
        <f t="shared" si="21"/>
        <v>4.3209876543209873</v>
      </c>
      <c r="K161" s="201">
        <v>72</v>
      </c>
      <c r="L161" s="252">
        <f>_xlfn.XLOOKUP($K161,Inputs!$C$6:$C$23,Inputs!$D$6:$D$23)*$I161</f>
        <v>2.7050000000000001</v>
      </c>
      <c r="M161" s="68"/>
      <c r="N161" s="68"/>
      <c r="O161" s="187"/>
      <c r="P161" s="187"/>
      <c r="Q161" s="94">
        <v>0.9</v>
      </c>
      <c r="R161" s="68">
        <f>IF((42.4*(J161)^(-0.6595))&gt;=3,3,(IF(42.4*(J161)^(-0.6595)&lt;=0.5,0.5,(42.4*(J161)^(-0.6595)))))</f>
        <v>3</v>
      </c>
      <c r="S161" s="276">
        <f>_xlfn.XLOOKUP($K161,Inputs!$G$6:$G$23,Inputs!J$6:J$23)*$R161</f>
        <v>38.880000000000003</v>
      </c>
      <c r="T161" s="276">
        <f>_xlfn.XLOOKUP($K161,Inputs!$G$6:$G$23,Inputs!K$6:K$23)*$R161</f>
        <v>42.491803278688522</v>
      </c>
      <c r="U161" s="96" t="s">
        <v>3987</v>
      </c>
      <c r="V161" s="22" t="s">
        <v>2104</v>
      </c>
      <c r="W161" s="96" t="s">
        <v>3792</v>
      </c>
      <c r="X161" s="22" t="s">
        <v>2707</v>
      </c>
      <c r="Y161" s="11" t="s">
        <v>3331</v>
      </c>
      <c r="Z161" s="79"/>
      <c r="AA161" s="187">
        <v>159</v>
      </c>
    </row>
    <row r="162" spans="1:27" s="184" customFormat="1" ht="20" x14ac:dyDescent="0.2">
      <c r="B162" s="11" t="s">
        <v>1782</v>
      </c>
      <c r="C162" s="165" t="s">
        <v>4236</v>
      </c>
      <c r="D162" s="22" t="s">
        <v>2379</v>
      </c>
      <c r="E162" s="34">
        <v>1</v>
      </c>
      <c r="F162" s="22" t="s">
        <v>2223</v>
      </c>
      <c r="G162" s="88">
        <v>4.25</v>
      </c>
      <c r="H162" s="235">
        <f t="shared" si="20"/>
        <v>2.6234567901234565</v>
      </c>
      <c r="I162" s="88">
        <v>4.25</v>
      </c>
      <c r="J162" s="235">
        <f t="shared" si="21"/>
        <v>2.6234567901234565</v>
      </c>
      <c r="K162" s="215">
        <v>138</v>
      </c>
      <c r="L162" s="252">
        <f>_xlfn.XLOOKUP($K162,Inputs!$C$6:$C$23,Inputs!$D$6:$D$23)*$I162</f>
        <v>1.8426785714285716</v>
      </c>
      <c r="M162" s="68"/>
      <c r="N162" s="68"/>
      <c r="O162" s="215">
        <v>285</v>
      </c>
      <c r="P162" s="215">
        <v>287</v>
      </c>
      <c r="Q162" s="94">
        <v>0.9</v>
      </c>
      <c r="R162" s="68" t="s">
        <v>115</v>
      </c>
      <c r="S162" s="182">
        <f>O162*Q162</f>
        <v>256.5</v>
      </c>
      <c r="T162" s="182">
        <f>P162*Q162</f>
        <v>258.3</v>
      </c>
      <c r="U162" s="96" t="s">
        <v>3639</v>
      </c>
      <c r="V162" s="22" t="s">
        <v>2919</v>
      </c>
      <c r="W162" s="96" t="s">
        <v>1781</v>
      </c>
      <c r="X162" s="22" t="s">
        <v>3093</v>
      </c>
      <c r="Y162" s="11" t="s">
        <v>4298</v>
      </c>
      <c r="Z162" s="79"/>
      <c r="AA162" s="187">
        <v>160</v>
      </c>
    </row>
    <row r="163" spans="1:27" s="184" customFormat="1" ht="20" x14ac:dyDescent="0.2">
      <c r="B163" s="11" t="s">
        <v>1219</v>
      </c>
      <c r="C163" s="165" t="s">
        <v>4235</v>
      </c>
      <c r="D163" s="22" t="s">
        <v>2379</v>
      </c>
      <c r="E163" s="34">
        <v>1</v>
      </c>
      <c r="F163" s="22" t="s">
        <v>2223</v>
      </c>
      <c r="G163" s="88">
        <v>36</v>
      </c>
      <c r="H163" s="235">
        <f t="shared" si="20"/>
        <v>22.222222222222221</v>
      </c>
      <c r="I163" s="88">
        <v>36</v>
      </c>
      <c r="J163" s="235">
        <f t="shared" si="21"/>
        <v>22.222222222222221</v>
      </c>
      <c r="K163" s="201">
        <v>72</v>
      </c>
      <c r="L163" s="252">
        <f>_xlfn.XLOOKUP($K163,Inputs!$C$6:$C$23,Inputs!$D$6:$D$23)*$I163</f>
        <v>13.911428571428573</v>
      </c>
      <c r="M163" s="68"/>
      <c r="N163" s="68"/>
      <c r="O163" s="187"/>
      <c r="P163" s="187"/>
      <c r="Q163" s="94">
        <v>0.9</v>
      </c>
      <c r="R163" s="68">
        <f>IF((42.4*(J163)^(-0.6595))&gt;=3,3,(IF(42.4*(J163)^(-0.6595)&lt;=0.5,0.5,(42.4*(J163)^(-0.6595)))))</f>
        <v>3</v>
      </c>
      <c r="S163" s="276">
        <f>_xlfn.XLOOKUP($K163,Inputs!$G$6:$G$23,Inputs!J$6:J$23)*$R163</f>
        <v>38.880000000000003</v>
      </c>
      <c r="T163" s="276">
        <f>_xlfn.XLOOKUP($K163,Inputs!$G$6:$G$23,Inputs!K$6:K$23)*$R163</f>
        <v>42.491803278688522</v>
      </c>
      <c r="U163" s="96" t="s">
        <v>4000</v>
      </c>
      <c r="V163" s="22" t="s">
        <v>2096</v>
      </c>
      <c r="W163" s="96" t="s">
        <v>3861</v>
      </c>
      <c r="X163" s="22" t="s">
        <v>2723</v>
      </c>
      <c r="Y163" s="11" t="s">
        <v>3331</v>
      </c>
      <c r="Z163" s="79"/>
      <c r="AA163" s="187">
        <v>161</v>
      </c>
    </row>
    <row r="164" spans="1:27" s="188" customFormat="1" ht="20" x14ac:dyDescent="0.2">
      <c r="B164" s="11" t="s">
        <v>1804</v>
      </c>
      <c r="C164" s="165" t="s">
        <v>4236</v>
      </c>
      <c r="D164" s="22" t="s">
        <v>2379</v>
      </c>
      <c r="E164" s="34">
        <v>1</v>
      </c>
      <c r="F164" s="22" t="s">
        <v>2223</v>
      </c>
      <c r="G164" s="88">
        <v>7.6499999999999995</v>
      </c>
      <c r="H164" s="235">
        <f t="shared" si="20"/>
        <v>4.7222222222222214</v>
      </c>
      <c r="I164" s="88">
        <v>7.6499999999999995</v>
      </c>
      <c r="J164" s="235">
        <f t="shared" si="21"/>
        <v>4.7222222222222214</v>
      </c>
      <c r="K164" s="215">
        <v>138</v>
      </c>
      <c r="L164" s="252">
        <f>_xlfn.XLOOKUP($K164,Inputs!$C$6:$C$23,Inputs!$D$6:$D$23)*$I164</f>
        <v>3.3168214285714286</v>
      </c>
      <c r="M164" s="68"/>
      <c r="N164" s="68"/>
      <c r="O164" s="215">
        <v>287</v>
      </c>
      <c r="P164" s="215">
        <v>287</v>
      </c>
      <c r="Q164" s="94">
        <v>0.9</v>
      </c>
      <c r="R164" s="68" t="s">
        <v>115</v>
      </c>
      <c r="S164" s="182">
        <f t="shared" ref="S164:S173" si="26">O164*Q164</f>
        <v>258.3</v>
      </c>
      <c r="T164" s="182">
        <f t="shared" ref="T164:T173" si="27">P164*Q164</f>
        <v>258.3</v>
      </c>
      <c r="U164" s="96" t="s">
        <v>1805</v>
      </c>
      <c r="V164" s="22" t="s">
        <v>3098</v>
      </c>
      <c r="W164" s="96" t="s">
        <v>1803</v>
      </c>
      <c r="X164" s="22" t="s">
        <v>2599</v>
      </c>
      <c r="Y164" s="11" t="s">
        <v>4298</v>
      </c>
      <c r="Z164" s="79"/>
      <c r="AA164" s="187">
        <v>162</v>
      </c>
    </row>
    <row r="165" spans="1:27" s="184" customFormat="1" ht="20" x14ac:dyDescent="0.2">
      <c r="B165" s="11" t="s">
        <v>1806</v>
      </c>
      <c r="C165" s="165" t="s">
        <v>4236</v>
      </c>
      <c r="D165" s="22" t="s">
        <v>2379</v>
      </c>
      <c r="E165" s="34">
        <v>1</v>
      </c>
      <c r="F165" s="22" t="s">
        <v>2223</v>
      </c>
      <c r="G165" s="88">
        <v>11.049999999999999</v>
      </c>
      <c r="H165" s="235">
        <f t="shared" si="20"/>
        <v>6.8209876543209864</v>
      </c>
      <c r="I165" s="88">
        <v>11.049999999999999</v>
      </c>
      <c r="J165" s="235">
        <f t="shared" si="21"/>
        <v>6.8209876543209864</v>
      </c>
      <c r="K165" s="215">
        <v>138</v>
      </c>
      <c r="L165" s="252">
        <f>_xlfn.XLOOKUP($K165,Inputs!$C$6:$C$23,Inputs!$D$6:$D$23)*$I165</f>
        <v>4.7909642857142858</v>
      </c>
      <c r="M165" s="68"/>
      <c r="N165" s="68"/>
      <c r="O165" s="215">
        <v>285</v>
      </c>
      <c r="P165" s="215">
        <v>350</v>
      </c>
      <c r="Q165" s="94">
        <v>0.9</v>
      </c>
      <c r="R165" s="68" t="s">
        <v>115</v>
      </c>
      <c r="S165" s="182">
        <f t="shared" si="26"/>
        <v>256.5</v>
      </c>
      <c r="T165" s="182">
        <f t="shared" si="27"/>
        <v>315</v>
      </c>
      <c r="U165" s="96" t="s">
        <v>637</v>
      </c>
      <c r="V165" s="22" t="s">
        <v>3113</v>
      </c>
      <c r="W165" s="96" t="s">
        <v>1803</v>
      </c>
      <c r="X165" s="22" t="s">
        <v>2599</v>
      </c>
      <c r="Y165" s="11" t="s">
        <v>4298</v>
      </c>
      <c r="Z165" s="79"/>
      <c r="AA165" s="187">
        <v>163</v>
      </c>
    </row>
    <row r="166" spans="1:27" s="184" customFormat="1" ht="20" x14ac:dyDescent="0.2">
      <c r="B166" s="11" t="s">
        <v>1802</v>
      </c>
      <c r="C166" s="165" t="s">
        <v>4236</v>
      </c>
      <c r="D166" s="22" t="s">
        <v>2379</v>
      </c>
      <c r="E166" s="34">
        <v>1</v>
      </c>
      <c r="F166" s="22" t="s">
        <v>2223</v>
      </c>
      <c r="G166" s="88">
        <v>10.199999999999999</v>
      </c>
      <c r="H166" s="235">
        <f t="shared" si="20"/>
        <v>6.2962962962962958</v>
      </c>
      <c r="I166" s="88">
        <v>10.199999999999999</v>
      </c>
      <c r="J166" s="235">
        <f t="shared" si="21"/>
        <v>6.2962962962962958</v>
      </c>
      <c r="K166" s="215">
        <v>138</v>
      </c>
      <c r="L166" s="252">
        <f>_xlfn.XLOOKUP($K166,Inputs!$C$6:$C$23,Inputs!$D$6:$D$23)*$I166</f>
        <v>4.4224285714285712</v>
      </c>
      <c r="M166" s="68"/>
      <c r="N166" s="68"/>
      <c r="O166" s="215">
        <v>322</v>
      </c>
      <c r="P166" s="215">
        <v>408</v>
      </c>
      <c r="Q166" s="94">
        <v>0.9</v>
      </c>
      <c r="R166" s="68" t="s">
        <v>115</v>
      </c>
      <c r="S166" s="182">
        <f t="shared" si="26"/>
        <v>289.8</v>
      </c>
      <c r="T166" s="182">
        <f t="shared" si="27"/>
        <v>367.2</v>
      </c>
      <c r="U166" s="96" t="s">
        <v>3639</v>
      </c>
      <c r="V166" s="22" t="s">
        <v>2919</v>
      </c>
      <c r="W166" s="96" t="s">
        <v>1803</v>
      </c>
      <c r="X166" s="22" t="s">
        <v>2599</v>
      </c>
      <c r="Y166" s="11" t="s">
        <v>4298</v>
      </c>
      <c r="Z166" s="79"/>
      <c r="AA166" s="187">
        <v>164</v>
      </c>
    </row>
    <row r="167" spans="1:27" s="184" customFormat="1" ht="20" x14ac:dyDescent="0.2">
      <c r="B167" s="11" t="s">
        <v>683</v>
      </c>
      <c r="C167" s="165" t="s">
        <v>4239</v>
      </c>
      <c r="D167" s="22" t="s">
        <v>2379</v>
      </c>
      <c r="E167" s="34">
        <v>1</v>
      </c>
      <c r="F167" s="22" t="s">
        <v>2223</v>
      </c>
      <c r="G167" s="88">
        <v>7.1999999999999993</v>
      </c>
      <c r="H167" s="235">
        <f t="shared" si="20"/>
        <v>4.4444444444444438</v>
      </c>
      <c r="I167" s="88">
        <v>7.1999999999999993</v>
      </c>
      <c r="J167" s="235">
        <f t="shared" si="21"/>
        <v>4.4444444444444438</v>
      </c>
      <c r="K167" s="201">
        <v>240</v>
      </c>
      <c r="L167" s="252">
        <f>_xlfn.XLOOKUP($K167,Inputs!$C$6:$C$23,Inputs!$D$6:$D$23)*$I167</f>
        <v>3.4333333333333331</v>
      </c>
      <c r="M167" s="68"/>
      <c r="N167" s="68"/>
      <c r="O167" s="215">
        <v>400</v>
      </c>
      <c r="P167" s="215">
        <v>479</v>
      </c>
      <c r="Q167" s="94">
        <v>0.9</v>
      </c>
      <c r="R167" s="68" t="s">
        <v>115</v>
      </c>
      <c r="S167" s="182">
        <f t="shared" si="26"/>
        <v>360</v>
      </c>
      <c r="T167" s="182">
        <f t="shared" si="27"/>
        <v>431.1</v>
      </c>
      <c r="U167" s="96" t="s">
        <v>4273</v>
      </c>
      <c r="V167" s="22" t="s">
        <v>4274</v>
      </c>
      <c r="W167" s="96" t="s">
        <v>4246</v>
      </c>
      <c r="X167" s="22" t="s">
        <v>4247</v>
      </c>
      <c r="Y167" s="11" t="s">
        <v>3304</v>
      </c>
      <c r="Z167" s="79"/>
      <c r="AA167" s="187">
        <v>165</v>
      </c>
    </row>
    <row r="168" spans="1:27" s="188" customFormat="1" ht="20" x14ac:dyDescent="0.2">
      <c r="B168" s="11" t="s">
        <v>685</v>
      </c>
      <c r="C168" s="165" t="s">
        <v>4239</v>
      </c>
      <c r="D168" s="22" t="s">
        <v>2379</v>
      </c>
      <c r="E168" s="34">
        <v>1</v>
      </c>
      <c r="F168" s="22" t="s">
        <v>2223</v>
      </c>
      <c r="G168" s="88">
        <v>7.1999999999999993</v>
      </c>
      <c r="H168" s="235">
        <f t="shared" si="20"/>
        <v>4.4444444444444438</v>
      </c>
      <c r="I168" s="88">
        <v>7.1999999999999993</v>
      </c>
      <c r="J168" s="235">
        <f t="shared" si="21"/>
        <v>4.4444444444444438</v>
      </c>
      <c r="K168" s="201">
        <v>240</v>
      </c>
      <c r="L168" s="252">
        <f>_xlfn.XLOOKUP($K168,Inputs!$C$6:$C$23,Inputs!$D$6:$D$23)*$I168</f>
        <v>3.4333333333333331</v>
      </c>
      <c r="M168" s="68"/>
      <c r="N168" s="68"/>
      <c r="O168" s="215">
        <v>400</v>
      </c>
      <c r="P168" s="215">
        <v>479</v>
      </c>
      <c r="Q168" s="94">
        <v>0.9</v>
      </c>
      <c r="R168" s="68" t="s">
        <v>115</v>
      </c>
      <c r="S168" s="182">
        <f t="shared" si="26"/>
        <v>360</v>
      </c>
      <c r="T168" s="182">
        <f t="shared" si="27"/>
        <v>431.1</v>
      </c>
      <c r="U168" s="96" t="s">
        <v>4273</v>
      </c>
      <c r="V168" s="22" t="s">
        <v>4274</v>
      </c>
      <c r="W168" s="96" t="s">
        <v>4246</v>
      </c>
      <c r="X168" s="22" t="s">
        <v>4247</v>
      </c>
      <c r="Y168" s="11" t="s">
        <v>3304</v>
      </c>
      <c r="Z168" s="79"/>
      <c r="AA168" s="187">
        <v>166</v>
      </c>
    </row>
    <row r="169" spans="1:27" s="188" customFormat="1" ht="20" x14ac:dyDescent="0.2">
      <c r="B169" s="11" t="s">
        <v>686</v>
      </c>
      <c r="C169" s="165" t="s">
        <v>4239</v>
      </c>
      <c r="D169" s="22" t="s">
        <v>2379</v>
      </c>
      <c r="E169" s="34">
        <v>1</v>
      </c>
      <c r="F169" s="22" t="s">
        <v>2223</v>
      </c>
      <c r="G169" s="88">
        <v>4.5999999999999996</v>
      </c>
      <c r="H169" s="235">
        <f t="shared" si="20"/>
        <v>2.8395061728395059</v>
      </c>
      <c r="I169" s="88">
        <v>8.0499999999999989</v>
      </c>
      <c r="J169" s="235">
        <f t="shared" si="21"/>
        <v>4.9691358024691352</v>
      </c>
      <c r="K169" s="201">
        <v>240</v>
      </c>
      <c r="L169" s="252">
        <f>_xlfn.XLOOKUP($K169,Inputs!$C$6:$C$23,Inputs!$D$6:$D$23)*$I169</f>
        <v>3.8386574074074069</v>
      </c>
      <c r="M169" s="68"/>
      <c r="N169" s="68"/>
      <c r="O169" s="215">
        <v>475</v>
      </c>
      <c r="P169" s="215">
        <v>503</v>
      </c>
      <c r="Q169" s="94">
        <v>0.9</v>
      </c>
      <c r="R169" s="68" t="s">
        <v>115</v>
      </c>
      <c r="S169" s="182">
        <f t="shared" si="26"/>
        <v>427.5</v>
      </c>
      <c r="T169" s="182">
        <f t="shared" si="27"/>
        <v>452.7</v>
      </c>
      <c r="U169" s="96" t="s">
        <v>4281</v>
      </c>
      <c r="V169" s="203" t="s">
        <v>4282</v>
      </c>
      <c r="W169" s="96" t="s">
        <v>3406</v>
      </c>
      <c r="X169" s="22" t="s">
        <v>2762</v>
      </c>
      <c r="Y169" s="11" t="s">
        <v>3304</v>
      </c>
      <c r="Z169" s="79"/>
      <c r="AA169" s="187">
        <v>167</v>
      </c>
    </row>
    <row r="170" spans="1:27" s="188" customFormat="1" ht="20" x14ac:dyDescent="0.2">
      <c r="B170" s="11" t="s">
        <v>686</v>
      </c>
      <c r="C170" s="165" t="s">
        <v>4239</v>
      </c>
      <c r="D170" s="22" t="s">
        <v>2379</v>
      </c>
      <c r="E170" s="34">
        <v>1</v>
      </c>
      <c r="F170" s="22" t="s">
        <v>2223</v>
      </c>
      <c r="G170" s="88">
        <v>3.4499999999999997</v>
      </c>
      <c r="H170" s="235">
        <f t="shared" si="20"/>
        <v>2.1296296296296293</v>
      </c>
      <c r="I170" s="88">
        <v>8.0499999999999989</v>
      </c>
      <c r="J170" s="235">
        <f t="shared" si="21"/>
        <v>4.9691358024691352</v>
      </c>
      <c r="K170" s="201">
        <v>240</v>
      </c>
      <c r="L170" s="252">
        <f>_xlfn.XLOOKUP($K170,Inputs!$C$6:$C$23,Inputs!$D$6:$D$23)*$I170</f>
        <v>3.8386574074074069</v>
      </c>
      <c r="M170" s="68"/>
      <c r="N170" s="68"/>
      <c r="O170" s="215">
        <v>475</v>
      </c>
      <c r="P170" s="215">
        <v>503</v>
      </c>
      <c r="Q170" s="94">
        <v>0.9</v>
      </c>
      <c r="R170" s="68" t="s">
        <v>115</v>
      </c>
      <c r="S170" s="182">
        <f t="shared" si="26"/>
        <v>427.5</v>
      </c>
      <c r="T170" s="182">
        <f t="shared" si="27"/>
        <v>452.7</v>
      </c>
      <c r="U170" s="96" t="s">
        <v>3406</v>
      </c>
      <c r="V170" s="22" t="s">
        <v>2762</v>
      </c>
      <c r="W170" s="96" t="s">
        <v>4250</v>
      </c>
      <c r="X170" s="22" t="s">
        <v>4251</v>
      </c>
      <c r="Y170" s="11" t="s">
        <v>3304</v>
      </c>
      <c r="Z170" s="79"/>
      <c r="AA170" s="187">
        <v>168</v>
      </c>
    </row>
    <row r="171" spans="1:27" s="188" customFormat="1" ht="20" x14ac:dyDescent="0.2">
      <c r="B171" s="11" t="s">
        <v>1809</v>
      </c>
      <c r="C171" s="165" t="s">
        <v>4236</v>
      </c>
      <c r="D171" s="22" t="s">
        <v>2379</v>
      </c>
      <c r="E171" s="34">
        <v>1</v>
      </c>
      <c r="F171" s="22" t="s">
        <v>2223</v>
      </c>
      <c r="G171" s="88">
        <v>10.199999999999999</v>
      </c>
      <c r="H171" s="235">
        <f t="shared" si="20"/>
        <v>6.2962962962962958</v>
      </c>
      <c r="I171" s="88">
        <v>10.199999999999999</v>
      </c>
      <c r="J171" s="235">
        <f t="shared" si="21"/>
        <v>6.2962962962962958</v>
      </c>
      <c r="K171" s="215">
        <v>138</v>
      </c>
      <c r="L171" s="252">
        <f>_xlfn.XLOOKUP($K171,Inputs!$C$6:$C$23,Inputs!$D$6:$D$23)*$I171</f>
        <v>4.4224285714285712</v>
      </c>
      <c r="M171" s="68"/>
      <c r="N171" s="68"/>
      <c r="O171" s="215">
        <v>260</v>
      </c>
      <c r="P171" s="215">
        <v>287</v>
      </c>
      <c r="Q171" s="94">
        <v>0.9</v>
      </c>
      <c r="R171" s="68" t="s">
        <v>115</v>
      </c>
      <c r="S171" s="182">
        <f t="shared" si="26"/>
        <v>234</v>
      </c>
      <c r="T171" s="182">
        <f t="shared" si="27"/>
        <v>258.3</v>
      </c>
      <c r="U171" s="96" t="s">
        <v>1808</v>
      </c>
      <c r="V171" s="22" t="s">
        <v>3094</v>
      </c>
      <c r="W171" s="96" t="s">
        <v>1810</v>
      </c>
      <c r="X171" s="22" t="s">
        <v>3099</v>
      </c>
      <c r="Y171" s="11" t="s">
        <v>4298</v>
      </c>
      <c r="Z171" s="79"/>
      <c r="AA171" s="187">
        <v>169</v>
      </c>
    </row>
    <row r="172" spans="1:27" s="184" customFormat="1" ht="20" x14ac:dyDescent="0.2">
      <c r="B172" s="11" t="s">
        <v>1807</v>
      </c>
      <c r="C172" s="165" t="s">
        <v>4236</v>
      </c>
      <c r="D172" s="22" t="s">
        <v>2379</v>
      </c>
      <c r="E172" s="34">
        <v>1</v>
      </c>
      <c r="F172" s="22" t="s">
        <v>2223</v>
      </c>
      <c r="G172" s="88">
        <v>9.35</v>
      </c>
      <c r="H172" s="235">
        <f t="shared" si="20"/>
        <v>5.7716049382716044</v>
      </c>
      <c r="I172" s="88">
        <v>9.35</v>
      </c>
      <c r="J172" s="235">
        <f t="shared" si="21"/>
        <v>5.7716049382716044</v>
      </c>
      <c r="K172" s="215">
        <v>138</v>
      </c>
      <c r="L172" s="252">
        <f>_xlfn.XLOOKUP($K172,Inputs!$C$6:$C$23,Inputs!$D$6:$D$23)*$I172</f>
        <v>4.0538928571428574</v>
      </c>
      <c r="M172" s="68"/>
      <c r="N172" s="68"/>
      <c r="O172" s="215">
        <v>285</v>
      </c>
      <c r="P172" s="215">
        <v>350</v>
      </c>
      <c r="Q172" s="94">
        <v>0.9</v>
      </c>
      <c r="R172" s="68" t="s">
        <v>115</v>
      </c>
      <c r="S172" s="182">
        <f t="shared" si="26"/>
        <v>256.5</v>
      </c>
      <c r="T172" s="182">
        <f t="shared" si="27"/>
        <v>315</v>
      </c>
      <c r="U172" s="96" t="s">
        <v>1808</v>
      </c>
      <c r="V172" s="22" t="s">
        <v>3094</v>
      </c>
      <c r="W172" s="96" t="s">
        <v>637</v>
      </c>
      <c r="X172" s="22" t="s">
        <v>3113</v>
      </c>
      <c r="Y172" s="11" t="s">
        <v>4298</v>
      </c>
      <c r="Z172" s="79"/>
      <c r="AA172" s="187">
        <v>170</v>
      </c>
    </row>
    <row r="173" spans="1:27" s="184" customFormat="1" ht="20" x14ac:dyDescent="0.2">
      <c r="B173" s="11" t="s">
        <v>1748</v>
      </c>
      <c r="C173" s="165" t="s">
        <v>4236</v>
      </c>
      <c r="D173" s="22" t="s">
        <v>2379</v>
      </c>
      <c r="E173" s="34">
        <v>1</v>
      </c>
      <c r="F173" s="22" t="s">
        <v>2223</v>
      </c>
      <c r="G173" s="88">
        <v>3.06</v>
      </c>
      <c r="H173" s="235">
        <f t="shared" si="20"/>
        <v>1.8888888888888888</v>
      </c>
      <c r="I173" s="88">
        <v>3.06</v>
      </c>
      <c r="J173" s="235">
        <f t="shared" si="21"/>
        <v>1.8888888888888888</v>
      </c>
      <c r="K173" s="215">
        <v>138</v>
      </c>
      <c r="L173" s="252">
        <f>_xlfn.XLOOKUP($K173,Inputs!$C$6:$C$23,Inputs!$D$6:$D$23)*$I173</f>
        <v>1.3267285714285715</v>
      </c>
      <c r="M173" s="68"/>
      <c r="N173" s="68"/>
      <c r="O173" s="215">
        <v>273</v>
      </c>
      <c r="P173" s="215">
        <v>273</v>
      </c>
      <c r="Q173" s="94">
        <v>0.9</v>
      </c>
      <c r="R173" s="68" t="s">
        <v>115</v>
      </c>
      <c r="S173" s="182">
        <f t="shared" si="26"/>
        <v>245.70000000000002</v>
      </c>
      <c r="T173" s="182">
        <f t="shared" si="27"/>
        <v>245.70000000000002</v>
      </c>
      <c r="U173" s="96" t="s">
        <v>1747</v>
      </c>
      <c r="V173" s="22" t="s">
        <v>3096</v>
      </c>
      <c r="W173" s="96" t="s">
        <v>3818</v>
      </c>
      <c r="X173" s="22" t="s">
        <v>3064</v>
      </c>
      <c r="Y173" s="11" t="s">
        <v>4298</v>
      </c>
      <c r="Z173" s="79"/>
      <c r="AA173" s="187">
        <v>171</v>
      </c>
    </row>
    <row r="174" spans="1:27" s="184" customFormat="1" ht="20" x14ac:dyDescent="0.2">
      <c r="A174" s="298"/>
      <c r="B174" s="11" t="s">
        <v>1244</v>
      </c>
      <c r="C174" s="165" t="s">
        <v>4238</v>
      </c>
      <c r="D174" s="22" t="s">
        <v>2379</v>
      </c>
      <c r="E174" s="34">
        <v>1</v>
      </c>
      <c r="F174" s="22" t="s">
        <v>2223</v>
      </c>
      <c r="G174" s="88">
        <v>10.08</v>
      </c>
      <c r="H174" s="235">
        <f t="shared" si="20"/>
        <v>6.2222222222222214</v>
      </c>
      <c r="I174" s="88">
        <v>10.08</v>
      </c>
      <c r="J174" s="235">
        <f t="shared" si="21"/>
        <v>6.2222222222222214</v>
      </c>
      <c r="K174" s="201">
        <v>72</v>
      </c>
      <c r="L174" s="252">
        <f>_xlfn.XLOOKUP($K174,Inputs!$C$6:$C$23,Inputs!$D$6:$D$23)*$I174</f>
        <v>3.8952000000000004</v>
      </c>
      <c r="M174" s="68"/>
      <c r="N174" s="68"/>
      <c r="O174" s="187"/>
      <c r="P174" s="187"/>
      <c r="Q174" s="94">
        <v>0.9</v>
      </c>
      <c r="R174" s="68">
        <f t="shared" ref="R174:R205" si="28">IF((42.4*(J174)^(-0.6595))&gt;=3,3,(IF(42.4*(J174)^(-0.6595)&lt;=0.5,0.5,(42.4*(J174)^(-0.6595)))))</f>
        <v>3</v>
      </c>
      <c r="S174" s="276">
        <f>_xlfn.XLOOKUP($K174,Inputs!$G$6:$G$23,Inputs!J$6:J$23)*$R174</f>
        <v>38.880000000000003</v>
      </c>
      <c r="T174" s="276">
        <f>_xlfn.XLOOKUP($K174,Inputs!$G$6:$G$23,Inputs!K$6:K$23)*$R174</f>
        <v>42.491803278688522</v>
      </c>
      <c r="U174" s="96" t="s">
        <v>4395</v>
      </c>
      <c r="V174" s="22" t="s">
        <v>3118</v>
      </c>
      <c r="W174" s="96" t="s">
        <v>1246</v>
      </c>
      <c r="X174" s="22" t="s">
        <v>3229</v>
      </c>
      <c r="Y174" s="11" t="s">
        <v>3331</v>
      </c>
      <c r="Z174" s="79"/>
      <c r="AA174" s="187">
        <v>172</v>
      </c>
    </row>
    <row r="175" spans="1:27" s="188" customFormat="1" ht="20" x14ac:dyDescent="0.2">
      <c r="A175" s="297"/>
      <c r="B175" s="11" t="s">
        <v>1245</v>
      </c>
      <c r="C175" s="165" t="s">
        <v>4238</v>
      </c>
      <c r="D175" s="22" t="s">
        <v>2379</v>
      </c>
      <c r="E175" s="34">
        <v>1</v>
      </c>
      <c r="F175" s="22" t="s">
        <v>2223</v>
      </c>
      <c r="G175" s="88">
        <v>10.08</v>
      </c>
      <c r="H175" s="235">
        <f t="shared" si="20"/>
        <v>6.2222222222222214</v>
      </c>
      <c r="I175" s="88">
        <v>10.08</v>
      </c>
      <c r="J175" s="235">
        <f t="shared" si="21"/>
        <v>6.2222222222222214</v>
      </c>
      <c r="K175" s="201">
        <v>72</v>
      </c>
      <c r="L175" s="252">
        <f>_xlfn.XLOOKUP($K175,Inputs!$C$6:$C$23,Inputs!$D$6:$D$23)*$I175</f>
        <v>3.8952000000000004</v>
      </c>
      <c r="M175" s="68"/>
      <c r="N175" s="68"/>
      <c r="O175" s="187"/>
      <c r="P175" s="187"/>
      <c r="Q175" s="94">
        <v>0.9</v>
      </c>
      <c r="R175" s="68">
        <f t="shared" si="28"/>
        <v>3</v>
      </c>
      <c r="S175" s="276">
        <f>_xlfn.XLOOKUP($K175,Inputs!$G$6:$G$23,Inputs!J$6:J$23)*$R175</f>
        <v>38.880000000000003</v>
      </c>
      <c r="T175" s="276">
        <f>_xlfn.XLOOKUP($K175,Inputs!$G$6:$G$23,Inputs!K$6:K$23)*$R175</f>
        <v>42.491803278688522</v>
      </c>
      <c r="U175" s="96" t="s">
        <v>4395</v>
      </c>
      <c r="V175" s="22" t="s">
        <v>3118</v>
      </c>
      <c r="W175" s="96" t="s">
        <v>1246</v>
      </c>
      <c r="X175" s="205" t="s">
        <v>3229</v>
      </c>
      <c r="Y175" s="11" t="s">
        <v>3331</v>
      </c>
      <c r="Z175" s="79"/>
      <c r="AA175" s="187">
        <v>173</v>
      </c>
    </row>
    <row r="176" spans="1:27" s="188" customFormat="1" ht="20" x14ac:dyDescent="0.2">
      <c r="B176" s="11" t="s">
        <v>1241</v>
      </c>
      <c r="C176" s="165" t="s">
        <v>4238</v>
      </c>
      <c r="D176" s="22" t="s">
        <v>2379</v>
      </c>
      <c r="E176" s="34">
        <v>1</v>
      </c>
      <c r="F176" s="22" t="s">
        <v>2223</v>
      </c>
      <c r="G176" s="235">
        <v>5</v>
      </c>
      <c r="H176" s="235">
        <f t="shared" si="20"/>
        <v>3.0864197530864197</v>
      </c>
      <c r="I176" s="235">
        <v>5</v>
      </c>
      <c r="J176" s="235">
        <f t="shared" si="21"/>
        <v>3.0864197530864197</v>
      </c>
      <c r="K176" s="201">
        <v>72</v>
      </c>
      <c r="L176" s="252">
        <f>_xlfn.XLOOKUP($K176,Inputs!$C$6:$C$23,Inputs!$D$6:$D$23)*$I176</f>
        <v>1.9321428571428574</v>
      </c>
      <c r="M176" s="68"/>
      <c r="N176" s="68"/>
      <c r="O176" s="187"/>
      <c r="P176" s="187"/>
      <c r="Q176" s="94">
        <v>0.9</v>
      </c>
      <c r="R176" s="68">
        <f t="shared" si="28"/>
        <v>3</v>
      </c>
      <c r="S176" s="276">
        <f>_xlfn.XLOOKUP($K176,Inputs!$G$6:$G$23,Inputs!J$6:J$23)*$R176</f>
        <v>38.880000000000003</v>
      </c>
      <c r="T176" s="276">
        <f>_xlfn.XLOOKUP($K176,Inputs!$G$6:$G$23,Inputs!K$6:K$23)*$R176</f>
        <v>42.491803278688522</v>
      </c>
      <c r="U176" s="96" t="s">
        <v>1235</v>
      </c>
      <c r="V176" s="22" t="s">
        <v>3214</v>
      </c>
      <c r="W176" s="96" t="s">
        <v>4395</v>
      </c>
      <c r="X176" s="22" t="s">
        <v>3118</v>
      </c>
      <c r="Y176" s="11" t="s">
        <v>3331</v>
      </c>
      <c r="Z176" s="79"/>
      <c r="AA176" s="187">
        <v>174</v>
      </c>
    </row>
    <row r="177" spans="1:27" s="188" customFormat="1" ht="20" x14ac:dyDescent="0.2">
      <c r="B177" s="11" t="s">
        <v>1242</v>
      </c>
      <c r="C177" s="165" t="s">
        <v>4238</v>
      </c>
      <c r="D177" s="22" t="s">
        <v>2379</v>
      </c>
      <c r="E177" s="34">
        <v>1</v>
      </c>
      <c r="F177" s="22" t="s">
        <v>2223</v>
      </c>
      <c r="G177" s="235">
        <v>5</v>
      </c>
      <c r="H177" s="235">
        <f t="shared" si="20"/>
        <v>3.0864197530864197</v>
      </c>
      <c r="I177" s="235">
        <v>5</v>
      </c>
      <c r="J177" s="235">
        <f t="shared" si="21"/>
        <v>3.0864197530864197</v>
      </c>
      <c r="K177" s="201">
        <v>72</v>
      </c>
      <c r="L177" s="252">
        <f>_xlfn.XLOOKUP($K177,Inputs!$C$6:$C$23,Inputs!$D$6:$D$23)*$I177</f>
        <v>1.9321428571428574</v>
      </c>
      <c r="M177" s="68"/>
      <c r="N177" s="68"/>
      <c r="O177" s="187"/>
      <c r="P177" s="187"/>
      <c r="Q177" s="94">
        <v>0.9</v>
      </c>
      <c r="R177" s="68">
        <f t="shared" si="28"/>
        <v>3</v>
      </c>
      <c r="S177" s="276">
        <f>_xlfn.XLOOKUP($K177,Inputs!$G$6:$G$23,Inputs!J$6:J$23)*$R177</f>
        <v>38.880000000000003</v>
      </c>
      <c r="T177" s="276">
        <f>_xlfn.XLOOKUP($K177,Inputs!$G$6:$G$23,Inputs!K$6:K$23)*$R177</f>
        <v>42.491803278688522</v>
      </c>
      <c r="U177" s="96" t="s">
        <v>1235</v>
      </c>
      <c r="V177" s="22" t="s">
        <v>3214</v>
      </c>
      <c r="W177" s="96" t="s">
        <v>4395</v>
      </c>
      <c r="X177" s="22" t="s">
        <v>3118</v>
      </c>
      <c r="Y177" s="11" t="s">
        <v>3331</v>
      </c>
      <c r="Z177" s="79"/>
      <c r="AA177" s="187">
        <v>175</v>
      </c>
    </row>
    <row r="178" spans="1:27" s="188" customFormat="1" ht="20" x14ac:dyDescent="0.2">
      <c r="B178" s="11" t="s">
        <v>1232</v>
      </c>
      <c r="C178" s="165" t="s">
        <v>4238</v>
      </c>
      <c r="D178" s="22" t="s">
        <v>2379</v>
      </c>
      <c r="E178" s="34">
        <v>1</v>
      </c>
      <c r="F178" s="22" t="s">
        <v>2223</v>
      </c>
      <c r="G178" s="235">
        <v>5</v>
      </c>
      <c r="H178" s="235">
        <f t="shared" si="20"/>
        <v>3.0864197530864197</v>
      </c>
      <c r="I178" s="235">
        <v>10</v>
      </c>
      <c r="J178" s="235">
        <f t="shared" si="21"/>
        <v>6.1728395061728394</v>
      </c>
      <c r="K178" s="201">
        <v>72</v>
      </c>
      <c r="L178" s="252">
        <f>_xlfn.XLOOKUP($K178,Inputs!$C$6:$C$23,Inputs!$D$6:$D$23)*$I178</f>
        <v>3.8642857142857148</v>
      </c>
      <c r="M178" s="68"/>
      <c r="N178" s="68"/>
      <c r="O178" s="187"/>
      <c r="P178" s="187"/>
      <c r="Q178" s="94">
        <v>0.9</v>
      </c>
      <c r="R178" s="68">
        <f t="shared" si="28"/>
        <v>3</v>
      </c>
      <c r="S178" s="276">
        <f>_xlfn.XLOOKUP($K178,Inputs!$G$6:$G$23,Inputs!J$6:J$23)*$R178</f>
        <v>38.880000000000003</v>
      </c>
      <c r="T178" s="276">
        <f>_xlfn.XLOOKUP($K178,Inputs!$G$6:$G$23,Inputs!K$6:K$23)*$R178</f>
        <v>42.491803278688522</v>
      </c>
      <c r="U178" s="96" t="s">
        <v>1235</v>
      </c>
      <c r="V178" s="22" t="s">
        <v>3214</v>
      </c>
      <c r="W178" s="96" t="s">
        <v>1236</v>
      </c>
      <c r="X178" s="22" t="s">
        <v>3218</v>
      </c>
      <c r="Y178" s="11" t="s">
        <v>3331</v>
      </c>
      <c r="Z178" s="79"/>
      <c r="AA178" s="187">
        <v>176</v>
      </c>
    </row>
    <row r="179" spans="1:27" s="188" customFormat="1" ht="20" x14ac:dyDescent="0.2">
      <c r="B179" s="11" t="s">
        <v>1232</v>
      </c>
      <c r="C179" s="165" t="s">
        <v>4238</v>
      </c>
      <c r="D179" s="22" t="s">
        <v>2379</v>
      </c>
      <c r="E179" s="34">
        <v>1</v>
      </c>
      <c r="F179" s="22" t="s">
        <v>2223</v>
      </c>
      <c r="G179" s="235">
        <v>5</v>
      </c>
      <c r="H179" s="235">
        <f t="shared" si="20"/>
        <v>3.0864197530864197</v>
      </c>
      <c r="I179" s="235">
        <v>10</v>
      </c>
      <c r="J179" s="235">
        <f t="shared" si="21"/>
        <v>6.1728395061728394</v>
      </c>
      <c r="K179" s="201">
        <v>72</v>
      </c>
      <c r="L179" s="252">
        <f>_xlfn.XLOOKUP($K179,Inputs!$C$6:$C$23,Inputs!$D$6:$D$23)*$I179</f>
        <v>3.8642857142857148</v>
      </c>
      <c r="M179" s="68"/>
      <c r="N179" s="68"/>
      <c r="O179" s="187"/>
      <c r="P179" s="187"/>
      <c r="Q179" s="94">
        <v>0.9</v>
      </c>
      <c r="R179" s="68">
        <f t="shared" si="28"/>
        <v>3</v>
      </c>
      <c r="S179" s="276">
        <f>_xlfn.XLOOKUP($K179,Inputs!$G$6:$G$23,Inputs!J$6:J$23)*$R179</f>
        <v>38.880000000000003</v>
      </c>
      <c r="T179" s="276">
        <f>_xlfn.XLOOKUP($K179,Inputs!$G$6:$G$23,Inputs!K$6:K$23)*$R179</f>
        <v>42.491803278688522</v>
      </c>
      <c r="U179" s="96" t="s">
        <v>1236</v>
      </c>
      <c r="V179" s="22" t="s">
        <v>3218</v>
      </c>
      <c r="W179" s="96" t="s">
        <v>2085</v>
      </c>
      <c r="X179" s="22" t="s">
        <v>3220</v>
      </c>
      <c r="Y179" s="11" t="s">
        <v>3331</v>
      </c>
      <c r="Z179" s="79"/>
      <c r="AA179" s="187">
        <v>177</v>
      </c>
    </row>
    <row r="180" spans="1:27" s="188" customFormat="1" ht="20" x14ac:dyDescent="0.2">
      <c r="B180" s="11" t="s">
        <v>1233</v>
      </c>
      <c r="C180" s="165" t="s">
        <v>4238</v>
      </c>
      <c r="D180" s="22" t="s">
        <v>2379</v>
      </c>
      <c r="E180" s="34">
        <v>1</v>
      </c>
      <c r="F180" s="22" t="s">
        <v>2223</v>
      </c>
      <c r="G180" s="235">
        <v>5</v>
      </c>
      <c r="H180" s="235">
        <f t="shared" si="20"/>
        <v>3.0864197530864197</v>
      </c>
      <c r="I180" s="235">
        <v>10</v>
      </c>
      <c r="J180" s="235">
        <f t="shared" si="21"/>
        <v>6.1728395061728394</v>
      </c>
      <c r="K180" s="201">
        <v>72</v>
      </c>
      <c r="L180" s="252">
        <f>_xlfn.XLOOKUP($K180,Inputs!$C$6:$C$23,Inputs!$D$6:$D$23)*$I180</f>
        <v>3.8642857142857148</v>
      </c>
      <c r="M180" s="68"/>
      <c r="N180" s="68"/>
      <c r="O180" s="187"/>
      <c r="P180" s="187"/>
      <c r="Q180" s="94">
        <v>0.9</v>
      </c>
      <c r="R180" s="68">
        <f t="shared" si="28"/>
        <v>3</v>
      </c>
      <c r="S180" s="276">
        <f>_xlfn.XLOOKUP($K180,Inputs!$G$6:$G$23,Inputs!J$6:J$23)*$R180</f>
        <v>38.880000000000003</v>
      </c>
      <c r="T180" s="276">
        <f>_xlfn.XLOOKUP($K180,Inputs!$G$6:$G$23,Inputs!K$6:K$23)*$R180</f>
        <v>42.491803278688522</v>
      </c>
      <c r="U180" s="96" t="s">
        <v>1235</v>
      </c>
      <c r="V180" s="22" t="s">
        <v>3214</v>
      </c>
      <c r="W180" s="96" t="s">
        <v>1236</v>
      </c>
      <c r="X180" s="22" t="s">
        <v>3218</v>
      </c>
      <c r="Y180" s="11" t="s">
        <v>3331</v>
      </c>
      <c r="Z180" s="79"/>
      <c r="AA180" s="187">
        <v>178</v>
      </c>
    </row>
    <row r="181" spans="1:27" s="184" customFormat="1" ht="20" x14ac:dyDescent="0.2">
      <c r="B181" s="11" t="s">
        <v>1233</v>
      </c>
      <c r="C181" s="165" t="s">
        <v>4238</v>
      </c>
      <c r="D181" s="22" t="s">
        <v>2379</v>
      </c>
      <c r="E181" s="34">
        <v>1</v>
      </c>
      <c r="F181" s="22" t="s">
        <v>2223</v>
      </c>
      <c r="G181" s="235">
        <v>5</v>
      </c>
      <c r="H181" s="235">
        <f t="shared" si="20"/>
        <v>3.0864197530864197</v>
      </c>
      <c r="I181" s="235">
        <v>10</v>
      </c>
      <c r="J181" s="235">
        <f t="shared" si="21"/>
        <v>6.1728395061728394</v>
      </c>
      <c r="K181" s="201">
        <v>72</v>
      </c>
      <c r="L181" s="252">
        <f>_xlfn.XLOOKUP($K181,Inputs!$C$6:$C$23,Inputs!$D$6:$D$23)*$I181</f>
        <v>3.8642857142857148</v>
      </c>
      <c r="M181" s="68"/>
      <c r="N181" s="68"/>
      <c r="O181" s="187"/>
      <c r="P181" s="187"/>
      <c r="Q181" s="94">
        <v>0.9</v>
      </c>
      <c r="R181" s="68">
        <f t="shared" si="28"/>
        <v>3</v>
      </c>
      <c r="S181" s="276">
        <f>_xlfn.XLOOKUP($K181,Inputs!$G$6:$G$23,Inputs!J$6:J$23)*$R181</f>
        <v>38.880000000000003</v>
      </c>
      <c r="T181" s="276">
        <f>_xlfn.XLOOKUP($K181,Inputs!$G$6:$G$23,Inputs!K$6:K$23)*$R181</f>
        <v>42.491803278688522</v>
      </c>
      <c r="U181" s="96" t="s">
        <v>1236</v>
      </c>
      <c r="V181" s="22" t="s">
        <v>3218</v>
      </c>
      <c r="W181" s="96" t="s">
        <v>2085</v>
      </c>
      <c r="X181" s="22" t="s">
        <v>3220</v>
      </c>
      <c r="Y181" s="11" t="s">
        <v>3331</v>
      </c>
      <c r="Z181" s="79"/>
      <c r="AA181" s="187">
        <v>179</v>
      </c>
    </row>
    <row r="182" spans="1:27" s="188" customFormat="1" ht="20" x14ac:dyDescent="0.2">
      <c r="A182" s="297"/>
      <c r="B182" s="11" t="s">
        <v>1247</v>
      </c>
      <c r="C182" s="165" t="s">
        <v>4238</v>
      </c>
      <c r="D182" s="22" t="s">
        <v>2379</v>
      </c>
      <c r="E182" s="34">
        <v>1</v>
      </c>
      <c r="F182" s="22" t="s">
        <v>2223</v>
      </c>
      <c r="G182" s="88">
        <v>8.4</v>
      </c>
      <c r="H182" s="235">
        <f t="shared" si="20"/>
        <v>5.1851851851851851</v>
      </c>
      <c r="I182" s="88">
        <v>8.4</v>
      </c>
      <c r="J182" s="235">
        <f t="shared" si="21"/>
        <v>5.1851851851851851</v>
      </c>
      <c r="K182" s="201">
        <v>72</v>
      </c>
      <c r="L182" s="252">
        <f>_xlfn.XLOOKUP($K182,Inputs!$C$6:$C$23,Inputs!$D$6:$D$23)*$I182</f>
        <v>3.2460000000000004</v>
      </c>
      <c r="M182" s="68"/>
      <c r="N182" s="68"/>
      <c r="O182" s="187"/>
      <c r="P182" s="187"/>
      <c r="Q182" s="94">
        <v>0.9</v>
      </c>
      <c r="R182" s="68">
        <f t="shared" si="28"/>
        <v>3</v>
      </c>
      <c r="S182" s="276">
        <f>_xlfn.XLOOKUP($K182,Inputs!$G$6:$G$23,Inputs!J$6:J$23)*$R182</f>
        <v>38.880000000000003</v>
      </c>
      <c r="T182" s="276">
        <f>_xlfn.XLOOKUP($K182,Inputs!$G$6:$G$23,Inputs!K$6:K$23)*$R182</f>
        <v>42.491803278688522</v>
      </c>
      <c r="U182" s="96" t="s">
        <v>4395</v>
      </c>
      <c r="V182" s="22" t="s">
        <v>3118</v>
      </c>
      <c r="W182" s="96" t="s">
        <v>1248</v>
      </c>
      <c r="X182" s="22" t="s">
        <v>3228</v>
      </c>
      <c r="Y182" s="11" t="s">
        <v>3331</v>
      </c>
      <c r="Z182" s="79"/>
      <c r="AA182" s="187">
        <v>180</v>
      </c>
    </row>
    <row r="183" spans="1:27" s="184" customFormat="1" ht="20" x14ac:dyDescent="0.2">
      <c r="B183" s="11" t="s">
        <v>1249</v>
      </c>
      <c r="C183" s="165" t="s">
        <v>4238</v>
      </c>
      <c r="D183" s="22" t="s">
        <v>2379</v>
      </c>
      <c r="E183" s="34">
        <v>1</v>
      </c>
      <c r="F183" s="22" t="s">
        <v>2223</v>
      </c>
      <c r="G183" s="235">
        <v>5</v>
      </c>
      <c r="H183" s="235">
        <f t="shared" si="20"/>
        <v>3.0864197530864197</v>
      </c>
      <c r="I183" s="235">
        <v>17.600000000000001</v>
      </c>
      <c r="J183" s="235">
        <f t="shared" si="21"/>
        <v>10.864197530864198</v>
      </c>
      <c r="K183" s="201">
        <v>72</v>
      </c>
      <c r="L183" s="252">
        <f>_xlfn.XLOOKUP($K183,Inputs!$C$6:$C$23,Inputs!$D$6:$D$23)*$I183</f>
        <v>6.8011428571428585</v>
      </c>
      <c r="M183" s="68"/>
      <c r="N183" s="68"/>
      <c r="O183" s="187"/>
      <c r="P183" s="187"/>
      <c r="Q183" s="94">
        <v>0.9</v>
      </c>
      <c r="R183" s="68">
        <f t="shared" si="28"/>
        <v>3</v>
      </c>
      <c r="S183" s="276">
        <f>_xlfn.XLOOKUP($K183,Inputs!$G$6:$G$23,Inputs!J$6:J$23)*$R183</f>
        <v>38.880000000000003</v>
      </c>
      <c r="T183" s="276">
        <f>_xlfn.XLOOKUP($K183,Inputs!$G$6:$G$23,Inputs!K$6:K$23)*$R183</f>
        <v>42.491803278688522</v>
      </c>
      <c r="U183" s="96" t="s">
        <v>701</v>
      </c>
      <c r="V183" s="22" t="s">
        <v>3212</v>
      </c>
      <c r="W183" s="96" t="s">
        <v>3362</v>
      </c>
      <c r="X183" s="22" t="s">
        <v>3208</v>
      </c>
      <c r="Y183" s="11" t="s">
        <v>3331</v>
      </c>
      <c r="Z183" s="79"/>
      <c r="AA183" s="187">
        <v>181</v>
      </c>
    </row>
    <row r="184" spans="1:27" s="184" customFormat="1" ht="20" x14ac:dyDescent="0.2">
      <c r="B184" s="11" t="s">
        <v>1249</v>
      </c>
      <c r="C184" s="165" t="s">
        <v>4238</v>
      </c>
      <c r="D184" s="22" t="s">
        <v>2379</v>
      </c>
      <c r="E184" s="34">
        <v>1</v>
      </c>
      <c r="F184" s="22" t="s">
        <v>2223</v>
      </c>
      <c r="G184" s="88">
        <v>12.600000000000001</v>
      </c>
      <c r="H184" s="235">
        <f t="shared" si="20"/>
        <v>7.7777777777777786</v>
      </c>
      <c r="I184" s="88">
        <v>17.600000000000001</v>
      </c>
      <c r="J184" s="235">
        <f t="shared" si="21"/>
        <v>10.864197530864198</v>
      </c>
      <c r="K184" s="201">
        <v>72</v>
      </c>
      <c r="L184" s="252">
        <f>_xlfn.XLOOKUP($K184,Inputs!$C$6:$C$23,Inputs!$D$6:$D$23)*$I184</f>
        <v>6.8011428571428585</v>
      </c>
      <c r="M184" s="68"/>
      <c r="N184" s="68"/>
      <c r="O184" s="187"/>
      <c r="P184" s="187"/>
      <c r="Q184" s="94">
        <v>0.9</v>
      </c>
      <c r="R184" s="68">
        <f t="shared" si="28"/>
        <v>3</v>
      </c>
      <c r="S184" s="276">
        <f>_xlfn.XLOOKUP($K184,Inputs!$G$6:$G$23,Inputs!J$6:J$23)*$R184</f>
        <v>38.880000000000003</v>
      </c>
      <c r="T184" s="276">
        <f>_xlfn.XLOOKUP($K184,Inputs!$G$6:$G$23,Inputs!K$6:K$23)*$R184</f>
        <v>42.491803278688522</v>
      </c>
      <c r="U184" s="96" t="s">
        <v>3362</v>
      </c>
      <c r="V184" s="22" t="s">
        <v>3208</v>
      </c>
      <c r="W184" s="96" t="s">
        <v>1251</v>
      </c>
      <c r="X184" s="22" t="s">
        <v>3234</v>
      </c>
      <c r="Y184" s="11" t="s">
        <v>3331</v>
      </c>
      <c r="Z184" s="79"/>
      <c r="AA184" s="187">
        <v>182</v>
      </c>
    </row>
    <row r="185" spans="1:27" s="184" customFormat="1" ht="20" x14ac:dyDescent="0.2">
      <c r="B185" s="11" t="s">
        <v>1239</v>
      </c>
      <c r="C185" s="165" t="s">
        <v>4238</v>
      </c>
      <c r="D185" s="22" t="s">
        <v>2379</v>
      </c>
      <c r="E185" s="34">
        <v>1</v>
      </c>
      <c r="F185" s="22" t="s">
        <v>2223</v>
      </c>
      <c r="G185" s="88">
        <v>12.600000000000001</v>
      </c>
      <c r="H185" s="235">
        <f t="shared" si="20"/>
        <v>7.7777777777777786</v>
      </c>
      <c r="I185" s="88">
        <v>12.600000000000001</v>
      </c>
      <c r="J185" s="235">
        <f t="shared" si="21"/>
        <v>7.7777777777777786</v>
      </c>
      <c r="K185" s="201">
        <v>72</v>
      </c>
      <c r="L185" s="252">
        <f>_xlfn.XLOOKUP($K185,Inputs!$C$6:$C$23,Inputs!$D$6:$D$23)*$I185</f>
        <v>4.8690000000000007</v>
      </c>
      <c r="M185" s="68"/>
      <c r="N185" s="68"/>
      <c r="O185" s="187"/>
      <c r="P185" s="187"/>
      <c r="Q185" s="94">
        <v>0.9</v>
      </c>
      <c r="R185" s="68">
        <f t="shared" si="28"/>
        <v>3</v>
      </c>
      <c r="S185" s="276">
        <f>_xlfn.XLOOKUP($K185,Inputs!$G$6:$G$23,Inputs!J$6:J$23)*$R185</f>
        <v>38.880000000000003</v>
      </c>
      <c r="T185" s="276">
        <f>_xlfn.XLOOKUP($K185,Inputs!$G$6:$G$23,Inputs!K$6:K$23)*$R185</f>
        <v>42.491803278688522</v>
      </c>
      <c r="U185" s="96" t="s">
        <v>3624</v>
      </c>
      <c r="V185" s="22" t="s">
        <v>2909</v>
      </c>
      <c r="W185" s="96" t="s">
        <v>1240</v>
      </c>
      <c r="X185" s="22" t="s">
        <v>3219</v>
      </c>
      <c r="Y185" s="11" t="s">
        <v>3331</v>
      </c>
      <c r="Z185" s="79"/>
      <c r="AA185" s="187">
        <v>183</v>
      </c>
    </row>
    <row r="186" spans="1:27" s="188" customFormat="1" ht="20" x14ac:dyDescent="0.2">
      <c r="B186" s="11" t="s">
        <v>1234</v>
      </c>
      <c r="C186" s="165" t="s">
        <v>4238</v>
      </c>
      <c r="D186" s="22" t="s">
        <v>2379</v>
      </c>
      <c r="E186" s="34">
        <v>1</v>
      </c>
      <c r="F186" s="22" t="s">
        <v>2223</v>
      </c>
      <c r="G186" s="235">
        <v>5</v>
      </c>
      <c r="H186" s="235">
        <f t="shared" si="20"/>
        <v>3.0864197530864197</v>
      </c>
      <c r="I186" s="235">
        <v>10</v>
      </c>
      <c r="J186" s="235">
        <f t="shared" si="21"/>
        <v>6.1728395061728394</v>
      </c>
      <c r="K186" s="201">
        <v>72</v>
      </c>
      <c r="L186" s="252">
        <f>_xlfn.XLOOKUP($K186,Inputs!$C$6:$C$23,Inputs!$D$6:$D$23)*$I186</f>
        <v>3.8642857142857148</v>
      </c>
      <c r="M186" s="68"/>
      <c r="N186" s="68"/>
      <c r="O186" s="187"/>
      <c r="P186" s="187"/>
      <c r="Q186" s="94">
        <v>0.9</v>
      </c>
      <c r="R186" s="68">
        <f t="shared" si="28"/>
        <v>3</v>
      </c>
      <c r="S186" s="276">
        <f>_xlfn.XLOOKUP($K186,Inputs!$G$6:$G$23,Inputs!J$6:J$23)*$R186</f>
        <v>38.880000000000003</v>
      </c>
      <c r="T186" s="276">
        <f>_xlfn.XLOOKUP($K186,Inputs!$G$6:$G$23,Inputs!K$6:K$23)*$R186</f>
        <v>42.491803278688522</v>
      </c>
      <c r="U186" s="96" t="s">
        <v>1235</v>
      </c>
      <c r="V186" s="22" t="s">
        <v>3214</v>
      </c>
      <c r="W186" s="96" t="s">
        <v>1236</v>
      </c>
      <c r="X186" s="22" t="s">
        <v>3218</v>
      </c>
      <c r="Y186" s="11" t="s">
        <v>3331</v>
      </c>
      <c r="Z186" s="79"/>
      <c r="AA186" s="187">
        <v>184</v>
      </c>
    </row>
    <row r="187" spans="1:27" s="188" customFormat="1" ht="20" x14ac:dyDescent="0.2">
      <c r="B187" s="11" t="s">
        <v>1234</v>
      </c>
      <c r="C187" s="165" t="s">
        <v>4238</v>
      </c>
      <c r="D187" s="22" t="s">
        <v>2379</v>
      </c>
      <c r="E187" s="34">
        <v>1</v>
      </c>
      <c r="F187" s="22" t="s">
        <v>2223</v>
      </c>
      <c r="G187" s="235">
        <v>5</v>
      </c>
      <c r="H187" s="235">
        <f t="shared" si="20"/>
        <v>3.0864197530864197</v>
      </c>
      <c r="I187" s="235">
        <v>10</v>
      </c>
      <c r="J187" s="235">
        <f t="shared" si="21"/>
        <v>6.1728395061728394</v>
      </c>
      <c r="K187" s="201">
        <v>72</v>
      </c>
      <c r="L187" s="252">
        <f>_xlfn.XLOOKUP($K187,Inputs!$C$6:$C$23,Inputs!$D$6:$D$23)*$I187</f>
        <v>3.8642857142857148</v>
      </c>
      <c r="M187" s="68"/>
      <c r="N187" s="68"/>
      <c r="O187" s="187"/>
      <c r="P187" s="187"/>
      <c r="Q187" s="94">
        <v>0.9</v>
      </c>
      <c r="R187" s="68">
        <f t="shared" si="28"/>
        <v>3</v>
      </c>
      <c r="S187" s="276">
        <f>_xlfn.XLOOKUP($K187,Inputs!$G$6:$G$23,Inputs!J$6:J$23)*$R187</f>
        <v>38.880000000000003</v>
      </c>
      <c r="T187" s="276">
        <f>_xlfn.XLOOKUP($K187,Inputs!$G$6:$G$23,Inputs!K$6:K$23)*$R187</f>
        <v>42.491803278688522</v>
      </c>
      <c r="U187" s="96" t="s">
        <v>1236</v>
      </c>
      <c r="V187" s="22" t="s">
        <v>3218</v>
      </c>
      <c r="W187" s="96" t="s">
        <v>2085</v>
      </c>
      <c r="X187" s="22" t="s">
        <v>3220</v>
      </c>
      <c r="Y187" s="11" t="s">
        <v>3331</v>
      </c>
      <c r="Z187" s="79"/>
      <c r="AA187" s="187">
        <v>185</v>
      </c>
    </row>
    <row r="188" spans="1:27" s="184" customFormat="1" ht="20" x14ac:dyDescent="0.2">
      <c r="B188" s="11" t="s">
        <v>1253</v>
      </c>
      <c r="C188" s="165" t="s">
        <v>4238</v>
      </c>
      <c r="D188" s="22" t="s">
        <v>2379</v>
      </c>
      <c r="E188" s="34">
        <v>1</v>
      </c>
      <c r="F188" s="22" t="s">
        <v>2223</v>
      </c>
      <c r="G188" s="235">
        <v>20</v>
      </c>
      <c r="H188" s="235">
        <f t="shared" si="20"/>
        <v>12.345679012345679</v>
      </c>
      <c r="I188" s="235">
        <v>55</v>
      </c>
      <c r="J188" s="235">
        <f t="shared" si="21"/>
        <v>33.950617283950614</v>
      </c>
      <c r="K188" s="201">
        <v>72</v>
      </c>
      <c r="L188" s="252">
        <f>_xlfn.XLOOKUP($K188,Inputs!$C$6:$C$23,Inputs!$D$6:$D$23)*$I188</f>
        <v>21.25357142857143</v>
      </c>
      <c r="M188" s="68"/>
      <c r="N188" s="68"/>
      <c r="O188" s="187"/>
      <c r="P188" s="187"/>
      <c r="Q188" s="94">
        <v>0.9</v>
      </c>
      <c r="R188" s="68">
        <f t="shared" si="28"/>
        <v>3</v>
      </c>
      <c r="S188" s="276">
        <f>_xlfn.XLOOKUP($K188,Inputs!$G$6:$G$23,Inputs!J$6:J$23)*$R188</f>
        <v>38.880000000000003</v>
      </c>
      <c r="T188" s="276">
        <f>_xlfn.XLOOKUP($K188,Inputs!$G$6:$G$23,Inputs!K$6:K$23)*$R188</f>
        <v>42.491803278688522</v>
      </c>
      <c r="U188" s="96" t="s">
        <v>701</v>
      </c>
      <c r="V188" s="22" t="s">
        <v>3212</v>
      </c>
      <c r="W188" s="96" t="s">
        <v>1254</v>
      </c>
      <c r="X188" s="22" t="s">
        <v>3217</v>
      </c>
      <c r="Y188" s="11" t="s">
        <v>3331</v>
      </c>
      <c r="Z188" s="79"/>
      <c r="AA188" s="187">
        <v>186</v>
      </c>
    </row>
    <row r="189" spans="1:27" s="188" customFormat="1" ht="20" x14ac:dyDescent="0.2">
      <c r="B189" s="11" t="s">
        <v>1253</v>
      </c>
      <c r="C189" s="165" t="s">
        <v>4238</v>
      </c>
      <c r="D189" s="22" t="s">
        <v>2379</v>
      </c>
      <c r="E189" s="34">
        <v>1</v>
      </c>
      <c r="F189" s="22" t="s">
        <v>2223</v>
      </c>
      <c r="G189" s="235">
        <v>10</v>
      </c>
      <c r="H189" s="235">
        <f t="shared" si="20"/>
        <v>6.1728395061728394</v>
      </c>
      <c r="I189" s="235">
        <v>55</v>
      </c>
      <c r="J189" s="235">
        <f t="shared" si="21"/>
        <v>33.950617283950614</v>
      </c>
      <c r="K189" s="201">
        <v>72</v>
      </c>
      <c r="L189" s="252">
        <f>_xlfn.XLOOKUP($K189,Inputs!$C$6:$C$23,Inputs!$D$6:$D$23)*$I189</f>
        <v>21.25357142857143</v>
      </c>
      <c r="M189" s="68"/>
      <c r="N189" s="68"/>
      <c r="O189" s="187"/>
      <c r="P189" s="187"/>
      <c r="Q189" s="94">
        <v>0.9</v>
      </c>
      <c r="R189" s="68">
        <f t="shared" si="28"/>
        <v>3</v>
      </c>
      <c r="S189" s="276">
        <f>_xlfn.XLOOKUP($K189,Inputs!$G$6:$G$23,Inputs!J$6:J$23)*$R189</f>
        <v>38.880000000000003</v>
      </c>
      <c r="T189" s="276">
        <f>_xlfn.XLOOKUP($K189,Inputs!$G$6:$G$23,Inputs!K$6:K$23)*$R189</f>
        <v>42.491803278688522</v>
      </c>
      <c r="U189" s="96" t="s">
        <v>1259</v>
      </c>
      <c r="V189" s="22" t="s">
        <v>3224</v>
      </c>
      <c r="W189" s="96" t="s">
        <v>1254</v>
      </c>
      <c r="X189" s="22" t="s">
        <v>3217</v>
      </c>
      <c r="Y189" s="11" t="s">
        <v>3331</v>
      </c>
      <c r="Z189" s="79"/>
      <c r="AA189" s="187">
        <v>187</v>
      </c>
    </row>
    <row r="190" spans="1:27" s="188" customFormat="1" ht="20" x14ac:dyDescent="0.2">
      <c r="B190" s="11" t="s">
        <v>1252</v>
      </c>
      <c r="C190" s="165" t="s">
        <v>4238</v>
      </c>
      <c r="D190" s="22" t="s">
        <v>2379</v>
      </c>
      <c r="E190" s="34">
        <v>1</v>
      </c>
      <c r="F190" s="22" t="s">
        <v>2223</v>
      </c>
      <c r="G190" s="235">
        <v>10</v>
      </c>
      <c r="H190" s="235">
        <f t="shared" si="20"/>
        <v>6.1728395061728394</v>
      </c>
      <c r="I190" s="235">
        <v>50</v>
      </c>
      <c r="J190" s="235">
        <f t="shared" si="21"/>
        <v>30.864197530864196</v>
      </c>
      <c r="K190" s="201">
        <v>72</v>
      </c>
      <c r="L190" s="252">
        <f>_xlfn.XLOOKUP($K190,Inputs!$C$6:$C$23,Inputs!$D$6:$D$23)*$I190</f>
        <v>19.321428571428573</v>
      </c>
      <c r="M190" s="68"/>
      <c r="N190" s="68"/>
      <c r="O190" s="187"/>
      <c r="P190" s="187"/>
      <c r="Q190" s="94">
        <v>0.9</v>
      </c>
      <c r="R190" s="68">
        <f t="shared" si="28"/>
        <v>3</v>
      </c>
      <c r="S190" s="276">
        <f>_xlfn.XLOOKUP($K190,Inputs!$G$6:$G$23,Inputs!J$6:J$23)*$R190</f>
        <v>38.880000000000003</v>
      </c>
      <c r="T190" s="276">
        <f>_xlfn.XLOOKUP($K190,Inputs!$G$6:$G$23,Inputs!K$6:K$23)*$R190</f>
        <v>42.491803278688522</v>
      </c>
      <c r="U190" s="96" t="s">
        <v>701</v>
      </c>
      <c r="V190" s="22" t="s">
        <v>3212</v>
      </c>
      <c r="W190" s="96" t="s">
        <v>1255</v>
      </c>
      <c r="X190" s="22" t="s">
        <v>3239</v>
      </c>
      <c r="Y190" s="11" t="s">
        <v>3331</v>
      </c>
      <c r="Z190" s="79"/>
      <c r="AA190" s="187">
        <v>188</v>
      </c>
    </row>
    <row r="191" spans="1:27" s="188" customFormat="1" ht="20" x14ac:dyDescent="0.2">
      <c r="B191" s="11" t="s">
        <v>1252</v>
      </c>
      <c r="C191" s="165" t="s">
        <v>4238</v>
      </c>
      <c r="D191" s="22" t="s">
        <v>2379</v>
      </c>
      <c r="E191" s="34">
        <v>1</v>
      </c>
      <c r="F191" s="22" t="s">
        <v>2223</v>
      </c>
      <c r="G191" s="235">
        <v>5</v>
      </c>
      <c r="H191" s="235">
        <f t="shared" si="20"/>
        <v>3.0864197530864197</v>
      </c>
      <c r="I191" s="235">
        <v>50</v>
      </c>
      <c r="J191" s="235">
        <f t="shared" si="21"/>
        <v>30.864197530864196</v>
      </c>
      <c r="K191" s="201">
        <v>72</v>
      </c>
      <c r="L191" s="252">
        <f>_xlfn.XLOOKUP($K191,Inputs!$C$6:$C$23,Inputs!$D$6:$D$23)*$I191</f>
        <v>19.321428571428573</v>
      </c>
      <c r="M191" s="68"/>
      <c r="N191" s="68"/>
      <c r="O191" s="187"/>
      <c r="P191" s="187"/>
      <c r="Q191" s="94">
        <v>0.9</v>
      </c>
      <c r="R191" s="68">
        <f t="shared" si="28"/>
        <v>3</v>
      </c>
      <c r="S191" s="276">
        <f>_xlfn.XLOOKUP($K191,Inputs!$G$6:$G$23,Inputs!J$6:J$23)*$R191</f>
        <v>38.880000000000003</v>
      </c>
      <c r="T191" s="276">
        <f>_xlfn.XLOOKUP($K191,Inputs!$G$6:$G$23,Inputs!K$6:K$23)*$R191</f>
        <v>42.491803278688522</v>
      </c>
      <c r="U191" s="96" t="s">
        <v>1255</v>
      </c>
      <c r="V191" s="22" t="s">
        <v>3239</v>
      </c>
      <c r="W191" s="96" t="s">
        <v>1256</v>
      </c>
      <c r="X191" s="22" t="s">
        <v>3236</v>
      </c>
      <c r="Y191" s="11" t="s">
        <v>3331</v>
      </c>
      <c r="Z191" s="79"/>
      <c r="AA191" s="187">
        <v>189</v>
      </c>
    </row>
    <row r="192" spans="1:27" s="188" customFormat="1" ht="20" x14ac:dyDescent="0.2">
      <c r="B192" s="11" t="s">
        <v>1252</v>
      </c>
      <c r="C192" s="165" t="s">
        <v>4238</v>
      </c>
      <c r="D192" s="22" t="s">
        <v>2379</v>
      </c>
      <c r="E192" s="34">
        <v>1</v>
      </c>
      <c r="F192" s="22" t="s">
        <v>2223</v>
      </c>
      <c r="G192" s="235">
        <v>15</v>
      </c>
      <c r="H192" s="235">
        <f t="shared" si="20"/>
        <v>9.2592592592592595</v>
      </c>
      <c r="I192" s="235">
        <v>50</v>
      </c>
      <c r="J192" s="235">
        <f t="shared" si="21"/>
        <v>30.864197530864196</v>
      </c>
      <c r="K192" s="201">
        <v>72</v>
      </c>
      <c r="L192" s="252">
        <f>_xlfn.XLOOKUP($K192,Inputs!$C$6:$C$23,Inputs!$D$6:$D$23)*$I192</f>
        <v>19.321428571428573</v>
      </c>
      <c r="M192" s="68"/>
      <c r="N192" s="68"/>
      <c r="O192" s="187"/>
      <c r="P192" s="187"/>
      <c r="Q192" s="94">
        <v>0.9</v>
      </c>
      <c r="R192" s="68">
        <f t="shared" si="28"/>
        <v>3</v>
      </c>
      <c r="S192" s="276">
        <f>_xlfn.XLOOKUP($K192,Inputs!$G$6:$G$23,Inputs!J$6:J$23)*$R192</f>
        <v>38.880000000000003</v>
      </c>
      <c r="T192" s="276">
        <f>_xlfn.XLOOKUP($K192,Inputs!$G$6:$G$23,Inputs!K$6:K$23)*$R192</f>
        <v>42.491803278688522</v>
      </c>
      <c r="U192" s="96" t="s">
        <v>1256</v>
      </c>
      <c r="V192" s="22" t="s">
        <v>3236</v>
      </c>
      <c r="W192" s="96" t="s">
        <v>1257</v>
      </c>
      <c r="X192" s="22" t="s">
        <v>3215</v>
      </c>
      <c r="Y192" s="11" t="s">
        <v>3331</v>
      </c>
      <c r="Z192" s="79"/>
      <c r="AA192" s="187">
        <v>190</v>
      </c>
    </row>
    <row r="193" spans="1:27" s="188" customFormat="1" ht="20" x14ac:dyDescent="0.2">
      <c r="B193" s="11" t="s">
        <v>1252</v>
      </c>
      <c r="C193" s="165" t="s">
        <v>4238</v>
      </c>
      <c r="D193" s="22" t="s">
        <v>2379</v>
      </c>
      <c r="E193" s="34">
        <v>1</v>
      </c>
      <c r="F193" s="22" t="s">
        <v>2223</v>
      </c>
      <c r="G193" s="235">
        <v>10</v>
      </c>
      <c r="H193" s="235">
        <f t="shared" si="20"/>
        <v>6.1728395061728394</v>
      </c>
      <c r="I193" s="235">
        <v>50</v>
      </c>
      <c r="J193" s="235">
        <f t="shared" si="21"/>
        <v>30.864197530864196</v>
      </c>
      <c r="K193" s="201">
        <v>72</v>
      </c>
      <c r="L193" s="252">
        <f>_xlfn.XLOOKUP($K193,Inputs!$C$6:$C$23,Inputs!$D$6:$D$23)*$I193</f>
        <v>19.321428571428573</v>
      </c>
      <c r="M193" s="68"/>
      <c r="N193" s="68"/>
      <c r="O193" s="187"/>
      <c r="P193" s="187"/>
      <c r="Q193" s="94">
        <v>0.9</v>
      </c>
      <c r="R193" s="68">
        <f t="shared" si="28"/>
        <v>3</v>
      </c>
      <c r="S193" s="276">
        <f>_xlfn.XLOOKUP($K193,Inputs!$G$6:$G$23,Inputs!J$6:J$23)*$R193</f>
        <v>38.880000000000003</v>
      </c>
      <c r="T193" s="276">
        <f>_xlfn.XLOOKUP($K193,Inputs!$G$6:$G$23,Inputs!K$6:K$23)*$R193</f>
        <v>42.491803278688522</v>
      </c>
      <c r="U193" s="96" t="s">
        <v>1257</v>
      </c>
      <c r="V193" s="22" t="s">
        <v>3215</v>
      </c>
      <c r="W193" s="96" t="s">
        <v>1258</v>
      </c>
      <c r="X193" s="22" t="s">
        <v>3226</v>
      </c>
      <c r="Y193" s="11" t="s">
        <v>3331</v>
      </c>
      <c r="Z193" s="79"/>
      <c r="AA193" s="187">
        <v>191</v>
      </c>
    </row>
    <row r="194" spans="1:27" s="188" customFormat="1" ht="20" x14ac:dyDescent="0.2">
      <c r="B194" s="11" t="s">
        <v>1252</v>
      </c>
      <c r="C194" s="165" t="s">
        <v>4238</v>
      </c>
      <c r="D194" s="22" t="s">
        <v>2379</v>
      </c>
      <c r="E194" s="34">
        <v>1</v>
      </c>
      <c r="F194" s="22" t="s">
        <v>2223</v>
      </c>
      <c r="G194" s="235">
        <v>10</v>
      </c>
      <c r="H194" s="235">
        <f t="shared" si="20"/>
        <v>6.1728395061728394</v>
      </c>
      <c r="I194" s="235">
        <v>50</v>
      </c>
      <c r="J194" s="235">
        <f t="shared" si="21"/>
        <v>30.864197530864196</v>
      </c>
      <c r="K194" s="201">
        <v>72</v>
      </c>
      <c r="L194" s="252">
        <f>_xlfn.XLOOKUP($K194,Inputs!$C$6:$C$23,Inputs!$D$6:$D$23)*$I194</f>
        <v>19.321428571428573</v>
      </c>
      <c r="M194" s="68"/>
      <c r="N194" s="68"/>
      <c r="O194" s="187"/>
      <c r="P194" s="187"/>
      <c r="Q194" s="94">
        <v>0.9</v>
      </c>
      <c r="R194" s="68">
        <f t="shared" si="28"/>
        <v>3</v>
      </c>
      <c r="S194" s="276">
        <f>_xlfn.XLOOKUP($K194,Inputs!$G$6:$G$23,Inputs!J$6:J$23)*$R194</f>
        <v>38.880000000000003</v>
      </c>
      <c r="T194" s="276">
        <f>_xlfn.XLOOKUP($K194,Inputs!$G$6:$G$23,Inputs!K$6:K$23)*$R194</f>
        <v>42.491803278688522</v>
      </c>
      <c r="U194" s="96" t="s">
        <v>1258</v>
      </c>
      <c r="V194" s="22" t="s">
        <v>3226</v>
      </c>
      <c r="W194" s="96" t="s">
        <v>1259</v>
      </c>
      <c r="X194" s="22" t="s">
        <v>3224</v>
      </c>
      <c r="Y194" s="11" t="s">
        <v>3331</v>
      </c>
      <c r="Z194" s="79"/>
      <c r="AA194" s="187">
        <v>192</v>
      </c>
    </row>
    <row r="195" spans="1:27" s="188" customFormat="1" ht="20" x14ac:dyDescent="0.2">
      <c r="A195" s="297"/>
      <c r="B195" s="11" t="s">
        <v>1253</v>
      </c>
      <c r="C195" s="165" t="s">
        <v>4238</v>
      </c>
      <c r="D195" s="22" t="s">
        <v>2379</v>
      </c>
      <c r="E195" s="34">
        <v>1</v>
      </c>
      <c r="F195" s="22" t="s">
        <v>2223</v>
      </c>
      <c r="G195" s="235">
        <v>5</v>
      </c>
      <c r="H195" s="235">
        <f t="shared" si="20"/>
        <v>3.0864197530864197</v>
      </c>
      <c r="I195" s="235">
        <v>55</v>
      </c>
      <c r="J195" s="235">
        <f t="shared" si="21"/>
        <v>33.950617283950614</v>
      </c>
      <c r="K195" s="221">
        <v>72</v>
      </c>
      <c r="L195" s="252">
        <f>_xlfn.XLOOKUP($K195,Inputs!$C$6:$C$23,Inputs!$D$6:$D$23)*$I195</f>
        <v>21.25357142857143</v>
      </c>
      <c r="M195" s="68"/>
      <c r="N195" s="68"/>
      <c r="O195" s="206"/>
      <c r="P195" s="206"/>
      <c r="Q195" s="94">
        <v>0.9</v>
      </c>
      <c r="R195" s="68">
        <f t="shared" si="28"/>
        <v>3</v>
      </c>
      <c r="S195" s="276">
        <f>_xlfn.XLOOKUP($K195,Inputs!$G$6:$G$23,Inputs!J$6:J$23)*$R195</f>
        <v>38.880000000000003</v>
      </c>
      <c r="T195" s="276">
        <f>_xlfn.XLOOKUP($K195,Inputs!$G$6:$G$23,Inputs!K$6:K$23)*$R195</f>
        <v>42.491803278688522</v>
      </c>
      <c r="U195" s="96" t="s">
        <v>1259</v>
      </c>
      <c r="V195" s="22" t="s">
        <v>3224</v>
      </c>
      <c r="W195" s="96" t="s">
        <v>1260</v>
      </c>
      <c r="X195" s="22" t="s">
        <v>3223</v>
      </c>
      <c r="Y195" s="11" t="s">
        <v>3331</v>
      </c>
      <c r="Z195" s="79"/>
      <c r="AA195" s="187">
        <v>193</v>
      </c>
    </row>
    <row r="196" spans="1:27" s="188" customFormat="1" ht="20" x14ac:dyDescent="0.2">
      <c r="A196" s="297"/>
      <c r="B196" s="11" t="s">
        <v>1253</v>
      </c>
      <c r="C196" s="165" t="s">
        <v>4238</v>
      </c>
      <c r="D196" s="22" t="s">
        <v>2379</v>
      </c>
      <c r="E196" s="34">
        <v>1</v>
      </c>
      <c r="F196" s="22" t="s">
        <v>2223</v>
      </c>
      <c r="G196" s="235">
        <v>5</v>
      </c>
      <c r="H196" s="235">
        <f t="shared" si="20"/>
        <v>3.0864197530864197</v>
      </c>
      <c r="I196" s="235">
        <v>55</v>
      </c>
      <c r="J196" s="235">
        <f t="shared" si="21"/>
        <v>33.950617283950614</v>
      </c>
      <c r="K196" s="201">
        <v>72</v>
      </c>
      <c r="L196" s="252">
        <f>_xlfn.XLOOKUP($K196,Inputs!$C$6:$C$23,Inputs!$D$6:$D$23)*$I196</f>
        <v>21.25357142857143</v>
      </c>
      <c r="M196" s="68"/>
      <c r="N196" s="68"/>
      <c r="O196" s="187"/>
      <c r="P196" s="187"/>
      <c r="Q196" s="94">
        <v>0.9</v>
      </c>
      <c r="R196" s="68">
        <f t="shared" si="28"/>
        <v>3</v>
      </c>
      <c r="S196" s="276">
        <f>_xlfn.XLOOKUP($K196,Inputs!$G$6:$G$23,Inputs!J$6:J$23)*$R196</f>
        <v>38.880000000000003</v>
      </c>
      <c r="T196" s="276">
        <f>_xlfn.XLOOKUP($K196,Inputs!$G$6:$G$23,Inputs!K$6:K$23)*$R196</f>
        <v>42.491803278688522</v>
      </c>
      <c r="U196" s="96" t="s">
        <v>1260</v>
      </c>
      <c r="V196" s="22" t="s">
        <v>3223</v>
      </c>
      <c r="W196" s="96" t="s">
        <v>1261</v>
      </c>
      <c r="X196" s="22" t="s">
        <v>3227</v>
      </c>
      <c r="Y196" s="11" t="s">
        <v>3331</v>
      </c>
      <c r="Z196" s="79"/>
      <c r="AA196" s="187">
        <v>194</v>
      </c>
    </row>
    <row r="197" spans="1:27" s="188" customFormat="1" ht="20" x14ac:dyDescent="0.2">
      <c r="A197" s="297"/>
      <c r="B197" s="11" t="s">
        <v>1253</v>
      </c>
      <c r="C197" s="165" t="s">
        <v>4238</v>
      </c>
      <c r="D197" s="22" t="s">
        <v>2379</v>
      </c>
      <c r="E197" s="34">
        <v>1</v>
      </c>
      <c r="F197" s="22" t="s">
        <v>2223</v>
      </c>
      <c r="G197" s="235">
        <v>5</v>
      </c>
      <c r="H197" s="235">
        <f t="shared" ref="H197:H260" si="29">G197/1.62</f>
        <v>3.0864197530864197</v>
      </c>
      <c r="I197" s="235">
        <v>55</v>
      </c>
      <c r="J197" s="235">
        <f t="shared" ref="J197:J260" si="30">I197/1.62</f>
        <v>33.950617283950614</v>
      </c>
      <c r="K197" s="201">
        <v>72</v>
      </c>
      <c r="L197" s="252">
        <f>_xlfn.XLOOKUP($K197,Inputs!$C$6:$C$23,Inputs!$D$6:$D$23)*$I197</f>
        <v>21.25357142857143</v>
      </c>
      <c r="M197" s="68"/>
      <c r="N197" s="68"/>
      <c r="O197" s="187"/>
      <c r="P197" s="187"/>
      <c r="Q197" s="94">
        <v>0.9</v>
      </c>
      <c r="R197" s="68">
        <f t="shared" si="28"/>
        <v>3</v>
      </c>
      <c r="S197" s="276">
        <f>_xlfn.XLOOKUP($K197,Inputs!$G$6:$G$23,Inputs!J$6:J$23)*$R197</f>
        <v>38.880000000000003</v>
      </c>
      <c r="T197" s="276">
        <f>_xlfn.XLOOKUP($K197,Inputs!$G$6:$G$23,Inputs!K$6:K$23)*$R197</f>
        <v>42.491803278688522</v>
      </c>
      <c r="U197" s="96" t="s">
        <v>1261</v>
      </c>
      <c r="V197" s="22" t="s">
        <v>3227</v>
      </c>
      <c r="W197" s="96" t="s">
        <v>1262</v>
      </c>
      <c r="X197" s="22" t="s">
        <v>3231</v>
      </c>
      <c r="Y197" s="11" t="s">
        <v>3331</v>
      </c>
      <c r="Z197" s="79"/>
      <c r="AA197" s="187">
        <v>195</v>
      </c>
    </row>
    <row r="198" spans="1:27" s="188" customFormat="1" ht="20" x14ac:dyDescent="0.2">
      <c r="A198" s="297"/>
      <c r="B198" s="11" t="s">
        <v>1253</v>
      </c>
      <c r="C198" s="165" t="s">
        <v>4238</v>
      </c>
      <c r="D198" s="22" t="s">
        <v>2379</v>
      </c>
      <c r="E198" s="34">
        <v>1</v>
      </c>
      <c r="F198" s="22" t="s">
        <v>2223</v>
      </c>
      <c r="G198" s="235">
        <v>5</v>
      </c>
      <c r="H198" s="235">
        <f t="shared" si="29"/>
        <v>3.0864197530864197</v>
      </c>
      <c r="I198" s="235">
        <v>55</v>
      </c>
      <c r="J198" s="235">
        <f t="shared" si="30"/>
        <v>33.950617283950614</v>
      </c>
      <c r="K198" s="201">
        <v>72</v>
      </c>
      <c r="L198" s="252">
        <f>_xlfn.XLOOKUP($K198,Inputs!$C$6:$C$23,Inputs!$D$6:$D$23)*$I198</f>
        <v>21.25357142857143</v>
      </c>
      <c r="M198" s="68"/>
      <c r="N198" s="68"/>
      <c r="O198" s="187"/>
      <c r="P198" s="187"/>
      <c r="Q198" s="94">
        <v>0.9</v>
      </c>
      <c r="R198" s="68">
        <f t="shared" si="28"/>
        <v>3</v>
      </c>
      <c r="S198" s="276">
        <f>_xlfn.XLOOKUP($K198,Inputs!$G$6:$G$23,Inputs!J$6:J$23)*$R198</f>
        <v>38.880000000000003</v>
      </c>
      <c r="T198" s="276">
        <f>_xlfn.XLOOKUP($K198,Inputs!$G$6:$G$23,Inputs!K$6:K$23)*$R198</f>
        <v>42.491803278688522</v>
      </c>
      <c r="U198" s="96" t="s">
        <v>1262</v>
      </c>
      <c r="V198" s="22" t="s">
        <v>3231</v>
      </c>
      <c r="W198" s="96" t="s">
        <v>1263</v>
      </c>
      <c r="X198" s="22" t="s">
        <v>3238</v>
      </c>
      <c r="Y198" s="11" t="s">
        <v>3331</v>
      </c>
      <c r="Z198" s="79"/>
      <c r="AA198" s="187">
        <v>196</v>
      </c>
    </row>
    <row r="199" spans="1:27" s="188" customFormat="1" ht="20" x14ac:dyDescent="0.2">
      <c r="A199" s="297"/>
      <c r="B199" s="11" t="s">
        <v>1253</v>
      </c>
      <c r="C199" s="165" t="s">
        <v>4238</v>
      </c>
      <c r="D199" s="22" t="s">
        <v>2379</v>
      </c>
      <c r="E199" s="34">
        <v>1</v>
      </c>
      <c r="F199" s="22" t="s">
        <v>2223</v>
      </c>
      <c r="G199" s="235">
        <v>5</v>
      </c>
      <c r="H199" s="235">
        <f t="shared" si="29"/>
        <v>3.0864197530864197</v>
      </c>
      <c r="I199" s="235">
        <v>55</v>
      </c>
      <c r="J199" s="235">
        <f t="shared" si="30"/>
        <v>33.950617283950614</v>
      </c>
      <c r="K199" s="201">
        <v>72</v>
      </c>
      <c r="L199" s="252">
        <f>_xlfn.XLOOKUP($K199,Inputs!$C$6:$C$23,Inputs!$D$6:$D$23)*$I199</f>
        <v>21.25357142857143</v>
      </c>
      <c r="M199" s="68"/>
      <c r="N199" s="68"/>
      <c r="O199" s="187"/>
      <c r="P199" s="187"/>
      <c r="Q199" s="94">
        <v>0.9</v>
      </c>
      <c r="R199" s="68">
        <f t="shared" si="28"/>
        <v>3</v>
      </c>
      <c r="S199" s="276">
        <f>_xlfn.XLOOKUP($K199,Inputs!$G$6:$G$23,Inputs!J$6:J$23)*$R199</f>
        <v>38.880000000000003</v>
      </c>
      <c r="T199" s="276">
        <f>_xlfn.XLOOKUP($K199,Inputs!$G$6:$G$23,Inputs!K$6:K$23)*$R199</f>
        <v>42.491803278688522</v>
      </c>
      <c r="U199" s="96" t="s">
        <v>1263</v>
      </c>
      <c r="V199" s="22" t="s">
        <v>3238</v>
      </c>
      <c r="W199" s="96" t="s">
        <v>1264</v>
      </c>
      <c r="X199" s="22" t="s">
        <v>3237</v>
      </c>
      <c r="Y199" s="11" t="s">
        <v>3331</v>
      </c>
      <c r="Z199" s="79"/>
      <c r="AA199" s="187">
        <v>197</v>
      </c>
    </row>
    <row r="200" spans="1:27" s="188" customFormat="1" ht="20" x14ac:dyDescent="0.2">
      <c r="B200" s="11" t="s">
        <v>1265</v>
      </c>
      <c r="C200" s="165" t="s">
        <v>4238</v>
      </c>
      <c r="D200" s="22" t="s">
        <v>2379</v>
      </c>
      <c r="E200" s="34">
        <v>1</v>
      </c>
      <c r="F200" s="22" t="s">
        <v>2223</v>
      </c>
      <c r="G200" s="235">
        <v>5</v>
      </c>
      <c r="H200" s="235">
        <f t="shared" si="29"/>
        <v>3.0864197530864197</v>
      </c>
      <c r="I200" s="235">
        <v>5</v>
      </c>
      <c r="J200" s="235">
        <f t="shared" si="30"/>
        <v>3.0864197530864197</v>
      </c>
      <c r="K200" s="201">
        <v>72</v>
      </c>
      <c r="L200" s="252">
        <f>_xlfn.XLOOKUP($K200,Inputs!$C$6:$C$23,Inputs!$D$6:$D$23)*$I200</f>
        <v>1.9321428571428574</v>
      </c>
      <c r="M200" s="68"/>
      <c r="N200" s="68"/>
      <c r="O200" s="187"/>
      <c r="P200" s="187"/>
      <c r="Q200" s="94">
        <v>0.9</v>
      </c>
      <c r="R200" s="68">
        <f t="shared" si="28"/>
        <v>3</v>
      </c>
      <c r="S200" s="276">
        <f>_xlfn.XLOOKUP($K200,Inputs!$G$6:$G$23,Inputs!J$6:J$23)*$R200</f>
        <v>38.880000000000003</v>
      </c>
      <c r="T200" s="276">
        <f>_xlfn.XLOOKUP($K200,Inputs!$G$6:$G$23,Inputs!K$6:K$23)*$R200</f>
        <v>42.491803278688522</v>
      </c>
      <c r="U200" s="96" t="s">
        <v>1259</v>
      </c>
      <c r="V200" s="22" t="s">
        <v>3224</v>
      </c>
      <c r="W200" s="96" t="s">
        <v>1266</v>
      </c>
      <c r="X200" s="22" t="s">
        <v>3230</v>
      </c>
      <c r="Y200" s="11" t="s">
        <v>3331</v>
      </c>
      <c r="Z200" s="79"/>
      <c r="AA200" s="187">
        <v>198</v>
      </c>
    </row>
    <row r="201" spans="1:27" s="188" customFormat="1" ht="20" x14ac:dyDescent="0.2">
      <c r="A201" s="297"/>
      <c r="B201" s="11" t="s">
        <v>2035</v>
      </c>
      <c r="C201" s="165" t="s">
        <v>4238</v>
      </c>
      <c r="D201" s="22" t="s">
        <v>2379</v>
      </c>
      <c r="E201" s="34">
        <v>1</v>
      </c>
      <c r="F201" s="22" t="s">
        <v>2223</v>
      </c>
      <c r="G201" s="235">
        <v>5</v>
      </c>
      <c r="H201" s="235">
        <f t="shared" si="29"/>
        <v>3.0864197530864197</v>
      </c>
      <c r="I201" s="235">
        <v>5</v>
      </c>
      <c r="J201" s="235">
        <f t="shared" si="30"/>
        <v>3.0864197530864197</v>
      </c>
      <c r="K201" s="201">
        <v>72</v>
      </c>
      <c r="L201" s="252">
        <f>_xlfn.XLOOKUP($K201,Inputs!$C$6:$C$23,Inputs!$D$6:$D$23)*$I201</f>
        <v>1.9321428571428574</v>
      </c>
      <c r="M201" s="68"/>
      <c r="N201" s="68"/>
      <c r="O201" s="187"/>
      <c r="P201" s="187"/>
      <c r="Q201" s="94">
        <v>0.9</v>
      </c>
      <c r="R201" s="68">
        <f t="shared" si="28"/>
        <v>3</v>
      </c>
      <c r="S201" s="276">
        <f>_xlfn.XLOOKUP($K201,Inputs!$G$6:$G$23,Inputs!J$6:J$23)*$R201</f>
        <v>38.880000000000003</v>
      </c>
      <c r="T201" s="276">
        <f>_xlfn.XLOOKUP($K201,Inputs!$G$6:$G$23,Inputs!K$6:K$23)*$R201</f>
        <v>42.491803278688522</v>
      </c>
      <c r="U201" s="96" t="s">
        <v>4396</v>
      </c>
      <c r="V201" s="22" t="s">
        <v>4397</v>
      </c>
      <c r="W201" s="96" t="s">
        <v>1266</v>
      </c>
      <c r="X201" s="22" t="s">
        <v>3230</v>
      </c>
      <c r="Y201" s="11" t="s">
        <v>3331</v>
      </c>
      <c r="Z201" s="79"/>
      <c r="AA201" s="187">
        <v>199</v>
      </c>
    </row>
    <row r="202" spans="1:27" s="188" customFormat="1" ht="20" x14ac:dyDescent="0.2">
      <c r="A202" s="297"/>
      <c r="B202" s="11" t="s">
        <v>2036</v>
      </c>
      <c r="C202" s="165" t="s">
        <v>4238</v>
      </c>
      <c r="D202" s="22" t="s">
        <v>2379</v>
      </c>
      <c r="E202" s="34">
        <v>1</v>
      </c>
      <c r="F202" s="22" t="s">
        <v>2223</v>
      </c>
      <c r="G202" s="235">
        <v>5</v>
      </c>
      <c r="H202" s="235">
        <f t="shared" si="29"/>
        <v>3.0864197530864197</v>
      </c>
      <c r="I202" s="235">
        <v>5</v>
      </c>
      <c r="J202" s="235">
        <f t="shared" si="30"/>
        <v>3.0864197530864197</v>
      </c>
      <c r="K202" s="201">
        <v>72</v>
      </c>
      <c r="L202" s="252">
        <f>_xlfn.XLOOKUP($K202,Inputs!$C$6:$C$23,Inputs!$D$6:$D$23)*$I202</f>
        <v>1.9321428571428574</v>
      </c>
      <c r="M202" s="68"/>
      <c r="N202" s="68"/>
      <c r="O202" s="187"/>
      <c r="P202" s="187"/>
      <c r="Q202" s="94">
        <v>0.9</v>
      </c>
      <c r="R202" s="68">
        <f t="shared" si="28"/>
        <v>3</v>
      </c>
      <c r="S202" s="276">
        <f>_xlfn.XLOOKUP($K202,Inputs!$G$6:$G$23,Inputs!J$6:J$23)*$R202</f>
        <v>38.880000000000003</v>
      </c>
      <c r="T202" s="276">
        <f>_xlfn.XLOOKUP($K202,Inputs!$G$6:$G$23,Inputs!K$6:K$23)*$R202</f>
        <v>42.491803278688522</v>
      </c>
      <c r="U202" s="96" t="s">
        <v>4396</v>
      </c>
      <c r="V202" s="22" t="s">
        <v>4397</v>
      </c>
      <c r="W202" s="96" t="s">
        <v>1254</v>
      </c>
      <c r="X202" s="22" t="s">
        <v>3217</v>
      </c>
      <c r="Y202" s="11" t="s">
        <v>3331</v>
      </c>
      <c r="Z202" s="79"/>
      <c r="AA202" s="187">
        <v>200</v>
      </c>
    </row>
    <row r="203" spans="1:27" s="188" customFormat="1" ht="20" x14ac:dyDescent="0.2">
      <c r="B203" s="11" t="s">
        <v>2038</v>
      </c>
      <c r="C203" s="165" t="s">
        <v>4238</v>
      </c>
      <c r="D203" s="22" t="s">
        <v>2379</v>
      </c>
      <c r="E203" s="34">
        <v>1</v>
      </c>
      <c r="F203" s="22" t="s">
        <v>2223</v>
      </c>
      <c r="G203" s="235">
        <v>5</v>
      </c>
      <c r="H203" s="235">
        <f t="shared" si="29"/>
        <v>3.0864197530864197</v>
      </c>
      <c r="I203" s="235">
        <v>10</v>
      </c>
      <c r="J203" s="235">
        <f t="shared" si="30"/>
        <v>6.1728395061728394</v>
      </c>
      <c r="K203" s="201">
        <v>72</v>
      </c>
      <c r="L203" s="252">
        <f>_xlfn.XLOOKUP($K203,Inputs!$C$6:$C$23,Inputs!$D$6:$D$23)*$I203</f>
        <v>3.8642857142857148</v>
      </c>
      <c r="M203" s="68"/>
      <c r="N203" s="68"/>
      <c r="O203" s="187"/>
      <c r="P203" s="187"/>
      <c r="Q203" s="94">
        <v>0.9</v>
      </c>
      <c r="R203" s="68">
        <f t="shared" si="28"/>
        <v>3</v>
      </c>
      <c r="S203" s="276">
        <f>_xlfn.XLOOKUP($K203,Inputs!$G$6:$G$23,Inputs!J$6:J$23)*$R203</f>
        <v>38.880000000000003</v>
      </c>
      <c r="T203" s="276">
        <f>_xlfn.XLOOKUP($K203,Inputs!$G$6:$G$23,Inputs!K$6:K$23)*$R203</f>
        <v>42.491803278688522</v>
      </c>
      <c r="U203" s="96" t="s">
        <v>701</v>
      </c>
      <c r="V203" s="22" t="s">
        <v>3212</v>
      </c>
      <c r="W203" s="96" t="s">
        <v>2039</v>
      </c>
      <c r="X203" s="22" t="s">
        <v>3233</v>
      </c>
      <c r="Y203" s="11" t="s">
        <v>3331</v>
      </c>
      <c r="Z203" s="79"/>
      <c r="AA203" s="187">
        <v>201</v>
      </c>
    </row>
    <row r="204" spans="1:27" s="188" customFormat="1" ht="20" x14ac:dyDescent="0.2">
      <c r="B204" s="11" t="s">
        <v>2038</v>
      </c>
      <c r="C204" s="165" t="s">
        <v>4238</v>
      </c>
      <c r="D204" s="22" t="s">
        <v>2379</v>
      </c>
      <c r="E204" s="34">
        <v>1</v>
      </c>
      <c r="F204" s="22" t="s">
        <v>2223</v>
      </c>
      <c r="G204" s="235">
        <v>5</v>
      </c>
      <c r="H204" s="235">
        <f t="shared" si="29"/>
        <v>3.0864197530864197</v>
      </c>
      <c r="I204" s="235">
        <v>10</v>
      </c>
      <c r="J204" s="235">
        <f t="shared" si="30"/>
        <v>6.1728395061728394</v>
      </c>
      <c r="K204" s="201">
        <v>72</v>
      </c>
      <c r="L204" s="252">
        <f>_xlfn.XLOOKUP($K204,Inputs!$C$6:$C$23,Inputs!$D$6:$D$23)*$I204</f>
        <v>3.8642857142857148</v>
      </c>
      <c r="M204" s="68"/>
      <c r="N204" s="68"/>
      <c r="O204" s="187"/>
      <c r="P204" s="187"/>
      <c r="Q204" s="94">
        <v>0.9</v>
      </c>
      <c r="R204" s="68">
        <f t="shared" si="28"/>
        <v>3</v>
      </c>
      <c r="S204" s="276">
        <f>_xlfn.XLOOKUP($K204,Inputs!$G$6:$G$23,Inputs!J$6:J$23)*$R204</f>
        <v>38.880000000000003</v>
      </c>
      <c r="T204" s="276">
        <f>_xlfn.XLOOKUP($K204,Inputs!$G$6:$G$23,Inputs!K$6:K$23)*$R204</f>
        <v>42.491803278688522</v>
      </c>
      <c r="U204" s="96" t="s">
        <v>2039</v>
      </c>
      <c r="V204" s="22" t="s">
        <v>3233</v>
      </c>
      <c r="W204" s="96" t="s">
        <v>2040</v>
      </c>
      <c r="X204" s="22" t="s">
        <v>3240</v>
      </c>
      <c r="Y204" s="11" t="s">
        <v>3331</v>
      </c>
      <c r="Z204" s="79"/>
      <c r="AA204" s="187">
        <v>202</v>
      </c>
    </row>
    <row r="205" spans="1:27" s="188" customFormat="1" ht="20" x14ac:dyDescent="0.2">
      <c r="B205" s="11" t="s">
        <v>688</v>
      </c>
      <c r="C205" s="165" t="s">
        <v>4238</v>
      </c>
      <c r="D205" s="22" t="s">
        <v>2379</v>
      </c>
      <c r="E205" s="34">
        <v>1</v>
      </c>
      <c r="F205" s="22" t="s">
        <v>2223</v>
      </c>
      <c r="G205" s="235">
        <v>5</v>
      </c>
      <c r="H205" s="235">
        <f t="shared" si="29"/>
        <v>3.0864197530864197</v>
      </c>
      <c r="I205" s="235">
        <v>5</v>
      </c>
      <c r="J205" s="235">
        <f t="shared" si="30"/>
        <v>3.0864197530864197</v>
      </c>
      <c r="K205" s="201">
        <v>144</v>
      </c>
      <c r="L205" s="252">
        <f>_xlfn.XLOOKUP($K205,Inputs!$C$6:$C$23,Inputs!$D$6:$D$23)*$I205</f>
        <v>2.1892857142857145</v>
      </c>
      <c r="M205" s="68"/>
      <c r="N205" s="68"/>
      <c r="O205" s="187"/>
      <c r="P205" s="187"/>
      <c r="Q205" s="94">
        <v>0.9</v>
      </c>
      <c r="R205" s="68">
        <f t="shared" si="28"/>
        <v>3</v>
      </c>
      <c r="S205" s="276">
        <f>_xlfn.XLOOKUP($K205,Inputs!$G$6:$G$23,Inputs!J$6:J$23)*$R205</f>
        <v>153.60000000000002</v>
      </c>
      <c r="T205" s="276">
        <f>_xlfn.XLOOKUP($K205,Inputs!$G$6:$G$23,Inputs!K$6:K$23)*$R205</f>
        <v>169.96721311475409</v>
      </c>
      <c r="U205" s="96" t="s">
        <v>689</v>
      </c>
      <c r="V205" s="22" t="s">
        <v>3216</v>
      </c>
      <c r="W205" s="96" t="s">
        <v>690</v>
      </c>
      <c r="X205" s="22" t="s">
        <v>3225</v>
      </c>
      <c r="Y205" s="11" t="s">
        <v>3331</v>
      </c>
      <c r="Z205" s="79"/>
      <c r="AA205" s="187">
        <v>203</v>
      </c>
    </row>
    <row r="206" spans="1:27" s="184" customFormat="1" ht="20" x14ac:dyDescent="0.2">
      <c r="B206" s="11" t="s">
        <v>691</v>
      </c>
      <c r="C206" s="165" t="s">
        <v>4238</v>
      </c>
      <c r="D206" s="22" t="s">
        <v>2379</v>
      </c>
      <c r="E206" s="34">
        <v>1</v>
      </c>
      <c r="F206" s="22" t="s">
        <v>2223</v>
      </c>
      <c r="G206" s="235">
        <v>5</v>
      </c>
      <c r="H206" s="235">
        <f t="shared" si="29"/>
        <v>3.0864197530864197</v>
      </c>
      <c r="I206" s="235">
        <v>5</v>
      </c>
      <c r="J206" s="235">
        <f t="shared" si="30"/>
        <v>3.0864197530864197</v>
      </c>
      <c r="K206" s="201">
        <v>144</v>
      </c>
      <c r="L206" s="252">
        <f>_xlfn.XLOOKUP($K206,Inputs!$C$6:$C$23,Inputs!$D$6:$D$23)*$I206</f>
        <v>2.1892857142857145</v>
      </c>
      <c r="M206" s="68"/>
      <c r="N206" s="68"/>
      <c r="O206" s="187"/>
      <c r="P206" s="187"/>
      <c r="Q206" s="94">
        <v>0.9</v>
      </c>
      <c r="R206" s="68">
        <f t="shared" ref="R206:R223" si="31">IF((42.4*(J206)^(-0.6595))&gt;=3,3,(IF(42.4*(J206)^(-0.6595)&lt;=0.5,0.5,(42.4*(J206)^(-0.6595)))))</f>
        <v>3</v>
      </c>
      <c r="S206" s="276">
        <f>_xlfn.XLOOKUP($K206,Inputs!$G$6:$G$23,Inputs!J$6:J$23)*$R206</f>
        <v>153.60000000000002</v>
      </c>
      <c r="T206" s="276">
        <f>_xlfn.XLOOKUP($K206,Inputs!$G$6:$G$23,Inputs!K$6:K$23)*$R206</f>
        <v>169.96721311475409</v>
      </c>
      <c r="U206" s="96" t="s">
        <v>460</v>
      </c>
      <c r="V206" s="22" t="s">
        <v>3213</v>
      </c>
      <c r="W206" s="96" t="s">
        <v>689</v>
      </c>
      <c r="X206" s="22" t="s">
        <v>3216</v>
      </c>
      <c r="Y206" s="11" t="s">
        <v>3331</v>
      </c>
      <c r="Z206" s="79"/>
      <c r="AA206" s="187">
        <v>204</v>
      </c>
    </row>
    <row r="207" spans="1:27" s="184" customFormat="1" ht="20" x14ac:dyDescent="0.2">
      <c r="B207" s="11" t="s">
        <v>692</v>
      </c>
      <c r="C207" s="165" t="s">
        <v>4238</v>
      </c>
      <c r="D207" s="22" t="s">
        <v>2379</v>
      </c>
      <c r="E207" s="34">
        <v>1</v>
      </c>
      <c r="F207" s="22" t="s">
        <v>2223</v>
      </c>
      <c r="G207" s="235">
        <v>5</v>
      </c>
      <c r="H207" s="235">
        <f t="shared" si="29"/>
        <v>3.0864197530864197</v>
      </c>
      <c r="I207" s="235">
        <v>5</v>
      </c>
      <c r="J207" s="235">
        <f t="shared" si="30"/>
        <v>3.0864197530864197</v>
      </c>
      <c r="K207" s="201">
        <v>144</v>
      </c>
      <c r="L207" s="252">
        <f>_xlfn.XLOOKUP($K207,Inputs!$C$6:$C$23,Inputs!$D$6:$D$23)*$I207</f>
        <v>2.1892857142857145</v>
      </c>
      <c r="M207" s="68"/>
      <c r="N207" s="68"/>
      <c r="O207" s="187"/>
      <c r="P207" s="187"/>
      <c r="Q207" s="94">
        <v>0.9</v>
      </c>
      <c r="R207" s="68">
        <f t="shared" si="31"/>
        <v>3</v>
      </c>
      <c r="S207" s="276">
        <f>_xlfn.XLOOKUP($K207,Inputs!$G$6:$G$23,Inputs!J$6:J$23)*$R207</f>
        <v>153.60000000000002</v>
      </c>
      <c r="T207" s="276">
        <f>_xlfn.XLOOKUP($K207,Inputs!$G$6:$G$23,Inputs!K$6:K$23)*$R207</f>
        <v>169.96721311475409</v>
      </c>
      <c r="U207" s="96" t="s">
        <v>457</v>
      </c>
      <c r="V207" s="22" t="s">
        <v>3235</v>
      </c>
      <c r="W207" s="96" t="s">
        <v>693</v>
      </c>
      <c r="X207" s="22" t="s">
        <v>3232</v>
      </c>
      <c r="Y207" s="11" t="s">
        <v>3331</v>
      </c>
      <c r="Z207" s="79"/>
      <c r="AA207" s="187">
        <v>205</v>
      </c>
    </row>
    <row r="208" spans="1:27" s="184" customFormat="1" ht="20" x14ac:dyDescent="0.2">
      <c r="B208" s="11" t="s">
        <v>694</v>
      </c>
      <c r="C208" s="165" t="s">
        <v>4238</v>
      </c>
      <c r="D208" s="22" t="s">
        <v>2379</v>
      </c>
      <c r="E208" s="34">
        <v>1</v>
      </c>
      <c r="F208" s="22" t="s">
        <v>2223</v>
      </c>
      <c r="G208" s="235">
        <v>5</v>
      </c>
      <c r="H208" s="235">
        <f t="shared" si="29"/>
        <v>3.0864197530864197</v>
      </c>
      <c r="I208" s="235">
        <v>5</v>
      </c>
      <c r="J208" s="235">
        <f t="shared" si="30"/>
        <v>3.0864197530864197</v>
      </c>
      <c r="K208" s="201">
        <v>144</v>
      </c>
      <c r="L208" s="252">
        <f>_xlfn.XLOOKUP($K208,Inputs!$C$6:$C$23,Inputs!$D$6:$D$23)*$I208</f>
        <v>2.1892857142857145</v>
      </c>
      <c r="M208" s="68"/>
      <c r="N208" s="68"/>
      <c r="O208" s="187"/>
      <c r="P208" s="187"/>
      <c r="Q208" s="94">
        <v>0.9</v>
      </c>
      <c r="R208" s="68">
        <f t="shared" si="31"/>
        <v>3</v>
      </c>
      <c r="S208" s="276">
        <f>_xlfn.XLOOKUP($K208,Inputs!$G$6:$G$23,Inputs!J$6:J$23)*$R208</f>
        <v>153.60000000000002</v>
      </c>
      <c r="T208" s="276">
        <f>_xlfn.XLOOKUP($K208,Inputs!$G$6:$G$23,Inputs!K$6:K$23)*$R208</f>
        <v>169.96721311475409</v>
      </c>
      <c r="U208" s="96" t="s">
        <v>457</v>
      </c>
      <c r="V208" s="22" t="s">
        <v>3235</v>
      </c>
      <c r="W208" s="96" t="s">
        <v>693</v>
      </c>
      <c r="X208" s="22" t="s">
        <v>3232</v>
      </c>
      <c r="Y208" s="11" t="s">
        <v>3331</v>
      </c>
      <c r="Z208" s="79"/>
      <c r="AA208" s="187">
        <v>206</v>
      </c>
    </row>
    <row r="209" spans="2:27" s="184" customFormat="1" ht="20" x14ac:dyDescent="0.2">
      <c r="B209" s="11" t="s">
        <v>695</v>
      </c>
      <c r="C209" s="165" t="s">
        <v>4238</v>
      </c>
      <c r="D209" s="22" t="s">
        <v>2379</v>
      </c>
      <c r="E209" s="34">
        <v>1</v>
      </c>
      <c r="F209" s="22" t="s">
        <v>2223</v>
      </c>
      <c r="G209" s="235">
        <v>5</v>
      </c>
      <c r="H209" s="235">
        <f t="shared" si="29"/>
        <v>3.0864197530864197</v>
      </c>
      <c r="I209" s="235">
        <v>5</v>
      </c>
      <c r="J209" s="235">
        <f t="shared" si="30"/>
        <v>3.0864197530864197</v>
      </c>
      <c r="K209" s="201">
        <v>144</v>
      </c>
      <c r="L209" s="252">
        <f>_xlfn.XLOOKUP($K209,Inputs!$C$6:$C$23,Inputs!$D$6:$D$23)*$I209</f>
        <v>2.1892857142857145</v>
      </c>
      <c r="M209" s="68"/>
      <c r="N209" s="68"/>
      <c r="O209" s="187"/>
      <c r="P209" s="187"/>
      <c r="Q209" s="94">
        <v>0.9</v>
      </c>
      <c r="R209" s="68">
        <f t="shared" si="31"/>
        <v>3</v>
      </c>
      <c r="S209" s="276">
        <f>_xlfn.XLOOKUP($K209,Inputs!$G$6:$G$23,Inputs!J$6:J$23)*$R209</f>
        <v>153.60000000000002</v>
      </c>
      <c r="T209" s="276">
        <f>_xlfn.XLOOKUP($K209,Inputs!$G$6:$G$23,Inputs!K$6:K$23)*$R209</f>
        <v>169.96721311475409</v>
      </c>
      <c r="U209" s="96" t="s">
        <v>457</v>
      </c>
      <c r="V209" s="22" t="s">
        <v>3235</v>
      </c>
      <c r="W209" s="96" t="s">
        <v>689</v>
      </c>
      <c r="X209" s="22" t="s">
        <v>3216</v>
      </c>
      <c r="Y209" s="11" t="s">
        <v>3331</v>
      </c>
      <c r="Z209" s="79"/>
      <c r="AA209" s="187">
        <v>207</v>
      </c>
    </row>
    <row r="210" spans="2:27" s="184" customFormat="1" ht="20" x14ac:dyDescent="0.2">
      <c r="B210" s="11" t="s">
        <v>696</v>
      </c>
      <c r="C210" s="165" t="s">
        <v>4238</v>
      </c>
      <c r="D210" s="22" t="s">
        <v>2379</v>
      </c>
      <c r="E210" s="34">
        <v>1</v>
      </c>
      <c r="F210" s="22" t="s">
        <v>2223</v>
      </c>
      <c r="G210" s="235">
        <v>10</v>
      </c>
      <c r="H210" s="235">
        <f t="shared" si="29"/>
        <v>6.1728395061728394</v>
      </c>
      <c r="I210" s="235">
        <v>10</v>
      </c>
      <c r="J210" s="235">
        <f t="shared" si="30"/>
        <v>6.1728395061728394</v>
      </c>
      <c r="K210" s="201">
        <v>240</v>
      </c>
      <c r="L210" s="252">
        <f>_xlfn.XLOOKUP($K210,Inputs!$C$6:$C$23,Inputs!$D$6:$D$23)*$I210</f>
        <v>4.768518518518519</v>
      </c>
      <c r="M210" s="68"/>
      <c r="N210" s="68"/>
      <c r="O210" s="187"/>
      <c r="P210" s="187"/>
      <c r="Q210" s="94">
        <v>0.9</v>
      </c>
      <c r="R210" s="68">
        <f t="shared" si="31"/>
        <v>3</v>
      </c>
      <c r="S210" s="276">
        <f>_xlfn.XLOOKUP($K210,Inputs!$G$6:$G$23,Inputs!J$6:J$23)*$R210</f>
        <v>438.57868020304568</v>
      </c>
      <c r="T210" s="276">
        <f>_xlfn.XLOOKUP($K210,Inputs!$G$6:$G$23,Inputs!K$6:K$23)*$R210</f>
        <v>476.03305785123973</v>
      </c>
      <c r="U210" s="96" t="s">
        <v>3810</v>
      </c>
      <c r="V210" s="22" t="s">
        <v>2641</v>
      </c>
      <c r="W210" s="96" t="s">
        <v>1235</v>
      </c>
      <c r="X210" s="22" t="s">
        <v>3214</v>
      </c>
      <c r="Y210" s="11" t="s">
        <v>3331</v>
      </c>
      <c r="Z210" s="79"/>
      <c r="AA210" s="187">
        <v>208</v>
      </c>
    </row>
    <row r="211" spans="2:27" s="184" customFormat="1" ht="20" x14ac:dyDescent="0.2">
      <c r="B211" s="11" t="s">
        <v>698</v>
      </c>
      <c r="C211" s="165" t="s">
        <v>4238</v>
      </c>
      <c r="D211" s="22" t="s">
        <v>2379</v>
      </c>
      <c r="E211" s="34">
        <v>1</v>
      </c>
      <c r="F211" s="22" t="s">
        <v>2223</v>
      </c>
      <c r="G211" s="235">
        <v>15</v>
      </c>
      <c r="H211" s="235">
        <f t="shared" si="29"/>
        <v>9.2592592592592595</v>
      </c>
      <c r="I211" s="235">
        <v>15</v>
      </c>
      <c r="J211" s="235">
        <f t="shared" si="30"/>
        <v>9.2592592592592595</v>
      </c>
      <c r="K211" s="201">
        <v>240</v>
      </c>
      <c r="L211" s="252">
        <f>_xlfn.XLOOKUP($K211,Inputs!$C$6:$C$23,Inputs!$D$6:$D$23)*$I211</f>
        <v>7.1527777777777777</v>
      </c>
      <c r="M211" s="68"/>
      <c r="N211" s="68"/>
      <c r="O211" s="187"/>
      <c r="P211" s="187"/>
      <c r="Q211" s="94">
        <v>0.9</v>
      </c>
      <c r="R211" s="68">
        <f t="shared" si="31"/>
        <v>3</v>
      </c>
      <c r="S211" s="276">
        <f>_xlfn.XLOOKUP($K211,Inputs!$G$6:$G$23,Inputs!J$6:J$23)*$R211</f>
        <v>438.57868020304568</v>
      </c>
      <c r="T211" s="276">
        <f>_xlfn.XLOOKUP($K211,Inputs!$G$6:$G$23,Inputs!K$6:K$23)*$R211</f>
        <v>476.03305785123973</v>
      </c>
      <c r="U211" s="96" t="s">
        <v>693</v>
      </c>
      <c r="V211" s="22" t="s">
        <v>3232</v>
      </c>
      <c r="W211" s="96" t="s">
        <v>690</v>
      </c>
      <c r="X211" s="22" t="s">
        <v>3225</v>
      </c>
      <c r="Y211" s="11" t="s">
        <v>3331</v>
      </c>
      <c r="Z211" s="79"/>
      <c r="AA211" s="187">
        <v>209</v>
      </c>
    </row>
    <row r="212" spans="2:27" s="184" customFormat="1" ht="20" x14ac:dyDescent="0.2">
      <c r="B212" s="11" t="s">
        <v>699</v>
      </c>
      <c r="C212" s="165" t="s">
        <v>4238</v>
      </c>
      <c r="D212" s="22" t="s">
        <v>2379</v>
      </c>
      <c r="E212" s="34">
        <v>1</v>
      </c>
      <c r="F212" s="22" t="s">
        <v>2223</v>
      </c>
      <c r="G212" s="235">
        <v>15</v>
      </c>
      <c r="H212" s="235">
        <f t="shared" si="29"/>
        <v>9.2592592592592595</v>
      </c>
      <c r="I212" s="235">
        <v>15</v>
      </c>
      <c r="J212" s="235">
        <f t="shared" si="30"/>
        <v>9.2592592592592595</v>
      </c>
      <c r="K212" s="201">
        <v>240</v>
      </c>
      <c r="L212" s="252">
        <f>_xlfn.XLOOKUP($K212,Inputs!$C$6:$C$23,Inputs!$D$6:$D$23)*$I212</f>
        <v>7.1527777777777777</v>
      </c>
      <c r="M212" s="68"/>
      <c r="N212" s="68"/>
      <c r="O212" s="187"/>
      <c r="P212" s="187"/>
      <c r="Q212" s="94">
        <v>0.9</v>
      </c>
      <c r="R212" s="68">
        <f t="shared" si="31"/>
        <v>3</v>
      </c>
      <c r="S212" s="276">
        <f>_xlfn.XLOOKUP($K212,Inputs!$G$6:$G$23,Inputs!J$6:J$23)*$R212</f>
        <v>438.57868020304568</v>
      </c>
      <c r="T212" s="276">
        <f>_xlfn.XLOOKUP($K212,Inputs!$G$6:$G$23,Inputs!K$6:K$23)*$R212</f>
        <v>476.03305785123973</v>
      </c>
      <c r="U212" s="96" t="s">
        <v>693</v>
      </c>
      <c r="V212" s="22" t="s">
        <v>3232</v>
      </c>
      <c r="W212" s="96" t="s">
        <v>690</v>
      </c>
      <c r="X212" s="205" t="s">
        <v>3225</v>
      </c>
      <c r="Y212" s="11" t="s">
        <v>3331</v>
      </c>
      <c r="Z212" s="79"/>
      <c r="AA212" s="187">
        <v>210</v>
      </c>
    </row>
    <row r="213" spans="2:27" s="184" customFormat="1" ht="20" x14ac:dyDescent="0.2">
      <c r="B213" s="11" t="s">
        <v>700</v>
      </c>
      <c r="C213" s="165" t="s">
        <v>4238</v>
      </c>
      <c r="D213" s="22" t="s">
        <v>2379</v>
      </c>
      <c r="E213" s="34">
        <v>1</v>
      </c>
      <c r="F213" s="22" t="s">
        <v>2223</v>
      </c>
      <c r="G213" s="235">
        <v>15</v>
      </c>
      <c r="H213" s="235">
        <f t="shared" si="29"/>
        <v>9.2592592592592595</v>
      </c>
      <c r="I213" s="235">
        <v>15</v>
      </c>
      <c r="J213" s="235">
        <f t="shared" si="30"/>
        <v>9.2592592592592595</v>
      </c>
      <c r="K213" s="201">
        <v>240</v>
      </c>
      <c r="L213" s="252">
        <f>_xlfn.XLOOKUP($K213,Inputs!$C$6:$C$23,Inputs!$D$6:$D$23)*$I213</f>
        <v>7.1527777777777777</v>
      </c>
      <c r="M213" s="68"/>
      <c r="N213" s="68"/>
      <c r="O213" s="187"/>
      <c r="P213" s="187"/>
      <c r="Q213" s="94">
        <v>0.9</v>
      </c>
      <c r="R213" s="68">
        <f t="shared" si="31"/>
        <v>3</v>
      </c>
      <c r="S213" s="276">
        <f>_xlfn.XLOOKUP($K213,Inputs!$G$6:$G$23,Inputs!J$6:J$23)*$R213</f>
        <v>438.57868020304568</v>
      </c>
      <c r="T213" s="276">
        <f>_xlfn.XLOOKUP($K213,Inputs!$G$6:$G$23,Inputs!K$6:K$23)*$R213</f>
        <v>476.03305785123973</v>
      </c>
      <c r="U213" s="96" t="s">
        <v>701</v>
      </c>
      <c r="V213" s="22" t="s">
        <v>3212</v>
      </c>
      <c r="W213" s="96" t="s">
        <v>690</v>
      </c>
      <c r="X213" s="22" t="s">
        <v>3225</v>
      </c>
      <c r="Y213" s="11" t="s">
        <v>3331</v>
      </c>
      <c r="Z213" s="79"/>
      <c r="AA213" s="187">
        <v>211</v>
      </c>
    </row>
    <row r="214" spans="2:27" s="184" customFormat="1" ht="20" x14ac:dyDescent="0.2">
      <c r="B214" s="11" t="s">
        <v>702</v>
      </c>
      <c r="C214" s="165" t="s">
        <v>4238</v>
      </c>
      <c r="D214" s="22" t="s">
        <v>2379</v>
      </c>
      <c r="E214" s="34">
        <v>1</v>
      </c>
      <c r="F214" s="22" t="s">
        <v>2223</v>
      </c>
      <c r="G214" s="235">
        <v>15</v>
      </c>
      <c r="H214" s="235">
        <f t="shared" si="29"/>
        <v>9.2592592592592595</v>
      </c>
      <c r="I214" s="235">
        <v>15</v>
      </c>
      <c r="J214" s="235">
        <f t="shared" si="30"/>
        <v>9.2592592592592595</v>
      </c>
      <c r="K214" s="201">
        <v>240</v>
      </c>
      <c r="L214" s="252">
        <f>_xlfn.XLOOKUP($K214,Inputs!$C$6:$C$23,Inputs!$D$6:$D$23)*$I214</f>
        <v>7.1527777777777777</v>
      </c>
      <c r="M214" s="68"/>
      <c r="N214" s="68"/>
      <c r="O214" s="187"/>
      <c r="P214" s="187"/>
      <c r="Q214" s="94">
        <v>0.9</v>
      </c>
      <c r="R214" s="68">
        <f t="shared" si="31"/>
        <v>3</v>
      </c>
      <c r="S214" s="276">
        <f>_xlfn.XLOOKUP($K214,Inputs!$G$6:$G$23,Inputs!J$6:J$23)*$R214</f>
        <v>438.57868020304568</v>
      </c>
      <c r="T214" s="276">
        <f>_xlfn.XLOOKUP($K214,Inputs!$G$6:$G$23,Inputs!K$6:K$23)*$R214</f>
        <v>476.03305785123973</v>
      </c>
      <c r="U214" s="96" t="s">
        <v>701</v>
      </c>
      <c r="V214" s="22" t="s">
        <v>3212</v>
      </c>
      <c r="W214" s="96" t="s">
        <v>690</v>
      </c>
      <c r="X214" s="22" t="s">
        <v>3225</v>
      </c>
      <c r="Y214" s="11" t="s">
        <v>3331</v>
      </c>
      <c r="Z214" s="79"/>
      <c r="AA214" s="187">
        <v>212</v>
      </c>
    </row>
    <row r="215" spans="2:27" s="184" customFormat="1" ht="20" x14ac:dyDescent="0.2">
      <c r="B215" s="11" t="s">
        <v>703</v>
      </c>
      <c r="C215" s="165" t="s">
        <v>4238</v>
      </c>
      <c r="D215" s="22" t="s">
        <v>2379</v>
      </c>
      <c r="E215" s="34">
        <v>1</v>
      </c>
      <c r="F215" s="22" t="s">
        <v>2223</v>
      </c>
      <c r="G215" s="235">
        <v>5</v>
      </c>
      <c r="H215" s="235">
        <f t="shared" si="29"/>
        <v>3.0864197530864197</v>
      </c>
      <c r="I215" s="235">
        <v>22.6</v>
      </c>
      <c r="J215" s="235">
        <f t="shared" si="30"/>
        <v>13.950617283950617</v>
      </c>
      <c r="K215" s="201">
        <v>72</v>
      </c>
      <c r="L215" s="252">
        <f>_xlfn.XLOOKUP($K215,Inputs!$C$6:$C$23,Inputs!$D$6:$D$23)*$I215</f>
        <v>8.7332857142857154</v>
      </c>
      <c r="M215" s="68"/>
      <c r="N215" s="68"/>
      <c r="O215" s="187"/>
      <c r="P215" s="187"/>
      <c r="Q215" s="94">
        <v>0.9</v>
      </c>
      <c r="R215" s="68">
        <f t="shared" si="31"/>
        <v>3</v>
      </c>
      <c r="S215" s="276">
        <f>_xlfn.XLOOKUP($K215,Inputs!$G$6:$G$23,Inputs!J$6:J$23)*$R215</f>
        <v>38.880000000000003</v>
      </c>
      <c r="T215" s="276">
        <f>_xlfn.XLOOKUP($K215,Inputs!$G$6:$G$23,Inputs!K$6:K$23)*$R215</f>
        <v>42.491803278688522</v>
      </c>
      <c r="U215" s="96" t="s">
        <v>701</v>
      </c>
      <c r="V215" s="22" t="s">
        <v>3212</v>
      </c>
      <c r="W215" s="96" t="s">
        <v>3362</v>
      </c>
      <c r="X215" s="22" t="s">
        <v>3208</v>
      </c>
      <c r="Y215" s="11" t="s">
        <v>3331</v>
      </c>
      <c r="Z215" s="79"/>
      <c r="AA215" s="187">
        <v>213</v>
      </c>
    </row>
    <row r="216" spans="2:27" s="184" customFormat="1" ht="20" x14ac:dyDescent="0.2">
      <c r="B216" s="11" t="s">
        <v>703</v>
      </c>
      <c r="C216" s="165" t="s">
        <v>4238</v>
      </c>
      <c r="D216" s="22" t="s">
        <v>2379</v>
      </c>
      <c r="E216" s="34">
        <v>1</v>
      </c>
      <c r="F216" s="22" t="s">
        <v>2223</v>
      </c>
      <c r="G216" s="88">
        <v>12.600000000000001</v>
      </c>
      <c r="H216" s="235">
        <f t="shared" si="29"/>
        <v>7.7777777777777786</v>
      </c>
      <c r="I216" s="88">
        <v>22.6</v>
      </c>
      <c r="J216" s="235">
        <f t="shared" si="30"/>
        <v>13.950617283950617</v>
      </c>
      <c r="K216" s="201">
        <v>72</v>
      </c>
      <c r="L216" s="252">
        <f>_xlfn.XLOOKUP($K216,Inputs!$C$6:$C$23,Inputs!$D$6:$D$23)*$I216</f>
        <v>8.7332857142857154</v>
      </c>
      <c r="M216" s="68"/>
      <c r="N216" s="68"/>
      <c r="O216" s="187"/>
      <c r="P216" s="187"/>
      <c r="Q216" s="94">
        <v>0.9</v>
      </c>
      <c r="R216" s="68">
        <f t="shared" si="31"/>
        <v>3</v>
      </c>
      <c r="S216" s="276">
        <f>_xlfn.XLOOKUP($K216,Inputs!$G$6:$G$23,Inputs!J$6:J$23)*$R216</f>
        <v>38.880000000000003</v>
      </c>
      <c r="T216" s="276">
        <f>_xlfn.XLOOKUP($K216,Inputs!$G$6:$G$23,Inputs!K$6:K$23)*$R216</f>
        <v>42.491803278688522</v>
      </c>
      <c r="U216" s="96" t="s">
        <v>3362</v>
      </c>
      <c r="V216" s="22" t="s">
        <v>3208</v>
      </c>
      <c r="W216" s="96" t="s">
        <v>1251</v>
      </c>
      <c r="X216" s="22" t="s">
        <v>3234</v>
      </c>
      <c r="Y216" s="11" t="s">
        <v>3331</v>
      </c>
      <c r="Z216" s="79"/>
      <c r="AA216" s="187">
        <v>214</v>
      </c>
    </row>
    <row r="217" spans="2:27" s="184" customFormat="1" ht="20" x14ac:dyDescent="0.2">
      <c r="B217" s="11" t="s">
        <v>703</v>
      </c>
      <c r="C217" s="165" t="s">
        <v>4238</v>
      </c>
      <c r="D217" s="22" t="s">
        <v>2379</v>
      </c>
      <c r="E217" s="34">
        <v>1</v>
      </c>
      <c r="F217" s="22" t="s">
        <v>2223</v>
      </c>
      <c r="G217" s="235">
        <v>5</v>
      </c>
      <c r="H217" s="235">
        <f t="shared" si="29"/>
        <v>3.0864197530864197</v>
      </c>
      <c r="I217" s="235">
        <v>22.6</v>
      </c>
      <c r="J217" s="235">
        <f t="shared" si="30"/>
        <v>13.950617283950617</v>
      </c>
      <c r="K217" s="201">
        <v>240</v>
      </c>
      <c r="L217" s="252">
        <f>_xlfn.XLOOKUP($K217,Inputs!$C$6:$C$23,Inputs!$D$6:$D$23)*$I217</f>
        <v>10.776851851851852</v>
      </c>
      <c r="M217" s="68"/>
      <c r="N217" s="68"/>
      <c r="O217" s="187"/>
      <c r="P217" s="187"/>
      <c r="Q217" s="94">
        <v>0.9</v>
      </c>
      <c r="R217" s="68">
        <f t="shared" si="31"/>
        <v>3</v>
      </c>
      <c r="S217" s="276">
        <f>_xlfn.XLOOKUP($K217,Inputs!$G$6:$G$23,Inputs!J$6:J$23)*$R217</f>
        <v>438.57868020304568</v>
      </c>
      <c r="T217" s="276">
        <f>_xlfn.XLOOKUP($K217,Inputs!$G$6:$G$23,Inputs!K$6:K$23)*$R217</f>
        <v>476.03305785123973</v>
      </c>
      <c r="U217" s="96" t="s">
        <v>1235</v>
      </c>
      <c r="V217" s="22" t="s">
        <v>3214</v>
      </c>
      <c r="W217" s="96" t="s">
        <v>2093</v>
      </c>
      <c r="X217" s="22" t="s">
        <v>3241</v>
      </c>
      <c r="Y217" s="11" t="s">
        <v>3331</v>
      </c>
      <c r="Z217" s="79"/>
      <c r="AA217" s="187">
        <v>215</v>
      </c>
    </row>
    <row r="218" spans="2:27" s="184" customFormat="1" ht="20" x14ac:dyDescent="0.2">
      <c r="B218" s="11" t="s">
        <v>704</v>
      </c>
      <c r="C218" s="165" t="s">
        <v>4238</v>
      </c>
      <c r="D218" s="22" t="s">
        <v>2379</v>
      </c>
      <c r="E218" s="34">
        <v>1</v>
      </c>
      <c r="F218" s="22" t="s">
        <v>2223</v>
      </c>
      <c r="G218" s="235">
        <v>5</v>
      </c>
      <c r="H218" s="235">
        <f t="shared" si="29"/>
        <v>3.0864197530864197</v>
      </c>
      <c r="I218" s="235">
        <v>5</v>
      </c>
      <c r="J218" s="235">
        <f t="shared" si="30"/>
        <v>3.0864197530864197</v>
      </c>
      <c r="K218" s="201">
        <v>240</v>
      </c>
      <c r="L218" s="252">
        <f>_xlfn.XLOOKUP($K218,Inputs!$C$6:$C$23,Inputs!$D$6:$D$23)*$I218</f>
        <v>2.3842592592592595</v>
      </c>
      <c r="M218" s="68"/>
      <c r="N218" s="68"/>
      <c r="O218" s="187"/>
      <c r="P218" s="187"/>
      <c r="Q218" s="94">
        <v>0.9</v>
      </c>
      <c r="R218" s="68">
        <f t="shared" si="31"/>
        <v>3</v>
      </c>
      <c r="S218" s="276">
        <f>_xlfn.XLOOKUP($K218,Inputs!$G$6:$G$23,Inputs!J$6:J$23)*$R218</f>
        <v>438.57868020304568</v>
      </c>
      <c r="T218" s="276">
        <f>_xlfn.XLOOKUP($K218,Inputs!$G$6:$G$23,Inputs!K$6:K$23)*$R218</f>
        <v>476.03305785123973</v>
      </c>
      <c r="U218" s="96" t="s">
        <v>1235</v>
      </c>
      <c r="V218" s="22" t="s">
        <v>3214</v>
      </c>
      <c r="W218" s="96" t="s">
        <v>2093</v>
      </c>
      <c r="X218" s="22" t="s">
        <v>3241</v>
      </c>
      <c r="Y218" s="11" t="s">
        <v>3331</v>
      </c>
      <c r="Z218" s="79"/>
      <c r="AA218" s="187">
        <v>216</v>
      </c>
    </row>
    <row r="219" spans="2:27" s="184" customFormat="1" ht="20" x14ac:dyDescent="0.2">
      <c r="B219" s="11" t="s">
        <v>705</v>
      </c>
      <c r="C219" s="165" t="s">
        <v>4238</v>
      </c>
      <c r="D219" s="22" t="s">
        <v>2379</v>
      </c>
      <c r="E219" s="34">
        <v>1</v>
      </c>
      <c r="F219" s="22" t="s">
        <v>2223</v>
      </c>
      <c r="G219" s="235">
        <v>10</v>
      </c>
      <c r="H219" s="235">
        <f t="shared" si="29"/>
        <v>6.1728395061728394</v>
      </c>
      <c r="I219" s="235">
        <v>10</v>
      </c>
      <c r="J219" s="235">
        <f t="shared" si="30"/>
        <v>6.1728395061728394</v>
      </c>
      <c r="K219" s="201">
        <v>240</v>
      </c>
      <c r="L219" s="252">
        <f>_xlfn.XLOOKUP($K219,Inputs!$C$6:$C$23,Inputs!$D$6:$D$23)*$I219</f>
        <v>4.768518518518519</v>
      </c>
      <c r="M219" s="68"/>
      <c r="N219" s="68"/>
      <c r="O219" s="187"/>
      <c r="P219" s="187"/>
      <c r="Q219" s="94">
        <v>0.9</v>
      </c>
      <c r="R219" s="68">
        <f t="shared" si="31"/>
        <v>3</v>
      </c>
      <c r="S219" s="276">
        <f>_xlfn.XLOOKUP($K219,Inputs!$G$6:$G$23,Inputs!J$6:J$23)*$R219</f>
        <v>438.57868020304568</v>
      </c>
      <c r="T219" s="276">
        <f>_xlfn.XLOOKUP($K219,Inputs!$G$6:$G$23,Inputs!K$6:K$23)*$R219</f>
        <v>476.03305785123973</v>
      </c>
      <c r="U219" s="96" t="s">
        <v>3810</v>
      </c>
      <c r="V219" s="22" t="s">
        <v>2641</v>
      </c>
      <c r="W219" s="96" t="s">
        <v>1235</v>
      </c>
      <c r="X219" s="22" t="s">
        <v>3214</v>
      </c>
      <c r="Y219" s="11" t="s">
        <v>3331</v>
      </c>
      <c r="Z219" s="79"/>
      <c r="AA219" s="187">
        <v>217</v>
      </c>
    </row>
    <row r="220" spans="2:27" s="184" customFormat="1" ht="20" x14ac:dyDescent="0.2">
      <c r="B220" s="11" t="s">
        <v>706</v>
      </c>
      <c r="C220" s="165" t="s">
        <v>4238</v>
      </c>
      <c r="D220" s="22" t="s">
        <v>2379</v>
      </c>
      <c r="E220" s="34">
        <v>1</v>
      </c>
      <c r="F220" s="22" t="s">
        <v>2223</v>
      </c>
      <c r="G220" s="235">
        <v>5</v>
      </c>
      <c r="H220" s="235">
        <f t="shared" si="29"/>
        <v>3.0864197530864197</v>
      </c>
      <c r="I220" s="235">
        <v>5</v>
      </c>
      <c r="J220" s="235">
        <f t="shared" si="30"/>
        <v>3.0864197530864197</v>
      </c>
      <c r="K220" s="201">
        <v>240</v>
      </c>
      <c r="L220" s="252">
        <f>_xlfn.XLOOKUP($K220,Inputs!$C$6:$C$23,Inputs!$D$6:$D$23)*$I220</f>
        <v>2.3842592592592595</v>
      </c>
      <c r="M220" s="68"/>
      <c r="N220" s="68"/>
      <c r="O220" s="187"/>
      <c r="P220" s="187"/>
      <c r="Q220" s="94">
        <v>0.9</v>
      </c>
      <c r="R220" s="68">
        <f t="shared" si="31"/>
        <v>3</v>
      </c>
      <c r="S220" s="276">
        <f>_xlfn.XLOOKUP($K220,Inputs!$G$6:$G$23,Inputs!J$6:J$23)*$R220</f>
        <v>438.57868020304568</v>
      </c>
      <c r="T220" s="276">
        <f>_xlfn.XLOOKUP($K220,Inputs!$G$6:$G$23,Inputs!K$6:K$23)*$R220</f>
        <v>476.03305785123973</v>
      </c>
      <c r="U220" s="96" t="s">
        <v>1235</v>
      </c>
      <c r="V220" s="22" t="s">
        <v>3214</v>
      </c>
      <c r="W220" s="96" t="s">
        <v>707</v>
      </c>
      <c r="X220" s="22" t="s">
        <v>3222</v>
      </c>
      <c r="Y220" s="11" t="s">
        <v>3331</v>
      </c>
      <c r="Z220" s="79"/>
      <c r="AA220" s="187">
        <v>218</v>
      </c>
    </row>
    <row r="221" spans="2:27" s="184" customFormat="1" ht="20" x14ac:dyDescent="0.2">
      <c r="B221" s="11" t="s">
        <v>708</v>
      </c>
      <c r="C221" s="165" t="s">
        <v>4238</v>
      </c>
      <c r="D221" s="22" t="s">
        <v>2379</v>
      </c>
      <c r="E221" s="34">
        <v>1</v>
      </c>
      <c r="F221" s="22" t="s">
        <v>2223</v>
      </c>
      <c r="G221" s="235">
        <v>5</v>
      </c>
      <c r="H221" s="235">
        <f t="shared" si="29"/>
        <v>3.0864197530864197</v>
      </c>
      <c r="I221" s="235">
        <v>5</v>
      </c>
      <c r="J221" s="235">
        <f t="shared" si="30"/>
        <v>3.0864197530864197</v>
      </c>
      <c r="K221" s="201">
        <v>240</v>
      </c>
      <c r="L221" s="252">
        <f>_xlfn.XLOOKUP($K221,Inputs!$C$6:$C$23,Inputs!$D$6:$D$23)*$I221</f>
        <v>2.3842592592592595</v>
      </c>
      <c r="M221" s="68"/>
      <c r="N221" s="68"/>
      <c r="O221" s="187"/>
      <c r="P221" s="187"/>
      <c r="Q221" s="94">
        <v>0.9</v>
      </c>
      <c r="R221" s="68">
        <f t="shared" si="31"/>
        <v>3</v>
      </c>
      <c r="S221" s="276">
        <f>_xlfn.XLOOKUP($K221,Inputs!$G$6:$G$23,Inputs!J$6:J$23)*$R221</f>
        <v>438.57868020304568</v>
      </c>
      <c r="T221" s="276">
        <f>_xlfn.XLOOKUP($K221,Inputs!$G$6:$G$23,Inputs!K$6:K$23)*$R221</f>
        <v>476.03305785123973</v>
      </c>
      <c r="U221" s="96" t="s">
        <v>1235</v>
      </c>
      <c r="V221" s="22" t="s">
        <v>3214</v>
      </c>
      <c r="W221" s="96" t="s">
        <v>707</v>
      </c>
      <c r="X221" s="22" t="s">
        <v>3222</v>
      </c>
      <c r="Y221" s="11" t="s">
        <v>3331</v>
      </c>
      <c r="Z221" s="79"/>
      <c r="AA221" s="187">
        <v>219</v>
      </c>
    </row>
    <row r="222" spans="2:27" s="184" customFormat="1" ht="20" x14ac:dyDescent="0.2">
      <c r="B222" s="11" t="s">
        <v>709</v>
      </c>
      <c r="C222" s="165" t="s">
        <v>4238</v>
      </c>
      <c r="D222" s="22" t="s">
        <v>2379</v>
      </c>
      <c r="E222" s="34">
        <v>1</v>
      </c>
      <c r="F222" s="22" t="s">
        <v>2223</v>
      </c>
      <c r="G222" s="235">
        <v>30</v>
      </c>
      <c r="H222" s="235">
        <f t="shared" si="29"/>
        <v>18.518518518518519</v>
      </c>
      <c r="I222" s="235">
        <v>30</v>
      </c>
      <c r="J222" s="235">
        <f t="shared" si="30"/>
        <v>18.518518518518519</v>
      </c>
      <c r="K222" s="201">
        <v>240</v>
      </c>
      <c r="L222" s="252">
        <f>_xlfn.XLOOKUP($K222,Inputs!$C$6:$C$23,Inputs!$D$6:$D$23)*$I222</f>
        <v>14.305555555555555</v>
      </c>
      <c r="M222" s="68"/>
      <c r="N222" s="68"/>
      <c r="O222" s="187"/>
      <c r="P222" s="187"/>
      <c r="Q222" s="94">
        <v>0.9</v>
      </c>
      <c r="R222" s="68">
        <f t="shared" si="31"/>
        <v>3</v>
      </c>
      <c r="S222" s="276">
        <f>_xlfn.XLOOKUP($K222,Inputs!$G$6:$G$23,Inputs!J$6:J$23)*$R222</f>
        <v>438.57868020304568</v>
      </c>
      <c r="T222" s="276">
        <f>_xlfn.XLOOKUP($K222,Inputs!$G$6:$G$23,Inputs!K$6:K$23)*$R222</f>
        <v>476.03305785123973</v>
      </c>
      <c r="U222" s="96" t="s">
        <v>1235</v>
      </c>
      <c r="V222" s="22" t="s">
        <v>3214</v>
      </c>
      <c r="W222" s="96" t="s">
        <v>690</v>
      </c>
      <c r="X222" s="22" t="s">
        <v>3225</v>
      </c>
      <c r="Y222" s="11" t="s">
        <v>3331</v>
      </c>
      <c r="Z222" s="79"/>
      <c r="AA222" s="187">
        <v>220</v>
      </c>
    </row>
    <row r="223" spans="2:27" s="184" customFormat="1" ht="20" x14ac:dyDescent="0.2">
      <c r="B223" s="11" t="s">
        <v>710</v>
      </c>
      <c r="C223" s="165" t="s">
        <v>4238</v>
      </c>
      <c r="D223" s="22" t="s">
        <v>2379</v>
      </c>
      <c r="E223" s="34">
        <v>1</v>
      </c>
      <c r="F223" s="22" t="s">
        <v>2223</v>
      </c>
      <c r="G223" s="235">
        <v>30</v>
      </c>
      <c r="H223" s="235">
        <f t="shared" si="29"/>
        <v>18.518518518518519</v>
      </c>
      <c r="I223" s="235">
        <v>30</v>
      </c>
      <c r="J223" s="235">
        <f t="shared" si="30"/>
        <v>18.518518518518519</v>
      </c>
      <c r="K223" s="201">
        <v>240</v>
      </c>
      <c r="L223" s="252">
        <f>_xlfn.XLOOKUP($K223,Inputs!$C$6:$C$23,Inputs!$D$6:$D$23)*$I223</f>
        <v>14.305555555555555</v>
      </c>
      <c r="M223" s="68"/>
      <c r="N223" s="68"/>
      <c r="O223" s="187"/>
      <c r="P223" s="187"/>
      <c r="Q223" s="94">
        <v>0.9</v>
      </c>
      <c r="R223" s="68">
        <f t="shared" si="31"/>
        <v>3</v>
      </c>
      <c r="S223" s="276">
        <f>_xlfn.XLOOKUP($K223,Inputs!$G$6:$G$23,Inputs!J$6:J$23)*$R223</f>
        <v>438.57868020304568</v>
      </c>
      <c r="T223" s="276">
        <f>_xlfn.XLOOKUP($K223,Inputs!$G$6:$G$23,Inputs!K$6:K$23)*$R223</f>
        <v>476.03305785123973</v>
      </c>
      <c r="U223" s="96" t="s">
        <v>1235</v>
      </c>
      <c r="V223" s="22" t="s">
        <v>3214</v>
      </c>
      <c r="W223" s="96" t="s">
        <v>690</v>
      </c>
      <c r="X223" s="22" t="s">
        <v>3225</v>
      </c>
      <c r="Y223" s="11" t="s">
        <v>3331</v>
      </c>
      <c r="Z223" s="79"/>
      <c r="AA223" s="187">
        <v>221</v>
      </c>
    </row>
    <row r="224" spans="2:27" s="184" customFormat="1" ht="20" x14ac:dyDescent="0.2">
      <c r="B224" s="11" t="s">
        <v>1765</v>
      </c>
      <c r="C224" s="165" t="s">
        <v>4236</v>
      </c>
      <c r="D224" s="22" t="s">
        <v>2379</v>
      </c>
      <c r="E224" s="34">
        <v>1</v>
      </c>
      <c r="F224" s="22" t="s">
        <v>2223</v>
      </c>
      <c r="G224" s="88">
        <v>5.0999999999999996</v>
      </c>
      <c r="H224" s="235">
        <f t="shared" si="29"/>
        <v>3.1481481481481479</v>
      </c>
      <c r="I224" s="88">
        <v>5.0999999999999996</v>
      </c>
      <c r="J224" s="235">
        <f t="shared" si="30"/>
        <v>3.1481481481481479</v>
      </c>
      <c r="K224" s="215">
        <v>138</v>
      </c>
      <c r="L224" s="252">
        <f>_xlfn.XLOOKUP($K224,Inputs!$C$6:$C$23,Inputs!$D$6:$D$23)*$I224</f>
        <v>2.2112142857142856</v>
      </c>
      <c r="M224" s="68"/>
      <c r="N224" s="68"/>
      <c r="O224" s="215">
        <v>156</v>
      </c>
      <c r="P224" s="215">
        <v>191</v>
      </c>
      <c r="Q224" s="94">
        <v>0.9</v>
      </c>
      <c r="R224" s="68" t="s">
        <v>115</v>
      </c>
      <c r="S224" s="182">
        <f t="shared" ref="S224:S229" si="32">O224*Q224</f>
        <v>140.4</v>
      </c>
      <c r="T224" s="182">
        <f t="shared" ref="T224:T229" si="33">P224*Q224</f>
        <v>171.9</v>
      </c>
      <c r="U224" s="96" t="s">
        <v>1760</v>
      </c>
      <c r="V224" s="22" t="s">
        <v>4286</v>
      </c>
      <c r="W224" s="96" t="s">
        <v>1766</v>
      </c>
      <c r="X224" s="22" t="s">
        <v>4287</v>
      </c>
      <c r="Y224" s="11" t="s">
        <v>4298</v>
      </c>
      <c r="Z224" s="79"/>
      <c r="AA224" s="187">
        <v>222</v>
      </c>
    </row>
    <row r="225" spans="2:27" s="184" customFormat="1" ht="20" x14ac:dyDescent="0.2">
      <c r="B225" s="11" t="s">
        <v>1767</v>
      </c>
      <c r="C225" s="165" t="s">
        <v>4236</v>
      </c>
      <c r="D225" s="22" t="s">
        <v>2379</v>
      </c>
      <c r="E225" s="34">
        <v>1</v>
      </c>
      <c r="F225" s="22" t="s">
        <v>2223</v>
      </c>
      <c r="G225" s="88">
        <v>6.8</v>
      </c>
      <c r="H225" s="235">
        <f t="shared" si="29"/>
        <v>4.1975308641975309</v>
      </c>
      <c r="I225" s="88">
        <v>6.8</v>
      </c>
      <c r="J225" s="235">
        <f t="shared" si="30"/>
        <v>4.1975308641975309</v>
      </c>
      <c r="K225" s="215">
        <v>138</v>
      </c>
      <c r="L225" s="252">
        <f>_xlfn.XLOOKUP($K225,Inputs!$C$6:$C$23,Inputs!$D$6:$D$23)*$I225</f>
        <v>2.9482857142857144</v>
      </c>
      <c r="M225" s="68"/>
      <c r="N225" s="68"/>
      <c r="O225" s="215">
        <v>161</v>
      </c>
      <c r="P225" s="215">
        <v>191</v>
      </c>
      <c r="Q225" s="94">
        <v>0.9</v>
      </c>
      <c r="R225" s="68" t="s">
        <v>115</v>
      </c>
      <c r="S225" s="182">
        <f t="shared" si="32"/>
        <v>144.9</v>
      </c>
      <c r="T225" s="182">
        <f t="shared" si="33"/>
        <v>171.9</v>
      </c>
      <c r="U225" s="96" t="s">
        <v>1766</v>
      </c>
      <c r="V225" s="22" t="s">
        <v>4287</v>
      </c>
      <c r="W225" s="96" t="s">
        <v>1735</v>
      </c>
      <c r="X225" s="205" t="s">
        <v>3085</v>
      </c>
      <c r="Y225" s="11" t="s">
        <v>4298</v>
      </c>
      <c r="Z225" s="79"/>
      <c r="AA225" s="187">
        <v>223</v>
      </c>
    </row>
    <row r="226" spans="2:27" s="184" customFormat="1" ht="20" x14ac:dyDescent="0.2">
      <c r="B226" s="11" t="s">
        <v>1815</v>
      </c>
      <c r="C226" s="165" t="s">
        <v>4236</v>
      </c>
      <c r="D226" s="22" t="s">
        <v>2379</v>
      </c>
      <c r="E226" s="34">
        <v>1</v>
      </c>
      <c r="F226" s="22" t="s">
        <v>2223</v>
      </c>
      <c r="G226" s="88">
        <v>6.8</v>
      </c>
      <c r="H226" s="235">
        <f t="shared" si="29"/>
        <v>4.1975308641975309</v>
      </c>
      <c r="I226" s="88">
        <v>6.8</v>
      </c>
      <c r="J226" s="235">
        <f t="shared" si="30"/>
        <v>4.1975308641975309</v>
      </c>
      <c r="K226" s="215">
        <v>138</v>
      </c>
      <c r="L226" s="252">
        <f>_xlfn.XLOOKUP($K226,Inputs!$C$6:$C$23,Inputs!$D$6:$D$23)*$I226</f>
        <v>2.9482857142857144</v>
      </c>
      <c r="M226" s="68"/>
      <c r="N226" s="68"/>
      <c r="O226" s="215">
        <v>161</v>
      </c>
      <c r="P226" s="215">
        <v>191</v>
      </c>
      <c r="Q226" s="94">
        <v>0.9</v>
      </c>
      <c r="R226" s="68" t="s">
        <v>115</v>
      </c>
      <c r="S226" s="182">
        <f t="shared" si="32"/>
        <v>144.9</v>
      </c>
      <c r="T226" s="182">
        <f t="shared" si="33"/>
        <v>171.9</v>
      </c>
      <c r="U226" s="96" t="s">
        <v>1805</v>
      </c>
      <c r="V226" s="22" t="s">
        <v>3098</v>
      </c>
      <c r="W226" s="96" t="s">
        <v>1810</v>
      </c>
      <c r="X226" s="22" t="s">
        <v>3099</v>
      </c>
      <c r="Y226" s="11" t="s">
        <v>4298</v>
      </c>
      <c r="Z226" s="79"/>
      <c r="AA226" s="187">
        <v>224</v>
      </c>
    </row>
    <row r="227" spans="2:27" s="184" customFormat="1" ht="20" x14ac:dyDescent="0.2">
      <c r="B227" s="11" t="s">
        <v>1819</v>
      </c>
      <c r="C227" s="165" t="s">
        <v>4236</v>
      </c>
      <c r="D227" s="22" t="s">
        <v>2379</v>
      </c>
      <c r="E227" s="34">
        <v>1</v>
      </c>
      <c r="F227" s="22" t="s">
        <v>2223</v>
      </c>
      <c r="G227" s="88">
        <v>5.0999999999999996</v>
      </c>
      <c r="H227" s="235">
        <f t="shared" si="29"/>
        <v>3.1481481481481479</v>
      </c>
      <c r="I227" s="88">
        <v>5.0999999999999996</v>
      </c>
      <c r="J227" s="235">
        <f t="shared" si="30"/>
        <v>3.1481481481481479</v>
      </c>
      <c r="K227" s="215">
        <v>138</v>
      </c>
      <c r="L227" s="252">
        <f>_xlfn.XLOOKUP($K227,Inputs!$C$6:$C$23,Inputs!$D$6:$D$23)*$I227</f>
        <v>2.2112142857142856</v>
      </c>
      <c r="M227" s="68"/>
      <c r="N227" s="68"/>
      <c r="O227" s="215">
        <v>164</v>
      </c>
      <c r="P227" s="215">
        <v>191</v>
      </c>
      <c r="Q227" s="94">
        <v>0.9</v>
      </c>
      <c r="R227" s="68" t="s">
        <v>115</v>
      </c>
      <c r="S227" s="182">
        <f t="shared" si="32"/>
        <v>147.6</v>
      </c>
      <c r="T227" s="182">
        <f t="shared" si="33"/>
        <v>171.9</v>
      </c>
      <c r="U227" s="96" t="s">
        <v>1810</v>
      </c>
      <c r="V227" s="22" t="s">
        <v>3099</v>
      </c>
      <c r="W227" s="96" t="s">
        <v>1820</v>
      </c>
      <c r="X227" s="22" t="s">
        <v>3106</v>
      </c>
      <c r="Y227" s="11" t="s">
        <v>4298</v>
      </c>
      <c r="Z227" s="79"/>
      <c r="AA227" s="187">
        <v>225</v>
      </c>
    </row>
    <row r="228" spans="2:27" s="184" customFormat="1" ht="20" x14ac:dyDescent="0.2">
      <c r="B228" s="11" t="s">
        <v>1822</v>
      </c>
      <c r="C228" s="165" t="s">
        <v>4236</v>
      </c>
      <c r="D228" s="22" t="s">
        <v>2379</v>
      </c>
      <c r="E228" s="34">
        <v>1</v>
      </c>
      <c r="F228" s="22" t="s">
        <v>2223</v>
      </c>
      <c r="G228" s="88">
        <v>5.0999999999999996</v>
      </c>
      <c r="H228" s="235">
        <f t="shared" si="29"/>
        <v>3.1481481481481479</v>
      </c>
      <c r="I228" s="88">
        <v>5.0999999999999996</v>
      </c>
      <c r="J228" s="235">
        <f t="shared" si="30"/>
        <v>3.1481481481481479</v>
      </c>
      <c r="K228" s="215">
        <v>138</v>
      </c>
      <c r="L228" s="252">
        <f>_xlfn.XLOOKUP($K228,Inputs!$C$6:$C$23,Inputs!$D$6:$D$23)*$I228</f>
        <v>2.2112142857142856</v>
      </c>
      <c r="M228" s="68"/>
      <c r="N228" s="68"/>
      <c r="O228" s="215">
        <v>191</v>
      </c>
      <c r="P228" s="215">
        <v>191</v>
      </c>
      <c r="Q228" s="94">
        <v>0.9</v>
      </c>
      <c r="R228" s="68" t="s">
        <v>115</v>
      </c>
      <c r="S228" s="182">
        <f t="shared" si="32"/>
        <v>171.9</v>
      </c>
      <c r="T228" s="182">
        <f t="shared" si="33"/>
        <v>171.9</v>
      </c>
      <c r="U228" s="96" t="s">
        <v>1814</v>
      </c>
      <c r="V228" s="205" t="s">
        <v>3107</v>
      </c>
      <c r="W228" s="96" t="s">
        <v>1823</v>
      </c>
      <c r="X228" s="22" t="s">
        <v>3100</v>
      </c>
      <c r="Y228" s="11" t="s">
        <v>4298</v>
      </c>
      <c r="Z228" s="79"/>
      <c r="AA228" s="187">
        <v>226</v>
      </c>
    </row>
    <row r="229" spans="2:27" s="184" customFormat="1" ht="20" x14ac:dyDescent="0.2">
      <c r="B229" s="11" t="s">
        <v>1824</v>
      </c>
      <c r="C229" s="165" t="s">
        <v>4236</v>
      </c>
      <c r="D229" s="22" t="s">
        <v>2379</v>
      </c>
      <c r="E229" s="34">
        <v>1</v>
      </c>
      <c r="F229" s="22" t="s">
        <v>2223</v>
      </c>
      <c r="G229" s="88">
        <v>3.06</v>
      </c>
      <c r="H229" s="235">
        <f t="shared" si="29"/>
        <v>1.8888888888888888</v>
      </c>
      <c r="I229" s="88">
        <v>3.06</v>
      </c>
      <c r="J229" s="235">
        <f t="shared" si="30"/>
        <v>1.8888888888888888</v>
      </c>
      <c r="K229" s="215">
        <v>138</v>
      </c>
      <c r="L229" s="252">
        <f>_xlfn.XLOOKUP($K229,Inputs!$C$6:$C$23,Inputs!$D$6:$D$23)*$I229</f>
        <v>1.3267285714285715</v>
      </c>
      <c r="M229" s="68"/>
      <c r="N229" s="68"/>
      <c r="O229" s="215">
        <v>191</v>
      </c>
      <c r="P229" s="215">
        <v>191</v>
      </c>
      <c r="Q229" s="94">
        <v>0.9</v>
      </c>
      <c r="R229" s="68" t="s">
        <v>115</v>
      </c>
      <c r="S229" s="182">
        <f t="shared" si="32"/>
        <v>171.9</v>
      </c>
      <c r="T229" s="182">
        <f t="shared" si="33"/>
        <v>171.9</v>
      </c>
      <c r="U229" s="96" t="s">
        <v>1818</v>
      </c>
      <c r="V229" s="22" t="s">
        <v>3108</v>
      </c>
      <c r="W229" s="96" t="s">
        <v>1823</v>
      </c>
      <c r="X229" s="22" t="s">
        <v>3100</v>
      </c>
      <c r="Y229" s="11" t="s">
        <v>4298</v>
      </c>
      <c r="Z229" s="79"/>
      <c r="AA229" s="187">
        <v>227</v>
      </c>
    </row>
    <row r="230" spans="2:27" s="184" customFormat="1" ht="20" x14ac:dyDescent="0.2">
      <c r="B230" s="11" t="s">
        <v>1829</v>
      </c>
      <c r="C230" s="165" t="s">
        <v>4236</v>
      </c>
      <c r="D230" s="22" t="s">
        <v>2379</v>
      </c>
      <c r="E230" s="34">
        <v>1</v>
      </c>
      <c r="F230" s="22" t="s">
        <v>2223</v>
      </c>
      <c r="G230" s="88">
        <v>6.8</v>
      </c>
      <c r="H230" s="235">
        <f t="shared" si="29"/>
        <v>4.1975308641975309</v>
      </c>
      <c r="I230" s="88">
        <v>6.8</v>
      </c>
      <c r="J230" s="235">
        <f t="shared" si="30"/>
        <v>4.1975308641975309</v>
      </c>
      <c r="K230" s="201">
        <v>144</v>
      </c>
      <c r="L230" s="252">
        <f>_xlfn.XLOOKUP($K230,Inputs!$C$6:$C$23,Inputs!$D$6:$D$23)*$I230</f>
        <v>2.9774285714285718</v>
      </c>
      <c r="M230" s="68"/>
      <c r="N230" s="68"/>
      <c r="O230" s="187"/>
      <c r="P230" s="187"/>
      <c r="Q230" s="94">
        <v>0.9</v>
      </c>
      <c r="R230" s="68">
        <f>IF((42.4*(J230)^(-0.6595))&gt;=3,3,(IF(42.4*(J230)^(-0.6595)&lt;=0.5,0.5,(42.4*(J230)^(-0.6595)))))</f>
        <v>3</v>
      </c>
      <c r="S230" s="276">
        <f>_xlfn.XLOOKUP($K230,Inputs!$G$6:$G$23,Inputs!J$6:J$23)*$R230</f>
        <v>153.60000000000002</v>
      </c>
      <c r="T230" s="276">
        <f>_xlfn.XLOOKUP($K230,Inputs!$G$6:$G$23,Inputs!K$6:K$23)*$R230</f>
        <v>169.96721311475409</v>
      </c>
      <c r="U230" s="96" t="s">
        <v>3818</v>
      </c>
      <c r="V230" s="205" t="s">
        <v>3064</v>
      </c>
      <c r="W230" s="96" t="s">
        <v>1828</v>
      </c>
      <c r="X230" s="22" t="s">
        <v>3102</v>
      </c>
      <c r="Y230" s="11" t="s">
        <v>3331</v>
      </c>
      <c r="Z230" s="79"/>
      <c r="AA230" s="187">
        <v>228</v>
      </c>
    </row>
    <row r="231" spans="2:27" s="184" customFormat="1" ht="20" x14ac:dyDescent="0.2">
      <c r="B231" s="11" t="s">
        <v>1739</v>
      </c>
      <c r="C231" s="165" t="s">
        <v>4236</v>
      </c>
      <c r="D231" s="22" t="s">
        <v>2379</v>
      </c>
      <c r="E231" s="34">
        <v>1</v>
      </c>
      <c r="F231" s="22" t="s">
        <v>2223</v>
      </c>
      <c r="G231" s="88">
        <v>5.0999999999999996</v>
      </c>
      <c r="H231" s="235">
        <f t="shared" si="29"/>
        <v>3.1481481481481479</v>
      </c>
      <c r="I231" s="88">
        <v>5.0999999999999996</v>
      </c>
      <c r="J231" s="235">
        <f t="shared" si="30"/>
        <v>3.1481481481481479</v>
      </c>
      <c r="K231" s="215">
        <v>138</v>
      </c>
      <c r="L231" s="252">
        <f>_xlfn.XLOOKUP($K231,Inputs!$C$6:$C$23,Inputs!$D$6:$D$23)*$I231</f>
        <v>2.2112142857142856</v>
      </c>
      <c r="M231" s="68"/>
      <c r="N231" s="68"/>
      <c r="O231" s="215">
        <v>143</v>
      </c>
      <c r="P231" s="215">
        <v>172</v>
      </c>
      <c r="Q231" s="94">
        <v>0.9</v>
      </c>
      <c r="R231" s="68" t="s">
        <v>115</v>
      </c>
      <c r="S231" s="182">
        <f t="shared" ref="S231:S240" si="34">O231*Q231</f>
        <v>128.70000000000002</v>
      </c>
      <c r="T231" s="182">
        <f t="shared" ref="T231:T240" si="35">P231*Q231</f>
        <v>154.80000000000001</v>
      </c>
      <c r="U231" s="96" t="s">
        <v>461</v>
      </c>
      <c r="V231" s="22" t="s">
        <v>2643</v>
      </c>
      <c r="W231" s="96" t="s">
        <v>3380</v>
      </c>
      <c r="X231" s="22" t="s">
        <v>2657</v>
      </c>
      <c r="Y231" s="11" t="s">
        <v>4298</v>
      </c>
      <c r="Z231" s="79"/>
      <c r="AA231" s="187">
        <v>229</v>
      </c>
    </row>
    <row r="232" spans="2:27" s="184" customFormat="1" ht="20" x14ac:dyDescent="0.2">
      <c r="B232" s="11" t="s">
        <v>1776</v>
      </c>
      <c r="C232" s="165" t="s">
        <v>4236</v>
      </c>
      <c r="D232" s="22" t="s">
        <v>2379</v>
      </c>
      <c r="E232" s="34">
        <v>1</v>
      </c>
      <c r="F232" s="22" t="s">
        <v>2223</v>
      </c>
      <c r="G232" s="88">
        <v>4.25</v>
      </c>
      <c r="H232" s="235">
        <f t="shared" si="29"/>
        <v>2.6234567901234565</v>
      </c>
      <c r="I232" s="88">
        <v>4.25</v>
      </c>
      <c r="J232" s="235">
        <f t="shared" si="30"/>
        <v>2.6234567901234565</v>
      </c>
      <c r="K232" s="215">
        <v>138</v>
      </c>
      <c r="L232" s="252">
        <f>_xlfn.XLOOKUP($K232,Inputs!$C$6:$C$23,Inputs!$D$6:$D$23)*$I232</f>
        <v>1.8426785714285716</v>
      </c>
      <c r="M232" s="68"/>
      <c r="N232" s="68"/>
      <c r="O232" s="215">
        <v>287</v>
      </c>
      <c r="P232" s="215">
        <v>287</v>
      </c>
      <c r="Q232" s="94">
        <v>0.9</v>
      </c>
      <c r="R232" s="68" t="s">
        <v>115</v>
      </c>
      <c r="S232" s="182">
        <f t="shared" si="34"/>
        <v>258.3</v>
      </c>
      <c r="T232" s="182">
        <f t="shared" si="35"/>
        <v>258.3</v>
      </c>
      <c r="U232" s="96" t="s">
        <v>1773</v>
      </c>
      <c r="V232" s="205" t="s">
        <v>3104</v>
      </c>
      <c r="W232" s="96" t="s">
        <v>1774</v>
      </c>
      <c r="X232" s="22" t="s">
        <v>3103</v>
      </c>
      <c r="Y232" s="11" t="s">
        <v>4298</v>
      </c>
      <c r="Z232" s="79"/>
      <c r="AA232" s="187">
        <v>230</v>
      </c>
    </row>
    <row r="233" spans="2:27" s="184" customFormat="1" ht="20" x14ac:dyDescent="0.2">
      <c r="B233" s="11" t="s">
        <v>1777</v>
      </c>
      <c r="C233" s="165" t="s">
        <v>4236</v>
      </c>
      <c r="D233" s="22" t="s">
        <v>2379</v>
      </c>
      <c r="E233" s="34">
        <v>1</v>
      </c>
      <c r="F233" s="22" t="s">
        <v>2223</v>
      </c>
      <c r="G233" s="88">
        <v>4.76</v>
      </c>
      <c r="H233" s="235">
        <f t="shared" si="29"/>
        <v>2.9382716049382713</v>
      </c>
      <c r="I233" s="88">
        <v>4.76</v>
      </c>
      <c r="J233" s="235">
        <f t="shared" si="30"/>
        <v>2.9382716049382713</v>
      </c>
      <c r="K233" s="215">
        <v>138</v>
      </c>
      <c r="L233" s="252">
        <f>_xlfn.XLOOKUP($K233,Inputs!$C$6:$C$23,Inputs!$D$6:$D$23)*$I233</f>
        <v>2.0638000000000001</v>
      </c>
      <c r="M233" s="68"/>
      <c r="N233" s="68"/>
      <c r="O233" s="215">
        <v>287</v>
      </c>
      <c r="P233" s="215">
        <v>287</v>
      </c>
      <c r="Q233" s="94">
        <v>0.9</v>
      </c>
      <c r="R233" s="68" t="s">
        <v>115</v>
      </c>
      <c r="S233" s="182">
        <f t="shared" si="34"/>
        <v>258.3</v>
      </c>
      <c r="T233" s="182">
        <f t="shared" si="35"/>
        <v>258.3</v>
      </c>
      <c r="U233" s="96" t="s">
        <v>3639</v>
      </c>
      <c r="V233" s="22" t="s">
        <v>2919</v>
      </c>
      <c r="W233" s="96" t="s">
        <v>1774</v>
      </c>
      <c r="X233" s="22" t="s">
        <v>3103</v>
      </c>
      <c r="Y233" s="11" t="s">
        <v>4298</v>
      </c>
      <c r="Z233" s="79"/>
      <c r="AA233" s="187">
        <v>231</v>
      </c>
    </row>
    <row r="234" spans="2:27" s="184" customFormat="1" ht="20" x14ac:dyDescent="0.2">
      <c r="B234" s="11" t="s">
        <v>1775</v>
      </c>
      <c r="C234" s="165" t="s">
        <v>4236</v>
      </c>
      <c r="D234" s="22" t="s">
        <v>2379</v>
      </c>
      <c r="E234" s="34">
        <v>1</v>
      </c>
      <c r="F234" s="22" t="s">
        <v>2223</v>
      </c>
      <c r="G234" s="88">
        <v>9.69</v>
      </c>
      <c r="H234" s="235">
        <f t="shared" si="29"/>
        <v>5.981481481481481</v>
      </c>
      <c r="I234" s="88">
        <v>9.69</v>
      </c>
      <c r="J234" s="235">
        <f t="shared" si="30"/>
        <v>5.981481481481481</v>
      </c>
      <c r="K234" s="215">
        <v>138</v>
      </c>
      <c r="L234" s="252">
        <f>_xlfn.XLOOKUP($K234,Inputs!$C$6:$C$23,Inputs!$D$6:$D$23)*$I234</f>
        <v>4.2013071428571429</v>
      </c>
      <c r="M234" s="68"/>
      <c r="N234" s="68"/>
      <c r="O234" s="215">
        <v>287</v>
      </c>
      <c r="P234" s="215">
        <v>287</v>
      </c>
      <c r="Q234" s="94">
        <v>0.9</v>
      </c>
      <c r="R234" s="68" t="s">
        <v>115</v>
      </c>
      <c r="S234" s="182">
        <f t="shared" si="34"/>
        <v>258.3</v>
      </c>
      <c r="T234" s="182">
        <f t="shared" si="35"/>
        <v>258.3</v>
      </c>
      <c r="U234" s="96" t="s">
        <v>1773</v>
      </c>
      <c r="V234" s="205" t="s">
        <v>3104</v>
      </c>
      <c r="W234" s="96" t="s">
        <v>1771</v>
      </c>
      <c r="X234" s="22" t="s">
        <v>3105</v>
      </c>
      <c r="Y234" s="11" t="s">
        <v>4298</v>
      </c>
      <c r="Z234" s="79"/>
      <c r="AA234" s="187">
        <v>232</v>
      </c>
    </row>
    <row r="235" spans="2:27" s="184" customFormat="1" ht="20" x14ac:dyDescent="0.2">
      <c r="B235" s="11" t="s">
        <v>1772</v>
      </c>
      <c r="C235" s="165" t="s">
        <v>4236</v>
      </c>
      <c r="D235" s="22" t="s">
        <v>2379</v>
      </c>
      <c r="E235" s="34">
        <v>1</v>
      </c>
      <c r="F235" s="22" t="s">
        <v>2223</v>
      </c>
      <c r="G235" s="88">
        <v>5.95</v>
      </c>
      <c r="H235" s="235">
        <f t="shared" si="29"/>
        <v>3.6728395061728394</v>
      </c>
      <c r="I235" s="88">
        <v>5.95</v>
      </c>
      <c r="J235" s="235">
        <f t="shared" si="30"/>
        <v>3.6728395061728394</v>
      </c>
      <c r="K235" s="215">
        <v>138</v>
      </c>
      <c r="L235" s="252">
        <f>_xlfn.XLOOKUP($K235,Inputs!$C$6:$C$23,Inputs!$D$6:$D$23)*$I235</f>
        <v>2.5797500000000002</v>
      </c>
      <c r="M235" s="68"/>
      <c r="N235" s="68"/>
      <c r="O235" s="215">
        <v>287</v>
      </c>
      <c r="P235" s="215">
        <v>287</v>
      </c>
      <c r="Q235" s="94">
        <v>0.9</v>
      </c>
      <c r="R235" s="68" t="s">
        <v>115</v>
      </c>
      <c r="S235" s="182">
        <f t="shared" si="34"/>
        <v>258.3</v>
      </c>
      <c r="T235" s="182">
        <f t="shared" si="35"/>
        <v>258.3</v>
      </c>
      <c r="U235" s="96" t="s">
        <v>4248</v>
      </c>
      <c r="V235" s="22" t="s">
        <v>4249</v>
      </c>
      <c r="W235" s="96" t="s">
        <v>1771</v>
      </c>
      <c r="X235" s="22" t="s">
        <v>3105</v>
      </c>
      <c r="Y235" s="11" t="s">
        <v>4298</v>
      </c>
      <c r="Z235" s="79"/>
      <c r="AA235" s="187">
        <v>233</v>
      </c>
    </row>
    <row r="236" spans="2:27" s="184" customFormat="1" ht="20" x14ac:dyDescent="0.2">
      <c r="B236" s="11" t="s">
        <v>1676</v>
      </c>
      <c r="C236" s="165" t="s">
        <v>4235</v>
      </c>
      <c r="D236" s="22" t="s">
        <v>2379</v>
      </c>
      <c r="E236" s="34">
        <v>1</v>
      </c>
      <c r="F236" s="22" t="s">
        <v>2223</v>
      </c>
      <c r="G236" s="88">
        <v>24.5</v>
      </c>
      <c r="H236" s="235">
        <f t="shared" si="29"/>
        <v>15.123456790123456</v>
      </c>
      <c r="I236" s="88">
        <v>49</v>
      </c>
      <c r="J236" s="235">
        <f t="shared" si="30"/>
        <v>30.246913580246911</v>
      </c>
      <c r="K236" s="215">
        <v>138</v>
      </c>
      <c r="L236" s="252">
        <f>_xlfn.XLOOKUP($K236,Inputs!$C$6:$C$23,Inputs!$D$6:$D$23)*$I236</f>
        <v>21.245000000000001</v>
      </c>
      <c r="M236" s="68"/>
      <c r="N236" s="68"/>
      <c r="O236" s="215">
        <v>97</v>
      </c>
      <c r="P236" s="215">
        <v>111</v>
      </c>
      <c r="Q236" s="94">
        <v>0.9</v>
      </c>
      <c r="R236" s="68" t="s">
        <v>115</v>
      </c>
      <c r="S236" s="182">
        <f t="shared" si="34"/>
        <v>87.3</v>
      </c>
      <c r="T236" s="182">
        <f t="shared" si="35"/>
        <v>99.9</v>
      </c>
      <c r="U236" s="96" t="s">
        <v>3818</v>
      </c>
      <c r="V236" s="22" t="s">
        <v>3064</v>
      </c>
      <c r="W236" s="96" t="s">
        <v>3842</v>
      </c>
      <c r="X236" s="22" t="s">
        <v>3079</v>
      </c>
      <c r="Y236" s="11" t="s">
        <v>3296</v>
      </c>
      <c r="Z236" s="79"/>
      <c r="AA236" s="187">
        <v>234</v>
      </c>
    </row>
    <row r="237" spans="2:27" s="184" customFormat="1" ht="20" x14ac:dyDescent="0.2">
      <c r="B237" s="11" t="s">
        <v>1676</v>
      </c>
      <c r="C237" s="165" t="s">
        <v>4235</v>
      </c>
      <c r="D237" s="22" t="s">
        <v>2379</v>
      </c>
      <c r="E237" s="34">
        <v>1</v>
      </c>
      <c r="F237" s="22" t="s">
        <v>2223</v>
      </c>
      <c r="G237" s="88">
        <v>10.5</v>
      </c>
      <c r="H237" s="235">
        <f t="shared" si="29"/>
        <v>6.481481481481481</v>
      </c>
      <c r="I237" s="88">
        <v>49</v>
      </c>
      <c r="J237" s="235">
        <f t="shared" si="30"/>
        <v>30.246913580246911</v>
      </c>
      <c r="K237" s="215">
        <v>138</v>
      </c>
      <c r="L237" s="252">
        <f>_xlfn.XLOOKUP($K237,Inputs!$C$6:$C$23,Inputs!$D$6:$D$23)*$I237</f>
        <v>21.245000000000001</v>
      </c>
      <c r="M237" s="68"/>
      <c r="N237" s="68"/>
      <c r="O237" s="215">
        <v>118</v>
      </c>
      <c r="P237" s="215">
        <v>146</v>
      </c>
      <c r="Q237" s="94">
        <v>0.9</v>
      </c>
      <c r="R237" s="68" t="s">
        <v>115</v>
      </c>
      <c r="S237" s="182">
        <f t="shared" si="34"/>
        <v>106.2</v>
      </c>
      <c r="T237" s="182">
        <f t="shared" si="35"/>
        <v>131.4</v>
      </c>
      <c r="U237" s="96" t="s">
        <v>3842</v>
      </c>
      <c r="V237" s="22" t="s">
        <v>3079</v>
      </c>
      <c r="W237" s="96" t="s">
        <v>3960</v>
      </c>
      <c r="X237" s="22" t="s">
        <v>2105</v>
      </c>
      <c r="Y237" s="11" t="s">
        <v>3296</v>
      </c>
      <c r="Z237" s="79"/>
      <c r="AA237" s="187">
        <v>235</v>
      </c>
    </row>
    <row r="238" spans="2:27" s="184" customFormat="1" ht="20" x14ac:dyDescent="0.2">
      <c r="B238" s="11" t="s">
        <v>1676</v>
      </c>
      <c r="C238" s="165" t="s">
        <v>4235</v>
      </c>
      <c r="D238" s="22" t="s">
        <v>2379</v>
      </c>
      <c r="E238" s="34">
        <v>1</v>
      </c>
      <c r="F238" s="22" t="s">
        <v>2223</v>
      </c>
      <c r="G238" s="88">
        <v>14</v>
      </c>
      <c r="H238" s="235">
        <f t="shared" si="29"/>
        <v>8.6419753086419746</v>
      </c>
      <c r="I238" s="88">
        <v>49</v>
      </c>
      <c r="J238" s="235">
        <f t="shared" si="30"/>
        <v>30.246913580246911</v>
      </c>
      <c r="K238" s="215">
        <v>138</v>
      </c>
      <c r="L238" s="252">
        <f>_xlfn.XLOOKUP($K238,Inputs!$C$6:$C$23,Inputs!$D$6:$D$23)*$I238</f>
        <v>21.245000000000001</v>
      </c>
      <c r="M238" s="68"/>
      <c r="N238" s="68"/>
      <c r="O238" s="215">
        <v>118</v>
      </c>
      <c r="P238" s="215">
        <v>146</v>
      </c>
      <c r="Q238" s="94">
        <v>0.9</v>
      </c>
      <c r="R238" s="68" t="s">
        <v>115</v>
      </c>
      <c r="S238" s="182">
        <f t="shared" si="34"/>
        <v>106.2</v>
      </c>
      <c r="T238" s="182">
        <f t="shared" si="35"/>
        <v>131.4</v>
      </c>
      <c r="U238" s="96" t="s">
        <v>3960</v>
      </c>
      <c r="V238" s="22" t="s">
        <v>2105</v>
      </c>
      <c r="W238" s="96" t="s">
        <v>3827</v>
      </c>
      <c r="X238" s="22" t="s">
        <v>3071</v>
      </c>
      <c r="Y238" s="11" t="s">
        <v>3296</v>
      </c>
      <c r="Z238" s="79"/>
      <c r="AA238" s="187">
        <v>236</v>
      </c>
    </row>
    <row r="239" spans="2:27" s="184" customFormat="1" ht="20" x14ac:dyDescent="0.2">
      <c r="B239" s="11" t="s">
        <v>1679</v>
      </c>
      <c r="C239" s="165" t="s">
        <v>4235</v>
      </c>
      <c r="D239" s="22" t="s">
        <v>2379</v>
      </c>
      <c r="E239" s="34">
        <v>1</v>
      </c>
      <c r="F239" s="22" t="s">
        <v>2223</v>
      </c>
      <c r="G239" s="88">
        <v>7</v>
      </c>
      <c r="H239" s="235">
        <f t="shared" si="29"/>
        <v>4.3209876543209873</v>
      </c>
      <c r="I239" s="88">
        <v>7</v>
      </c>
      <c r="J239" s="235">
        <f t="shared" si="30"/>
        <v>4.3209876543209873</v>
      </c>
      <c r="K239" s="215">
        <v>138</v>
      </c>
      <c r="L239" s="252">
        <f>_xlfn.XLOOKUP($K239,Inputs!$C$6:$C$23,Inputs!$D$6:$D$23)*$I239</f>
        <v>3.0350000000000001</v>
      </c>
      <c r="M239" s="68"/>
      <c r="N239" s="68"/>
      <c r="O239" s="215">
        <v>99</v>
      </c>
      <c r="P239" s="215">
        <v>133</v>
      </c>
      <c r="Q239" s="94">
        <v>0.9</v>
      </c>
      <c r="R239" s="68" t="s">
        <v>115</v>
      </c>
      <c r="S239" s="182">
        <f t="shared" si="34"/>
        <v>89.100000000000009</v>
      </c>
      <c r="T239" s="182">
        <f t="shared" si="35"/>
        <v>119.7</v>
      </c>
      <c r="U239" s="96" t="s">
        <v>3960</v>
      </c>
      <c r="V239" s="22" t="s">
        <v>2105</v>
      </c>
      <c r="W239" s="96" t="s">
        <v>3649</v>
      </c>
      <c r="X239" s="22" t="s">
        <v>2925</v>
      </c>
      <c r="Y239" s="11" t="s">
        <v>3296</v>
      </c>
      <c r="Z239" s="79"/>
      <c r="AA239" s="187">
        <v>237</v>
      </c>
    </row>
    <row r="240" spans="2:27" s="184" customFormat="1" ht="20" x14ac:dyDescent="0.2">
      <c r="B240" s="11" t="s">
        <v>1821</v>
      </c>
      <c r="C240" s="165" t="s">
        <v>4236</v>
      </c>
      <c r="D240" s="22" t="s">
        <v>2379</v>
      </c>
      <c r="E240" s="34">
        <v>1</v>
      </c>
      <c r="F240" s="22" t="s">
        <v>2223</v>
      </c>
      <c r="G240" s="88">
        <v>3.9099999999999997</v>
      </c>
      <c r="H240" s="235">
        <f t="shared" si="29"/>
        <v>2.4135802469135799</v>
      </c>
      <c r="I240" s="88">
        <v>3.9099999999999997</v>
      </c>
      <c r="J240" s="235">
        <f t="shared" si="30"/>
        <v>2.4135802469135799</v>
      </c>
      <c r="K240" s="215">
        <v>138</v>
      </c>
      <c r="L240" s="252">
        <f>_xlfn.XLOOKUP($K240,Inputs!$C$6:$C$23,Inputs!$D$6:$D$23)*$I240</f>
        <v>1.6952642857142857</v>
      </c>
      <c r="M240" s="68"/>
      <c r="N240" s="68"/>
      <c r="O240" s="215">
        <v>161</v>
      </c>
      <c r="P240" s="215">
        <v>191</v>
      </c>
      <c r="Q240" s="94">
        <v>0.9</v>
      </c>
      <c r="R240" s="68" t="s">
        <v>115</v>
      </c>
      <c r="S240" s="182">
        <f t="shared" si="34"/>
        <v>144.9</v>
      </c>
      <c r="T240" s="182">
        <f t="shared" si="35"/>
        <v>171.9</v>
      </c>
      <c r="U240" s="96" t="s">
        <v>1814</v>
      </c>
      <c r="V240" s="205" t="s">
        <v>3107</v>
      </c>
      <c r="W240" s="96" t="s">
        <v>1820</v>
      </c>
      <c r="X240" s="22" t="s">
        <v>3106</v>
      </c>
      <c r="Y240" s="11" t="s">
        <v>4298</v>
      </c>
      <c r="Z240" s="79"/>
      <c r="AA240" s="187">
        <v>238</v>
      </c>
    </row>
    <row r="241" spans="2:27" s="184" customFormat="1" ht="20" x14ac:dyDescent="0.2">
      <c r="B241" s="11" t="s">
        <v>1500</v>
      </c>
      <c r="C241" s="165" t="s">
        <v>4235</v>
      </c>
      <c r="D241" s="22" t="s">
        <v>2379</v>
      </c>
      <c r="E241" s="34">
        <v>1</v>
      </c>
      <c r="F241" s="22" t="s">
        <v>2223</v>
      </c>
      <c r="G241" s="88">
        <v>12</v>
      </c>
      <c r="H241" s="235">
        <f t="shared" si="29"/>
        <v>7.4074074074074066</v>
      </c>
      <c r="I241" s="88">
        <v>12</v>
      </c>
      <c r="J241" s="235">
        <f t="shared" si="30"/>
        <v>7.4074074074074066</v>
      </c>
      <c r="K241" s="201">
        <v>144</v>
      </c>
      <c r="L241" s="252">
        <f>_xlfn.XLOOKUP($K241,Inputs!$C$6:$C$23,Inputs!$D$6:$D$23)*$I241</f>
        <v>5.2542857142857144</v>
      </c>
      <c r="M241" s="68"/>
      <c r="N241" s="68"/>
      <c r="O241" s="187"/>
      <c r="P241" s="187"/>
      <c r="Q241" s="94">
        <v>0.9</v>
      </c>
      <c r="R241" s="68">
        <f>IF((42.4*(J241)^(-0.6595))&gt;=3,3,(IF(42.4*(J241)^(-0.6595)&lt;=0.5,0.5,(42.4*(J241)^(-0.6595)))))</f>
        <v>3</v>
      </c>
      <c r="S241" s="276">
        <f>_xlfn.XLOOKUP($K241,Inputs!$G$6:$G$23,Inputs!J$6:J$23)*$R241</f>
        <v>153.60000000000002</v>
      </c>
      <c r="T241" s="276">
        <f>_xlfn.XLOOKUP($K241,Inputs!$G$6:$G$23,Inputs!K$6:K$23)*$R241</f>
        <v>169.96721311475409</v>
      </c>
      <c r="U241" s="96" t="s">
        <v>3726</v>
      </c>
      <c r="V241" s="22" t="s">
        <v>2988</v>
      </c>
      <c r="W241" s="96" t="s">
        <v>3553</v>
      </c>
      <c r="X241" s="22" t="s">
        <v>2854</v>
      </c>
      <c r="Y241" s="11" t="s">
        <v>3331</v>
      </c>
      <c r="Z241" s="79"/>
      <c r="AA241" s="187">
        <v>239</v>
      </c>
    </row>
    <row r="242" spans="2:27" s="184" customFormat="1" ht="20" x14ac:dyDescent="0.2">
      <c r="B242" s="11" t="s">
        <v>1457</v>
      </c>
      <c r="C242" s="165" t="s">
        <v>4235</v>
      </c>
      <c r="D242" s="22" t="s">
        <v>2379</v>
      </c>
      <c r="E242" s="34">
        <v>1</v>
      </c>
      <c r="F242" s="22" t="s">
        <v>2223</v>
      </c>
      <c r="G242" s="88">
        <v>18</v>
      </c>
      <c r="H242" s="235">
        <f t="shared" si="29"/>
        <v>11.111111111111111</v>
      </c>
      <c r="I242" s="88">
        <v>18</v>
      </c>
      <c r="J242" s="235">
        <f t="shared" si="30"/>
        <v>11.111111111111111</v>
      </c>
      <c r="K242" s="215">
        <v>138</v>
      </c>
      <c r="L242" s="252">
        <f>_xlfn.XLOOKUP($K242,Inputs!$C$6:$C$23,Inputs!$D$6:$D$23)*$I242</f>
        <v>7.8042857142857152</v>
      </c>
      <c r="M242" s="68"/>
      <c r="N242" s="68"/>
      <c r="O242" s="215">
        <v>75</v>
      </c>
      <c r="P242" s="215">
        <v>79</v>
      </c>
      <c r="Q242" s="94">
        <v>0.9</v>
      </c>
      <c r="R242" s="68" t="s">
        <v>115</v>
      </c>
      <c r="S242" s="182">
        <f>O242*Q242</f>
        <v>67.5</v>
      </c>
      <c r="T242" s="182">
        <f>P242*Q242</f>
        <v>71.100000000000009</v>
      </c>
      <c r="U242" s="96" t="s">
        <v>3906</v>
      </c>
      <c r="V242" s="22" t="s">
        <v>3167</v>
      </c>
      <c r="W242" s="96" t="s">
        <v>3640</v>
      </c>
      <c r="X242" s="22" t="s">
        <v>2920</v>
      </c>
      <c r="Y242" s="11" t="s">
        <v>3318</v>
      </c>
      <c r="Z242" s="79"/>
      <c r="AA242" s="187">
        <v>240</v>
      </c>
    </row>
    <row r="243" spans="2:27" s="184" customFormat="1" ht="20" x14ac:dyDescent="0.2">
      <c r="B243" s="11" t="s">
        <v>1813</v>
      </c>
      <c r="C243" s="165" t="s">
        <v>4236</v>
      </c>
      <c r="D243" s="22" t="s">
        <v>2379</v>
      </c>
      <c r="E243" s="34">
        <v>1</v>
      </c>
      <c r="F243" s="22" t="s">
        <v>2223</v>
      </c>
      <c r="G243" s="88">
        <v>8.5</v>
      </c>
      <c r="H243" s="235">
        <f t="shared" si="29"/>
        <v>5.2469135802469129</v>
      </c>
      <c r="I243" s="88">
        <v>8.5</v>
      </c>
      <c r="J243" s="235">
        <f t="shared" si="30"/>
        <v>5.2469135802469129</v>
      </c>
      <c r="K243" s="201">
        <v>144</v>
      </c>
      <c r="L243" s="252">
        <f>_xlfn.XLOOKUP($K243,Inputs!$C$6:$C$23,Inputs!$D$6:$D$23)*$I243</f>
        <v>3.7217857142857147</v>
      </c>
      <c r="M243" s="68"/>
      <c r="N243" s="68"/>
      <c r="O243" s="187"/>
      <c r="P243" s="187"/>
      <c r="Q243" s="94">
        <v>0.9</v>
      </c>
      <c r="R243" s="68">
        <f>IF((42.4*(J243)^(-0.6595))&gt;=3,3,(IF(42.4*(J243)^(-0.6595)&lt;=0.5,0.5,(42.4*(J243)^(-0.6595)))))</f>
        <v>3</v>
      </c>
      <c r="S243" s="276">
        <f>_xlfn.XLOOKUP($K243,Inputs!$G$6:$G$23,Inputs!J$6:J$23)*$R243</f>
        <v>153.60000000000002</v>
      </c>
      <c r="T243" s="276">
        <f>_xlfn.XLOOKUP($K243,Inputs!$G$6:$G$23,Inputs!K$6:K$23)*$R243</f>
        <v>169.96721311475409</v>
      </c>
      <c r="U243" s="96" t="s">
        <v>1812</v>
      </c>
      <c r="V243" s="22" t="s">
        <v>3111</v>
      </c>
      <c r="W243" s="96" t="s">
        <v>1814</v>
      </c>
      <c r="X243" s="22" t="s">
        <v>3107</v>
      </c>
      <c r="Y243" s="11" t="s">
        <v>3331</v>
      </c>
      <c r="Z243" s="79"/>
      <c r="AA243" s="187">
        <v>241</v>
      </c>
    </row>
    <row r="244" spans="2:27" s="184" customFormat="1" ht="20" x14ac:dyDescent="0.2">
      <c r="B244" s="11" t="s">
        <v>1865</v>
      </c>
      <c r="C244" s="165" t="s">
        <v>4235</v>
      </c>
      <c r="D244" s="22" t="s">
        <v>2379</v>
      </c>
      <c r="E244" s="34">
        <v>1</v>
      </c>
      <c r="F244" s="22" t="s">
        <v>2223</v>
      </c>
      <c r="G244" s="88">
        <v>17.5</v>
      </c>
      <c r="H244" s="235">
        <f t="shared" si="29"/>
        <v>10.802469135802468</v>
      </c>
      <c r="I244" s="88">
        <v>17.5</v>
      </c>
      <c r="J244" s="235">
        <f t="shared" si="30"/>
        <v>10.802469135802468</v>
      </c>
      <c r="K244" s="216">
        <v>138</v>
      </c>
      <c r="L244" s="252">
        <f>_xlfn.XLOOKUP($K244,Inputs!$C$6:$C$23,Inputs!$D$6:$D$23)*$I244</f>
        <v>7.5875000000000004</v>
      </c>
      <c r="M244" s="68"/>
      <c r="N244" s="68"/>
      <c r="O244" s="216">
        <v>121</v>
      </c>
      <c r="P244" s="216">
        <v>148</v>
      </c>
      <c r="Q244" s="94">
        <v>0.9</v>
      </c>
      <c r="R244" s="68" t="s">
        <v>115</v>
      </c>
      <c r="S244" s="182">
        <f>O244*Q244</f>
        <v>108.9</v>
      </c>
      <c r="T244" s="182">
        <f>P244*Q244</f>
        <v>133.20000000000002</v>
      </c>
      <c r="U244" s="96" t="s">
        <v>3809</v>
      </c>
      <c r="V244" s="22" t="s">
        <v>3057</v>
      </c>
      <c r="W244" s="96" t="s">
        <v>3776</v>
      </c>
      <c r="X244" s="22" t="s">
        <v>2615</v>
      </c>
      <c r="Y244" s="11" t="s">
        <v>3307</v>
      </c>
      <c r="Z244" s="79"/>
      <c r="AA244" s="187">
        <v>242</v>
      </c>
    </row>
    <row r="245" spans="2:27" s="184" customFormat="1" ht="20" x14ac:dyDescent="0.2">
      <c r="B245" s="11" t="s">
        <v>1648</v>
      </c>
      <c r="C245" s="165" t="s">
        <v>4235</v>
      </c>
      <c r="D245" s="22" t="s">
        <v>2379</v>
      </c>
      <c r="E245" s="34">
        <v>1</v>
      </c>
      <c r="F245" s="22" t="s">
        <v>2223</v>
      </c>
      <c r="G245" s="88">
        <v>15</v>
      </c>
      <c r="H245" s="235">
        <f t="shared" si="29"/>
        <v>9.2592592592592595</v>
      </c>
      <c r="I245" s="88">
        <v>15</v>
      </c>
      <c r="J245" s="235">
        <f t="shared" si="30"/>
        <v>9.2592592592592595</v>
      </c>
      <c r="K245" s="201">
        <v>144</v>
      </c>
      <c r="L245" s="252">
        <f>_xlfn.XLOOKUP($K245,Inputs!$C$6:$C$23,Inputs!$D$6:$D$23)*$I245</f>
        <v>6.5678571428571431</v>
      </c>
      <c r="M245" s="68"/>
      <c r="N245" s="68"/>
      <c r="O245" s="187"/>
      <c r="P245" s="187"/>
      <c r="Q245" s="94">
        <v>0.9</v>
      </c>
      <c r="R245" s="68">
        <f t="shared" ref="R245:R257" si="36">IF((42.4*(J245)^(-0.6595))&gt;=3,3,(IF(42.4*(J245)^(-0.6595)&lt;=0.5,0.5,(42.4*(J245)^(-0.6595)))))</f>
        <v>3</v>
      </c>
      <c r="S245" s="276">
        <f>_xlfn.XLOOKUP($K245,Inputs!$G$6:$G$23,Inputs!J$6:J$23)*$R245</f>
        <v>153.60000000000002</v>
      </c>
      <c r="T245" s="276">
        <f>_xlfn.XLOOKUP($K245,Inputs!$G$6:$G$23,Inputs!K$6:K$23)*$R245</f>
        <v>169.96721311475409</v>
      </c>
      <c r="U245" s="96" t="s">
        <v>3759</v>
      </c>
      <c r="V245" s="22" t="s">
        <v>3016</v>
      </c>
      <c r="W245" s="96" t="s">
        <v>3644</v>
      </c>
      <c r="X245" s="22" t="s">
        <v>2921</v>
      </c>
      <c r="Y245" s="11" t="s">
        <v>3331</v>
      </c>
      <c r="Z245" s="79"/>
      <c r="AA245" s="187">
        <v>243</v>
      </c>
    </row>
    <row r="246" spans="2:27" s="184" customFormat="1" ht="20" x14ac:dyDescent="0.2">
      <c r="B246" s="11" t="s">
        <v>1649</v>
      </c>
      <c r="C246" s="165" t="s">
        <v>4235</v>
      </c>
      <c r="D246" s="22" t="s">
        <v>2379</v>
      </c>
      <c r="E246" s="34">
        <v>1</v>
      </c>
      <c r="F246" s="22" t="s">
        <v>2223</v>
      </c>
      <c r="G246" s="88">
        <v>9</v>
      </c>
      <c r="H246" s="235">
        <f t="shared" si="29"/>
        <v>5.5555555555555554</v>
      </c>
      <c r="I246" s="88">
        <v>24</v>
      </c>
      <c r="J246" s="235">
        <f t="shared" si="30"/>
        <v>14.814814814814813</v>
      </c>
      <c r="K246" s="201">
        <v>144</v>
      </c>
      <c r="L246" s="252">
        <f>_xlfn.XLOOKUP($K246,Inputs!$C$6:$C$23,Inputs!$D$6:$D$23)*$I246</f>
        <v>10.508571428571429</v>
      </c>
      <c r="M246" s="68"/>
      <c r="N246" s="68"/>
      <c r="O246" s="187"/>
      <c r="P246" s="187"/>
      <c r="Q246" s="94">
        <v>0.9</v>
      </c>
      <c r="R246" s="68">
        <f t="shared" si="36"/>
        <v>3</v>
      </c>
      <c r="S246" s="276">
        <f>_xlfn.XLOOKUP($K246,Inputs!$G$6:$G$23,Inputs!J$6:J$23)*$R246</f>
        <v>153.60000000000002</v>
      </c>
      <c r="T246" s="276">
        <f>_xlfn.XLOOKUP($K246,Inputs!$G$6:$G$23,Inputs!K$6:K$23)*$R246</f>
        <v>169.96721311475409</v>
      </c>
      <c r="U246" s="96" t="s">
        <v>3644</v>
      </c>
      <c r="V246" s="22" t="s">
        <v>2921</v>
      </c>
      <c r="W246" s="96" t="s">
        <v>3966</v>
      </c>
      <c r="X246" s="205" t="s">
        <v>2101</v>
      </c>
      <c r="Y246" s="11" t="s">
        <v>3331</v>
      </c>
      <c r="Z246" s="79"/>
      <c r="AA246" s="187">
        <v>244</v>
      </c>
    </row>
    <row r="247" spans="2:27" s="184" customFormat="1" ht="20" x14ac:dyDescent="0.2">
      <c r="B247" s="11" t="s">
        <v>1649</v>
      </c>
      <c r="C247" s="165" t="s">
        <v>4235</v>
      </c>
      <c r="D247" s="22" t="s">
        <v>2379</v>
      </c>
      <c r="E247" s="34">
        <v>1</v>
      </c>
      <c r="F247" s="22" t="s">
        <v>2223</v>
      </c>
      <c r="G247" s="88">
        <v>15</v>
      </c>
      <c r="H247" s="235">
        <f t="shared" si="29"/>
        <v>9.2592592592592595</v>
      </c>
      <c r="I247" s="88">
        <v>24</v>
      </c>
      <c r="J247" s="235">
        <f t="shared" si="30"/>
        <v>14.814814814814813</v>
      </c>
      <c r="K247" s="201">
        <v>144</v>
      </c>
      <c r="L247" s="252">
        <f>_xlfn.XLOOKUP($K247,Inputs!$C$6:$C$23,Inputs!$D$6:$D$23)*$I247</f>
        <v>10.508571428571429</v>
      </c>
      <c r="M247" s="68"/>
      <c r="N247" s="68"/>
      <c r="O247" s="187"/>
      <c r="P247" s="187"/>
      <c r="Q247" s="94">
        <v>0.9</v>
      </c>
      <c r="R247" s="68">
        <f t="shared" si="36"/>
        <v>3</v>
      </c>
      <c r="S247" s="276">
        <f>_xlfn.XLOOKUP($K247,Inputs!$G$6:$G$23,Inputs!J$6:J$23)*$R247</f>
        <v>153.60000000000002</v>
      </c>
      <c r="T247" s="276">
        <f>_xlfn.XLOOKUP($K247,Inputs!$G$6:$G$23,Inputs!K$6:K$23)*$R247</f>
        <v>169.96721311475409</v>
      </c>
      <c r="U247" s="96" t="s">
        <v>3966</v>
      </c>
      <c r="V247" s="22" t="s">
        <v>2101</v>
      </c>
      <c r="W247" s="96" t="s">
        <v>3579</v>
      </c>
      <c r="X247" s="22" t="s">
        <v>2675</v>
      </c>
      <c r="Y247" s="11" t="s">
        <v>3331</v>
      </c>
      <c r="Z247" s="79"/>
      <c r="AA247" s="187">
        <v>245</v>
      </c>
    </row>
    <row r="248" spans="2:27" s="184" customFormat="1" ht="20" x14ac:dyDescent="0.2">
      <c r="B248" s="11" t="s">
        <v>1643</v>
      </c>
      <c r="C248" s="165" t="s">
        <v>4235</v>
      </c>
      <c r="D248" s="22" t="s">
        <v>2379</v>
      </c>
      <c r="E248" s="34">
        <v>1</v>
      </c>
      <c r="F248" s="22" t="s">
        <v>2223</v>
      </c>
      <c r="G248" s="88">
        <v>4.8000000000000007</v>
      </c>
      <c r="H248" s="235">
        <f t="shared" si="29"/>
        <v>2.9629629629629632</v>
      </c>
      <c r="I248" s="88">
        <v>4.8000000000000007</v>
      </c>
      <c r="J248" s="235">
        <f t="shared" si="30"/>
        <v>2.9629629629629632</v>
      </c>
      <c r="K248" s="201">
        <v>144</v>
      </c>
      <c r="L248" s="252">
        <f>_xlfn.XLOOKUP($K248,Inputs!$C$6:$C$23,Inputs!$D$6:$D$23)*$I248</f>
        <v>2.1017142857142863</v>
      </c>
      <c r="M248" s="68"/>
      <c r="N248" s="68"/>
      <c r="O248" s="187"/>
      <c r="P248" s="187"/>
      <c r="Q248" s="94">
        <v>0.9</v>
      </c>
      <c r="R248" s="68">
        <f t="shared" si="36"/>
        <v>3</v>
      </c>
      <c r="S248" s="276">
        <f>_xlfn.XLOOKUP($K248,Inputs!$G$6:$G$23,Inputs!J$6:J$23)*$R248</f>
        <v>153.60000000000002</v>
      </c>
      <c r="T248" s="276">
        <f>_xlfn.XLOOKUP($K248,Inputs!$G$6:$G$23,Inputs!K$6:K$23)*$R248</f>
        <v>169.96721311475409</v>
      </c>
      <c r="U248" s="96" t="s">
        <v>3607</v>
      </c>
      <c r="V248" s="22" t="s">
        <v>2895</v>
      </c>
      <c r="W248" s="96" t="s">
        <v>3632</v>
      </c>
      <c r="X248" s="22" t="s">
        <v>2681</v>
      </c>
      <c r="Y248" s="11" t="s">
        <v>3331</v>
      </c>
      <c r="Z248" s="79"/>
      <c r="AA248" s="187">
        <v>246</v>
      </c>
    </row>
    <row r="249" spans="2:27" s="184" customFormat="1" ht="20" x14ac:dyDescent="0.2">
      <c r="B249" s="11" t="s">
        <v>1644</v>
      </c>
      <c r="C249" s="165" t="s">
        <v>4235</v>
      </c>
      <c r="D249" s="22" t="s">
        <v>2379</v>
      </c>
      <c r="E249" s="34">
        <v>1</v>
      </c>
      <c r="F249" s="22" t="s">
        <v>2223</v>
      </c>
      <c r="G249" s="88">
        <v>4.8000000000000007</v>
      </c>
      <c r="H249" s="235">
        <f t="shared" si="29"/>
        <v>2.9629629629629632</v>
      </c>
      <c r="I249" s="88">
        <v>4.8000000000000007</v>
      </c>
      <c r="J249" s="235">
        <f t="shared" si="30"/>
        <v>2.9629629629629632</v>
      </c>
      <c r="K249" s="201">
        <v>144</v>
      </c>
      <c r="L249" s="252">
        <f>_xlfn.XLOOKUP($K249,Inputs!$C$6:$C$23,Inputs!$D$6:$D$23)*$I249</f>
        <v>2.1017142857142863</v>
      </c>
      <c r="M249" s="68"/>
      <c r="N249" s="68"/>
      <c r="O249" s="187"/>
      <c r="P249" s="187"/>
      <c r="Q249" s="94">
        <v>0.9</v>
      </c>
      <c r="R249" s="68">
        <f t="shared" si="36"/>
        <v>3</v>
      </c>
      <c r="S249" s="276">
        <f>_xlfn.XLOOKUP($K249,Inputs!$G$6:$G$23,Inputs!J$6:J$23)*$R249</f>
        <v>153.60000000000002</v>
      </c>
      <c r="T249" s="276">
        <f>_xlfn.XLOOKUP($K249,Inputs!$G$6:$G$23,Inputs!K$6:K$23)*$R249</f>
        <v>169.96721311475409</v>
      </c>
      <c r="U249" s="96" t="s">
        <v>3607</v>
      </c>
      <c r="V249" s="22" t="s">
        <v>2895</v>
      </c>
      <c r="W249" s="96" t="s">
        <v>3632</v>
      </c>
      <c r="X249" s="22" t="s">
        <v>2681</v>
      </c>
      <c r="Y249" s="11" t="s">
        <v>3331</v>
      </c>
      <c r="Z249" s="79"/>
      <c r="AA249" s="187">
        <v>247</v>
      </c>
    </row>
    <row r="250" spans="2:27" s="184" customFormat="1" ht="20" x14ac:dyDescent="0.2">
      <c r="B250" s="11" t="s">
        <v>1387</v>
      </c>
      <c r="C250" s="165" t="s">
        <v>4235</v>
      </c>
      <c r="D250" s="22" t="s">
        <v>2379</v>
      </c>
      <c r="E250" s="34">
        <v>1</v>
      </c>
      <c r="F250" s="22" t="s">
        <v>2223</v>
      </c>
      <c r="G250" s="88">
        <v>15</v>
      </c>
      <c r="H250" s="235">
        <f t="shared" si="29"/>
        <v>9.2592592592592595</v>
      </c>
      <c r="I250" s="88">
        <v>15</v>
      </c>
      <c r="J250" s="235">
        <f t="shared" si="30"/>
        <v>9.2592592592592595</v>
      </c>
      <c r="K250" s="201">
        <v>144</v>
      </c>
      <c r="L250" s="252">
        <f>_xlfn.XLOOKUP($K250,Inputs!$C$6:$C$23,Inputs!$D$6:$D$23)*$I250</f>
        <v>6.5678571428571431</v>
      </c>
      <c r="M250" s="68"/>
      <c r="N250" s="68"/>
      <c r="O250" s="187"/>
      <c r="P250" s="187"/>
      <c r="Q250" s="94">
        <v>0.9</v>
      </c>
      <c r="R250" s="68">
        <f t="shared" si="36"/>
        <v>3</v>
      </c>
      <c r="S250" s="276">
        <f>_xlfn.XLOOKUP($K250,Inputs!$G$6:$G$23,Inputs!J$6:J$23)*$R250</f>
        <v>153.60000000000002</v>
      </c>
      <c r="T250" s="276">
        <f>_xlfn.XLOOKUP($K250,Inputs!$G$6:$G$23,Inputs!K$6:K$23)*$R250</f>
        <v>169.96721311475409</v>
      </c>
      <c r="U250" s="96" t="s">
        <v>3941</v>
      </c>
      <c r="V250" s="22" t="s">
        <v>3193</v>
      </c>
      <c r="W250" s="96" t="s">
        <v>3781</v>
      </c>
      <c r="X250" s="22" t="s">
        <v>3034</v>
      </c>
      <c r="Y250" s="11" t="s">
        <v>3331</v>
      </c>
      <c r="Z250" s="79"/>
      <c r="AA250" s="187">
        <v>248</v>
      </c>
    </row>
    <row r="251" spans="2:27" s="184" customFormat="1" ht="20" x14ac:dyDescent="0.2">
      <c r="B251" s="11" t="s">
        <v>1388</v>
      </c>
      <c r="C251" s="165" t="s">
        <v>4235</v>
      </c>
      <c r="D251" s="22" t="s">
        <v>2379</v>
      </c>
      <c r="E251" s="34">
        <v>1</v>
      </c>
      <c r="F251" s="22" t="s">
        <v>2223</v>
      </c>
      <c r="G251" s="88">
        <v>15</v>
      </c>
      <c r="H251" s="235">
        <f t="shared" si="29"/>
        <v>9.2592592592592595</v>
      </c>
      <c r="I251" s="88">
        <v>15</v>
      </c>
      <c r="J251" s="235">
        <f t="shared" si="30"/>
        <v>9.2592592592592595</v>
      </c>
      <c r="K251" s="201">
        <v>144</v>
      </c>
      <c r="L251" s="252">
        <f>_xlfn.XLOOKUP($K251,Inputs!$C$6:$C$23,Inputs!$D$6:$D$23)*$I251</f>
        <v>6.5678571428571431</v>
      </c>
      <c r="M251" s="68"/>
      <c r="N251" s="68"/>
      <c r="O251" s="187"/>
      <c r="P251" s="187"/>
      <c r="Q251" s="94">
        <v>0.9</v>
      </c>
      <c r="R251" s="68">
        <f t="shared" si="36"/>
        <v>3</v>
      </c>
      <c r="S251" s="276">
        <f>_xlfn.XLOOKUP($K251,Inputs!$G$6:$G$23,Inputs!J$6:J$23)*$R251</f>
        <v>153.60000000000002</v>
      </c>
      <c r="T251" s="276">
        <f>_xlfn.XLOOKUP($K251,Inputs!$G$6:$G$23,Inputs!K$6:K$23)*$R251</f>
        <v>169.96721311475409</v>
      </c>
      <c r="U251" s="96" t="s">
        <v>3941</v>
      </c>
      <c r="V251" s="22" t="s">
        <v>3193</v>
      </c>
      <c r="W251" s="96" t="s">
        <v>3781</v>
      </c>
      <c r="X251" s="22" t="s">
        <v>3034</v>
      </c>
      <c r="Y251" s="11" t="s">
        <v>3331</v>
      </c>
      <c r="Z251" s="79"/>
      <c r="AA251" s="187">
        <v>249</v>
      </c>
    </row>
    <row r="252" spans="2:27" s="184" customFormat="1" ht="20" x14ac:dyDescent="0.2">
      <c r="B252" s="11" t="s">
        <v>1632</v>
      </c>
      <c r="C252" s="165" t="s">
        <v>4235</v>
      </c>
      <c r="D252" s="22" t="s">
        <v>2379</v>
      </c>
      <c r="E252" s="34">
        <v>1</v>
      </c>
      <c r="F252" s="22" t="s">
        <v>2223</v>
      </c>
      <c r="G252" s="88">
        <v>35</v>
      </c>
      <c r="H252" s="235">
        <f t="shared" si="29"/>
        <v>21.604938271604937</v>
      </c>
      <c r="I252" s="88">
        <v>35</v>
      </c>
      <c r="J252" s="235">
        <f t="shared" si="30"/>
        <v>21.604938271604937</v>
      </c>
      <c r="K252" s="201">
        <v>144</v>
      </c>
      <c r="L252" s="252">
        <f>_xlfn.XLOOKUP($K252,Inputs!$C$6:$C$23,Inputs!$D$6:$D$23)*$I252</f>
        <v>15.325000000000001</v>
      </c>
      <c r="M252" s="68"/>
      <c r="N252" s="68"/>
      <c r="O252" s="187"/>
      <c r="P252" s="187"/>
      <c r="Q252" s="94">
        <v>0.9</v>
      </c>
      <c r="R252" s="68">
        <f t="shared" si="36"/>
        <v>3</v>
      </c>
      <c r="S252" s="276">
        <f>_xlfn.XLOOKUP($K252,Inputs!$G$6:$G$23,Inputs!J$6:J$23)*$R252</f>
        <v>153.60000000000002</v>
      </c>
      <c r="T252" s="276">
        <f>_xlfn.XLOOKUP($K252,Inputs!$G$6:$G$23,Inputs!K$6:K$23)*$R252</f>
        <v>169.96721311475409</v>
      </c>
      <c r="U252" s="96" t="s">
        <v>3734</v>
      </c>
      <c r="V252" s="22" t="s">
        <v>2994</v>
      </c>
      <c r="W252" s="96" t="s">
        <v>3888</v>
      </c>
      <c r="X252" s="22" t="s">
        <v>3269</v>
      </c>
      <c r="Y252" s="11" t="s">
        <v>3331</v>
      </c>
      <c r="Z252" s="79"/>
      <c r="AA252" s="187">
        <v>250</v>
      </c>
    </row>
    <row r="253" spans="2:27" s="184" customFormat="1" ht="20" x14ac:dyDescent="0.2">
      <c r="B253" s="11" t="s">
        <v>1638</v>
      </c>
      <c r="C253" s="165" t="s">
        <v>4235</v>
      </c>
      <c r="D253" s="22" t="s">
        <v>2379</v>
      </c>
      <c r="E253" s="34">
        <v>1</v>
      </c>
      <c r="F253" s="22" t="s">
        <v>2223</v>
      </c>
      <c r="G253" s="88">
        <v>1</v>
      </c>
      <c r="H253" s="235">
        <f t="shared" si="29"/>
        <v>0.61728395061728392</v>
      </c>
      <c r="I253" s="88">
        <v>13.5</v>
      </c>
      <c r="J253" s="235">
        <f t="shared" si="30"/>
        <v>8.3333333333333321</v>
      </c>
      <c r="K253" s="201">
        <v>144</v>
      </c>
      <c r="L253" s="252">
        <f>_xlfn.XLOOKUP($K253,Inputs!$C$6:$C$23,Inputs!$D$6:$D$23)*$I253</f>
        <v>5.9110714285714288</v>
      </c>
      <c r="M253" s="68"/>
      <c r="N253" s="68"/>
      <c r="O253" s="187"/>
      <c r="P253" s="187"/>
      <c r="Q253" s="94">
        <v>0.9</v>
      </c>
      <c r="R253" s="68">
        <f t="shared" si="36"/>
        <v>3</v>
      </c>
      <c r="S253" s="276">
        <f>_xlfn.XLOOKUP($K253,Inputs!$G$6:$G$23,Inputs!J$6:J$23)*$R253</f>
        <v>153.60000000000002</v>
      </c>
      <c r="T253" s="276">
        <f>_xlfn.XLOOKUP($K253,Inputs!$G$6:$G$23,Inputs!K$6:K$23)*$R253</f>
        <v>169.96721311475409</v>
      </c>
      <c r="U253" s="96" t="s">
        <v>4023</v>
      </c>
      <c r="V253" s="22" t="s">
        <v>3043</v>
      </c>
      <c r="W253" s="96" t="s">
        <v>3753</v>
      </c>
      <c r="X253" s="22" t="s">
        <v>3011</v>
      </c>
      <c r="Y253" s="11" t="s">
        <v>3331</v>
      </c>
      <c r="Z253" s="79"/>
      <c r="AA253" s="187">
        <v>251</v>
      </c>
    </row>
    <row r="254" spans="2:27" s="184" customFormat="1" ht="20" x14ac:dyDescent="0.2">
      <c r="B254" s="11" t="s">
        <v>1638</v>
      </c>
      <c r="C254" s="165" t="s">
        <v>4235</v>
      </c>
      <c r="D254" s="22" t="s">
        <v>2379</v>
      </c>
      <c r="E254" s="34">
        <v>1</v>
      </c>
      <c r="F254" s="22" t="s">
        <v>2223</v>
      </c>
      <c r="G254" s="88">
        <v>10</v>
      </c>
      <c r="H254" s="235">
        <f t="shared" si="29"/>
        <v>6.1728395061728394</v>
      </c>
      <c r="I254" s="88">
        <v>13.5</v>
      </c>
      <c r="J254" s="235">
        <f t="shared" si="30"/>
        <v>8.3333333333333321</v>
      </c>
      <c r="K254" s="201">
        <v>144</v>
      </c>
      <c r="L254" s="252">
        <f>_xlfn.XLOOKUP($K254,Inputs!$C$6:$C$23,Inputs!$D$6:$D$23)*$I254</f>
        <v>5.9110714285714288</v>
      </c>
      <c r="M254" s="68"/>
      <c r="N254" s="68"/>
      <c r="O254" s="187"/>
      <c r="P254" s="187"/>
      <c r="Q254" s="94">
        <v>0.9</v>
      </c>
      <c r="R254" s="68">
        <f t="shared" si="36"/>
        <v>3</v>
      </c>
      <c r="S254" s="276">
        <f>_xlfn.XLOOKUP($K254,Inputs!$G$6:$G$23,Inputs!J$6:J$23)*$R254</f>
        <v>153.60000000000002</v>
      </c>
      <c r="T254" s="276">
        <f>_xlfn.XLOOKUP($K254,Inputs!$G$6:$G$23,Inputs!K$6:K$23)*$R254</f>
        <v>169.96721311475409</v>
      </c>
      <c r="U254" s="96" t="s">
        <v>3753</v>
      </c>
      <c r="V254" s="22" t="s">
        <v>3011</v>
      </c>
      <c r="W254" s="96" t="s">
        <v>3839</v>
      </c>
      <c r="X254" s="22" t="s">
        <v>3078</v>
      </c>
      <c r="Y254" s="11" t="s">
        <v>3331</v>
      </c>
      <c r="Z254" s="79"/>
      <c r="AA254" s="187">
        <v>252</v>
      </c>
    </row>
    <row r="255" spans="2:27" s="184" customFormat="1" ht="20" x14ac:dyDescent="0.2">
      <c r="B255" s="11" t="s">
        <v>1638</v>
      </c>
      <c r="C255" s="165" t="s">
        <v>4235</v>
      </c>
      <c r="D255" s="22" t="s">
        <v>2379</v>
      </c>
      <c r="E255" s="34">
        <v>1</v>
      </c>
      <c r="F255" s="22" t="s">
        <v>2223</v>
      </c>
      <c r="G255" s="88">
        <v>2.5</v>
      </c>
      <c r="H255" s="235">
        <f t="shared" si="29"/>
        <v>1.5432098765432098</v>
      </c>
      <c r="I255" s="88">
        <v>13.5</v>
      </c>
      <c r="J255" s="235">
        <f t="shared" si="30"/>
        <v>8.3333333333333321</v>
      </c>
      <c r="K255" s="201">
        <v>144</v>
      </c>
      <c r="L255" s="252">
        <f>_xlfn.XLOOKUP($K255,Inputs!$C$6:$C$23,Inputs!$D$6:$D$23)*$I255</f>
        <v>5.9110714285714288</v>
      </c>
      <c r="M255" s="68"/>
      <c r="N255" s="68"/>
      <c r="O255" s="187"/>
      <c r="P255" s="187"/>
      <c r="Q255" s="94">
        <v>0.9</v>
      </c>
      <c r="R255" s="68">
        <f t="shared" si="36"/>
        <v>3</v>
      </c>
      <c r="S255" s="276">
        <f>_xlfn.XLOOKUP($K255,Inputs!$G$6:$G$23,Inputs!J$6:J$23)*$R255</f>
        <v>153.60000000000002</v>
      </c>
      <c r="T255" s="276">
        <f>_xlfn.XLOOKUP($K255,Inputs!$G$6:$G$23,Inputs!K$6:K$23)*$R255</f>
        <v>169.96721311475409</v>
      </c>
      <c r="U255" s="96" t="s">
        <v>3839</v>
      </c>
      <c r="V255" s="22" t="s">
        <v>3078</v>
      </c>
      <c r="W255" s="96" t="s">
        <v>4022</v>
      </c>
      <c r="X255" s="22" t="s">
        <v>3042</v>
      </c>
      <c r="Y255" s="11" t="s">
        <v>3331</v>
      </c>
      <c r="Z255" s="79"/>
      <c r="AA255" s="187">
        <v>253</v>
      </c>
    </row>
    <row r="256" spans="2:27" s="184" customFormat="1" ht="20" x14ac:dyDescent="0.2">
      <c r="B256" s="11" t="s">
        <v>1642</v>
      </c>
      <c r="C256" s="165" t="s">
        <v>4235</v>
      </c>
      <c r="D256" s="22" t="s">
        <v>2379</v>
      </c>
      <c r="E256" s="34">
        <v>1</v>
      </c>
      <c r="F256" s="22" t="s">
        <v>2223</v>
      </c>
      <c r="G256" s="88">
        <v>2.5</v>
      </c>
      <c r="H256" s="235">
        <f t="shared" si="29"/>
        <v>1.5432098765432098</v>
      </c>
      <c r="I256" s="88">
        <v>10</v>
      </c>
      <c r="J256" s="235">
        <f t="shared" si="30"/>
        <v>6.1728395061728394</v>
      </c>
      <c r="K256" s="201">
        <v>144</v>
      </c>
      <c r="L256" s="252">
        <f>_xlfn.XLOOKUP($K256,Inputs!$C$6:$C$23,Inputs!$D$6:$D$23)*$I256</f>
        <v>4.378571428571429</v>
      </c>
      <c r="M256" s="68"/>
      <c r="N256" s="68"/>
      <c r="O256" s="187"/>
      <c r="P256" s="187"/>
      <c r="Q256" s="94">
        <v>0.9</v>
      </c>
      <c r="R256" s="68">
        <f t="shared" si="36"/>
        <v>3</v>
      </c>
      <c r="S256" s="276">
        <f>_xlfn.XLOOKUP($K256,Inputs!$G$6:$G$23,Inputs!J$6:J$23)*$R256</f>
        <v>153.60000000000002</v>
      </c>
      <c r="T256" s="276">
        <f>_xlfn.XLOOKUP($K256,Inputs!$G$6:$G$23,Inputs!K$6:K$23)*$R256</f>
        <v>169.96721311475409</v>
      </c>
      <c r="U256" s="96" t="s">
        <v>3839</v>
      </c>
      <c r="V256" s="22" t="s">
        <v>3078</v>
      </c>
      <c r="W256" s="96" t="s">
        <v>4022</v>
      </c>
      <c r="X256" s="22" t="s">
        <v>3042</v>
      </c>
      <c r="Y256" s="11" t="s">
        <v>3331</v>
      </c>
      <c r="Z256" s="79"/>
      <c r="AA256" s="187">
        <v>254</v>
      </c>
    </row>
    <row r="257" spans="2:27" s="184" customFormat="1" ht="20" x14ac:dyDescent="0.2">
      <c r="B257" s="11" t="s">
        <v>1642</v>
      </c>
      <c r="C257" s="165" t="s">
        <v>4235</v>
      </c>
      <c r="D257" s="22" t="s">
        <v>2379</v>
      </c>
      <c r="E257" s="34">
        <v>1</v>
      </c>
      <c r="F257" s="22" t="s">
        <v>2223</v>
      </c>
      <c r="G257" s="88">
        <v>7.5</v>
      </c>
      <c r="H257" s="235">
        <f t="shared" si="29"/>
        <v>4.6296296296296298</v>
      </c>
      <c r="I257" s="88">
        <v>10</v>
      </c>
      <c r="J257" s="235">
        <f t="shared" si="30"/>
        <v>6.1728395061728394</v>
      </c>
      <c r="K257" s="201">
        <v>144</v>
      </c>
      <c r="L257" s="252">
        <f>_xlfn.XLOOKUP($K257,Inputs!$C$6:$C$23,Inputs!$D$6:$D$23)*$I257</f>
        <v>4.378571428571429</v>
      </c>
      <c r="M257" s="68"/>
      <c r="N257" s="68"/>
      <c r="O257" s="187"/>
      <c r="P257" s="187"/>
      <c r="Q257" s="94">
        <v>0.9</v>
      </c>
      <c r="R257" s="68">
        <f t="shared" si="36"/>
        <v>3</v>
      </c>
      <c r="S257" s="276">
        <f>_xlfn.XLOOKUP($K257,Inputs!$G$6:$G$23,Inputs!J$6:J$23)*$R257</f>
        <v>153.60000000000002</v>
      </c>
      <c r="T257" s="276">
        <f>_xlfn.XLOOKUP($K257,Inputs!$G$6:$G$23,Inputs!K$6:K$23)*$R257</f>
        <v>169.96721311475409</v>
      </c>
      <c r="U257" s="96" t="s">
        <v>3839</v>
      </c>
      <c r="V257" s="22" t="s">
        <v>3078</v>
      </c>
      <c r="W257" s="96" t="s">
        <v>3793</v>
      </c>
      <c r="X257" s="22" t="s">
        <v>2618</v>
      </c>
      <c r="Y257" s="11" t="s">
        <v>3331</v>
      </c>
      <c r="Z257" s="79"/>
      <c r="AA257" s="187">
        <v>255</v>
      </c>
    </row>
    <row r="258" spans="2:27" s="184" customFormat="1" ht="20" x14ac:dyDescent="0.2">
      <c r="B258" s="11" t="s">
        <v>711</v>
      </c>
      <c r="C258" s="165" t="s">
        <v>4235</v>
      </c>
      <c r="D258" s="22" t="s">
        <v>2379</v>
      </c>
      <c r="E258" s="34">
        <v>1</v>
      </c>
      <c r="F258" s="22" t="s">
        <v>2223</v>
      </c>
      <c r="G258" s="88">
        <v>21</v>
      </c>
      <c r="H258" s="235">
        <f t="shared" si="29"/>
        <v>12.962962962962962</v>
      </c>
      <c r="I258" s="88">
        <v>21</v>
      </c>
      <c r="J258" s="235">
        <f t="shared" si="30"/>
        <v>12.962962962962962</v>
      </c>
      <c r="K258" s="215">
        <v>138</v>
      </c>
      <c r="L258" s="252">
        <f>_xlfn.XLOOKUP($K258,Inputs!$C$6:$C$23,Inputs!$D$6:$D$23)*$I258</f>
        <v>9.1050000000000004</v>
      </c>
      <c r="M258" s="68"/>
      <c r="N258" s="68"/>
      <c r="O258" s="215">
        <v>121</v>
      </c>
      <c r="P258" s="215">
        <v>149</v>
      </c>
      <c r="Q258" s="94">
        <v>0.9</v>
      </c>
      <c r="R258" s="68" t="s">
        <v>115</v>
      </c>
      <c r="S258" s="182">
        <f>O258*Q258</f>
        <v>108.9</v>
      </c>
      <c r="T258" s="182">
        <f>P258*Q258</f>
        <v>134.1</v>
      </c>
      <c r="U258" s="96" t="s">
        <v>3634</v>
      </c>
      <c r="V258" s="22" t="s">
        <v>2915</v>
      </c>
      <c r="W258" s="96" t="s">
        <v>3939</v>
      </c>
      <c r="X258" s="205" t="s">
        <v>3191</v>
      </c>
      <c r="Y258" s="11" t="s">
        <v>3294</v>
      </c>
      <c r="Z258" s="79"/>
      <c r="AA258" s="187">
        <v>256</v>
      </c>
    </row>
    <row r="259" spans="2:27" s="184" customFormat="1" ht="20" x14ac:dyDescent="0.2">
      <c r="B259" s="11" t="s">
        <v>2072</v>
      </c>
      <c r="C259" s="165" t="s">
        <v>4235</v>
      </c>
      <c r="D259" s="22" t="s">
        <v>2379</v>
      </c>
      <c r="E259" s="34">
        <v>1</v>
      </c>
      <c r="F259" s="22" t="s">
        <v>2223</v>
      </c>
      <c r="G259" s="88">
        <v>12</v>
      </c>
      <c r="H259" s="235">
        <f t="shared" si="29"/>
        <v>7.4074074074074066</v>
      </c>
      <c r="I259" s="88">
        <v>12</v>
      </c>
      <c r="J259" s="235">
        <f t="shared" si="30"/>
        <v>7.4074074074074066</v>
      </c>
      <c r="K259" s="201">
        <v>144</v>
      </c>
      <c r="L259" s="252">
        <f>_xlfn.XLOOKUP($K259,Inputs!$C$6:$C$23,Inputs!$D$6:$D$23)*$I259</f>
        <v>5.2542857142857144</v>
      </c>
      <c r="M259" s="68"/>
      <c r="N259" s="68"/>
      <c r="O259" s="187"/>
      <c r="P259" s="187"/>
      <c r="Q259" s="94">
        <v>0.9</v>
      </c>
      <c r="R259" s="68">
        <f>IF((42.4*(J259)^(-0.6595))&gt;=3,3,(IF(42.4*(J259)^(-0.6595)&lt;=0.5,0.5,(42.4*(J259)^(-0.6595)))))</f>
        <v>3</v>
      </c>
      <c r="S259" s="276">
        <f>_xlfn.XLOOKUP($K259,Inputs!$G$6:$G$23,Inputs!J$6:J$23)*$R259</f>
        <v>153.60000000000002</v>
      </c>
      <c r="T259" s="276">
        <f>_xlfn.XLOOKUP($K259,Inputs!$G$6:$G$23,Inputs!K$6:K$23)*$R259</f>
        <v>169.96721311475409</v>
      </c>
      <c r="U259" s="96" t="s">
        <v>3866</v>
      </c>
      <c r="V259" s="22" t="s">
        <v>3134</v>
      </c>
      <c r="W259" s="96" t="s">
        <v>3577</v>
      </c>
      <c r="X259" s="22" t="s">
        <v>2872</v>
      </c>
      <c r="Y259" s="11" t="s">
        <v>3331</v>
      </c>
      <c r="Z259" s="79"/>
      <c r="AA259" s="187">
        <v>257</v>
      </c>
    </row>
    <row r="260" spans="2:27" s="184" customFormat="1" ht="20" x14ac:dyDescent="0.2">
      <c r="B260" s="11" t="s">
        <v>1669</v>
      </c>
      <c r="C260" s="165" t="s">
        <v>4235</v>
      </c>
      <c r="D260" s="22" t="s">
        <v>2379</v>
      </c>
      <c r="E260" s="34">
        <v>1</v>
      </c>
      <c r="F260" s="22" t="s">
        <v>2223</v>
      </c>
      <c r="G260" s="88">
        <v>14</v>
      </c>
      <c r="H260" s="235">
        <f t="shared" si="29"/>
        <v>8.6419753086419746</v>
      </c>
      <c r="I260" s="88">
        <v>14</v>
      </c>
      <c r="J260" s="235">
        <f t="shared" si="30"/>
        <v>8.6419753086419746</v>
      </c>
      <c r="K260" s="215">
        <v>138</v>
      </c>
      <c r="L260" s="252">
        <f>_xlfn.XLOOKUP($K260,Inputs!$C$6:$C$23,Inputs!$D$6:$D$23)*$I260</f>
        <v>6.07</v>
      </c>
      <c r="M260" s="68"/>
      <c r="N260" s="68"/>
      <c r="O260" s="215">
        <v>121</v>
      </c>
      <c r="P260" s="215">
        <v>148</v>
      </c>
      <c r="Q260" s="94">
        <v>0.9</v>
      </c>
      <c r="R260" s="68" t="s">
        <v>115</v>
      </c>
      <c r="S260" s="182">
        <f>O260*Q260</f>
        <v>108.9</v>
      </c>
      <c r="T260" s="182">
        <f>P260*Q260</f>
        <v>133.20000000000002</v>
      </c>
      <c r="U260" s="96" t="s">
        <v>3621</v>
      </c>
      <c r="V260" s="22" t="s">
        <v>2906</v>
      </c>
      <c r="W260" s="96" t="s">
        <v>3482</v>
      </c>
      <c r="X260" s="205" t="s">
        <v>2806</v>
      </c>
      <c r="Y260" s="11" t="s">
        <v>3296</v>
      </c>
      <c r="Z260" s="79"/>
      <c r="AA260" s="187">
        <v>258</v>
      </c>
    </row>
    <row r="261" spans="2:27" s="184" customFormat="1" ht="20" x14ac:dyDescent="0.2">
      <c r="B261" s="11" t="s">
        <v>1853</v>
      </c>
      <c r="C261" s="165" t="s">
        <v>4235</v>
      </c>
      <c r="D261" s="22" t="s">
        <v>2379</v>
      </c>
      <c r="E261" s="34">
        <v>1</v>
      </c>
      <c r="F261" s="22" t="s">
        <v>2223</v>
      </c>
      <c r="G261" s="88">
        <v>10</v>
      </c>
      <c r="H261" s="235">
        <f t="shared" ref="H261:H324" si="37">G261/1.62</f>
        <v>6.1728395061728394</v>
      </c>
      <c r="I261" s="88">
        <v>10</v>
      </c>
      <c r="J261" s="235">
        <f t="shared" ref="J261:J324" si="38">I261/1.62</f>
        <v>6.1728395061728394</v>
      </c>
      <c r="K261" s="215">
        <v>138</v>
      </c>
      <c r="L261" s="252">
        <f>_xlfn.XLOOKUP($K261,Inputs!$C$6:$C$23,Inputs!$D$6:$D$23)*$I261</f>
        <v>4.3357142857142863</v>
      </c>
      <c r="M261" s="68"/>
      <c r="N261" s="68"/>
      <c r="O261" s="215">
        <v>279</v>
      </c>
      <c r="P261" s="215">
        <v>287</v>
      </c>
      <c r="Q261" s="94">
        <v>0.9</v>
      </c>
      <c r="R261" s="68" t="s">
        <v>115</v>
      </c>
      <c r="S261" s="182">
        <f>O261*Q261</f>
        <v>251.1</v>
      </c>
      <c r="T261" s="182">
        <f>P261*Q261</f>
        <v>258.3</v>
      </c>
      <c r="U261" s="96" t="s">
        <v>3563</v>
      </c>
      <c r="V261" s="22" t="s">
        <v>2862</v>
      </c>
      <c r="W261" s="96" t="s">
        <v>3615</v>
      </c>
      <c r="X261" s="22" t="s">
        <v>2903</v>
      </c>
      <c r="Y261" s="11" t="s">
        <v>3285</v>
      </c>
      <c r="Z261" s="79"/>
      <c r="AA261" s="187">
        <v>259</v>
      </c>
    </row>
    <row r="262" spans="2:27" s="184" customFormat="1" ht="20" x14ac:dyDescent="0.2">
      <c r="B262" s="11" t="s">
        <v>1646</v>
      </c>
      <c r="C262" s="165" t="s">
        <v>4235</v>
      </c>
      <c r="D262" s="22" t="s">
        <v>2379</v>
      </c>
      <c r="E262" s="34">
        <v>1</v>
      </c>
      <c r="F262" s="22" t="s">
        <v>2223</v>
      </c>
      <c r="G262" s="88">
        <v>9</v>
      </c>
      <c r="H262" s="235">
        <f t="shared" si="37"/>
        <v>5.5555555555555554</v>
      </c>
      <c r="I262" s="88">
        <v>9</v>
      </c>
      <c r="J262" s="235">
        <f t="shared" si="38"/>
        <v>5.5555555555555554</v>
      </c>
      <c r="K262" s="201">
        <v>144</v>
      </c>
      <c r="L262" s="252">
        <f>_xlfn.XLOOKUP($K262,Inputs!$C$6:$C$23,Inputs!$D$6:$D$23)*$I262</f>
        <v>3.9407142857142858</v>
      </c>
      <c r="M262" s="68"/>
      <c r="N262" s="68"/>
      <c r="O262" s="187"/>
      <c r="P262" s="187"/>
      <c r="Q262" s="94">
        <v>0.9</v>
      </c>
      <c r="R262" s="68">
        <f t="shared" ref="R262:R270" si="39">IF((42.4*(J262)^(-0.6595))&gt;=3,3,(IF(42.4*(J262)^(-0.6595)&lt;=0.5,0.5,(42.4*(J262)^(-0.6595)))))</f>
        <v>3</v>
      </c>
      <c r="S262" s="276">
        <f>_xlfn.XLOOKUP($K262,Inputs!$G$6:$G$23,Inputs!J$6:J$23)*$R262</f>
        <v>153.60000000000002</v>
      </c>
      <c r="T262" s="276">
        <f>_xlfn.XLOOKUP($K262,Inputs!$G$6:$G$23,Inputs!K$6:K$23)*$R262</f>
        <v>169.96721311475409</v>
      </c>
      <c r="U262" s="96" t="s">
        <v>3759</v>
      </c>
      <c r="V262" s="22" t="s">
        <v>3016</v>
      </c>
      <c r="W262" s="96" t="s">
        <v>3632</v>
      </c>
      <c r="X262" s="22" t="s">
        <v>2681</v>
      </c>
      <c r="Y262" s="11" t="s">
        <v>3331</v>
      </c>
      <c r="Z262" s="79"/>
      <c r="AA262" s="187">
        <v>260</v>
      </c>
    </row>
    <row r="263" spans="2:27" s="184" customFormat="1" ht="20" x14ac:dyDescent="0.2">
      <c r="B263" s="11" t="s">
        <v>1636</v>
      </c>
      <c r="C263" s="165" t="s">
        <v>4235</v>
      </c>
      <c r="D263" s="22" t="s">
        <v>2379</v>
      </c>
      <c r="E263" s="34">
        <v>1</v>
      </c>
      <c r="F263" s="22" t="s">
        <v>2223</v>
      </c>
      <c r="G263" s="88">
        <v>7.5</v>
      </c>
      <c r="H263" s="235">
        <f t="shared" si="37"/>
        <v>4.6296296296296298</v>
      </c>
      <c r="I263" s="88">
        <v>10</v>
      </c>
      <c r="J263" s="235">
        <f t="shared" si="38"/>
        <v>6.1728395061728394</v>
      </c>
      <c r="K263" s="201">
        <v>144</v>
      </c>
      <c r="L263" s="252">
        <f>_xlfn.XLOOKUP($K263,Inputs!$C$6:$C$23,Inputs!$D$6:$D$23)*$I263</f>
        <v>4.378571428571429</v>
      </c>
      <c r="M263" s="68"/>
      <c r="N263" s="68"/>
      <c r="O263" s="187"/>
      <c r="P263" s="187"/>
      <c r="Q263" s="94">
        <v>0.9</v>
      </c>
      <c r="R263" s="68">
        <f t="shared" si="39"/>
        <v>3</v>
      </c>
      <c r="S263" s="276">
        <f>_xlfn.XLOOKUP($K263,Inputs!$G$6:$G$23,Inputs!J$6:J$23)*$R263</f>
        <v>153.60000000000002</v>
      </c>
      <c r="T263" s="276">
        <f>_xlfn.XLOOKUP($K263,Inputs!$G$6:$G$23,Inputs!K$6:K$23)*$R263</f>
        <v>169.96721311475409</v>
      </c>
      <c r="U263" s="96" t="s">
        <v>3753</v>
      </c>
      <c r="V263" s="22" t="s">
        <v>3011</v>
      </c>
      <c r="W263" s="96" t="s">
        <v>3402</v>
      </c>
      <c r="X263" s="22" t="s">
        <v>2603</v>
      </c>
      <c r="Y263" s="11" t="s">
        <v>3331</v>
      </c>
      <c r="Z263" s="79"/>
      <c r="AA263" s="187">
        <v>261</v>
      </c>
    </row>
    <row r="264" spans="2:27" s="184" customFormat="1" ht="20" x14ac:dyDescent="0.2">
      <c r="B264" s="11" t="s">
        <v>1636</v>
      </c>
      <c r="C264" s="165" t="s">
        <v>4235</v>
      </c>
      <c r="D264" s="22" t="s">
        <v>2379</v>
      </c>
      <c r="E264" s="34">
        <v>1</v>
      </c>
      <c r="F264" s="22" t="s">
        <v>2223</v>
      </c>
      <c r="G264" s="88">
        <v>2.5</v>
      </c>
      <c r="H264" s="235">
        <f t="shared" si="37"/>
        <v>1.5432098765432098</v>
      </c>
      <c r="I264" s="88">
        <v>10</v>
      </c>
      <c r="J264" s="235">
        <f t="shared" si="38"/>
        <v>6.1728395061728394</v>
      </c>
      <c r="K264" s="201">
        <v>144</v>
      </c>
      <c r="L264" s="252">
        <f>_xlfn.XLOOKUP($K264,Inputs!$C$6:$C$23,Inputs!$D$6:$D$23)*$I264</f>
        <v>4.378571428571429</v>
      </c>
      <c r="M264" s="68"/>
      <c r="N264" s="68"/>
      <c r="O264" s="187"/>
      <c r="P264" s="187"/>
      <c r="Q264" s="94">
        <v>0.9</v>
      </c>
      <c r="R264" s="68">
        <f t="shared" si="39"/>
        <v>3</v>
      </c>
      <c r="S264" s="276">
        <f>_xlfn.XLOOKUP($K264,Inputs!$G$6:$G$23,Inputs!J$6:J$23)*$R264</f>
        <v>153.60000000000002</v>
      </c>
      <c r="T264" s="276">
        <f>_xlfn.XLOOKUP($K264,Inputs!$G$6:$G$23,Inputs!K$6:K$23)*$R264</f>
        <v>169.96721311475409</v>
      </c>
      <c r="U264" s="96" t="s">
        <v>3753</v>
      </c>
      <c r="V264" s="205" t="s">
        <v>3011</v>
      </c>
      <c r="W264" s="96" t="s">
        <v>4023</v>
      </c>
      <c r="X264" s="22" t="s">
        <v>3043</v>
      </c>
      <c r="Y264" s="11" t="s">
        <v>3331</v>
      </c>
      <c r="Z264" s="79"/>
      <c r="AA264" s="187">
        <v>262</v>
      </c>
    </row>
    <row r="265" spans="2:27" s="184" customFormat="1" ht="20" x14ac:dyDescent="0.2">
      <c r="B265" s="11" t="s">
        <v>713</v>
      </c>
      <c r="C265" s="165" t="s">
        <v>4235</v>
      </c>
      <c r="D265" s="22" t="s">
        <v>2379</v>
      </c>
      <c r="E265" s="34">
        <v>1</v>
      </c>
      <c r="F265" s="22" t="s">
        <v>2223</v>
      </c>
      <c r="G265" s="88">
        <v>16.8</v>
      </c>
      <c r="H265" s="235">
        <f t="shared" si="37"/>
        <v>10.37037037037037</v>
      </c>
      <c r="I265" s="88">
        <v>16.8</v>
      </c>
      <c r="J265" s="235">
        <f t="shared" si="38"/>
        <v>10.37037037037037</v>
      </c>
      <c r="K265" s="201">
        <v>144</v>
      </c>
      <c r="L265" s="252">
        <f>_xlfn.XLOOKUP($K265,Inputs!$C$6:$C$23,Inputs!$D$6:$D$23)*$I265</f>
        <v>7.3560000000000008</v>
      </c>
      <c r="M265" s="68"/>
      <c r="N265" s="68"/>
      <c r="O265" s="187"/>
      <c r="P265" s="187"/>
      <c r="Q265" s="94">
        <v>0.9</v>
      </c>
      <c r="R265" s="68">
        <f t="shared" si="39"/>
        <v>3</v>
      </c>
      <c r="S265" s="276">
        <f>_xlfn.XLOOKUP($K265,Inputs!$G$6:$G$23,Inputs!J$6:J$23)*$R265</f>
        <v>153.60000000000002</v>
      </c>
      <c r="T265" s="276">
        <f>_xlfn.XLOOKUP($K265,Inputs!$G$6:$G$23,Inputs!K$6:K$23)*$R265</f>
        <v>169.96721311475409</v>
      </c>
      <c r="U265" s="96" t="s">
        <v>3775</v>
      </c>
      <c r="V265" s="22" t="s">
        <v>3029</v>
      </c>
      <c r="W265" s="96" t="s">
        <v>3887</v>
      </c>
      <c r="X265" s="22" t="s">
        <v>3150</v>
      </c>
      <c r="Y265" s="11" t="s">
        <v>3331</v>
      </c>
      <c r="Z265" s="79"/>
      <c r="AA265" s="187">
        <v>263</v>
      </c>
    </row>
    <row r="266" spans="2:27" s="184" customFormat="1" ht="20" x14ac:dyDescent="0.2">
      <c r="B266" s="11" t="s">
        <v>1292</v>
      </c>
      <c r="C266" s="165" t="s">
        <v>4235</v>
      </c>
      <c r="D266" s="22" t="s">
        <v>2379</v>
      </c>
      <c r="E266" s="34">
        <v>1</v>
      </c>
      <c r="F266" s="22" t="s">
        <v>2223</v>
      </c>
      <c r="G266" s="88">
        <v>15</v>
      </c>
      <c r="H266" s="235">
        <f t="shared" si="37"/>
        <v>9.2592592592592595</v>
      </c>
      <c r="I266" s="88">
        <v>15</v>
      </c>
      <c r="J266" s="235">
        <f t="shared" si="38"/>
        <v>9.2592592592592595</v>
      </c>
      <c r="K266" s="201">
        <v>144</v>
      </c>
      <c r="L266" s="252">
        <f>_xlfn.XLOOKUP($K266,Inputs!$C$6:$C$23,Inputs!$D$6:$D$23)*$I266</f>
        <v>6.5678571428571431</v>
      </c>
      <c r="M266" s="68"/>
      <c r="N266" s="68"/>
      <c r="O266" s="206"/>
      <c r="P266" s="206"/>
      <c r="Q266" s="94">
        <v>0.9</v>
      </c>
      <c r="R266" s="68">
        <f t="shared" si="39"/>
        <v>3</v>
      </c>
      <c r="S266" s="276">
        <f>_xlfn.XLOOKUP($K266,Inputs!$G$6:$G$23,Inputs!J$6:J$23)*$R266</f>
        <v>153.60000000000002</v>
      </c>
      <c r="T266" s="276">
        <f>_xlfn.XLOOKUP($K266,Inputs!$G$6:$G$23,Inputs!K$6:K$23)*$R266</f>
        <v>169.96721311475409</v>
      </c>
      <c r="U266" s="96" t="s">
        <v>3347</v>
      </c>
      <c r="V266" s="22" t="s">
        <v>2730</v>
      </c>
      <c r="W266" s="96" t="s">
        <v>3602</v>
      </c>
      <c r="X266" s="22" t="s">
        <v>2892</v>
      </c>
      <c r="Y266" s="11" t="s">
        <v>3331</v>
      </c>
      <c r="Z266" s="79"/>
      <c r="AA266" s="187">
        <v>264</v>
      </c>
    </row>
    <row r="267" spans="2:27" s="184" customFormat="1" ht="20" x14ac:dyDescent="0.2">
      <c r="B267" s="11" t="s">
        <v>1293</v>
      </c>
      <c r="C267" s="165" t="s">
        <v>4235</v>
      </c>
      <c r="D267" s="22" t="s">
        <v>2379</v>
      </c>
      <c r="E267" s="34">
        <v>1</v>
      </c>
      <c r="F267" s="22" t="s">
        <v>2223</v>
      </c>
      <c r="G267" s="88">
        <v>24</v>
      </c>
      <c r="H267" s="235">
        <f t="shared" si="37"/>
        <v>14.814814814814813</v>
      </c>
      <c r="I267" s="88">
        <v>24</v>
      </c>
      <c r="J267" s="235">
        <f t="shared" si="38"/>
        <v>14.814814814814813</v>
      </c>
      <c r="K267" s="201">
        <v>144</v>
      </c>
      <c r="L267" s="252">
        <f>_xlfn.XLOOKUP($K267,Inputs!$C$6:$C$23,Inputs!$D$6:$D$23)*$I267</f>
        <v>10.508571428571429</v>
      </c>
      <c r="M267" s="68"/>
      <c r="N267" s="68"/>
      <c r="O267" s="187"/>
      <c r="P267" s="187"/>
      <c r="Q267" s="94">
        <v>0.9</v>
      </c>
      <c r="R267" s="68">
        <f t="shared" si="39"/>
        <v>3</v>
      </c>
      <c r="S267" s="276">
        <f>_xlfn.XLOOKUP($K267,Inputs!$G$6:$G$23,Inputs!J$6:J$23)*$R267</f>
        <v>153.60000000000002</v>
      </c>
      <c r="T267" s="276">
        <f>_xlfn.XLOOKUP($K267,Inputs!$G$6:$G$23,Inputs!K$6:K$23)*$R267</f>
        <v>169.96721311475409</v>
      </c>
      <c r="U267" s="96" t="s">
        <v>3602</v>
      </c>
      <c r="V267" s="22" t="s">
        <v>2892</v>
      </c>
      <c r="W267" s="96" t="s">
        <v>3849</v>
      </c>
      <c r="X267" s="22" t="s">
        <v>3121</v>
      </c>
      <c r="Y267" s="11" t="s">
        <v>3331</v>
      </c>
      <c r="Z267" s="79"/>
      <c r="AA267" s="187">
        <v>265</v>
      </c>
    </row>
    <row r="268" spans="2:27" s="184" customFormat="1" ht="20" x14ac:dyDescent="0.2">
      <c r="B268" s="11" t="s">
        <v>1290</v>
      </c>
      <c r="C268" s="165" t="s">
        <v>4235</v>
      </c>
      <c r="D268" s="22" t="s">
        <v>2379</v>
      </c>
      <c r="E268" s="34">
        <v>1</v>
      </c>
      <c r="F268" s="22" t="s">
        <v>2223</v>
      </c>
      <c r="G268" s="88">
        <v>15</v>
      </c>
      <c r="H268" s="235">
        <f t="shared" si="37"/>
        <v>9.2592592592592595</v>
      </c>
      <c r="I268" s="88">
        <v>15</v>
      </c>
      <c r="J268" s="235">
        <f t="shared" si="38"/>
        <v>9.2592592592592595</v>
      </c>
      <c r="K268" s="201">
        <v>144</v>
      </c>
      <c r="L268" s="252">
        <f>_xlfn.XLOOKUP($K268,Inputs!$C$6:$C$23,Inputs!$D$6:$D$23)*$I268</f>
        <v>6.5678571428571431</v>
      </c>
      <c r="M268" s="68"/>
      <c r="N268" s="68"/>
      <c r="O268" s="206"/>
      <c r="P268" s="206"/>
      <c r="Q268" s="94">
        <v>0.9</v>
      </c>
      <c r="R268" s="68">
        <f t="shared" si="39"/>
        <v>3</v>
      </c>
      <c r="S268" s="276">
        <f>_xlfn.XLOOKUP($K268,Inputs!$G$6:$G$23,Inputs!J$6:J$23)*$R268</f>
        <v>153.60000000000002</v>
      </c>
      <c r="T268" s="276">
        <f>_xlfn.XLOOKUP($K268,Inputs!$G$6:$G$23,Inputs!K$6:K$23)*$R268</f>
        <v>169.96721311475409</v>
      </c>
      <c r="U268" s="96" t="s">
        <v>3347</v>
      </c>
      <c r="V268" s="22" t="s">
        <v>2730</v>
      </c>
      <c r="W268" s="96" t="s">
        <v>3602</v>
      </c>
      <c r="X268" s="22" t="s">
        <v>2892</v>
      </c>
      <c r="Y268" s="11" t="s">
        <v>3331</v>
      </c>
      <c r="Z268" s="79"/>
      <c r="AA268" s="187">
        <v>266</v>
      </c>
    </row>
    <row r="269" spans="2:27" s="184" customFormat="1" ht="20" x14ac:dyDescent="0.2">
      <c r="B269" s="11" t="s">
        <v>1356</v>
      </c>
      <c r="C269" s="165" t="s">
        <v>4235</v>
      </c>
      <c r="D269" s="22" t="s">
        <v>2379</v>
      </c>
      <c r="E269" s="34">
        <v>1</v>
      </c>
      <c r="F269" s="22" t="s">
        <v>2223</v>
      </c>
      <c r="G269" s="88">
        <v>6</v>
      </c>
      <c r="H269" s="235">
        <f t="shared" si="37"/>
        <v>3.7037037037037033</v>
      </c>
      <c r="I269" s="88">
        <v>6</v>
      </c>
      <c r="J269" s="235">
        <f t="shared" si="38"/>
        <v>3.7037037037037033</v>
      </c>
      <c r="K269" s="201">
        <v>144</v>
      </c>
      <c r="L269" s="252">
        <f>_xlfn.XLOOKUP($K269,Inputs!$C$6:$C$23,Inputs!$D$6:$D$23)*$I269</f>
        <v>2.6271428571428572</v>
      </c>
      <c r="M269" s="68"/>
      <c r="N269" s="68"/>
      <c r="O269" s="187"/>
      <c r="P269" s="187"/>
      <c r="Q269" s="94">
        <v>0.9</v>
      </c>
      <c r="R269" s="68">
        <f t="shared" si="39"/>
        <v>3</v>
      </c>
      <c r="S269" s="276">
        <f>_xlfn.XLOOKUP($K269,Inputs!$G$6:$G$23,Inputs!J$6:J$23)*$R269</f>
        <v>153.60000000000002</v>
      </c>
      <c r="T269" s="276">
        <f>_xlfn.XLOOKUP($K269,Inputs!$G$6:$G$23,Inputs!K$6:K$23)*$R269</f>
        <v>169.96721311475409</v>
      </c>
      <c r="U269" s="96" t="s">
        <v>3819</v>
      </c>
      <c r="V269" s="22" t="s">
        <v>3065</v>
      </c>
      <c r="W269" s="96" t="s">
        <v>3746</v>
      </c>
      <c r="X269" s="22" t="s">
        <v>3004</v>
      </c>
      <c r="Y269" s="11" t="s">
        <v>3331</v>
      </c>
      <c r="Z269" s="79"/>
      <c r="AA269" s="187">
        <v>267</v>
      </c>
    </row>
    <row r="270" spans="2:27" s="184" customFormat="1" ht="20" x14ac:dyDescent="0.2">
      <c r="B270" s="11" t="s">
        <v>1357</v>
      </c>
      <c r="C270" s="165" t="s">
        <v>4235</v>
      </c>
      <c r="D270" s="22" t="s">
        <v>2379</v>
      </c>
      <c r="E270" s="34">
        <v>1</v>
      </c>
      <c r="F270" s="22" t="s">
        <v>2223</v>
      </c>
      <c r="G270" s="88">
        <v>6</v>
      </c>
      <c r="H270" s="235">
        <f t="shared" si="37"/>
        <v>3.7037037037037033</v>
      </c>
      <c r="I270" s="88">
        <v>6</v>
      </c>
      <c r="J270" s="235">
        <f t="shared" si="38"/>
        <v>3.7037037037037033</v>
      </c>
      <c r="K270" s="201">
        <v>144</v>
      </c>
      <c r="L270" s="252">
        <f>_xlfn.XLOOKUP($K270,Inputs!$C$6:$C$23,Inputs!$D$6:$D$23)*$I270</f>
        <v>2.6271428571428572</v>
      </c>
      <c r="M270" s="68"/>
      <c r="N270" s="68"/>
      <c r="O270" s="187"/>
      <c r="P270" s="187"/>
      <c r="Q270" s="94">
        <v>0.9</v>
      </c>
      <c r="R270" s="68">
        <f t="shared" si="39"/>
        <v>3</v>
      </c>
      <c r="S270" s="276">
        <f>_xlfn.XLOOKUP($K270,Inputs!$G$6:$G$23,Inputs!J$6:J$23)*$R270</f>
        <v>153.60000000000002</v>
      </c>
      <c r="T270" s="276">
        <f>_xlfn.XLOOKUP($K270,Inputs!$G$6:$G$23,Inputs!K$6:K$23)*$R270</f>
        <v>169.96721311475409</v>
      </c>
      <c r="U270" s="96" t="s">
        <v>3819</v>
      </c>
      <c r="V270" s="22" t="s">
        <v>3065</v>
      </c>
      <c r="W270" s="96" t="s">
        <v>3746</v>
      </c>
      <c r="X270" s="22" t="s">
        <v>3004</v>
      </c>
      <c r="Y270" s="11" t="s">
        <v>3331</v>
      </c>
      <c r="Z270" s="79"/>
      <c r="AA270" s="187">
        <v>268</v>
      </c>
    </row>
    <row r="271" spans="2:27" s="184" customFormat="1" ht="20" x14ac:dyDescent="0.2">
      <c r="B271" s="11" t="s">
        <v>715</v>
      </c>
      <c r="C271" s="165" t="s">
        <v>4235</v>
      </c>
      <c r="D271" s="22" t="s">
        <v>2379</v>
      </c>
      <c r="E271" s="34">
        <v>1</v>
      </c>
      <c r="F271" s="22" t="s">
        <v>2223</v>
      </c>
      <c r="G271" s="88">
        <v>16.8</v>
      </c>
      <c r="H271" s="235">
        <f t="shared" si="37"/>
        <v>10.37037037037037</v>
      </c>
      <c r="I271" s="88">
        <v>16.8</v>
      </c>
      <c r="J271" s="235">
        <f t="shared" si="38"/>
        <v>10.37037037037037</v>
      </c>
      <c r="K271" s="215">
        <v>138</v>
      </c>
      <c r="L271" s="252">
        <f>_xlfn.XLOOKUP($K271,Inputs!$C$6:$C$23,Inputs!$D$6:$D$23)*$I271</f>
        <v>7.2840000000000007</v>
      </c>
      <c r="M271" s="68"/>
      <c r="N271" s="68"/>
      <c r="O271" s="215">
        <v>121</v>
      </c>
      <c r="P271" s="215">
        <v>149</v>
      </c>
      <c r="Q271" s="94">
        <v>0.9</v>
      </c>
      <c r="R271" s="68" t="s">
        <v>115</v>
      </c>
      <c r="S271" s="182">
        <f>O271*Q271</f>
        <v>108.9</v>
      </c>
      <c r="T271" s="182">
        <f>P271*Q271</f>
        <v>134.1</v>
      </c>
      <c r="U271" s="96" t="s">
        <v>3634</v>
      </c>
      <c r="V271" s="22" t="s">
        <v>2915</v>
      </c>
      <c r="W271" s="96" t="s">
        <v>3665</v>
      </c>
      <c r="X271" s="22" t="s">
        <v>2937</v>
      </c>
      <c r="Y271" s="11" t="s">
        <v>3294</v>
      </c>
      <c r="Z271" s="79"/>
      <c r="AA271" s="187">
        <v>269</v>
      </c>
    </row>
    <row r="272" spans="2:27" s="184" customFormat="1" ht="20" x14ac:dyDescent="0.2">
      <c r="B272" s="11" t="s">
        <v>1634</v>
      </c>
      <c r="C272" s="165" t="s">
        <v>4235</v>
      </c>
      <c r="D272" s="22" t="s">
        <v>2379</v>
      </c>
      <c r="E272" s="34">
        <v>1</v>
      </c>
      <c r="F272" s="22" t="s">
        <v>2223</v>
      </c>
      <c r="G272" s="88">
        <v>17.5</v>
      </c>
      <c r="H272" s="235">
        <f t="shared" si="37"/>
        <v>10.802469135802468</v>
      </c>
      <c r="I272" s="88">
        <v>17.5</v>
      </c>
      <c r="J272" s="235">
        <f t="shared" si="38"/>
        <v>10.802469135802468</v>
      </c>
      <c r="K272" s="201">
        <v>144</v>
      </c>
      <c r="L272" s="252">
        <f>_xlfn.XLOOKUP($K272,Inputs!$C$6:$C$23,Inputs!$D$6:$D$23)*$I272</f>
        <v>7.6625000000000005</v>
      </c>
      <c r="M272" s="68"/>
      <c r="N272" s="68"/>
      <c r="O272" s="187"/>
      <c r="P272" s="187"/>
      <c r="Q272" s="94">
        <v>0.9</v>
      </c>
      <c r="R272" s="68">
        <f>IF((42.4*(J272)^(-0.6595))&gt;=3,3,(IF(42.4*(J272)^(-0.6595)&lt;=0.5,0.5,(42.4*(J272)^(-0.6595)))))</f>
        <v>3</v>
      </c>
      <c r="S272" s="276">
        <f>_xlfn.XLOOKUP($K272,Inputs!$G$6:$G$23,Inputs!J$6:J$23)*$R272</f>
        <v>153.60000000000002</v>
      </c>
      <c r="T272" s="276">
        <f>_xlfn.XLOOKUP($K272,Inputs!$G$6:$G$23,Inputs!K$6:K$23)*$R272</f>
        <v>169.96721311475409</v>
      </c>
      <c r="U272" s="96" t="s">
        <v>3734</v>
      </c>
      <c r="V272" s="22" t="s">
        <v>2994</v>
      </c>
      <c r="W272" s="96" t="s">
        <v>3402</v>
      </c>
      <c r="X272" s="22" t="s">
        <v>2603</v>
      </c>
      <c r="Y272" s="11" t="s">
        <v>3331</v>
      </c>
      <c r="Z272" s="79"/>
      <c r="AA272" s="187">
        <v>270</v>
      </c>
    </row>
    <row r="273" spans="1:27" s="184" customFormat="1" ht="20" x14ac:dyDescent="0.2">
      <c r="B273" s="11" t="s">
        <v>1935</v>
      </c>
      <c r="C273" s="165" t="s">
        <v>4235</v>
      </c>
      <c r="D273" s="22" t="s">
        <v>2379</v>
      </c>
      <c r="E273" s="34">
        <v>1</v>
      </c>
      <c r="F273" s="22" t="s">
        <v>2223</v>
      </c>
      <c r="G273" s="88">
        <v>17.5</v>
      </c>
      <c r="H273" s="235">
        <f t="shared" si="37"/>
        <v>10.802469135802468</v>
      </c>
      <c r="I273" s="88">
        <v>31.5</v>
      </c>
      <c r="J273" s="235">
        <f t="shared" si="38"/>
        <v>19.444444444444443</v>
      </c>
      <c r="K273" s="215">
        <v>138</v>
      </c>
      <c r="L273" s="252">
        <f>_xlfn.XLOOKUP($K273,Inputs!$C$6:$C$23,Inputs!$D$6:$D$23)*$I273</f>
        <v>13.657500000000001</v>
      </c>
      <c r="M273" s="68"/>
      <c r="N273" s="68"/>
      <c r="O273" s="215">
        <v>85</v>
      </c>
      <c r="P273" s="215">
        <v>90</v>
      </c>
      <c r="Q273" s="94">
        <v>0.9</v>
      </c>
      <c r="R273" s="68" t="s">
        <v>115</v>
      </c>
      <c r="S273" s="182">
        <f>O273*Q273</f>
        <v>76.5</v>
      </c>
      <c r="T273" s="182">
        <f>P273*Q273</f>
        <v>81</v>
      </c>
      <c r="U273" s="96" t="s">
        <v>3567</v>
      </c>
      <c r="V273" s="22" t="s">
        <v>2691</v>
      </c>
      <c r="W273" s="96" t="s">
        <v>3977</v>
      </c>
      <c r="X273" s="22" t="s">
        <v>2106</v>
      </c>
      <c r="Y273" s="11" t="s">
        <v>3322</v>
      </c>
      <c r="Z273" s="79"/>
      <c r="AA273" s="187">
        <v>271</v>
      </c>
    </row>
    <row r="274" spans="1:27" s="184" customFormat="1" ht="20" x14ac:dyDescent="0.2">
      <c r="B274" s="11" t="s">
        <v>1935</v>
      </c>
      <c r="C274" s="165" t="s">
        <v>4235</v>
      </c>
      <c r="D274" s="22" t="s">
        <v>2379</v>
      </c>
      <c r="E274" s="34">
        <v>1</v>
      </c>
      <c r="F274" s="22" t="s">
        <v>2223</v>
      </c>
      <c r="G274" s="88">
        <v>14</v>
      </c>
      <c r="H274" s="235">
        <f t="shared" si="37"/>
        <v>8.6419753086419746</v>
      </c>
      <c r="I274" s="88">
        <v>31.5</v>
      </c>
      <c r="J274" s="235">
        <f t="shared" si="38"/>
        <v>19.444444444444443</v>
      </c>
      <c r="K274" s="215">
        <v>138</v>
      </c>
      <c r="L274" s="252">
        <f>_xlfn.XLOOKUP($K274,Inputs!$C$6:$C$23,Inputs!$D$6:$D$23)*$I274</f>
        <v>13.657500000000001</v>
      </c>
      <c r="M274" s="68"/>
      <c r="N274" s="68"/>
      <c r="O274" s="215">
        <v>85</v>
      </c>
      <c r="P274" s="215">
        <v>90</v>
      </c>
      <c r="Q274" s="94">
        <v>0.9</v>
      </c>
      <c r="R274" s="68" t="s">
        <v>115</v>
      </c>
      <c r="S274" s="182">
        <f>O274*Q274</f>
        <v>76.5</v>
      </c>
      <c r="T274" s="182">
        <f>P274*Q274</f>
        <v>81</v>
      </c>
      <c r="U274" s="96" t="s">
        <v>3977</v>
      </c>
      <c r="V274" s="22" t="s">
        <v>2106</v>
      </c>
      <c r="W274" s="96" t="s">
        <v>3471</v>
      </c>
      <c r="X274" s="22" t="s">
        <v>2799</v>
      </c>
      <c r="Y274" s="11" t="s">
        <v>3322</v>
      </c>
      <c r="Z274" s="79"/>
      <c r="AA274" s="187">
        <v>272</v>
      </c>
    </row>
    <row r="275" spans="1:27" s="184" customFormat="1" ht="20" x14ac:dyDescent="0.2">
      <c r="B275" s="11" t="s">
        <v>1937</v>
      </c>
      <c r="C275" s="165" t="s">
        <v>4235</v>
      </c>
      <c r="D275" s="22" t="s">
        <v>2379</v>
      </c>
      <c r="E275" s="34">
        <v>1</v>
      </c>
      <c r="F275" s="22" t="s">
        <v>2223</v>
      </c>
      <c r="G275" s="88">
        <v>3.5</v>
      </c>
      <c r="H275" s="235">
        <f t="shared" si="37"/>
        <v>2.1604938271604937</v>
      </c>
      <c r="I275" s="88">
        <v>3.5</v>
      </c>
      <c r="J275" s="235">
        <f t="shared" si="38"/>
        <v>2.1604938271604937</v>
      </c>
      <c r="K275" s="201">
        <v>144</v>
      </c>
      <c r="L275" s="252">
        <f>_xlfn.XLOOKUP($K275,Inputs!$C$6:$C$23,Inputs!$D$6:$D$23)*$I275</f>
        <v>1.5325000000000002</v>
      </c>
      <c r="M275" s="68"/>
      <c r="N275" s="68"/>
      <c r="O275" s="187"/>
      <c r="P275" s="187"/>
      <c r="Q275" s="94">
        <v>0.9</v>
      </c>
      <c r="R275" s="68">
        <f>IF((42.4*(J275)^(-0.6595))&gt;=3,3,(IF(42.4*(J275)^(-0.6595)&lt;=0.5,0.5,(42.4*(J275)^(-0.6595)))))</f>
        <v>3</v>
      </c>
      <c r="S275" s="276">
        <f>_xlfn.XLOOKUP($K275,Inputs!$G$6:$G$23,Inputs!J$6:J$23)*$R275</f>
        <v>153.60000000000002</v>
      </c>
      <c r="T275" s="276">
        <f>_xlfn.XLOOKUP($K275,Inputs!$G$6:$G$23,Inputs!K$6:K$23)*$R275</f>
        <v>169.96721311475409</v>
      </c>
      <c r="U275" s="96" t="s">
        <v>3977</v>
      </c>
      <c r="V275" s="22" t="s">
        <v>2106</v>
      </c>
      <c r="W275" s="96" t="s">
        <v>3725</v>
      </c>
      <c r="X275" s="22" t="s">
        <v>2987</v>
      </c>
      <c r="Y275" s="11" t="s">
        <v>3331</v>
      </c>
      <c r="Z275" s="79"/>
      <c r="AA275" s="187">
        <v>273</v>
      </c>
    </row>
    <row r="276" spans="1:27" s="184" customFormat="1" ht="20" x14ac:dyDescent="0.2">
      <c r="A276" s="298"/>
      <c r="B276" s="11" t="s">
        <v>4364</v>
      </c>
      <c r="C276" s="165" t="s">
        <v>4235</v>
      </c>
      <c r="D276" s="22" t="s">
        <v>2379</v>
      </c>
      <c r="E276" s="34">
        <v>1</v>
      </c>
      <c r="F276" s="22" t="s">
        <v>2223</v>
      </c>
      <c r="G276" s="88">
        <v>1.5</v>
      </c>
      <c r="H276" s="235">
        <f t="shared" si="37"/>
        <v>0.92592592592592582</v>
      </c>
      <c r="I276" s="88">
        <v>1.5</v>
      </c>
      <c r="J276" s="235">
        <f t="shared" si="38"/>
        <v>0.92592592592592582</v>
      </c>
      <c r="K276" s="201">
        <v>144</v>
      </c>
      <c r="L276" s="252">
        <f>_xlfn.XLOOKUP($K276,Inputs!$C$6:$C$23,Inputs!$D$6:$D$23)*$I276</f>
        <v>0.65678571428571431</v>
      </c>
      <c r="M276" s="68"/>
      <c r="N276" s="68"/>
      <c r="O276" s="187"/>
      <c r="P276" s="187"/>
      <c r="Q276" s="94">
        <v>0.9</v>
      </c>
      <c r="R276" s="68">
        <f>IF((42.4*(J276)^(-0.6595))&gt;=3,3,(IF(42.4*(J276)^(-0.6595)&lt;=0.5,0.5,(42.4*(J276)^(-0.6595)))))</f>
        <v>3</v>
      </c>
      <c r="S276" s="276">
        <f>_xlfn.XLOOKUP($K276,Inputs!$G$6:$G$23,Inputs!J$6:J$23)*$R276</f>
        <v>153.60000000000002</v>
      </c>
      <c r="T276" s="276">
        <f>_xlfn.XLOOKUP($K276,Inputs!$G$6:$G$23,Inputs!K$6:K$23)*$R276</f>
        <v>169.96721311475409</v>
      </c>
      <c r="U276" s="96" t="s">
        <v>4362</v>
      </c>
      <c r="V276" s="22" t="s">
        <v>4363</v>
      </c>
      <c r="W276" s="96" t="s">
        <v>4360</v>
      </c>
      <c r="X276" s="22" t="s">
        <v>4361</v>
      </c>
      <c r="Y276" s="11" t="s">
        <v>3331</v>
      </c>
      <c r="Z276" s="79"/>
      <c r="AA276" s="187">
        <v>555</v>
      </c>
    </row>
    <row r="277" spans="1:27" s="184" customFormat="1" ht="20" x14ac:dyDescent="0.2">
      <c r="B277" s="11" t="s">
        <v>1472</v>
      </c>
      <c r="C277" s="165" t="s">
        <v>4235</v>
      </c>
      <c r="D277" s="22" t="s">
        <v>2379</v>
      </c>
      <c r="E277" s="34">
        <v>1</v>
      </c>
      <c r="F277" s="22" t="s">
        <v>2223</v>
      </c>
      <c r="G277" s="88">
        <v>9</v>
      </c>
      <c r="H277" s="235">
        <f t="shared" si="37"/>
        <v>5.5555555555555554</v>
      </c>
      <c r="I277" s="88">
        <v>18</v>
      </c>
      <c r="J277" s="235">
        <f t="shared" si="38"/>
        <v>11.111111111111111</v>
      </c>
      <c r="K277" s="215">
        <v>138</v>
      </c>
      <c r="L277" s="252">
        <f>_xlfn.XLOOKUP($K277,Inputs!$C$6:$C$23,Inputs!$D$6:$D$23)*$I277</f>
        <v>7.8042857142857152</v>
      </c>
      <c r="M277" s="68"/>
      <c r="N277" s="68"/>
      <c r="O277" s="215">
        <v>121</v>
      </c>
      <c r="P277" s="215">
        <v>150</v>
      </c>
      <c r="Q277" s="94">
        <v>0.9</v>
      </c>
      <c r="R277" s="68" t="s">
        <v>115</v>
      </c>
      <c r="S277" s="182">
        <f>O277*Q277</f>
        <v>108.9</v>
      </c>
      <c r="T277" s="182">
        <f>P277*Q277</f>
        <v>135</v>
      </c>
      <c r="U277" s="96" t="s">
        <v>3626</v>
      </c>
      <c r="V277" s="22" t="s">
        <v>2912</v>
      </c>
      <c r="W277" s="96" t="s">
        <v>4002</v>
      </c>
      <c r="X277" s="22" t="s">
        <v>2107</v>
      </c>
      <c r="Y277" s="11" t="s">
        <v>3321</v>
      </c>
      <c r="Z277" s="79"/>
      <c r="AA277" s="187">
        <v>274</v>
      </c>
    </row>
    <row r="278" spans="1:27" s="184" customFormat="1" ht="20" x14ac:dyDescent="0.2">
      <c r="B278" s="11" t="s">
        <v>1472</v>
      </c>
      <c r="C278" s="165" t="s">
        <v>4235</v>
      </c>
      <c r="D278" s="22" t="s">
        <v>2379</v>
      </c>
      <c r="E278" s="34">
        <v>1</v>
      </c>
      <c r="F278" s="22" t="s">
        <v>2223</v>
      </c>
      <c r="G278" s="88">
        <v>9</v>
      </c>
      <c r="H278" s="235">
        <f t="shared" si="37"/>
        <v>5.5555555555555554</v>
      </c>
      <c r="I278" s="88">
        <v>18</v>
      </c>
      <c r="J278" s="235">
        <f t="shared" si="38"/>
        <v>11.111111111111111</v>
      </c>
      <c r="K278" s="215">
        <v>138</v>
      </c>
      <c r="L278" s="252">
        <f>_xlfn.XLOOKUP($K278,Inputs!$C$6:$C$23,Inputs!$D$6:$D$23)*$I278</f>
        <v>7.8042857142857152</v>
      </c>
      <c r="M278" s="68"/>
      <c r="N278" s="68"/>
      <c r="O278" s="215">
        <v>121</v>
      </c>
      <c r="P278" s="215">
        <v>150</v>
      </c>
      <c r="Q278" s="94">
        <v>0.9</v>
      </c>
      <c r="R278" s="68" t="s">
        <v>115</v>
      </c>
      <c r="S278" s="182">
        <f>O278*Q278</f>
        <v>108.9</v>
      </c>
      <c r="T278" s="182">
        <f>P278*Q278</f>
        <v>135</v>
      </c>
      <c r="U278" s="96" t="s">
        <v>4002</v>
      </c>
      <c r="V278" s="22" t="s">
        <v>2107</v>
      </c>
      <c r="W278" s="96" t="s">
        <v>3718</v>
      </c>
      <c r="X278" s="22" t="s">
        <v>2982</v>
      </c>
      <c r="Y278" s="11" t="s">
        <v>3321</v>
      </c>
      <c r="Z278" s="79"/>
      <c r="AA278" s="187">
        <v>275</v>
      </c>
    </row>
    <row r="279" spans="1:27" s="184" customFormat="1" ht="20" x14ac:dyDescent="0.2">
      <c r="B279" s="79" t="s">
        <v>1474</v>
      </c>
      <c r="C279" s="165" t="s">
        <v>4235</v>
      </c>
      <c r="D279" s="22" t="s">
        <v>2379</v>
      </c>
      <c r="E279" s="34">
        <v>1</v>
      </c>
      <c r="F279" s="22" t="s">
        <v>2223</v>
      </c>
      <c r="G279" s="88">
        <v>6</v>
      </c>
      <c r="H279" s="235">
        <f t="shared" si="37"/>
        <v>3.7037037037037033</v>
      </c>
      <c r="I279" s="88">
        <v>6</v>
      </c>
      <c r="J279" s="235">
        <f t="shared" si="38"/>
        <v>3.7037037037037033</v>
      </c>
      <c r="K279" s="201">
        <v>144</v>
      </c>
      <c r="L279" s="252">
        <f>_xlfn.XLOOKUP($K279,Inputs!$C$6:$C$23,Inputs!$D$6:$D$23)*$I279</f>
        <v>2.6271428571428572</v>
      </c>
      <c r="M279" s="68"/>
      <c r="N279" s="68"/>
      <c r="O279" s="187"/>
      <c r="P279" s="187"/>
      <c r="Q279" s="94">
        <v>0.9</v>
      </c>
      <c r="R279" s="68">
        <f t="shared" ref="R279:R286" si="40">IF((42.4*(J279)^(-0.6595))&gt;=3,3,(IF(42.4*(J279)^(-0.6595)&lt;=0.5,0.5,(42.4*(J279)^(-0.6595)))))</f>
        <v>3</v>
      </c>
      <c r="S279" s="276">
        <f>_xlfn.XLOOKUP($K279,Inputs!$G$6:$G$23,Inputs!J$6:J$23)*$R279</f>
        <v>153.60000000000002</v>
      </c>
      <c r="T279" s="276">
        <f>_xlfn.XLOOKUP($K279,Inputs!$G$6:$G$23,Inputs!K$6:K$23)*$R279</f>
        <v>169.96721311475409</v>
      </c>
      <c r="U279" s="96" t="s">
        <v>4002</v>
      </c>
      <c r="V279" s="22" t="s">
        <v>2107</v>
      </c>
      <c r="W279" s="96" t="s">
        <v>3865</v>
      </c>
      <c r="X279" s="22" t="s">
        <v>3133</v>
      </c>
      <c r="Y279" s="11" t="s">
        <v>3331</v>
      </c>
      <c r="Z279" s="79"/>
      <c r="AA279" s="187">
        <v>276</v>
      </c>
    </row>
    <row r="280" spans="1:27" s="184" customFormat="1" ht="20" x14ac:dyDescent="0.2">
      <c r="B280" s="11" t="s">
        <v>1455</v>
      </c>
      <c r="C280" s="165" t="s">
        <v>4235</v>
      </c>
      <c r="D280" s="22" t="s">
        <v>2379</v>
      </c>
      <c r="E280" s="34">
        <v>1</v>
      </c>
      <c r="F280" s="22" t="s">
        <v>2223</v>
      </c>
      <c r="G280" s="88">
        <v>9</v>
      </c>
      <c r="H280" s="235">
        <f t="shared" si="37"/>
        <v>5.5555555555555554</v>
      </c>
      <c r="I280" s="88">
        <v>9</v>
      </c>
      <c r="J280" s="235">
        <f t="shared" si="38"/>
        <v>5.5555555555555554</v>
      </c>
      <c r="K280" s="201">
        <v>144</v>
      </c>
      <c r="L280" s="252">
        <f>_xlfn.XLOOKUP($K280,Inputs!$C$6:$C$23,Inputs!$D$6:$D$23)*$I280</f>
        <v>3.9407142857142858</v>
      </c>
      <c r="M280" s="68"/>
      <c r="N280" s="68"/>
      <c r="O280" s="187"/>
      <c r="P280" s="187"/>
      <c r="Q280" s="94">
        <v>0.9</v>
      </c>
      <c r="R280" s="68">
        <f t="shared" si="40"/>
        <v>3</v>
      </c>
      <c r="S280" s="276">
        <f>_xlfn.XLOOKUP($K280,Inputs!$G$6:$G$23,Inputs!J$6:J$23)*$R280</f>
        <v>153.60000000000002</v>
      </c>
      <c r="T280" s="276">
        <f>_xlfn.XLOOKUP($K280,Inputs!$G$6:$G$23,Inputs!K$6:K$23)*$R280</f>
        <v>169.96721311475409</v>
      </c>
      <c r="U280" s="96" t="s">
        <v>3958</v>
      </c>
      <c r="V280" s="22" t="s">
        <v>2108</v>
      </c>
      <c r="W280" s="96" t="s">
        <v>3640</v>
      </c>
      <c r="X280" s="22" t="s">
        <v>2920</v>
      </c>
      <c r="Y280" s="11" t="s">
        <v>3331</v>
      </c>
      <c r="Z280" s="79"/>
      <c r="AA280" s="187">
        <v>277</v>
      </c>
    </row>
    <row r="281" spans="1:27" s="184" customFormat="1" ht="20" x14ac:dyDescent="0.2">
      <c r="A281" s="298"/>
      <c r="B281" s="11" t="s">
        <v>4376</v>
      </c>
      <c r="C281" s="165" t="s">
        <v>4235</v>
      </c>
      <c r="D281" s="22" t="s">
        <v>2379</v>
      </c>
      <c r="E281" s="34">
        <v>1</v>
      </c>
      <c r="F281" s="22" t="s">
        <v>2223</v>
      </c>
      <c r="G281" s="88">
        <v>20</v>
      </c>
      <c r="H281" s="235">
        <f t="shared" si="37"/>
        <v>12.345679012345679</v>
      </c>
      <c r="I281" s="88">
        <v>20</v>
      </c>
      <c r="J281" s="235">
        <f t="shared" si="38"/>
        <v>12.345679012345679</v>
      </c>
      <c r="K281" s="294">
        <v>144</v>
      </c>
      <c r="L281" s="252">
        <f>_xlfn.XLOOKUP($K281,Inputs!$C$6:$C$23,Inputs!$D$6:$D$23)*$I281</f>
        <v>8.757142857142858</v>
      </c>
      <c r="M281" s="68"/>
      <c r="N281" s="68"/>
      <c r="O281" s="295"/>
      <c r="P281" s="295"/>
      <c r="Q281" s="94">
        <v>0.9</v>
      </c>
      <c r="R281" s="68">
        <f>IF((42.4*(J281)^(-0.6595))&gt;=3,3,(IF(42.4*(J281)^(-0.6595)&lt;=0.5,0.5,(42.4*(J281)^(-0.6595)))))</f>
        <v>3</v>
      </c>
      <c r="S281" s="276">
        <f>_xlfn.XLOOKUP($K281,Inputs!$G$6:$G$23,Inputs!J$6:J$23)*$R281</f>
        <v>153.60000000000002</v>
      </c>
      <c r="T281" s="276">
        <f>_xlfn.XLOOKUP($K281,Inputs!$G$6:$G$23,Inputs!K$6:K$23)*$R281</f>
        <v>169.96721311475409</v>
      </c>
      <c r="U281" s="96" t="s">
        <v>3937</v>
      </c>
      <c r="V281" s="22" t="s">
        <v>2651</v>
      </c>
      <c r="W281" s="96" t="s">
        <v>4377</v>
      </c>
      <c r="X281" s="22" t="s">
        <v>4378</v>
      </c>
      <c r="Y281" s="11" t="s">
        <v>3327</v>
      </c>
      <c r="Z281" s="79"/>
      <c r="AA281" s="187">
        <v>327</v>
      </c>
    </row>
    <row r="282" spans="1:27" s="184" customFormat="1" ht="20" x14ac:dyDescent="0.2">
      <c r="B282" s="11" t="s">
        <v>1591</v>
      </c>
      <c r="C282" s="165" t="s">
        <v>4235</v>
      </c>
      <c r="D282" s="22" t="s">
        <v>2379</v>
      </c>
      <c r="E282" s="34">
        <v>1</v>
      </c>
      <c r="F282" s="22" t="s">
        <v>2223</v>
      </c>
      <c r="G282" s="88">
        <v>6</v>
      </c>
      <c r="H282" s="235">
        <f t="shared" si="37"/>
        <v>3.7037037037037033</v>
      </c>
      <c r="I282" s="88">
        <v>30</v>
      </c>
      <c r="J282" s="235">
        <f t="shared" si="38"/>
        <v>18.518518518518519</v>
      </c>
      <c r="K282" s="201">
        <v>72</v>
      </c>
      <c r="L282" s="252">
        <f>_xlfn.XLOOKUP($K282,Inputs!$C$6:$C$23,Inputs!$D$6:$D$23)*$I282</f>
        <v>11.592857142857143</v>
      </c>
      <c r="M282" s="68"/>
      <c r="N282" s="68"/>
      <c r="O282" s="187"/>
      <c r="P282" s="187"/>
      <c r="Q282" s="94">
        <v>0.9</v>
      </c>
      <c r="R282" s="68">
        <f t="shared" si="40"/>
        <v>3</v>
      </c>
      <c r="S282" s="276">
        <f>_xlfn.XLOOKUP($K282,Inputs!$G$6:$G$23,Inputs!J$6:J$23)*$R282</f>
        <v>38.880000000000003</v>
      </c>
      <c r="T282" s="276">
        <f>_xlfn.XLOOKUP($K282,Inputs!$G$6:$G$23,Inputs!K$6:K$23)*$R282</f>
        <v>42.491803278688522</v>
      </c>
      <c r="U282" s="96" t="s">
        <v>3464</v>
      </c>
      <c r="V282" s="22" t="s">
        <v>2797</v>
      </c>
      <c r="W282" s="96" t="s">
        <v>3447</v>
      </c>
      <c r="X282" s="22" t="s">
        <v>2787</v>
      </c>
      <c r="Y282" s="11" t="s">
        <v>3331</v>
      </c>
      <c r="Z282" s="79"/>
      <c r="AA282" s="187">
        <v>278</v>
      </c>
    </row>
    <row r="283" spans="1:27" s="184" customFormat="1" ht="20" x14ac:dyDescent="0.2">
      <c r="B283" s="11" t="s">
        <v>1591</v>
      </c>
      <c r="C283" s="165" t="s">
        <v>4235</v>
      </c>
      <c r="D283" s="22" t="s">
        <v>2379</v>
      </c>
      <c r="E283" s="34">
        <v>1</v>
      </c>
      <c r="F283" s="22" t="s">
        <v>2223</v>
      </c>
      <c r="G283" s="88">
        <v>12</v>
      </c>
      <c r="H283" s="235">
        <f t="shared" si="37"/>
        <v>7.4074074074074066</v>
      </c>
      <c r="I283" s="88">
        <v>30</v>
      </c>
      <c r="J283" s="235">
        <f t="shared" si="38"/>
        <v>18.518518518518519</v>
      </c>
      <c r="K283" s="201">
        <v>72</v>
      </c>
      <c r="L283" s="252">
        <f>_xlfn.XLOOKUP($K283,Inputs!$C$6:$C$23,Inputs!$D$6:$D$23)*$I283</f>
        <v>11.592857142857143</v>
      </c>
      <c r="M283" s="68"/>
      <c r="N283" s="68"/>
      <c r="O283" s="187"/>
      <c r="P283" s="187"/>
      <c r="Q283" s="94">
        <v>0.9</v>
      </c>
      <c r="R283" s="68">
        <f t="shared" si="40"/>
        <v>3</v>
      </c>
      <c r="S283" s="276">
        <f>_xlfn.XLOOKUP($K283,Inputs!$G$6:$G$23,Inputs!J$6:J$23)*$R283</f>
        <v>38.880000000000003</v>
      </c>
      <c r="T283" s="276">
        <f>_xlfn.XLOOKUP($K283,Inputs!$G$6:$G$23,Inputs!K$6:K$23)*$R283</f>
        <v>42.491803278688522</v>
      </c>
      <c r="U283" s="96" t="s">
        <v>3447</v>
      </c>
      <c r="V283" s="22" t="s">
        <v>2787</v>
      </c>
      <c r="W283" s="96" t="s">
        <v>3440</v>
      </c>
      <c r="X283" s="22" t="s">
        <v>2109</v>
      </c>
      <c r="Y283" s="11" t="s">
        <v>3331</v>
      </c>
      <c r="Z283" s="79"/>
      <c r="AA283" s="187">
        <v>279</v>
      </c>
    </row>
    <row r="284" spans="1:27" s="184" customFormat="1" ht="20" x14ac:dyDescent="0.2">
      <c r="B284" s="11" t="s">
        <v>1591</v>
      </c>
      <c r="C284" s="165" t="s">
        <v>4235</v>
      </c>
      <c r="D284" s="22" t="s">
        <v>2379</v>
      </c>
      <c r="E284" s="34">
        <v>1</v>
      </c>
      <c r="F284" s="22" t="s">
        <v>2223</v>
      </c>
      <c r="G284" s="88">
        <v>12</v>
      </c>
      <c r="H284" s="235">
        <f t="shared" si="37"/>
        <v>7.4074074074074066</v>
      </c>
      <c r="I284" s="88">
        <v>30</v>
      </c>
      <c r="J284" s="235">
        <f t="shared" si="38"/>
        <v>18.518518518518519</v>
      </c>
      <c r="K284" s="201">
        <v>72</v>
      </c>
      <c r="L284" s="252">
        <f>_xlfn.XLOOKUP($K284,Inputs!$C$6:$C$23,Inputs!$D$6:$D$23)*$I284</f>
        <v>11.592857142857143</v>
      </c>
      <c r="M284" s="68"/>
      <c r="N284" s="68"/>
      <c r="O284" s="187"/>
      <c r="P284" s="187"/>
      <c r="Q284" s="94">
        <v>0.9</v>
      </c>
      <c r="R284" s="68">
        <f t="shared" si="40"/>
        <v>3</v>
      </c>
      <c r="S284" s="276">
        <f>_xlfn.XLOOKUP($K284,Inputs!$G$6:$G$23,Inputs!J$6:J$23)*$R284</f>
        <v>38.880000000000003</v>
      </c>
      <c r="T284" s="276">
        <f>_xlfn.XLOOKUP($K284,Inputs!$G$6:$G$23,Inputs!K$6:K$23)*$R284</f>
        <v>42.491803278688522</v>
      </c>
      <c r="U284" s="96" t="s">
        <v>3440</v>
      </c>
      <c r="V284" s="22" t="s">
        <v>2109</v>
      </c>
      <c r="W284" s="96" t="s">
        <v>3481</v>
      </c>
      <c r="X284" s="22" t="s">
        <v>2805</v>
      </c>
      <c r="Y284" s="11" t="s">
        <v>3331</v>
      </c>
      <c r="Z284" s="79"/>
      <c r="AA284" s="187">
        <v>280</v>
      </c>
    </row>
    <row r="285" spans="1:27" s="184" customFormat="1" ht="20" x14ac:dyDescent="0.2">
      <c r="B285" s="11" t="s">
        <v>1594</v>
      </c>
      <c r="C285" s="165" t="s">
        <v>4235</v>
      </c>
      <c r="D285" s="22" t="s">
        <v>2379</v>
      </c>
      <c r="E285" s="34">
        <v>1</v>
      </c>
      <c r="F285" s="22" t="s">
        <v>2223</v>
      </c>
      <c r="G285" s="88">
        <v>6</v>
      </c>
      <c r="H285" s="235">
        <f t="shared" si="37"/>
        <v>3.7037037037037033</v>
      </c>
      <c r="I285" s="88">
        <v>6</v>
      </c>
      <c r="J285" s="235">
        <f t="shared" si="38"/>
        <v>3.7037037037037033</v>
      </c>
      <c r="K285" s="201">
        <v>72</v>
      </c>
      <c r="L285" s="252">
        <f>_xlfn.XLOOKUP($K285,Inputs!$C$6:$C$23,Inputs!$D$6:$D$23)*$I285</f>
        <v>2.3185714285714285</v>
      </c>
      <c r="M285" s="68"/>
      <c r="N285" s="68"/>
      <c r="O285" s="187"/>
      <c r="P285" s="187"/>
      <c r="Q285" s="94">
        <v>0.9</v>
      </c>
      <c r="R285" s="68">
        <f t="shared" si="40"/>
        <v>3</v>
      </c>
      <c r="S285" s="276">
        <f>_xlfn.XLOOKUP($K285,Inputs!$G$6:$G$23,Inputs!J$6:J$23)*$R285</f>
        <v>38.880000000000003</v>
      </c>
      <c r="T285" s="276">
        <f>_xlfn.XLOOKUP($K285,Inputs!$G$6:$G$23,Inputs!K$6:K$23)*$R285</f>
        <v>42.491803278688522</v>
      </c>
      <c r="U285" s="96" t="s">
        <v>3440</v>
      </c>
      <c r="V285" s="22" t="s">
        <v>2109</v>
      </c>
      <c r="W285" s="96" t="s">
        <v>3439</v>
      </c>
      <c r="X285" s="22" t="s">
        <v>2784</v>
      </c>
      <c r="Y285" s="11" t="s">
        <v>3331</v>
      </c>
      <c r="Z285" s="79"/>
      <c r="AA285" s="187">
        <v>281</v>
      </c>
    </row>
    <row r="286" spans="1:27" s="184" customFormat="1" ht="20" x14ac:dyDescent="0.2">
      <c r="B286" s="11" t="s">
        <v>717</v>
      </c>
      <c r="C286" s="165" t="s">
        <v>4235</v>
      </c>
      <c r="D286" s="22" t="s">
        <v>2379</v>
      </c>
      <c r="E286" s="34">
        <v>1</v>
      </c>
      <c r="F286" s="22" t="s">
        <v>2223</v>
      </c>
      <c r="G286" s="88">
        <v>15</v>
      </c>
      <c r="H286" s="235">
        <f t="shared" si="37"/>
        <v>9.2592592592592595</v>
      </c>
      <c r="I286" s="88">
        <v>15</v>
      </c>
      <c r="J286" s="235">
        <f t="shared" si="38"/>
        <v>9.2592592592592595</v>
      </c>
      <c r="K286" s="201">
        <v>72</v>
      </c>
      <c r="L286" s="252">
        <f>_xlfn.XLOOKUP($K286,Inputs!$C$6:$C$23,Inputs!$D$6:$D$23)*$I286</f>
        <v>5.7964285714285717</v>
      </c>
      <c r="M286" s="68"/>
      <c r="N286" s="68"/>
      <c r="O286" s="187"/>
      <c r="P286" s="187"/>
      <c r="Q286" s="94">
        <v>0.9</v>
      </c>
      <c r="R286" s="68">
        <f t="shared" si="40"/>
        <v>3</v>
      </c>
      <c r="S286" s="276">
        <f>_xlfn.XLOOKUP($K286,Inputs!$G$6:$G$23,Inputs!J$6:J$23)*$R286</f>
        <v>38.880000000000003</v>
      </c>
      <c r="T286" s="276">
        <f>_xlfn.XLOOKUP($K286,Inputs!$G$6:$G$23,Inputs!K$6:K$23)*$R286</f>
        <v>42.491803278688522</v>
      </c>
      <c r="U286" s="96" t="s">
        <v>3930</v>
      </c>
      <c r="V286" s="22" t="s">
        <v>2609</v>
      </c>
      <c r="W286" s="96" t="s">
        <v>3932</v>
      </c>
      <c r="X286" s="22" t="s">
        <v>3243</v>
      </c>
      <c r="Y286" s="11" t="s">
        <v>3331</v>
      </c>
      <c r="Z286" s="79"/>
      <c r="AA286" s="187">
        <v>282</v>
      </c>
    </row>
    <row r="287" spans="1:27" s="184" customFormat="1" ht="20" x14ac:dyDescent="0.2">
      <c r="B287" s="11" t="s">
        <v>1964</v>
      </c>
      <c r="C287" s="165" t="s">
        <v>4235</v>
      </c>
      <c r="D287" s="22" t="s">
        <v>2379</v>
      </c>
      <c r="E287" s="34">
        <v>1</v>
      </c>
      <c r="F287" s="22" t="s">
        <v>2223</v>
      </c>
      <c r="G287" s="88">
        <v>17.5</v>
      </c>
      <c r="H287" s="235">
        <f t="shared" si="37"/>
        <v>10.802469135802468</v>
      </c>
      <c r="I287" s="88">
        <v>17.5</v>
      </c>
      <c r="J287" s="235">
        <f t="shared" si="38"/>
        <v>10.802469135802468</v>
      </c>
      <c r="K287" s="215">
        <v>138</v>
      </c>
      <c r="L287" s="252">
        <f>_xlfn.XLOOKUP($K287,Inputs!$C$6:$C$23,Inputs!$D$6:$D$23)*$I287</f>
        <v>7.5875000000000004</v>
      </c>
      <c r="M287" s="68"/>
      <c r="N287" s="68"/>
      <c r="O287" s="215">
        <v>120</v>
      </c>
      <c r="P287" s="215">
        <v>148</v>
      </c>
      <c r="Q287" s="94">
        <v>0.9</v>
      </c>
      <c r="R287" s="68" t="s">
        <v>115</v>
      </c>
      <c r="S287" s="182">
        <f>O287*Q287</f>
        <v>108</v>
      </c>
      <c r="T287" s="182">
        <f>P287*Q287</f>
        <v>133.20000000000002</v>
      </c>
      <c r="U287" s="96" t="s">
        <v>3872</v>
      </c>
      <c r="V287" s="22" t="s">
        <v>2629</v>
      </c>
      <c r="W287" s="96" t="s">
        <v>3627</v>
      </c>
      <c r="X287" s="22" t="s">
        <v>2636</v>
      </c>
      <c r="Y287" s="11" t="s">
        <v>3293</v>
      </c>
      <c r="Z287" s="79"/>
      <c r="AA287" s="187">
        <v>283</v>
      </c>
    </row>
    <row r="288" spans="1:27" s="184" customFormat="1" ht="20" x14ac:dyDescent="0.2">
      <c r="B288" s="11" t="s">
        <v>1908</v>
      </c>
      <c r="C288" s="165" t="s">
        <v>4235</v>
      </c>
      <c r="D288" s="22" t="s">
        <v>2379</v>
      </c>
      <c r="E288" s="34">
        <v>1</v>
      </c>
      <c r="F288" s="22" t="s">
        <v>2223</v>
      </c>
      <c r="G288" s="88">
        <v>35</v>
      </c>
      <c r="H288" s="235">
        <f t="shared" si="37"/>
        <v>21.604938271604937</v>
      </c>
      <c r="I288" s="88">
        <v>35</v>
      </c>
      <c r="J288" s="235">
        <f t="shared" si="38"/>
        <v>21.604938271604937</v>
      </c>
      <c r="K288" s="201">
        <v>72</v>
      </c>
      <c r="L288" s="252">
        <f>_xlfn.XLOOKUP($K288,Inputs!$C$6:$C$23,Inputs!$D$6:$D$23)*$I288</f>
        <v>13.525</v>
      </c>
      <c r="M288" s="68"/>
      <c r="N288" s="68"/>
      <c r="O288" s="187"/>
      <c r="P288" s="187"/>
      <c r="Q288" s="94">
        <v>0.9</v>
      </c>
      <c r="R288" s="68">
        <f>IF((42.4*(J288)^(-0.6595))&gt;=3,3,(IF(42.4*(J288)^(-0.6595)&lt;=0.5,0.5,(42.4*(J288)^(-0.6595)))))</f>
        <v>3</v>
      </c>
      <c r="S288" s="276">
        <f>_xlfn.XLOOKUP($K288,Inputs!$G$6:$G$23,Inputs!J$6:J$23)*$R288</f>
        <v>38.880000000000003</v>
      </c>
      <c r="T288" s="276">
        <f>_xlfn.XLOOKUP($K288,Inputs!$G$6:$G$23,Inputs!K$6:K$23)*$R288</f>
        <v>42.491803278688522</v>
      </c>
      <c r="U288" s="96" t="s">
        <v>3848</v>
      </c>
      <c r="V288" s="205" t="s">
        <v>2718</v>
      </c>
      <c r="W288" s="96" t="s">
        <v>3911</v>
      </c>
      <c r="X288" s="22" t="s">
        <v>3172</v>
      </c>
      <c r="Y288" s="11" t="s">
        <v>3331</v>
      </c>
      <c r="Z288" s="79"/>
      <c r="AA288" s="187">
        <v>284</v>
      </c>
    </row>
    <row r="289" spans="1:27" s="184" customFormat="1" ht="20" x14ac:dyDescent="0.2">
      <c r="B289" s="11" t="s">
        <v>1740</v>
      </c>
      <c r="C289" s="165" t="s">
        <v>4235</v>
      </c>
      <c r="D289" s="22" t="s">
        <v>2379</v>
      </c>
      <c r="E289" s="34">
        <v>1</v>
      </c>
      <c r="F289" s="22" t="s">
        <v>2223</v>
      </c>
      <c r="G289" s="88">
        <v>11.049999999999999</v>
      </c>
      <c r="H289" s="235">
        <f t="shared" si="37"/>
        <v>6.8209876543209864</v>
      </c>
      <c r="I289" s="88">
        <v>11.049999999999999</v>
      </c>
      <c r="J289" s="235">
        <f t="shared" si="38"/>
        <v>6.8209876543209864</v>
      </c>
      <c r="K289" s="201">
        <v>144</v>
      </c>
      <c r="L289" s="252">
        <f>_xlfn.XLOOKUP($K289,Inputs!$C$6:$C$23,Inputs!$D$6:$D$23)*$I289</f>
        <v>4.8383214285714287</v>
      </c>
      <c r="M289" s="68"/>
      <c r="N289" s="68"/>
      <c r="O289" s="187"/>
      <c r="P289" s="187"/>
      <c r="Q289" s="94">
        <v>0.9</v>
      </c>
      <c r="R289" s="68">
        <f>IF((42.4*(J289)^(-0.6595))&gt;=3,3,(IF(42.4*(J289)^(-0.6595)&lt;=0.5,0.5,(42.4*(J289)^(-0.6595)))))</f>
        <v>3</v>
      </c>
      <c r="S289" s="276">
        <f>_xlfn.XLOOKUP($K289,Inputs!$G$6:$G$23,Inputs!J$6:J$23)*$R289</f>
        <v>153.60000000000002</v>
      </c>
      <c r="T289" s="276">
        <f>_xlfn.XLOOKUP($K289,Inputs!$G$6:$G$23,Inputs!K$6:K$23)*$R289</f>
        <v>169.96721311475409</v>
      </c>
      <c r="U289" s="96" t="s">
        <v>1741</v>
      </c>
      <c r="V289" s="22" t="s">
        <v>3091</v>
      </c>
      <c r="W289" s="96" t="s">
        <v>3380</v>
      </c>
      <c r="X289" s="22" t="s">
        <v>2657</v>
      </c>
      <c r="Y289" s="11" t="s">
        <v>3331</v>
      </c>
      <c r="Z289" s="79"/>
      <c r="AA289" s="187">
        <v>285</v>
      </c>
    </row>
    <row r="290" spans="1:27" s="184" customFormat="1" ht="20" x14ac:dyDescent="0.2">
      <c r="A290" s="298"/>
      <c r="B290" s="11" t="s">
        <v>1222</v>
      </c>
      <c r="C290" s="165" t="s">
        <v>4235</v>
      </c>
      <c r="D290" s="22" t="s">
        <v>2379</v>
      </c>
      <c r="E290" s="34">
        <v>1</v>
      </c>
      <c r="F290" s="22" t="s">
        <v>2223</v>
      </c>
      <c r="G290" s="88">
        <v>20</v>
      </c>
      <c r="H290" s="235">
        <f t="shared" si="37"/>
        <v>12.345679012345679</v>
      </c>
      <c r="I290" s="88">
        <v>20</v>
      </c>
      <c r="J290" s="235">
        <f t="shared" si="38"/>
        <v>12.345679012345679</v>
      </c>
      <c r="K290" s="215">
        <v>69</v>
      </c>
      <c r="L290" s="252">
        <f>_xlfn.XLOOKUP($K290,Inputs!$C$6:$C$23,Inputs!$D$6:$D$23)*$I290</f>
        <v>7.6857142857142859</v>
      </c>
      <c r="M290" s="68"/>
      <c r="N290" s="68"/>
      <c r="O290" s="215">
        <v>22</v>
      </c>
      <c r="P290" s="215">
        <v>27</v>
      </c>
      <c r="Q290" s="94">
        <v>0.9</v>
      </c>
      <c r="R290" s="68" t="s">
        <v>115</v>
      </c>
      <c r="S290" s="182">
        <f>O290*Q290</f>
        <v>19.8</v>
      </c>
      <c r="T290" s="182">
        <f>P290*Q290</f>
        <v>24.3</v>
      </c>
      <c r="U290" s="96" t="s">
        <v>3861</v>
      </c>
      <c r="V290" s="22" t="s">
        <v>2723</v>
      </c>
      <c r="W290" s="96" t="s">
        <v>4385</v>
      </c>
      <c r="X290" s="22" t="s">
        <v>3130</v>
      </c>
      <c r="Y290" s="11" t="s">
        <v>3280</v>
      </c>
      <c r="Z290" s="79"/>
      <c r="AA290" s="187">
        <v>286</v>
      </c>
    </row>
    <row r="291" spans="1:27" s="184" customFormat="1" ht="20" x14ac:dyDescent="0.2">
      <c r="B291" s="11" t="s">
        <v>1870</v>
      </c>
      <c r="C291" s="165" t="s">
        <v>4235</v>
      </c>
      <c r="D291" s="22" t="s">
        <v>2379</v>
      </c>
      <c r="E291" s="34">
        <v>1</v>
      </c>
      <c r="F291" s="22" t="s">
        <v>2223</v>
      </c>
      <c r="G291" s="235">
        <v>15</v>
      </c>
      <c r="H291" s="235">
        <f t="shared" si="37"/>
        <v>9.2592592592592595</v>
      </c>
      <c r="I291" s="235">
        <v>36</v>
      </c>
      <c r="J291" s="235">
        <f t="shared" si="38"/>
        <v>22.222222222222221</v>
      </c>
      <c r="K291" s="201">
        <v>72</v>
      </c>
      <c r="L291" s="252">
        <f>_xlfn.XLOOKUP($K291,Inputs!$C$6:$C$23,Inputs!$D$6:$D$23)*$I291</f>
        <v>13.911428571428573</v>
      </c>
      <c r="M291" s="68"/>
      <c r="N291" s="68"/>
      <c r="O291" s="187"/>
      <c r="P291" s="187"/>
      <c r="Q291" s="94">
        <v>0.9</v>
      </c>
      <c r="R291" s="68">
        <f t="shared" ref="R291:R307" si="41">IF((42.4*(J291)^(-0.6595))&gt;=3,3,(IF(42.4*(J291)^(-0.6595)&lt;=0.5,0.5,(42.4*(J291)^(-0.6595)))))</f>
        <v>3</v>
      </c>
      <c r="S291" s="276">
        <f>_xlfn.XLOOKUP($K291,Inputs!$G$6:$G$23,Inputs!J$6:J$23)*$R291</f>
        <v>38.880000000000003</v>
      </c>
      <c r="T291" s="276">
        <f>_xlfn.XLOOKUP($K291,Inputs!$G$6:$G$23,Inputs!K$6:K$23)*$R291</f>
        <v>42.491803278688522</v>
      </c>
      <c r="U291" s="96" t="s">
        <v>3776</v>
      </c>
      <c r="V291" s="22" t="s">
        <v>2615</v>
      </c>
      <c r="W291" s="96" t="s">
        <v>3493</v>
      </c>
      <c r="X291" s="22" t="s">
        <v>2110</v>
      </c>
      <c r="Y291" s="11" t="s">
        <v>3331</v>
      </c>
      <c r="Z291" s="79"/>
      <c r="AA291" s="187">
        <v>287</v>
      </c>
    </row>
    <row r="292" spans="1:27" s="184" customFormat="1" ht="20" x14ac:dyDescent="0.2">
      <c r="B292" s="11" t="s">
        <v>1870</v>
      </c>
      <c r="C292" s="165" t="s">
        <v>4235</v>
      </c>
      <c r="D292" s="22" t="s">
        <v>2379</v>
      </c>
      <c r="E292" s="34">
        <v>1</v>
      </c>
      <c r="F292" s="22" t="s">
        <v>2223</v>
      </c>
      <c r="G292" s="88">
        <v>21</v>
      </c>
      <c r="H292" s="235">
        <f t="shared" si="37"/>
        <v>12.962962962962962</v>
      </c>
      <c r="I292" s="88">
        <v>36</v>
      </c>
      <c r="J292" s="235">
        <f t="shared" si="38"/>
        <v>22.222222222222221</v>
      </c>
      <c r="K292" s="201">
        <v>72</v>
      </c>
      <c r="L292" s="252">
        <f>_xlfn.XLOOKUP($K292,Inputs!$C$6:$C$23,Inputs!$D$6:$D$23)*$I292</f>
        <v>13.911428571428573</v>
      </c>
      <c r="M292" s="68"/>
      <c r="N292" s="68"/>
      <c r="O292" s="187"/>
      <c r="P292" s="187"/>
      <c r="Q292" s="94">
        <v>0.9</v>
      </c>
      <c r="R292" s="68">
        <f t="shared" si="41"/>
        <v>3</v>
      </c>
      <c r="S292" s="276">
        <f>_xlfn.XLOOKUP($K292,Inputs!$G$6:$G$23,Inputs!J$6:J$23)*$R292</f>
        <v>38.880000000000003</v>
      </c>
      <c r="T292" s="276">
        <f>_xlfn.XLOOKUP($K292,Inputs!$G$6:$G$23,Inputs!K$6:K$23)*$R292</f>
        <v>42.491803278688522</v>
      </c>
      <c r="U292" s="96" t="s">
        <v>3493</v>
      </c>
      <c r="V292" s="205" t="s">
        <v>2110</v>
      </c>
      <c r="W292" s="96" t="s">
        <v>3693</v>
      </c>
      <c r="X292" s="22" t="s">
        <v>2962</v>
      </c>
      <c r="Y292" s="11" t="s">
        <v>3331</v>
      </c>
      <c r="Z292" s="79"/>
      <c r="AA292" s="187">
        <v>288</v>
      </c>
    </row>
    <row r="293" spans="1:27" s="184" customFormat="1" ht="20" x14ac:dyDescent="0.2">
      <c r="B293" s="11" t="s">
        <v>1872</v>
      </c>
      <c r="C293" s="165" t="s">
        <v>4235</v>
      </c>
      <c r="D293" s="22" t="s">
        <v>2379</v>
      </c>
      <c r="E293" s="34">
        <v>1</v>
      </c>
      <c r="F293" s="22" t="s">
        <v>2223</v>
      </c>
      <c r="G293" s="88">
        <v>5.6000000000000005</v>
      </c>
      <c r="H293" s="235">
        <f t="shared" si="37"/>
        <v>3.4567901234567904</v>
      </c>
      <c r="I293" s="88">
        <v>5.6000000000000005</v>
      </c>
      <c r="J293" s="235">
        <f t="shared" si="38"/>
        <v>3.4567901234567904</v>
      </c>
      <c r="K293" s="201">
        <v>72</v>
      </c>
      <c r="L293" s="252">
        <f>_xlfn.XLOOKUP($K293,Inputs!$C$6:$C$23,Inputs!$D$6:$D$23)*$I293</f>
        <v>2.1640000000000001</v>
      </c>
      <c r="M293" s="68"/>
      <c r="N293" s="68"/>
      <c r="O293" s="187"/>
      <c r="P293" s="187"/>
      <c r="Q293" s="94">
        <v>0.9</v>
      </c>
      <c r="R293" s="68">
        <f t="shared" si="41"/>
        <v>3</v>
      </c>
      <c r="S293" s="276">
        <f>_xlfn.XLOOKUP($K293,Inputs!$G$6:$G$23,Inputs!J$6:J$23)*$R293</f>
        <v>38.880000000000003</v>
      </c>
      <c r="T293" s="276">
        <f>_xlfn.XLOOKUP($K293,Inputs!$G$6:$G$23,Inputs!K$6:K$23)*$R293</f>
        <v>42.491803278688522</v>
      </c>
      <c r="U293" s="96" t="s">
        <v>3493</v>
      </c>
      <c r="V293" s="22" t="s">
        <v>2110</v>
      </c>
      <c r="W293" s="96" t="s">
        <v>3492</v>
      </c>
      <c r="X293" s="22" t="s">
        <v>2812</v>
      </c>
      <c r="Y293" s="11" t="s">
        <v>3331</v>
      </c>
      <c r="Z293" s="79"/>
      <c r="AA293" s="187">
        <v>289</v>
      </c>
    </row>
    <row r="294" spans="1:27" s="184" customFormat="1" ht="20" x14ac:dyDescent="0.2">
      <c r="B294" s="11" t="s">
        <v>1183</v>
      </c>
      <c r="C294" s="165" t="s">
        <v>4235</v>
      </c>
      <c r="D294" s="22" t="s">
        <v>2379</v>
      </c>
      <c r="E294" s="34">
        <v>1</v>
      </c>
      <c r="F294" s="22" t="s">
        <v>2223</v>
      </c>
      <c r="G294" s="88">
        <v>45</v>
      </c>
      <c r="H294" s="235">
        <f t="shared" si="37"/>
        <v>27.777777777777775</v>
      </c>
      <c r="I294" s="88">
        <v>63</v>
      </c>
      <c r="J294" s="235">
        <f t="shared" si="38"/>
        <v>38.888888888888886</v>
      </c>
      <c r="K294" s="201">
        <v>72</v>
      </c>
      <c r="L294" s="252">
        <f>_xlfn.XLOOKUP($K294,Inputs!$C$6:$C$23,Inputs!$D$6:$D$23)*$I294</f>
        <v>24.345000000000002</v>
      </c>
      <c r="M294" s="68"/>
      <c r="N294" s="68"/>
      <c r="O294" s="187"/>
      <c r="P294" s="187"/>
      <c r="Q294" s="94">
        <v>0.9</v>
      </c>
      <c r="R294" s="68">
        <f t="shared" si="41"/>
        <v>3</v>
      </c>
      <c r="S294" s="276">
        <f>_xlfn.XLOOKUP($K294,Inputs!$G$6:$G$23,Inputs!J$6:J$23)*$R294</f>
        <v>38.880000000000003</v>
      </c>
      <c r="T294" s="276">
        <f>_xlfn.XLOOKUP($K294,Inputs!$G$6:$G$23,Inputs!K$6:K$23)*$R294</f>
        <v>42.491803278688522</v>
      </c>
      <c r="U294" s="96" t="s">
        <v>3964</v>
      </c>
      <c r="V294" s="22" t="s">
        <v>2111</v>
      </c>
      <c r="W294" s="96" t="s">
        <v>3956</v>
      </c>
      <c r="X294" s="205" t="s">
        <v>2112</v>
      </c>
      <c r="Y294" s="11" t="s">
        <v>3331</v>
      </c>
      <c r="Z294" s="79"/>
      <c r="AA294" s="187">
        <v>290</v>
      </c>
    </row>
    <row r="295" spans="1:27" s="184" customFormat="1" ht="20" x14ac:dyDescent="0.2">
      <c r="B295" s="11" t="s">
        <v>1183</v>
      </c>
      <c r="C295" s="165" t="s">
        <v>4235</v>
      </c>
      <c r="D295" s="22" t="s">
        <v>2379</v>
      </c>
      <c r="E295" s="34">
        <v>1</v>
      </c>
      <c r="F295" s="22" t="s">
        <v>2223</v>
      </c>
      <c r="G295" s="88">
        <v>18</v>
      </c>
      <c r="H295" s="235">
        <f t="shared" si="37"/>
        <v>11.111111111111111</v>
      </c>
      <c r="I295" s="88">
        <v>63</v>
      </c>
      <c r="J295" s="235">
        <f t="shared" si="38"/>
        <v>38.888888888888886</v>
      </c>
      <c r="K295" s="201">
        <v>72</v>
      </c>
      <c r="L295" s="252">
        <f>_xlfn.XLOOKUP($K295,Inputs!$C$6:$C$23,Inputs!$D$6:$D$23)*$I295</f>
        <v>24.345000000000002</v>
      </c>
      <c r="M295" s="68"/>
      <c r="N295" s="68"/>
      <c r="O295" s="187"/>
      <c r="P295" s="187"/>
      <c r="Q295" s="94">
        <v>0.9</v>
      </c>
      <c r="R295" s="68">
        <f t="shared" si="41"/>
        <v>3</v>
      </c>
      <c r="S295" s="276">
        <f>_xlfn.XLOOKUP($K295,Inputs!$G$6:$G$23,Inputs!J$6:J$23)*$R295</f>
        <v>38.880000000000003</v>
      </c>
      <c r="T295" s="276">
        <f>_xlfn.XLOOKUP($K295,Inputs!$G$6:$G$23,Inputs!K$6:K$23)*$R295</f>
        <v>42.491803278688522</v>
      </c>
      <c r="U295" s="96" t="s">
        <v>3956</v>
      </c>
      <c r="V295" s="22" t="s">
        <v>2112</v>
      </c>
      <c r="W295" s="96" t="s">
        <v>3677</v>
      </c>
      <c r="X295" s="22" t="s">
        <v>2950</v>
      </c>
      <c r="Y295" s="11" t="s">
        <v>3331</v>
      </c>
      <c r="Z295" s="196"/>
      <c r="AA295" s="187">
        <v>291</v>
      </c>
    </row>
    <row r="296" spans="1:27" s="184" customFormat="1" ht="20" x14ac:dyDescent="0.2">
      <c r="B296" s="11" t="s">
        <v>1186</v>
      </c>
      <c r="C296" s="165" t="s">
        <v>4235</v>
      </c>
      <c r="D296" s="22" t="s">
        <v>2379</v>
      </c>
      <c r="E296" s="34">
        <v>1</v>
      </c>
      <c r="F296" s="22" t="s">
        <v>2223</v>
      </c>
      <c r="G296" s="88">
        <v>12</v>
      </c>
      <c r="H296" s="235">
        <f t="shared" si="37"/>
        <v>7.4074074074074066</v>
      </c>
      <c r="I296" s="88">
        <v>12</v>
      </c>
      <c r="J296" s="235">
        <f t="shared" si="38"/>
        <v>7.4074074074074066</v>
      </c>
      <c r="K296" s="201">
        <v>72</v>
      </c>
      <c r="L296" s="252">
        <f>_xlfn.XLOOKUP($K296,Inputs!$C$6:$C$23,Inputs!$D$6:$D$23)*$I296</f>
        <v>4.637142857142857</v>
      </c>
      <c r="M296" s="68"/>
      <c r="N296" s="68"/>
      <c r="O296" s="187"/>
      <c r="P296" s="187"/>
      <c r="Q296" s="94">
        <v>0.9</v>
      </c>
      <c r="R296" s="68">
        <f t="shared" si="41"/>
        <v>3</v>
      </c>
      <c r="S296" s="276">
        <f>_xlfn.XLOOKUP($K296,Inputs!$G$6:$G$23,Inputs!J$6:J$23)*$R296</f>
        <v>38.880000000000003</v>
      </c>
      <c r="T296" s="276">
        <f>_xlfn.XLOOKUP($K296,Inputs!$G$6:$G$23,Inputs!K$6:K$23)*$R296</f>
        <v>42.491803278688522</v>
      </c>
      <c r="U296" s="96" t="s">
        <v>3956</v>
      </c>
      <c r="V296" s="22" t="s">
        <v>2112</v>
      </c>
      <c r="W296" s="96" t="s">
        <v>3629</v>
      </c>
      <c r="X296" s="22" t="s">
        <v>3258</v>
      </c>
      <c r="Y296" s="11" t="s">
        <v>3331</v>
      </c>
      <c r="Z296" s="79"/>
      <c r="AA296" s="187">
        <v>292</v>
      </c>
    </row>
    <row r="297" spans="1:27" s="188" customFormat="1" ht="20" x14ac:dyDescent="0.2">
      <c r="B297" s="11" t="s">
        <v>1181</v>
      </c>
      <c r="C297" s="165" t="s">
        <v>4235</v>
      </c>
      <c r="D297" s="22" t="s">
        <v>2379</v>
      </c>
      <c r="E297" s="34">
        <v>1</v>
      </c>
      <c r="F297" s="22" t="s">
        <v>2223</v>
      </c>
      <c r="G297" s="88">
        <v>10</v>
      </c>
      <c r="H297" s="235">
        <f t="shared" si="37"/>
        <v>6.1728395061728394</v>
      </c>
      <c r="I297" s="88">
        <v>10</v>
      </c>
      <c r="J297" s="235">
        <f t="shared" si="38"/>
        <v>6.1728395061728394</v>
      </c>
      <c r="K297" s="201">
        <v>72</v>
      </c>
      <c r="L297" s="252">
        <f>_xlfn.XLOOKUP($K297,Inputs!$C$6:$C$23,Inputs!$D$6:$D$23)*$I297</f>
        <v>3.8642857142857148</v>
      </c>
      <c r="M297" s="68"/>
      <c r="N297" s="68"/>
      <c r="O297" s="187"/>
      <c r="P297" s="187"/>
      <c r="Q297" s="94">
        <v>0.9</v>
      </c>
      <c r="R297" s="68">
        <f t="shared" si="41"/>
        <v>3</v>
      </c>
      <c r="S297" s="276">
        <f>_xlfn.XLOOKUP($K297,Inputs!$G$6:$G$23,Inputs!J$6:J$23)*$R297</f>
        <v>38.880000000000003</v>
      </c>
      <c r="T297" s="276">
        <f>_xlfn.XLOOKUP($K297,Inputs!$G$6:$G$23,Inputs!K$6:K$23)*$R297</f>
        <v>42.491803278688522</v>
      </c>
      <c r="U297" s="96" t="s">
        <v>3976</v>
      </c>
      <c r="V297" s="22" t="s">
        <v>2113</v>
      </c>
      <c r="W297" s="96" t="s">
        <v>3724</v>
      </c>
      <c r="X297" s="22" t="s">
        <v>3262</v>
      </c>
      <c r="Y297" s="11" t="s">
        <v>3331</v>
      </c>
      <c r="Z297" s="79"/>
      <c r="AA297" s="187">
        <v>293</v>
      </c>
    </row>
    <row r="298" spans="1:27" s="184" customFormat="1" ht="20" x14ac:dyDescent="0.2">
      <c r="B298" s="11" t="s">
        <v>1220</v>
      </c>
      <c r="C298" s="165" t="s">
        <v>4235</v>
      </c>
      <c r="D298" s="22" t="s">
        <v>2379</v>
      </c>
      <c r="E298" s="34">
        <v>1</v>
      </c>
      <c r="F298" s="22" t="s">
        <v>2223</v>
      </c>
      <c r="G298" s="88">
        <v>30</v>
      </c>
      <c r="H298" s="235">
        <f t="shared" si="37"/>
        <v>18.518518518518519</v>
      </c>
      <c r="I298" s="88">
        <v>30</v>
      </c>
      <c r="J298" s="235">
        <f t="shared" si="38"/>
        <v>18.518518518518519</v>
      </c>
      <c r="K298" s="221">
        <v>72</v>
      </c>
      <c r="L298" s="252">
        <f>_xlfn.XLOOKUP($K298,Inputs!$C$6:$C$23,Inputs!$D$6:$D$23)*$I298</f>
        <v>11.592857142857143</v>
      </c>
      <c r="M298" s="68"/>
      <c r="N298" s="68"/>
      <c r="O298" s="206"/>
      <c r="P298" s="206"/>
      <c r="Q298" s="94">
        <v>0.9</v>
      </c>
      <c r="R298" s="68">
        <f t="shared" si="41"/>
        <v>3</v>
      </c>
      <c r="S298" s="276">
        <f>_xlfn.XLOOKUP($K298,Inputs!$G$6:$G$23,Inputs!J$6:J$23)*$R298</f>
        <v>38.880000000000003</v>
      </c>
      <c r="T298" s="276">
        <f>_xlfn.XLOOKUP($K298,Inputs!$G$6:$G$23,Inputs!K$6:K$23)*$R298</f>
        <v>42.491803278688522</v>
      </c>
      <c r="U298" s="96" t="s">
        <v>3861</v>
      </c>
      <c r="V298" s="22" t="s">
        <v>2723</v>
      </c>
      <c r="W298" s="96" t="s">
        <v>4001</v>
      </c>
      <c r="X298" s="22" t="s">
        <v>2114</v>
      </c>
      <c r="Y298" s="11" t="s">
        <v>3331</v>
      </c>
      <c r="Z298" s="79"/>
      <c r="AA298" s="187">
        <v>294</v>
      </c>
    </row>
    <row r="299" spans="1:27" s="184" customFormat="1" ht="20" x14ac:dyDescent="0.2">
      <c r="B299" s="11" t="s">
        <v>2041</v>
      </c>
      <c r="C299" s="165" t="s">
        <v>4235</v>
      </c>
      <c r="D299" s="22" t="s">
        <v>2379</v>
      </c>
      <c r="E299" s="34">
        <v>1</v>
      </c>
      <c r="F299" s="22" t="s">
        <v>2223</v>
      </c>
      <c r="G299" s="88">
        <v>20</v>
      </c>
      <c r="H299" s="235">
        <f t="shared" si="37"/>
        <v>12.345679012345679</v>
      </c>
      <c r="I299" s="88">
        <v>20</v>
      </c>
      <c r="J299" s="235">
        <f t="shared" si="38"/>
        <v>12.345679012345679</v>
      </c>
      <c r="K299" s="201">
        <v>72</v>
      </c>
      <c r="L299" s="252">
        <f>_xlfn.XLOOKUP($K299,Inputs!$C$6:$C$23,Inputs!$D$6:$D$23)*$I299</f>
        <v>7.7285714285714295</v>
      </c>
      <c r="M299" s="68"/>
      <c r="N299" s="68"/>
      <c r="O299" s="187"/>
      <c r="P299" s="187"/>
      <c r="Q299" s="94">
        <v>0.9</v>
      </c>
      <c r="R299" s="68">
        <f t="shared" si="41"/>
        <v>3</v>
      </c>
      <c r="S299" s="276">
        <f>_xlfn.XLOOKUP($K299,Inputs!$G$6:$G$23,Inputs!J$6:J$23)*$R299</f>
        <v>38.880000000000003</v>
      </c>
      <c r="T299" s="276">
        <f>_xlfn.XLOOKUP($K299,Inputs!$G$6:$G$23,Inputs!K$6:K$23)*$R299</f>
        <v>42.491803278688522</v>
      </c>
      <c r="U299" s="96" t="s">
        <v>4001</v>
      </c>
      <c r="V299" s="22" t="s">
        <v>2114</v>
      </c>
      <c r="W299" s="96" t="s">
        <v>3862</v>
      </c>
      <c r="X299" s="22" t="s">
        <v>3129</v>
      </c>
      <c r="Y299" s="11" t="s">
        <v>3331</v>
      </c>
      <c r="Z299" s="79"/>
      <c r="AA299" s="187">
        <v>295</v>
      </c>
    </row>
    <row r="300" spans="1:27" s="184" customFormat="1" ht="20" x14ac:dyDescent="0.2">
      <c r="B300" s="11" t="s">
        <v>2017</v>
      </c>
      <c r="C300" s="165" t="s">
        <v>4235</v>
      </c>
      <c r="D300" s="22" t="s">
        <v>2379</v>
      </c>
      <c r="E300" s="34">
        <v>1</v>
      </c>
      <c r="F300" s="22" t="s">
        <v>2223</v>
      </c>
      <c r="G300" s="235">
        <v>10</v>
      </c>
      <c r="H300" s="235">
        <f t="shared" si="37"/>
        <v>6.1728395061728394</v>
      </c>
      <c r="I300" s="235">
        <v>58</v>
      </c>
      <c r="J300" s="235">
        <f t="shared" si="38"/>
        <v>35.802469135802468</v>
      </c>
      <c r="K300" s="201">
        <v>72</v>
      </c>
      <c r="L300" s="252">
        <f>_xlfn.XLOOKUP($K300,Inputs!$C$6:$C$23,Inputs!$D$6:$D$23)*$I300</f>
        <v>22.412857142857145</v>
      </c>
      <c r="M300" s="68"/>
      <c r="N300" s="68"/>
      <c r="O300" s="187"/>
      <c r="P300" s="187"/>
      <c r="Q300" s="94">
        <v>0.9</v>
      </c>
      <c r="R300" s="68">
        <f t="shared" si="41"/>
        <v>3</v>
      </c>
      <c r="S300" s="276">
        <f>_xlfn.XLOOKUP($K300,Inputs!$G$6:$G$23,Inputs!J$6:J$23)*$R300</f>
        <v>38.880000000000003</v>
      </c>
      <c r="T300" s="276">
        <f>_xlfn.XLOOKUP($K300,Inputs!$G$6:$G$23,Inputs!K$6:K$23)*$R300</f>
        <v>42.491803278688522</v>
      </c>
      <c r="U300" s="96" t="s">
        <v>4029</v>
      </c>
      <c r="V300" s="22" t="s">
        <v>3255</v>
      </c>
      <c r="W300" s="96" t="s">
        <v>3547</v>
      </c>
      <c r="X300" s="22" t="s">
        <v>2115</v>
      </c>
      <c r="Y300" s="11" t="s">
        <v>3331</v>
      </c>
      <c r="Z300" s="79"/>
      <c r="AA300" s="187">
        <v>296</v>
      </c>
    </row>
    <row r="301" spans="1:27" s="184" customFormat="1" ht="20" x14ac:dyDescent="0.2">
      <c r="B301" s="11" t="s">
        <v>2017</v>
      </c>
      <c r="C301" s="165" t="s">
        <v>4235</v>
      </c>
      <c r="D301" s="22" t="s">
        <v>2379</v>
      </c>
      <c r="E301" s="34">
        <v>1</v>
      </c>
      <c r="F301" s="22" t="s">
        <v>2223</v>
      </c>
      <c r="G301" s="235">
        <v>10</v>
      </c>
      <c r="H301" s="235">
        <f t="shared" si="37"/>
        <v>6.1728395061728394</v>
      </c>
      <c r="I301" s="235">
        <v>58</v>
      </c>
      <c r="J301" s="235">
        <f t="shared" si="38"/>
        <v>35.802469135802468</v>
      </c>
      <c r="K301" s="201">
        <v>72</v>
      </c>
      <c r="L301" s="252">
        <f>_xlfn.XLOOKUP($K301,Inputs!$C$6:$C$23,Inputs!$D$6:$D$23)*$I301</f>
        <v>22.412857142857145</v>
      </c>
      <c r="M301" s="68"/>
      <c r="N301" s="68"/>
      <c r="O301" s="187"/>
      <c r="P301" s="187"/>
      <c r="Q301" s="94">
        <v>0.9</v>
      </c>
      <c r="R301" s="68">
        <f t="shared" si="41"/>
        <v>3</v>
      </c>
      <c r="S301" s="276">
        <f>_xlfn.XLOOKUP($K301,Inputs!$G$6:$G$23,Inputs!J$6:J$23)*$R301</f>
        <v>38.880000000000003</v>
      </c>
      <c r="T301" s="276">
        <f>_xlfn.XLOOKUP($K301,Inputs!$G$6:$G$23,Inputs!K$6:K$23)*$R301</f>
        <v>42.491803278688522</v>
      </c>
      <c r="U301" s="96" t="s">
        <v>3547</v>
      </c>
      <c r="V301" s="22" t="s">
        <v>2115</v>
      </c>
      <c r="W301" s="96" t="s">
        <v>3964</v>
      </c>
      <c r="X301" s="22" t="s">
        <v>2111</v>
      </c>
      <c r="Y301" s="11" t="s">
        <v>3331</v>
      </c>
      <c r="Z301" s="79"/>
      <c r="AA301" s="187">
        <v>297</v>
      </c>
    </row>
    <row r="302" spans="1:27" s="184" customFormat="1" ht="20" x14ac:dyDescent="0.2">
      <c r="B302" s="11" t="s">
        <v>2017</v>
      </c>
      <c r="C302" s="165" t="s">
        <v>4235</v>
      </c>
      <c r="D302" s="22" t="s">
        <v>2379</v>
      </c>
      <c r="E302" s="34">
        <v>1</v>
      </c>
      <c r="F302" s="22" t="s">
        <v>2223</v>
      </c>
      <c r="G302" s="88">
        <v>10</v>
      </c>
      <c r="H302" s="235">
        <f t="shared" si="37"/>
        <v>6.1728395061728394</v>
      </c>
      <c r="I302" s="88">
        <v>58</v>
      </c>
      <c r="J302" s="235">
        <f t="shared" si="38"/>
        <v>35.802469135802468</v>
      </c>
      <c r="K302" s="201">
        <v>72</v>
      </c>
      <c r="L302" s="252">
        <f>_xlfn.XLOOKUP($K302,Inputs!$C$6:$C$23,Inputs!$D$6:$D$23)*$I302</f>
        <v>22.412857142857145</v>
      </c>
      <c r="M302" s="68"/>
      <c r="N302" s="68"/>
      <c r="O302" s="187"/>
      <c r="P302" s="187"/>
      <c r="Q302" s="94">
        <v>0.9</v>
      </c>
      <c r="R302" s="68">
        <f t="shared" si="41"/>
        <v>3</v>
      </c>
      <c r="S302" s="276">
        <f>_xlfn.XLOOKUP($K302,Inputs!$G$6:$G$23,Inputs!J$6:J$23)*$R302</f>
        <v>38.880000000000003</v>
      </c>
      <c r="T302" s="276">
        <f>_xlfn.XLOOKUP($K302,Inputs!$G$6:$G$23,Inputs!K$6:K$23)*$R302</f>
        <v>42.491803278688522</v>
      </c>
      <c r="U302" s="96" t="s">
        <v>3964</v>
      </c>
      <c r="V302" s="22" t="s">
        <v>2111</v>
      </c>
      <c r="W302" s="96" t="s">
        <v>3984</v>
      </c>
      <c r="X302" s="22" t="s">
        <v>2116</v>
      </c>
      <c r="Y302" s="11" t="s">
        <v>3331</v>
      </c>
      <c r="Z302" s="79"/>
      <c r="AA302" s="187">
        <v>298</v>
      </c>
    </row>
    <row r="303" spans="1:27" s="184" customFormat="1" ht="20" x14ac:dyDescent="0.2">
      <c r="B303" s="11" t="s">
        <v>2017</v>
      </c>
      <c r="C303" s="165" t="s">
        <v>4235</v>
      </c>
      <c r="D303" s="22" t="s">
        <v>2379</v>
      </c>
      <c r="E303" s="34">
        <v>1</v>
      </c>
      <c r="F303" s="22" t="s">
        <v>2223</v>
      </c>
      <c r="G303" s="88">
        <v>10</v>
      </c>
      <c r="H303" s="235">
        <f t="shared" si="37"/>
        <v>6.1728395061728394</v>
      </c>
      <c r="I303" s="88">
        <v>58</v>
      </c>
      <c r="J303" s="235">
        <f t="shared" si="38"/>
        <v>35.802469135802468</v>
      </c>
      <c r="K303" s="201">
        <v>72</v>
      </c>
      <c r="L303" s="252">
        <f>_xlfn.XLOOKUP($K303,Inputs!$C$6:$C$23,Inputs!$D$6:$D$23)*$I303</f>
        <v>22.412857142857145</v>
      </c>
      <c r="M303" s="68"/>
      <c r="N303" s="68"/>
      <c r="O303" s="187"/>
      <c r="P303" s="187"/>
      <c r="Q303" s="94">
        <v>0.9</v>
      </c>
      <c r="R303" s="68">
        <f t="shared" si="41"/>
        <v>3</v>
      </c>
      <c r="S303" s="276">
        <f>_xlfn.XLOOKUP($K303,Inputs!$G$6:$G$23,Inputs!J$6:J$23)*$R303</f>
        <v>38.880000000000003</v>
      </c>
      <c r="T303" s="276">
        <f>_xlfn.XLOOKUP($K303,Inputs!$G$6:$G$23,Inputs!K$6:K$23)*$R303</f>
        <v>42.491803278688522</v>
      </c>
      <c r="U303" s="96" t="s">
        <v>3984</v>
      </c>
      <c r="V303" s="22" t="s">
        <v>2116</v>
      </c>
      <c r="W303" s="96" t="s">
        <v>3976</v>
      </c>
      <c r="X303" s="22" t="s">
        <v>2113</v>
      </c>
      <c r="Y303" s="11" t="s">
        <v>3331</v>
      </c>
      <c r="Z303" s="79"/>
      <c r="AA303" s="187">
        <v>299</v>
      </c>
    </row>
    <row r="304" spans="1:27" s="184" customFormat="1" ht="20" x14ac:dyDescent="0.2">
      <c r="B304" s="11" t="s">
        <v>2017</v>
      </c>
      <c r="C304" s="165" t="s">
        <v>4235</v>
      </c>
      <c r="D304" s="22" t="s">
        <v>2379</v>
      </c>
      <c r="E304" s="34">
        <v>1</v>
      </c>
      <c r="F304" s="22" t="s">
        <v>2223</v>
      </c>
      <c r="G304" s="88">
        <v>18</v>
      </c>
      <c r="H304" s="235">
        <f t="shared" si="37"/>
        <v>11.111111111111111</v>
      </c>
      <c r="I304" s="88">
        <v>58</v>
      </c>
      <c r="J304" s="235">
        <f t="shared" si="38"/>
        <v>35.802469135802468</v>
      </c>
      <c r="K304" s="201">
        <v>72</v>
      </c>
      <c r="L304" s="252">
        <f>_xlfn.XLOOKUP($K304,Inputs!$C$6:$C$23,Inputs!$D$6:$D$23)*$I304</f>
        <v>22.412857142857145</v>
      </c>
      <c r="M304" s="68"/>
      <c r="N304" s="68"/>
      <c r="O304" s="187"/>
      <c r="P304" s="187"/>
      <c r="Q304" s="94">
        <v>0.9</v>
      </c>
      <c r="R304" s="68">
        <f t="shared" si="41"/>
        <v>3</v>
      </c>
      <c r="S304" s="276">
        <f>_xlfn.XLOOKUP($K304,Inputs!$G$6:$G$23,Inputs!J$6:J$23)*$R304</f>
        <v>38.880000000000003</v>
      </c>
      <c r="T304" s="276">
        <f>_xlfn.XLOOKUP($K304,Inputs!$G$6:$G$23,Inputs!K$6:K$23)*$R304</f>
        <v>42.491803278688522</v>
      </c>
      <c r="U304" s="96" t="s">
        <v>3976</v>
      </c>
      <c r="V304" s="22" t="s">
        <v>2113</v>
      </c>
      <c r="W304" s="96" t="s">
        <v>3930</v>
      </c>
      <c r="X304" s="22" t="s">
        <v>2609</v>
      </c>
      <c r="Y304" s="11" t="s">
        <v>3331</v>
      </c>
      <c r="Z304" s="79"/>
      <c r="AA304" s="187">
        <v>300</v>
      </c>
    </row>
    <row r="305" spans="1:27" s="184" customFormat="1" ht="20" x14ac:dyDescent="0.2">
      <c r="B305" s="11" t="s">
        <v>1179</v>
      </c>
      <c r="C305" s="165" t="s">
        <v>4235</v>
      </c>
      <c r="D305" s="22" t="s">
        <v>2379</v>
      </c>
      <c r="E305" s="34">
        <v>1</v>
      </c>
      <c r="F305" s="22" t="s">
        <v>2223</v>
      </c>
      <c r="G305" s="235">
        <v>10</v>
      </c>
      <c r="H305" s="235">
        <f t="shared" si="37"/>
        <v>6.1728395061728394</v>
      </c>
      <c r="I305" s="235">
        <v>10</v>
      </c>
      <c r="J305" s="235">
        <f t="shared" si="38"/>
        <v>6.1728395061728394</v>
      </c>
      <c r="K305" s="201">
        <v>72</v>
      </c>
      <c r="L305" s="252">
        <f>_xlfn.XLOOKUP($K305,Inputs!$C$6:$C$23,Inputs!$D$6:$D$23)*$I305</f>
        <v>3.8642857142857148</v>
      </c>
      <c r="M305" s="68"/>
      <c r="N305" s="68"/>
      <c r="O305" s="187"/>
      <c r="P305" s="187"/>
      <c r="Q305" s="94">
        <v>0.9</v>
      </c>
      <c r="R305" s="68">
        <f t="shared" si="41"/>
        <v>3</v>
      </c>
      <c r="S305" s="276">
        <f>_xlfn.XLOOKUP($K305,Inputs!$G$6:$G$23,Inputs!J$6:J$23)*$R305</f>
        <v>38.880000000000003</v>
      </c>
      <c r="T305" s="276">
        <f>_xlfn.XLOOKUP($K305,Inputs!$G$6:$G$23,Inputs!K$6:K$23)*$R305</f>
        <v>42.491803278688522</v>
      </c>
      <c r="U305" s="96" t="s">
        <v>3547</v>
      </c>
      <c r="V305" s="22" t="s">
        <v>2115</v>
      </c>
      <c r="W305" s="96" t="s">
        <v>3546</v>
      </c>
      <c r="X305" s="22" t="s">
        <v>3254</v>
      </c>
      <c r="Y305" s="11" t="s">
        <v>3331</v>
      </c>
      <c r="Z305" s="79"/>
      <c r="AA305" s="187">
        <v>301</v>
      </c>
    </row>
    <row r="306" spans="1:27" s="184" customFormat="1" ht="20" x14ac:dyDescent="0.2">
      <c r="B306" s="11" t="s">
        <v>1180</v>
      </c>
      <c r="C306" s="165" t="s">
        <v>4235</v>
      </c>
      <c r="D306" s="22" t="s">
        <v>2379</v>
      </c>
      <c r="E306" s="34">
        <v>1</v>
      </c>
      <c r="F306" s="22" t="s">
        <v>2223</v>
      </c>
      <c r="G306" s="88">
        <v>10</v>
      </c>
      <c r="H306" s="235">
        <f t="shared" si="37"/>
        <v>6.1728395061728394</v>
      </c>
      <c r="I306" s="88">
        <v>10</v>
      </c>
      <c r="J306" s="235">
        <f t="shared" si="38"/>
        <v>6.1728395061728394</v>
      </c>
      <c r="K306" s="201">
        <v>72</v>
      </c>
      <c r="L306" s="252">
        <f>_xlfn.XLOOKUP($K306,Inputs!$C$6:$C$23,Inputs!$D$6:$D$23)*$I306</f>
        <v>3.8642857142857148</v>
      </c>
      <c r="M306" s="68"/>
      <c r="N306" s="68"/>
      <c r="O306" s="187"/>
      <c r="P306" s="187"/>
      <c r="Q306" s="94">
        <v>0.9</v>
      </c>
      <c r="R306" s="68">
        <f t="shared" si="41"/>
        <v>3</v>
      </c>
      <c r="S306" s="276">
        <f>_xlfn.XLOOKUP($K306,Inputs!$G$6:$G$23,Inputs!J$6:J$23)*$R306</f>
        <v>38.880000000000003</v>
      </c>
      <c r="T306" s="276">
        <f>_xlfn.XLOOKUP($K306,Inputs!$G$6:$G$23,Inputs!K$6:K$23)*$R306</f>
        <v>42.491803278688522</v>
      </c>
      <c r="U306" s="96" t="s">
        <v>3984</v>
      </c>
      <c r="V306" s="22" t="s">
        <v>2116</v>
      </c>
      <c r="W306" s="96" t="s">
        <v>3768</v>
      </c>
      <c r="X306" s="22" t="s">
        <v>3022</v>
      </c>
      <c r="Y306" s="11" t="s">
        <v>3331</v>
      </c>
      <c r="Z306" s="79"/>
      <c r="AA306" s="187">
        <v>302</v>
      </c>
    </row>
    <row r="307" spans="1:27" s="184" customFormat="1" ht="20" x14ac:dyDescent="0.2">
      <c r="B307" s="11" t="s">
        <v>1811</v>
      </c>
      <c r="C307" s="165" t="s">
        <v>4235</v>
      </c>
      <c r="D307" s="22" t="s">
        <v>2379</v>
      </c>
      <c r="E307" s="34">
        <v>1</v>
      </c>
      <c r="F307" s="22" t="s">
        <v>2223</v>
      </c>
      <c r="G307" s="88">
        <v>15.299999999999999</v>
      </c>
      <c r="H307" s="235">
        <f t="shared" si="37"/>
        <v>9.4444444444444429</v>
      </c>
      <c r="I307" s="88">
        <v>15.299999999999999</v>
      </c>
      <c r="J307" s="235">
        <f t="shared" si="38"/>
        <v>9.4444444444444429</v>
      </c>
      <c r="K307" s="201">
        <v>144</v>
      </c>
      <c r="L307" s="252">
        <f>_xlfn.XLOOKUP($K307,Inputs!$C$6:$C$23,Inputs!$D$6:$D$23)*$I307</f>
        <v>6.6992142857142856</v>
      </c>
      <c r="M307" s="68"/>
      <c r="N307" s="68"/>
      <c r="O307" s="187"/>
      <c r="P307" s="187"/>
      <c r="Q307" s="94">
        <v>0.9</v>
      </c>
      <c r="R307" s="68">
        <f t="shared" si="41"/>
        <v>3</v>
      </c>
      <c r="S307" s="276">
        <f>_xlfn.XLOOKUP($K307,Inputs!$G$6:$G$23,Inputs!J$6:J$23)*$R307</f>
        <v>153.60000000000002</v>
      </c>
      <c r="T307" s="276">
        <f>_xlfn.XLOOKUP($K307,Inputs!$G$6:$G$23,Inputs!K$6:K$23)*$R307</f>
        <v>169.96721311475409</v>
      </c>
      <c r="U307" s="96" t="s">
        <v>1812</v>
      </c>
      <c r="V307" s="22" t="s">
        <v>3111</v>
      </c>
      <c r="W307" s="96" t="s">
        <v>637</v>
      </c>
      <c r="X307" s="22" t="s">
        <v>3113</v>
      </c>
      <c r="Y307" s="11" t="s">
        <v>3331</v>
      </c>
      <c r="Z307" s="79"/>
      <c r="AA307" s="187">
        <v>303</v>
      </c>
    </row>
    <row r="308" spans="1:27" s="184" customFormat="1" ht="20" x14ac:dyDescent="0.2">
      <c r="B308" s="11" t="s">
        <v>1688</v>
      </c>
      <c r="C308" s="165" t="s">
        <v>4235</v>
      </c>
      <c r="D308" s="22" t="s">
        <v>2379</v>
      </c>
      <c r="E308" s="34">
        <v>1</v>
      </c>
      <c r="F308" s="22" t="s">
        <v>2223</v>
      </c>
      <c r="G308" s="88">
        <v>7</v>
      </c>
      <c r="H308" s="235">
        <f t="shared" si="37"/>
        <v>4.3209876543209873</v>
      </c>
      <c r="I308" s="88">
        <v>21.700000000000003</v>
      </c>
      <c r="J308" s="235">
        <f t="shared" si="38"/>
        <v>13.395061728395063</v>
      </c>
      <c r="K308" s="215">
        <v>138</v>
      </c>
      <c r="L308" s="252">
        <f>_xlfn.XLOOKUP($K308,Inputs!$C$6:$C$23,Inputs!$D$6:$D$23)*$I308</f>
        <v>9.4085000000000019</v>
      </c>
      <c r="M308" s="68"/>
      <c r="N308" s="68"/>
      <c r="O308" s="215">
        <v>153</v>
      </c>
      <c r="P308" s="215">
        <v>189</v>
      </c>
      <c r="Q308" s="94">
        <v>0.9</v>
      </c>
      <c r="R308" s="68" t="s">
        <v>115</v>
      </c>
      <c r="S308" s="182">
        <f t="shared" ref="S308:S312" si="42">O308*Q308</f>
        <v>137.70000000000002</v>
      </c>
      <c r="T308" s="182">
        <f t="shared" ref="T308:T312" si="43">P308*Q308</f>
        <v>170.1</v>
      </c>
      <c r="U308" s="96" t="s">
        <v>3446</v>
      </c>
      <c r="V308" s="22" t="s">
        <v>2786</v>
      </c>
      <c r="W308" s="96" t="s">
        <v>3993</v>
      </c>
      <c r="X308" s="22" t="s">
        <v>2117</v>
      </c>
      <c r="Y308" s="11" t="s">
        <v>3296</v>
      </c>
      <c r="Z308" s="79"/>
      <c r="AA308" s="187">
        <v>304</v>
      </c>
    </row>
    <row r="309" spans="1:27" s="184" customFormat="1" ht="20" x14ac:dyDescent="0.2">
      <c r="B309" s="11" t="s">
        <v>1688</v>
      </c>
      <c r="C309" s="165" t="s">
        <v>4235</v>
      </c>
      <c r="D309" s="22" t="s">
        <v>2379</v>
      </c>
      <c r="E309" s="34">
        <v>1</v>
      </c>
      <c r="F309" s="22" t="s">
        <v>2223</v>
      </c>
      <c r="G309" s="88">
        <v>3.5</v>
      </c>
      <c r="H309" s="235">
        <f t="shared" si="37"/>
        <v>2.1604938271604937</v>
      </c>
      <c r="I309" s="88">
        <v>21.700000000000003</v>
      </c>
      <c r="J309" s="235">
        <f t="shared" si="38"/>
        <v>13.395061728395063</v>
      </c>
      <c r="K309" s="215">
        <v>138</v>
      </c>
      <c r="L309" s="252">
        <f>_xlfn.XLOOKUP($K309,Inputs!$C$6:$C$23,Inputs!$D$6:$D$23)*$I309</f>
        <v>9.4085000000000019</v>
      </c>
      <c r="M309" s="68"/>
      <c r="N309" s="68"/>
      <c r="O309" s="215">
        <v>129</v>
      </c>
      <c r="P309" s="215">
        <v>158</v>
      </c>
      <c r="Q309" s="94">
        <v>0.9</v>
      </c>
      <c r="R309" s="68" t="s">
        <v>115</v>
      </c>
      <c r="S309" s="182">
        <f t="shared" si="42"/>
        <v>116.10000000000001</v>
      </c>
      <c r="T309" s="182">
        <f t="shared" si="43"/>
        <v>142.20000000000002</v>
      </c>
      <c r="U309" s="96" t="s">
        <v>3993</v>
      </c>
      <c r="V309" s="22" t="s">
        <v>2117</v>
      </c>
      <c r="W309" s="96" t="s">
        <v>3453</v>
      </c>
      <c r="X309" s="22" t="s">
        <v>2118</v>
      </c>
      <c r="Y309" s="11" t="s">
        <v>3296</v>
      </c>
      <c r="Z309" s="79"/>
      <c r="AA309" s="187">
        <v>305</v>
      </c>
    </row>
    <row r="310" spans="1:27" s="184" customFormat="1" ht="20" x14ac:dyDescent="0.2">
      <c r="B310" s="11" t="s">
        <v>1688</v>
      </c>
      <c r="C310" s="165" t="s">
        <v>4235</v>
      </c>
      <c r="D310" s="22" t="s">
        <v>2379</v>
      </c>
      <c r="E310" s="34">
        <v>1</v>
      </c>
      <c r="F310" s="22" t="s">
        <v>2223</v>
      </c>
      <c r="G310" s="88">
        <v>5.6000000000000005</v>
      </c>
      <c r="H310" s="235">
        <f t="shared" si="37"/>
        <v>3.4567901234567904</v>
      </c>
      <c r="I310" s="88">
        <v>21.700000000000003</v>
      </c>
      <c r="J310" s="235">
        <f t="shared" si="38"/>
        <v>13.395061728395063</v>
      </c>
      <c r="K310" s="215">
        <v>138</v>
      </c>
      <c r="L310" s="252">
        <f>_xlfn.XLOOKUP($K310,Inputs!$C$6:$C$23,Inputs!$D$6:$D$23)*$I310</f>
        <v>9.4085000000000019</v>
      </c>
      <c r="M310" s="68"/>
      <c r="N310" s="68"/>
      <c r="O310" s="215">
        <v>143</v>
      </c>
      <c r="P310" s="215">
        <v>172</v>
      </c>
      <c r="Q310" s="94">
        <v>0.9</v>
      </c>
      <c r="R310" s="68" t="s">
        <v>115</v>
      </c>
      <c r="S310" s="182">
        <f t="shared" si="42"/>
        <v>128.70000000000002</v>
      </c>
      <c r="T310" s="182">
        <f t="shared" si="43"/>
        <v>154.80000000000001</v>
      </c>
      <c r="U310" s="96" t="s">
        <v>3453</v>
      </c>
      <c r="V310" s="22" t="s">
        <v>2118</v>
      </c>
      <c r="W310" s="96" t="s">
        <v>3919</v>
      </c>
      <c r="X310" s="22" t="s">
        <v>3180</v>
      </c>
      <c r="Y310" s="11" t="s">
        <v>3296</v>
      </c>
      <c r="Z310" s="79"/>
      <c r="AA310" s="187">
        <v>306</v>
      </c>
    </row>
    <row r="311" spans="1:27" s="184" customFormat="1" ht="20" x14ac:dyDescent="0.2">
      <c r="B311" s="11" t="s">
        <v>1688</v>
      </c>
      <c r="C311" s="165" t="s">
        <v>4235</v>
      </c>
      <c r="D311" s="22" t="s">
        <v>2379</v>
      </c>
      <c r="E311" s="34">
        <v>1</v>
      </c>
      <c r="F311" s="22" t="s">
        <v>2223</v>
      </c>
      <c r="G311" s="88">
        <v>5.6000000000000005</v>
      </c>
      <c r="H311" s="235">
        <f t="shared" si="37"/>
        <v>3.4567901234567904</v>
      </c>
      <c r="I311" s="88">
        <v>21.700000000000003</v>
      </c>
      <c r="J311" s="235">
        <f t="shared" si="38"/>
        <v>13.395061728395063</v>
      </c>
      <c r="K311" s="215">
        <v>138</v>
      </c>
      <c r="L311" s="252">
        <f>_xlfn.XLOOKUP($K311,Inputs!$C$6:$C$23,Inputs!$D$6:$D$23)*$I311</f>
        <v>9.4085000000000019</v>
      </c>
      <c r="M311" s="68"/>
      <c r="N311" s="68"/>
      <c r="O311" s="215">
        <v>143</v>
      </c>
      <c r="P311" s="215">
        <v>172</v>
      </c>
      <c r="Q311" s="94">
        <v>0.9</v>
      </c>
      <c r="R311" s="68" t="s">
        <v>115</v>
      </c>
      <c r="S311" s="182">
        <f t="shared" si="42"/>
        <v>128.70000000000002</v>
      </c>
      <c r="T311" s="182">
        <f t="shared" si="43"/>
        <v>154.80000000000001</v>
      </c>
      <c r="U311" s="96" t="s">
        <v>3919</v>
      </c>
      <c r="V311" s="22" t="s">
        <v>3180</v>
      </c>
      <c r="W311" s="96" t="s">
        <v>3365</v>
      </c>
      <c r="X311" s="22" t="s">
        <v>2737</v>
      </c>
      <c r="Y311" s="11" t="s">
        <v>3296</v>
      </c>
      <c r="Z311" s="79"/>
      <c r="AA311" s="187">
        <v>307</v>
      </c>
    </row>
    <row r="312" spans="1:27" s="184" customFormat="1" ht="20" x14ac:dyDescent="0.2">
      <c r="A312" s="299"/>
      <c r="B312" s="11" t="s">
        <v>1690</v>
      </c>
      <c r="C312" s="165" t="s">
        <v>4235</v>
      </c>
      <c r="D312" s="22" t="s">
        <v>2379</v>
      </c>
      <c r="E312" s="34">
        <v>1</v>
      </c>
      <c r="F312" s="22" t="s">
        <v>2223</v>
      </c>
      <c r="G312" s="88">
        <v>5.6000000000000005</v>
      </c>
      <c r="H312" s="235">
        <f t="shared" si="37"/>
        <v>3.4567901234567904</v>
      </c>
      <c r="I312" s="88">
        <v>5.6000000000000005</v>
      </c>
      <c r="J312" s="235">
        <f t="shared" si="38"/>
        <v>3.4567901234567904</v>
      </c>
      <c r="K312" s="215">
        <v>138</v>
      </c>
      <c r="L312" s="252">
        <f>_xlfn.XLOOKUP($K312,Inputs!$C$6:$C$23,Inputs!$D$6:$D$23)*$I312</f>
        <v>2.4280000000000004</v>
      </c>
      <c r="M312" s="68"/>
      <c r="N312" s="68"/>
      <c r="O312" s="215">
        <v>130</v>
      </c>
      <c r="P312" s="215">
        <v>160</v>
      </c>
      <c r="Q312" s="94">
        <v>0.9</v>
      </c>
      <c r="R312" s="68" t="s">
        <v>115</v>
      </c>
      <c r="S312" s="182">
        <f t="shared" si="42"/>
        <v>117</v>
      </c>
      <c r="T312" s="182">
        <f t="shared" si="43"/>
        <v>144</v>
      </c>
      <c r="U312" s="96" t="s">
        <v>3453</v>
      </c>
      <c r="V312" s="22" t="s">
        <v>2118</v>
      </c>
      <c r="W312" s="96" t="s">
        <v>3452</v>
      </c>
      <c r="X312" s="22" t="s">
        <v>2664</v>
      </c>
      <c r="Y312" s="11" t="s">
        <v>3296</v>
      </c>
      <c r="Z312" s="79" t="s">
        <v>4383</v>
      </c>
      <c r="AA312" s="187">
        <v>308</v>
      </c>
    </row>
    <row r="313" spans="1:27" s="184" customFormat="1" ht="20" x14ac:dyDescent="0.2">
      <c r="B313" s="11" t="s">
        <v>1693</v>
      </c>
      <c r="C313" s="165" t="s">
        <v>4235</v>
      </c>
      <c r="D313" s="22" t="s">
        <v>2379</v>
      </c>
      <c r="E313" s="34">
        <v>1</v>
      </c>
      <c r="F313" s="22" t="s">
        <v>2223</v>
      </c>
      <c r="G313" s="88">
        <v>8.4</v>
      </c>
      <c r="H313" s="235">
        <f t="shared" si="37"/>
        <v>5.1851851851851851</v>
      </c>
      <c r="I313" s="88">
        <v>16.8</v>
      </c>
      <c r="J313" s="235">
        <f t="shared" si="38"/>
        <v>10.37037037037037</v>
      </c>
      <c r="K313" s="201">
        <v>72</v>
      </c>
      <c r="L313" s="252">
        <f>_xlfn.XLOOKUP($K313,Inputs!$C$6:$C$23,Inputs!$D$6:$D$23)*$I313</f>
        <v>6.4920000000000009</v>
      </c>
      <c r="M313" s="68"/>
      <c r="N313" s="68"/>
      <c r="O313" s="187"/>
      <c r="P313" s="187"/>
      <c r="Q313" s="94">
        <v>0.9</v>
      </c>
      <c r="R313" s="68">
        <f>IF((42.4*(J313)^(-0.6595))&gt;=3,3,(IF(42.4*(J313)^(-0.6595)&lt;=0.5,0.5,(42.4*(J313)^(-0.6595)))))</f>
        <v>3</v>
      </c>
      <c r="S313" s="276">
        <f>_xlfn.XLOOKUP($K313,Inputs!$G$6:$G$23,Inputs!J$6:J$23)*$R313</f>
        <v>38.880000000000003</v>
      </c>
      <c r="T313" s="276">
        <f>_xlfn.XLOOKUP($K313,Inputs!$G$6:$G$23,Inputs!K$6:K$23)*$R313</f>
        <v>42.491803278688522</v>
      </c>
      <c r="U313" s="96" t="s">
        <v>3365</v>
      </c>
      <c r="V313" s="22" t="s">
        <v>2737</v>
      </c>
      <c r="W313" s="96" t="s">
        <v>3867</v>
      </c>
      <c r="X313" s="22" t="s">
        <v>3135</v>
      </c>
      <c r="Y313" s="11" t="s">
        <v>3331</v>
      </c>
      <c r="Z313" s="79"/>
      <c r="AA313" s="187">
        <v>310</v>
      </c>
    </row>
    <row r="314" spans="1:27" s="184" customFormat="1" ht="20" x14ac:dyDescent="0.2">
      <c r="B314" s="11" t="s">
        <v>1693</v>
      </c>
      <c r="C314" s="165" t="s">
        <v>4235</v>
      </c>
      <c r="D314" s="22" t="s">
        <v>2379</v>
      </c>
      <c r="E314" s="34">
        <v>1</v>
      </c>
      <c r="F314" s="22" t="s">
        <v>2223</v>
      </c>
      <c r="G314" s="88">
        <v>8.4</v>
      </c>
      <c r="H314" s="235">
        <f t="shared" si="37"/>
        <v>5.1851851851851851</v>
      </c>
      <c r="I314" s="88">
        <v>16.8</v>
      </c>
      <c r="J314" s="235">
        <f t="shared" si="38"/>
        <v>10.37037037037037</v>
      </c>
      <c r="K314" s="201">
        <v>72</v>
      </c>
      <c r="L314" s="252">
        <f>_xlfn.XLOOKUP($K314,Inputs!$C$6:$C$23,Inputs!$D$6:$D$23)*$I314</f>
        <v>6.4920000000000009</v>
      </c>
      <c r="M314" s="68"/>
      <c r="N314" s="68"/>
      <c r="O314" s="187"/>
      <c r="P314" s="187"/>
      <c r="Q314" s="94">
        <v>0.9</v>
      </c>
      <c r="R314" s="68">
        <f>IF((42.4*(J314)^(-0.6595))&gt;=3,3,(IF(42.4*(J314)^(-0.6595)&lt;=0.5,0.5,(42.4*(J314)^(-0.6595)))))</f>
        <v>3</v>
      </c>
      <c r="S314" s="276">
        <f>_xlfn.XLOOKUP($K314,Inputs!$G$6:$G$23,Inputs!J$6:J$23)*$R314</f>
        <v>38.880000000000003</v>
      </c>
      <c r="T314" s="276">
        <f>_xlfn.XLOOKUP($K314,Inputs!$G$6:$G$23,Inputs!K$6:K$23)*$R314</f>
        <v>42.491803278688522</v>
      </c>
      <c r="U314" s="96" t="s">
        <v>3867</v>
      </c>
      <c r="V314" s="22" t="s">
        <v>3135</v>
      </c>
      <c r="W314" s="96" t="s">
        <v>3671</v>
      </c>
      <c r="X314" s="22" t="s">
        <v>2943</v>
      </c>
      <c r="Y314" s="11" t="s">
        <v>3331</v>
      </c>
      <c r="Z314" s="79"/>
      <c r="AA314" s="187">
        <v>311</v>
      </c>
    </row>
    <row r="315" spans="1:27" s="184" customFormat="1" ht="20" x14ac:dyDescent="0.2">
      <c r="B315" s="11" t="s">
        <v>1681</v>
      </c>
      <c r="C315" s="165" t="s">
        <v>4235</v>
      </c>
      <c r="D315" s="22" t="s">
        <v>2379</v>
      </c>
      <c r="E315" s="34">
        <v>1</v>
      </c>
      <c r="F315" s="22" t="s">
        <v>2223</v>
      </c>
      <c r="G315" s="88">
        <v>10.5</v>
      </c>
      <c r="H315" s="235">
        <f t="shared" si="37"/>
        <v>6.481481481481481</v>
      </c>
      <c r="I315" s="88">
        <v>16.100000000000001</v>
      </c>
      <c r="J315" s="235">
        <f t="shared" si="38"/>
        <v>9.9382716049382722</v>
      </c>
      <c r="K315" s="215">
        <v>138</v>
      </c>
      <c r="L315" s="252">
        <f>_xlfn.XLOOKUP($K315,Inputs!$C$6:$C$23,Inputs!$D$6:$D$23)*$I315</f>
        <v>6.980500000000001</v>
      </c>
      <c r="M315" s="68"/>
      <c r="N315" s="68"/>
      <c r="O315" s="215">
        <v>108</v>
      </c>
      <c r="P315" s="215">
        <v>114</v>
      </c>
      <c r="Q315" s="94">
        <v>0.9</v>
      </c>
      <c r="R315" s="68" t="s">
        <v>115</v>
      </c>
      <c r="S315" s="182">
        <f>O315*Q315</f>
        <v>97.2</v>
      </c>
      <c r="T315" s="182">
        <f>P315*Q315</f>
        <v>102.60000000000001</v>
      </c>
      <c r="U315" s="96" t="s">
        <v>3579</v>
      </c>
      <c r="V315" s="22" t="s">
        <v>2675</v>
      </c>
      <c r="W315" s="96" t="s">
        <v>3827</v>
      </c>
      <c r="X315" s="22" t="s">
        <v>3071</v>
      </c>
      <c r="Y315" s="11" t="s">
        <v>3296</v>
      </c>
      <c r="Z315" s="79"/>
      <c r="AA315" s="187">
        <v>312</v>
      </c>
    </row>
    <row r="316" spans="1:27" s="184" customFormat="1" ht="20" x14ac:dyDescent="0.2">
      <c r="B316" s="11" t="s">
        <v>1681</v>
      </c>
      <c r="C316" s="165" t="s">
        <v>4235</v>
      </c>
      <c r="D316" s="22" t="s">
        <v>2379</v>
      </c>
      <c r="E316" s="34">
        <v>1</v>
      </c>
      <c r="F316" s="22" t="s">
        <v>2223</v>
      </c>
      <c r="G316" s="88">
        <v>5.6000000000000005</v>
      </c>
      <c r="H316" s="235">
        <f t="shared" si="37"/>
        <v>3.4567901234567904</v>
      </c>
      <c r="I316" s="88">
        <v>16.100000000000001</v>
      </c>
      <c r="J316" s="235">
        <f t="shared" si="38"/>
        <v>9.9382716049382722</v>
      </c>
      <c r="K316" s="201">
        <v>144</v>
      </c>
      <c r="L316" s="252">
        <f>_xlfn.XLOOKUP($K316,Inputs!$C$6:$C$23,Inputs!$D$6:$D$23)*$I316</f>
        <v>7.049500000000001</v>
      </c>
      <c r="M316" s="68"/>
      <c r="N316" s="68"/>
      <c r="O316" s="187"/>
      <c r="P316" s="187"/>
      <c r="Q316" s="94">
        <v>0.9</v>
      </c>
      <c r="R316" s="68">
        <f>IF((42.4*(J316)^(-0.6595))&gt;=3,3,(IF(42.4*(J316)^(-0.6595)&lt;=0.5,0.5,(42.4*(J316)^(-0.6595)))))</f>
        <v>3</v>
      </c>
      <c r="S316" s="276">
        <f>_xlfn.XLOOKUP($K316,Inputs!$G$6:$G$23,Inputs!J$6:J$23)*$R316</f>
        <v>153.60000000000002</v>
      </c>
      <c r="T316" s="276">
        <f>_xlfn.XLOOKUP($K316,Inputs!$G$6:$G$23,Inputs!K$6:K$23)*$R316</f>
        <v>169.96721311475409</v>
      </c>
      <c r="U316" s="96" t="s">
        <v>3827</v>
      </c>
      <c r="V316" s="22" t="s">
        <v>3071</v>
      </c>
      <c r="W316" s="96" t="s">
        <v>3623</v>
      </c>
      <c r="X316" s="22" t="s">
        <v>2908</v>
      </c>
      <c r="Y316" s="11" t="s">
        <v>3331</v>
      </c>
      <c r="Z316" s="79" t="s">
        <v>2596</v>
      </c>
      <c r="AA316" s="187">
        <v>313</v>
      </c>
    </row>
    <row r="317" spans="1:27" s="184" customFormat="1" ht="20" x14ac:dyDescent="0.2">
      <c r="B317" s="11" t="s">
        <v>1707</v>
      </c>
      <c r="C317" s="165" t="s">
        <v>4235</v>
      </c>
      <c r="D317" s="22" t="s">
        <v>2379</v>
      </c>
      <c r="E317" s="34">
        <v>1</v>
      </c>
      <c r="F317" s="22" t="s">
        <v>2223</v>
      </c>
      <c r="G317" s="88">
        <v>21</v>
      </c>
      <c r="H317" s="235">
        <f t="shared" si="37"/>
        <v>12.962962962962962</v>
      </c>
      <c r="I317" s="88">
        <v>21</v>
      </c>
      <c r="J317" s="235">
        <f t="shared" si="38"/>
        <v>12.962962962962962</v>
      </c>
      <c r="K317" s="215">
        <v>138</v>
      </c>
      <c r="L317" s="252">
        <f>_xlfn.XLOOKUP($K317,Inputs!$C$6:$C$23,Inputs!$D$6:$D$23)*$I317</f>
        <v>9.1050000000000004</v>
      </c>
      <c r="M317" s="68"/>
      <c r="N317" s="68"/>
      <c r="O317" s="215">
        <v>105</v>
      </c>
      <c r="P317" s="215">
        <v>120</v>
      </c>
      <c r="Q317" s="94">
        <v>0.9</v>
      </c>
      <c r="R317" s="68" t="s">
        <v>115</v>
      </c>
      <c r="S317" s="182">
        <f>O317*Q317</f>
        <v>94.5</v>
      </c>
      <c r="T317" s="182">
        <f>P317*Q317</f>
        <v>108</v>
      </c>
      <c r="U317" s="96" t="s">
        <v>3827</v>
      </c>
      <c r="V317" s="22" t="s">
        <v>3071</v>
      </c>
      <c r="W317" s="96" t="s">
        <v>3368</v>
      </c>
      <c r="X317" s="22" t="s">
        <v>2655</v>
      </c>
      <c r="Y317" s="11" t="s">
        <v>3296</v>
      </c>
      <c r="Z317" s="79"/>
      <c r="AA317" s="187">
        <v>314</v>
      </c>
    </row>
    <row r="318" spans="1:27" s="184" customFormat="1" ht="20" x14ac:dyDescent="0.2">
      <c r="B318" s="11" t="s">
        <v>1878</v>
      </c>
      <c r="C318" s="165" t="s">
        <v>4235</v>
      </c>
      <c r="D318" s="22" t="s">
        <v>2379</v>
      </c>
      <c r="E318" s="34">
        <v>1</v>
      </c>
      <c r="F318" s="22" t="s">
        <v>2223</v>
      </c>
      <c r="G318" s="88">
        <v>14</v>
      </c>
      <c r="H318" s="235">
        <f t="shared" si="37"/>
        <v>8.6419753086419746</v>
      </c>
      <c r="I318" s="88">
        <v>14</v>
      </c>
      <c r="J318" s="235">
        <f t="shared" si="38"/>
        <v>8.6419753086419746</v>
      </c>
      <c r="K318" s="201">
        <v>72</v>
      </c>
      <c r="L318" s="252">
        <f>_xlfn.XLOOKUP($K318,Inputs!$C$6:$C$23,Inputs!$D$6:$D$23)*$I318</f>
        <v>5.41</v>
      </c>
      <c r="M318" s="68"/>
      <c r="N318" s="68"/>
      <c r="O318" s="187"/>
      <c r="P318" s="187"/>
      <c r="Q318" s="94">
        <v>0.9</v>
      </c>
      <c r="R318" s="68">
        <f>IF((42.4*(J318)^(-0.6595))&gt;=3,3,(IF(42.4*(J318)^(-0.6595)&lt;=0.5,0.5,(42.4*(J318)^(-0.6595)))))</f>
        <v>3</v>
      </c>
      <c r="S318" s="276">
        <f>_xlfn.XLOOKUP($K318,Inputs!$G$6:$G$23,Inputs!J$6:J$23)*$R318</f>
        <v>38.880000000000003</v>
      </c>
      <c r="T318" s="276">
        <f>_xlfn.XLOOKUP($K318,Inputs!$G$6:$G$23,Inputs!K$6:K$23)*$R318</f>
        <v>42.491803278688522</v>
      </c>
      <c r="U318" s="96" t="s">
        <v>3912</v>
      </c>
      <c r="V318" s="22" t="s">
        <v>3173</v>
      </c>
      <c r="W318" s="96" t="s">
        <v>3831</v>
      </c>
      <c r="X318" s="22" t="s">
        <v>3265</v>
      </c>
      <c r="Y318" s="11" t="s">
        <v>3331</v>
      </c>
      <c r="Z318" s="79"/>
      <c r="AA318" s="187">
        <v>315</v>
      </c>
    </row>
    <row r="319" spans="1:27" s="184" customFormat="1" ht="20" x14ac:dyDescent="0.2">
      <c r="B319" s="11" t="s">
        <v>1825</v>
      </c>
      <c r="C319" s="165" t="s">
        <v>4236</v>
      </c>
      <c r="D319" s="22" t="s">
        <v>2379</v>
      </c>
      <c r="E319" s="34">
        <v>1</v>
      </c>
      <c r="F319" s="22" t="s">
        <v>2223</v>
      </c>
      <c r="G319" s="88">
        <v>2.5499999999999998</v>
      </c>
      <c r="H319" s="235">
        <f t="shared" si="37"/>
        <v>1.574074074074074</v>
      </c>
      <c r="I319" s="88">
        <v>2.5499999999999998</v>
      </c>
      <c r="J319" s="235">
        <f t="shared" si="38"/>
        <v>1.574074074074074</v>
      </c>
      <c r="K319" s="215">
        <v>138</v>
      </c>
      <c r="L319" s="252">
        <f>_xlfn.XLOOKUP($K319,Inputs!$C$6:$C$23,Inputs!$D$6:$D$23)*$I319</f>
        <v>1.1056071428571428</v>
      </c>
      <c r="M319" s="68"/>
      <c r="N319" s="68"/>
      <c r="O319" s="215">
        <v>164</v>
      </c>
      <c r="P319" s="215">
        <v>191</v>
      </c>
      <c r="Q319" s="94">
        <v>0.9</v>
      </c>
      <c r="R319" s="68" t="s">
        <v>115</v>
      </c>
      <c r="S319" s="182">
        <f>O319*Q319</f>
        <v>147.6</v>
      </c>
      <c r="T319" s="182">
        <f>P319*Q319</f>
        <v>171.9</v>
      </c>
      <c r="U319" s="96" t="s">
        <v>1827</v>
      </c>
      <c r="V319" s="22" t="s">
        <v>4284</v>
      </c>
      <c r="W319" s="96" t="s">
        <v>1828</v>
      </c>
      <c r="X319" s="22" t="s">
        <v>3102</v>
      </c>
      <c r="Y319" s="11" t="s">
        <v>4298</v>
      </c>
      <c r="Z319" s="79"/>
      <c r="AA319" s="187">
        <v>316</v>
      </c>
    </row>
    <row r="320" spans="1:27" s="184" customFormat="1" ht="20" x14ac:dyDescent="0.2">
      <c r="B320" s="11" t="s">
        <v>1826</v>
      </c>
      <c r="C320" s="165" t="s">
        <v>4236</v>
      </c>
      <c r="D320" s="22" t="s">
        <v>2379</v>
      </c>
      <c r="E320" s="34">
        <v>1</v>
      </c>
      <c r="F320" s="22" t="s">
        <v>2223</v>
      </c>
      <c r="G320" s="88">
        <v>7.6499999999999995</v>
      </c>
      <c r="H320" s="235">
        <f t="shared" si="37"/>
        <v>4.7222222222222214</v>
      </c>
      <c r="I320" s="88">
        <v>7.6499999999999995</v>
      </c>
      <c r="J320" s="235">
        <f t="shared" si="38"/>
        <v>4.7222222222222214</v>
      </c>
      <c r="K320" s="215">
        <v>138</v>
      </c>
      <c r="L320" s="252">
        <f>_xlfn.XLOOKUP($K320,Inputs!$C$6:$C$23,Inputs!$D$6:$D$23)*$I320</f>
        <v>3.3168214285714286</v>
      </c>
      <c r="M320" s="68"/>
      <c r="N320" s="68"/>
      <c r="O320" s="215">
        <v>161</v>
      </c>
      <c r="P320" s="215">
        <v>191</v>
      </c>
      <c r="Q320" s="94">
        <v>0.9</v>
      </c>
      <c r="R320" s="68" t="s">
        <v>115</v>
      </c>
      <c r="S320" s="182">
        <f>O320*Q320</f>
        <v>144.9</v>
      </c>
      <c r="T320" s="182">
        <f>P320*Q320</f>
        <v>171.9</v>
      </c>
      <c r="U320" s="96" t="s">
        <v>1827</v>
      </c>
      <c r="V320" s="205" t="s">
        <v>4284</v>
      </c>
      <c r="W320" s="96" t="s">
        <v>1814</v>
      </c>
      <c r="X320" s="22" t="s">
        <v>3107</v>
      </c>
      <c r="Y320" s="11" t="s">
        <v>4298</v>
      </c>
      <c r="Z320" s="79"/>
      <c r="AA320" s="187">
        <v>317</v>
      </c>
    </row>
    <row r="321" spans="2:27" s="184" customFormat="1" ht="20" x14ac:dyDescent="0.2">
      <c r="B321" s="11" t="s">
        <v>1982</v>
      </c>
      <c r="C321" s="165" t="s">
        <v>4235</v>
      </c>
      <c r="D321" s="22" t="s">
        <v>2379</v>
      </c>
      <c r="E321" s="34">
        <v>1</v>
      </c>
      <c r="F321" s="22" t="s">
        <v>2223</v>
      </c>
      <c r="G321" s="88">
        <v>21</v>
      </c>
      <c r="H321" s="235">
        <f t="shared" si="37"/>
        <v>12.962962962962962</v>
      </c>
      <c r="I321" s="88">
        <v>21</v>
      </c>
      <c r="J321" s="235">
        <f t="shared" si="38"/>
        <v>12.962962962962962</v>
      </c>
      <c r="K321" s="215">
        <v>138</v>
      </c>
      <c r="L321" s="252">
        <f>_xlfn.XLOOKUP($K321,Inputs!$C$6:$C$23,Inputs!$D$6:$D$23)*$I321</f>
        <v>9.1050000000000004</v>
      </c>
      <c r="M321" s="68"/>
      <c r="N321" s="68"/>
      <c r="O321" s="215">
        <v>121</v>
      </c>
      <c r="P321" s="215">
        <v>149</v>
      </c>
      <c r="Q321" s="94">
        <v>0.9</v>
      </c>
      <c r="R321" s="68" t="s">
        <v>115</v>
      </c>
      <c r="S321" s="182">
        <f>O321*Q321</f>
        <v>108.9</v>
      </c>
      <c r="T321" s="182">
        <f>P321*Q321</f>
        <v>134.1</v>
      </c>
      <c r="U321" s="96" t="s">
        <v>3437</v>
      </c>
      <c r="V321" s="22" t="s">
        <v>2783</v>
      </c>
      <c r="W321" s="96" t="s">
        <v>3767</v>
      </c>
      <c r="X321" s="22" t="s">
        <v>2607</v>
      </c>
      <c r="Y321" s="11" t="s">
        <v>3274</v>
      </c>
      <c r="Z321" s="79"/>
      <c r="AA321" s="187">
        <v>318</v>
      </c>
    </row>
    <row r="322" spans="2:27" s="184" customFormat="1" ht="20" x14ac:dyDescent="0.2">
      <c r="B322" s="11" t="s">
        <v>1980</v>
      </c>
      <c r="C322" s="165" t="s">
        <v>4235</v>
      </c>
      <c r="D322" s="22" t="s">
        <v>2379</v>
      </c>
      <c r="E322" s="34">
        <v>1</v>
      </c>
      <c r="F322" s="22" t="s">
        <v>2223</v>
      </c>
      <c r="G322" s="88">
        <v>24.5</v>
      </c>
      <c r="H322" s="235">
        <f t="shared" si="37"/>
        <v>15.123456790123456</v>
      </c>
      <c r="I322" s="88">
        <v>24.5</v>
      </c>
      <c r="J322" s="235">
        <f t="shared" si="38"/>
        <v>15.123456790123456</v>
      </c>
      <c r="K322" s="201">
        <v>144</v>
      </c>
      <c r="L322" s="252">
        <f>_xlfn.XLOOKUP($K322,Inputs!$C$6:$C$23,Inputs!$D$6:$D$23)*$I322</f>
        <v>10.727500000000001</v>
      </c>
      <c r="M322" s="68"/>
      <c r="N322" s="68"/>
      <c r="O322" s="187"/>
      <c r="P322" s="187"/>
      <c r="Q322" s="94">
        <v>0.9</v>
      </c>
      <c r="R322" s="68">
        <f>IF((42.4*(J322)^(-0.6595))&gt;=3,3,(IF(42.4*(J322)^(-0.6595)&lt;=0.5,0.5,(42.4*(J322)^(-0.6595)))))</f>
        <v>3</v>
      </c>
      <c r="S322" s="276">
        <f>_xlfn.XLOOKUP($K322,Inputs!$G$6:$G$23,Inputs!J$6:J$23)*$R322</f>
        <v>153.60000000000002</v>
      </c>
      <c r="T322" s="276">
        <f>_xlfn.XLOOKUP($K322,Inputs!$G$6:$G$23,Inputs!K$6:K$23)*$R322</f>
        <v>169.96721311475409</v>
      </c>
      <c r="U322" s="96" t="s">
        <v>3642</v>
      </c>
      <c r="V322" s="22" t="s">
        <v>2683</v>
      </c>
      <c r="W322" s="96" t="s">
        <v>3909</v>
      </c>
      <c r="X322" s="22" t="s">
        <v>3170</v>
      </c>
      <c r="Y322" s="11" t="s">
        <v>3331</v>
      </c>
      <c r="Z322" s="79"/>
      <c r="AA322" s="187">
        <v>319</v>
      </c>
    </row>
    <row r="323" spans="2:27" s="184" customFormat="1" ht="20" x14ac:dyDescent="0.2">
      <c r="B323" s="11" t="s">
        <v>1895</v>
      </c>
      <c r="C323" s="165" t="s">
        <v>4235</v>
      </c>
      <c r="D323" s="22" t="s">
        <v>2379</v>
      </c>
      <c r="E323" s="34">
        <v>1</v>
      </c>
      <c r="F323" s="22" t="s">
        <v>2223</v>
      </c>
      <c r="G323" s="88">
        <v>24.5</v>
      </c>
      <c r="H323" s="235">
        <f t="shared" si="37"/>
        <v>15.123456790123456</v>
      </c>
      <c r="I323" s="88">
        <v>24.5</v>
      </c>
      <c r="J323" s="235">
        <f t="shared" si="38"/>
        <v>15.123456790123456</v>
      </c>
      <c r="K323" s="201">
        <v>144</v>
      </c>
      <c r="L323" s="252">
        <f>_xlfn.XLOOKUP($K323,Inputs!$C$6:$C$23,Inputs!$D$6:$D$23)*$I323</f>
        <v>10.727500000000001</v>
      </c>
      <c r="M323" s="68"/>
      <c r="N323" s="68"/>
      <c r="O323" s="187"/>
      <c r="P323" s="187"/>
      <c r="Q323" s="94">
        <v>0.9</v>
      </c>
      <c r="R323" s="68">
        <f>IF((42.4*(J323)^(-0.6595))&gt;=3,3,(IF(42.4*(J323)^(-0.6595)&lt;=0.5,0.5,(42.4*(J323)^(-0.6595)))))</f>
        <v>3</v>
      </c>
      <c r="S323" s="276">
        <f>_xlfn.XLOOKUP($K323,Inputs!$G$6:$G$23,Inputs!J$6:J$23)*$R323</f>
        <v>153.60000000000002</v>
      </c>
      <c r="T323" s="276">
        <f>_xlfn.XLOOKUP($K323,Inputs!$G$6:$G$23,Inputs!K$6:K$23)*$R323</f>
        <v>169.96721311475409</v>
      </c>
      <c r="U323" s="96" t="s">
        <v>3937</v>
      </c>
      <c r="V323" s="22" t="s">
        <v>2651</v>
      </c>
      <c r="W323" s="96" t="s">
        <v>3836</v>
      </c>
      <c r="X323" s="22" t="s">
        <v>2715</v>
      </c>
      <c r="Y323" s="11" t="s">
        <v>3331</v>
      </c>
      <c r="Z323" s="79"/>
      <c r="AA323" s="187">
        <v>320</v>
      </c>
    </row>
    <row r="324" spans="2:27" s="184" customFormat="1" ht="20" x14ac:dyDescent="0.2">
      <c r="B324" s="11" t="s">
        <v>1359</v>
      </c>
      <c r="C324" s="165" t="s">
        <v>4235</v>
      </c>
      <c r="D324" s="22" t="s">
        <v>2379</v>
      </c>
      <c r="E324" s="34">
        <v>1</v>
      </c>
      <c r="F324" s="22" t="s">
        <v>2223</v>
      </c>
      <c r="G324" s="88">
        <v>12</v>
      </c>
      <c r="H324" s="235">
        <f t="shared" si="37"/>
        <v>7.4074074074074066</v>
      </c>
      <c r="I324" s="88">
        <v>12</v>
      </c>
      <c r="J324" s="235">
        <f t="shared" si="38"/>
        <v>7.4074074074074066</v>
      </c>
      <c r="K324" s="215">
        <v>138</v>
      </c>
      <c r="L324" s="252">
        <f>_xlfn.XLOOKUP($K324,Inputs!$C$6:$C$23,Inputs!$D$6:$D$23)*$I324</f>
        <v>5.2028571428571428</v>
      </c>
      <c r="M324" s="68"/>
      <c r="N324" s="68"/>
      <c r="O324" s="215">
        <v>120</v>
      </c>
      <c r="P324" s="215">
        <v>148</v>
      </c>
      <c r="Q324" s="94">
        <v>0.9</v>
      </c>
      <c r="R324" s="68" t="s">
        <v>115</v>
      </c>
      <c r="S324" s="182">
        <f>O324*Q324</f>
        <v>108</v>
      </c>
      <c r="T324" s="182">
        <f>P324*Q324</f>
        <v>133.20000000000002</v>
      </c>
      <c r="U324" s="96" t="s">
        <v>3404</v>
      </c>
      <c r="V324" s="22" t="s">
        <v>2761</v>
      </c>
      <c r="W324" s="96" t="s">
        <v>3746</v>
      </c>
      <c r="X324" s="22" t="s">
        <v>3004</v>
      </c>
      <c r="Y324" s="11" t="s">
        <v>3289</v>
      </c>
      <c r="Z324" s="79"/>
      <c r="AA324" s="187">
        <v>321</v>
      </c>
    </row>
    <row r="325" spans="2:27" s="184" customFormat="1" ht="20" x14ac:dyDescent="0.2">
      <c r="B325" s="11" t="s">
        <v>1318</v>
      </c>
      <c r="C325" s="165" t="s">
        <v>4235</v>
      </c>
      <c r="D325" s="22" t="s">
        <v>2379</v>
      </c>
      <c r="E325" s="34">
        <v>1</v>
      </c>
      <c r="F325" s="22" t="s">
        <v>2223</v>
      </c>
      <c r="G325" s="88">
        <v>5.1749999999999998</v>
      </c>
      <c r="H325" s="235">
        <f t="shared" ref="H325:H388" si="44">G325/1.62</f>
        <v>3.1944444444444442</v>
      </c>
      <c r="I325" s="88">
        <v>5.1749999999999998</v>
      </c>
      <c r="J325" s="235">
        <f t="shared" ref="J325:J388" si="45">I325/1.62</f>
        <v>3.1944444444444442</v>
      </c>
      <c r="K325" s="215">
        <v>138</v>
      </c>
      <c r="L325" s="252">
        <f>_xlfn.XLOOKUP($K325,Inputs!$C$6:$C$23,Inputs!$D$6:$D$23)*$I325</f>
        <v>2.2437321428571431</v>
      </c>
      <c r="M325" s="68"/>
      <c r="N325" s="68"/>
      <c r="O325" s="215">
        <v>120</v>
      </c>
      <c r="P325" s="215">
        <v>146</v>
      </c>
      <c r="Q325" s="94">
        <v>0.9</v>
      </c>
      <c r="R325" s="68" t="s">
        <v>115</v>
      </c>
      <c r="S325" s="182">
        <f>O325*Q325</f>
        <v>108</v>
      </c>
      <c r="T325" s="182">
        <f>P325*Q325</f>
        <v>131.4</v>
      </c>
      <c r="U325" s="96" t="s">
        <v>3421</v>
      </c>
      <c r="V325" s="22" t="s">
        <v>2773</v>
      </c>
      <c r="W325" s="96" t="s">
        <v>3944</v>
      </c>
      <c r="X325" s="22" t="s">
        <v>3196</v>
      </c>
      <c r="Y325" s="11" t="s">
        <v>3281</v>
      </c>
      <c r="Z325" s="79"/>
      <c r="AA325" s="187">
        <v>322</v>
      </c>
    </row>
    <row r="326" spans="2:27" s="184" customFormat="1" ht="20" x14ac:dyDescent="0.2">
      <c r="B326" s="11" t="s">
        <v>1316</v>
      </c>
      <c r="C326" s="165" t="s">
        <v>4235</v>
      </c>
      <c r="D326" s="22" t="s">
        <v>2379</v>
      </c>
      <c r="E326" s="34">
        <v>1</v>
      </c>
      <c r="F326" s="22" t="s">
        <v>2223</v>
      </c>
      <c r="G326" s="88">
        <v>10.8</v>
      </c>
      <c r="H326" s="235">
        <f t="shared" si="44"/>
        <v>6.666666666666667</v>
      </c>
      <c r="I326" s="88">
        <v>10.8</v>
      </c>
      <c r="J326" s="235">
        <f t="shared" si="45"/>
        <v>6.666666666666667</v>
      </c>
      <c r="K326" s="216">
        <v>138</v>
      </c>
      <c r="L326" s="252">
        <f>_xlfn.XLOOKUP($K326,Inputs!$C$6:$C$23,Inputs!$D$6:$D$23)*$I326</f>
        <v>4.6825714285714293</v>
      </c>
      <c r="M326" s="68"/>
      <c r="N326" s="68"/>
      <c r="O326" s="216">
        <v>120</v>
      </c>
      <c r="P326" s="216">
        <v>146</v>
      </c>
      <c r="Q326" s="94">
        <v>0.9</v>
      </c>
      <c r="R326" s="68" t="s">
        <v>115</v>
      </c>
      <c r="S326" s="182">
        <f>O326*Q326</f>
        <v>108</v>
      </c>
      <c r="T326" s="182">
        <f>P326*Q326</f>
        <v>131.4</v>
      </c>
      <c r="U326" s="96" t="s">
        <v>3772</v>
      </c>
      <c r="V326" s="22" t="s">
        <v>3025</v>
      </c>
      <c r="W326" s="96" t="s">
        <v>3421</v>
      </c>
      <c r="X326" s="22" t="s">
        <v>2773</v>
      </c>
      <c r="Y326" s="11" t="s">
        <v>3281</v>
      </c>
      <c r="Z326" s="79"/>
      <c r="AA326" s="187">
        <v>323</v>
      </c>
    </row>
    <row r="327" spans="2:27" s="184" customFormat="1" ht="20" x14ac:dyDescent="0.2">
      <c r="B327" s="11" t="s">
        <v>1971</v>
      </c>
      <c r="C327" s="165" t="s">
        <v>4235</v>
      </c>
      <c r="D327" s="22" t="s">
        <v>2379</v>
      </c>
      <c r="E327" s="34">
        <v>1</v>
      </c>
      <c r="F327" s="22" t="s">
        <v>2223</v>
      </c>
      <c r="G327" s="88">
        <v>10.5</v>
      </c>
      <c r="H327" s="235">
        <f t="shared" si="44"/>
        <v>6.481481481481481</v>
      </c>
      <c r="I327" s="88">
        <v>25.900000000000002</v>
      </c>
      <c r="J327" s="235">
        <f t="shared" si="45"/>
        <v>15.987654320987655</v>
      </c>
      <c r="K327" s="215">
        <v>138</v>
      </c>
      <c r="L327" s="252">
        <f>_xlfn.XLOOKUP($K327,Inputs!$C$6:$C$23,Inputs!$D$6:$D$23)*$I327</f>
        <v>11.229500000000002</v>
      </c>
      <c r="M327" s="68"/>
      <c r="N327" s="68"/>
      <c r="O327" s="215">
        <v>119</v>
      </c>
      <c r="P327" s="215">
        <v>119</v>
      </c>
      <c r="Q327" s="94">
        <v>0.9</v>
      </c>
      <c r="R327" s="68" t="s">
        <v>115</v>
      </c>
      <c r="S327" s="182">
        <f>O327*Q327</f>
        <v>107.10000000000001</v>
      </c>
      <c r="T327" s="182">
        <f>P327*Q327</f>
        <v>107.10000000000001</v>
      </c>
      <c r="U327" s="96" t="s">
        <v>3557</v>
      </c>
      <c r="V327" s="22" t="s">
        <v>2858</v>
      </c>
      <c r="W327" s="96" t="s">
        <v>4004</v>
      </c>
      <c r="X327" s="22" t="s">
        <v>2119</v>
      </c>
      <c r="Y327" s="11" t="s">
        <v>3293</v>
      </c>
      <c r="Z327" s="79"/>
      <c r="AA327" s="187">
        <v>324</v>
      </c>
    </row>
    <row r="328" spans="2:27" s="184" customFormat="1" ht="20" x14ac:dyDescent="0.2">
      <c r="B328" s="11" t="s">
        <v>1971</v>
      </c>
      <c r="C328" s="165" t="s">
        <v>4235</v>
      </c>
      <c r="D328" s="22" t="s">
        <v>2379</v>
      </c>
      <c r="E328" s="34">
        <v>1</v>
      </c>
      <c r="F328" s="22" t="s">
        <v>2223</v>
      </c>
      <c r="G328" s="88">
        <v>15.400000000000002</v>
      </c>
      <c r="H328" s="235">
        <f t="shared" si="44"/>
        <v>9.5061728395061742</v>
      </c>
      <c r="I328" s="88">
        <v>25.900000000000002</v>
      </c>
      <c r="J328" s="235">
        <f t="shared" si="45"/>
        <v>15.987654320987655</v>
      </c>
      <c r="K328" s="217">
        <v>138</v>
      </c>
      <c r="L328" s="252">
        <f>_xlfn.XLOOKUP($K328,Inputs!$C$6:$C$23,Inputs!$D$6:$D$23)*$I328</f>
        <v>11.229500000000002</v>
      </c>
      <c r="M328" s="68"/>
      <c r="N328" s="68"/>
      <c r="O328" s="217">
        <v>119</v>
      </c>
      <c r="P328" s="217">
        <v>119</v>
      </c>
      <c r="Q328" s="94">
        <v>0.9</v>
      </c>
      <c r="R328" s="68" t="s">
        <v>115</v>
      </c>
      <c r="S328" s="182">
        <f>O328*Q328</f>
        <v>107.10000000000001</v>
      </c>
      <c r="T328" s="182">
        <f>P328*Q328</f>
        <v>107.10000000000001</v>
      </c>
      <c r="U328" s="96" t="s">
        <v>4004</v>
      </c>
      <c r="V328" s="22" t="s">
        <v>2119</v>
      </c>
      <c r="W328" s="96" t="s">
        <v>3487</v>
      </c>
      <c r="X328" s="22" t="s">
        <v>2652</v>
      </c>
      <c r="Y328" s="11" t="s">
        <v>3293</v>
      </c>
      <c r="Z328" s="79"/>
      <c r="AA328" s="187">
        <v>325</v>
      </c>
    </row>
    <row r="329" spans="2:27" s="184" customFormat="1" ht="20" x14ac:dyDescent="0.2">
      <c r="B329" s="11" t="s">
        <v>1972</v>
      </c>
      <c r="C329" s="165" t="s">
        <v>4235</v>
      </c>
      <c r="D329" s="22" t="s">
        <v>2379</v>
      </c>
      <c r="E329" s="34">
        <v>1</v>
      </c>
      <c r="F329" s="22" t="s">
        <v>2223</v>
      </c>
      <c r="G329" s="88">
        <v>8.4</v>
      </c>
      <c r="H329" s="235">
        <f t="shared" si="44"/>
        <v>5.1851851851851851</v>
      </c>
      <c r="I329" s="88">
        <v>8.4</v>
      </c>
      <c r="J329" s="235">
        <f t="shared" si="45"/>
        <v>5.1851851851851851</v>
      </c>
      <c r="K329" s="201">
        <v>144</v>
      </c>
      <c r="L329" s="252">
        <f>_xlfn.XLOOKUP($K329,Inputs!$C$6:$C$23,Inputs!$D$6:$D$23)*$I329</f>
        <v>3.6780000000000004</v>
      </c>
      <c r="M329" s="68"/>
      <c r="N329" s="68"/>
      <c r="O329" s="187"/>
      <c r="P329" s="187"/>
      <c r="Q329" s="94">
        <v>0.9</v>
      </c>
      <c r="R329" s="68">
        <f>IF((42.4*(J329)^(-0.6595))&gt;=3,3,(IF(42.4*(J329)^(-0.6595)&lt;=0.5,0.5,(42.4*(J329)^(-0.6595)))))</f>
        <v>3</v>
      </c>
      <c r="S329" s="276">
        <f>_xlfn.XLOOKUP($K329,Inputs!$G$6:$G$23,Inputs!J$6:J$23)*$R329</f>
        <v>153.60000000000002</v>
      </c>
      <c r="T329" s="276">
        <f>_xlfn.XLOOKUP($K329,Inputs!$G$6:$G$23,Inputs!K$6:K$23)*$R329</f>
        <v>169.96721311475409</v>
      </c>
      <c r="U329" s="96" t="s">
        <v>4004</v>
      </c>
      <c r="V329" s="22" t="s">
        <v>2119</v>
      </c>
      <c r="W329" s="96" t="s">
        <v>3873</v>
      </c>
      <c r="X329" s="22" t="s">
        <v>2724</v>
      </c>
      <c r="Y329" s="11" t="s">
        <v>3331</v>
      </c>
      <c r="Z329" s="79"/>
      <c r="AA329" s="187">
        <v>326</v>
      </c>
    </row>
    <row r="330" spans="2:27" s="184" customFormat="1" ht="20" x14ac:dyDescent="0.2">
      <c r="B330" s="11" t="s">
        <v>1897</v>
      </c>
      <c r="C330" s="165" t="s">
        <v>4235</v>
      </c>
      <c r="D330" s="22" t="s">
        <v>2379</v>
      </c>
      <c r="E330" s="34">
        <v>1</v>
      </c>
      <c r="F330" s="22" t="s">
        <v>2223</v>
      </c>
      <c r="G330" s="88">
        <v>8.4</v>
      </c>
      <c r="H330" s="235">
        <f t="shared" si="44"/>
        <v>5.1851851851851851</v>
      </c>
      <c r="I330" s="88">
        <v>46.9</v>
      </c>
      <c r="J330" s="235">
        <f t="shared" si="45"/>
        <v>28.950617283950614</v>
      </c>
      <c r="K330" s="294">
        <v>144</v>
      </c>
      <c r="L330" s="252">
        <f>_xlfn.XLOOKUP($K330,Inputs!$C$6:$C$23,Inputs!$D$6:$D$23)*$I330</f>
        <v>20.535500000000003</v>
      </c>
      <c r="M330" s="68"/>
      <c r="N330" s="68"/>
      <c r="O330" s="295"/>
      <c r="P330" s="295"/>
      <c r="Q330" s="94">
        <v>0.9</v>
      </c>
      <c r="R330" s="68">
        <f>IF((42.4*(J330)^(-0.6595))&gt;=3,3,(IF(42.4*(J330)^(-0.6595)&lt;=0.5,0.5,(42.4*(J330)^(-0.6595)))))</f>
        <v>3</v>
      </c>
      <c r="S330" s="276">
        <f>_xlfn.XLOOKUP($K330,Inputs!$G$6:$G$23,Inputs!J$6:J$23)*$R330</f>
        <v>153.60000000000002</v>
      </c>
      <c r="T330" s="276">
        <f>_xlfn.XLOOKUP($K330,Inputs!$G$6:$G$23,Inputs!K$6:K$23)*$R330</f>
        <v>169.96721311475409</v>
      </c>
      <c r="U330" s="96" t="s">
        <v>3937</v>
      </c>
      <c r="V330" s="22" t="s">
        <v>2651</v>
      </c>
      <c r="W330" s="96" t="s">
        <v>3409</v>
      </c>
      <c r="X330" s="22" t="s">
        <v>2120</v>
      </c>
      <c r="Y330" s="11" t="s">
        <v>3331</v>
      </c>
      <c r="Z330" s="79"/>
      <c r="AA330" s="187">
        <v>327</v>
      </c>
    </row>
    <row r="331" spans="2:27" s="184" customFormat="1" ht="20" x14ac:dyDescent="0.2">
      <c r="B331" s="11" t="s">
        <v>1897</v>
      </c>
      <c r="C331" s="165" t="s">
        <v>4235</v>
      </c>
      <c r="D331" s="22" t="s">
        <v>2379</v>
      </c>
      <c r="E331" s="34">
        <v>1</v>
      </c>
      <c r="F331" s="22" t="s">
        <v>2223</v>
      </c>
      <c r="G331" s="88">
        <v>38.5</v>
      </c>
      <c r="H331" s="235">
        <f t="shared" si="44"/>
        <v>23.76543209876543</v>
      </c>
      <c r="I331" s="88">
        <v>46.9</v>
      </c>
      <c r="J331" s="235">
        <f t="shared" si="45"/>
        <v>28.950617283950614</v>
      </c>
      <c r="K331" s="201">
        <v>144</v>
      </c>
      <c r="L331" s="252">
        <f>_xlfn.XLOOKUP($K331,Inputs!$C$6:$C$23,Inputs!$D$6:$D$23)*$I331</f>
        <v>20.535500000000003</v>
      </c>
      <c r="M331" s="68"/>
      <c r="N331" s="68"/>
      <c r="O331" s="187"/>
      <c r="P331" s="187"/>
      <c r="Q331" s="94">
        <v>0.9</v>
      </c>
      <c r="R331" s="68">
        <f>IF((42.4*(J331)^(-0.6595))&gt;=3,3,(IF(42.4*(J331)^(-0.6595)&lt;=0.5,0.5,(42.4*(J331)^(-0.6595)))))</f>
        <v>3</v>
      </c>
      <c r="S331" s="276">
        <f>_xlfn.XLOOKUP($K331,Inputs!$G$6:$G$23,Inputs!J$6:J$23)*$R331</f>
        <v>153.60000000000002</v>
      </c>
      <c r="T331" s="276">
        <f>_xlfn.XLOOKUP($K331,Inputs!$G$6:$G$23,Inputs!K$6:K$23)*$R331</f>
        <v>169.96721311475409</v>
      </c>
      <c r="U331" s="96" t="s">
        <v>3409</v>
      </c>
      <c r="V331" s="22" t="s">
        <v>2120</v>
      </c>
      <c r="W331" s="96" t="s">
        <v>3358</v>
      </c>
      <c r="X331" s="205" t="s">
        <v>2654</v>
      </c>
      <c r="Y331" s="11" t="s">
        <v>3331</v>
      </c>
      <c r="Z331" s="79"/>
      <c r="AA331" s="187">
        <v>328</v>
      </c>
    </row>
    <row r="332" spans="2:27" s="184" customFormat="1" ht="20" x14ac:dyDescent="0.2">
      <c r="B332" s="11" t="s">
        <v>1898</v>
      </c>
      <c r="C332" s="165" t="s">
        <v>4235</v>
      </c>
      <c r="D332" s="22" t="s">
        <v>2379</v>
      </c>
      <c r="E332" s="34">
        <v>1</v>
      </c>
      <c r="F332" s="22" t="s">
        <v>2223</v>
      </c>
      <c r="G332" s="88">
        <v>10.5</v>
      </c>
      <c r="H332" s="235">
        <f t="shared" si="44"/>
        <v>6.481481481481481</v>
      </c>
      <c r="I332" s="88">
        <v>10.5</v>
      </c>
      <c r="J332" s="235">
        <f t="shared" si="45"/>
        <v>6.481481481481481</v>
      </c>
      <c r="K332" s="221">
        <v>144</v>
      </c>
      <c r="L332" s="252">
        <f>_xlfn.XLOOKUP($K332,Inputs!$C$6:$C$23,Inputs!$D$6:$D$23)*$I332</f>
        <v>4.5975000000000001</v>
      </c>
      <c r="M332" s="68"/>
      <c r="N332" s="68"/>
      <c r="O332" s="206"/>
      <c r="P332" s="206"/>
      <c r="Q332" s="94">
        <v>0.9</v>
      </c>
      <c r="R332" s="68">
        <f>IF((42.4*(J332)^(-0.6595))&gt;=3,3,(IF(42.4*(J332)^(-0.6595)&lt;=0.5,0.5,(42.4*(J332)^(-0.6595)))))</f>
        <v>3</v>
      </c>
      <c r="S332" s="276">
        <f>_xlfn.XLOOKUP($K332,Inputs!$G$6:$G$23,Inputs!J$6:J$23)*$R332</f>
        <v>153.60000000000002</v>
      </c>
      <c r="T332" s="276">
        <f>_xlfn.XLOOKUP($K332,Inputs!$G$6:$G$23,Inputs!K$6:K$23)*$R332</f>
        <v>169.96721311475409</v>
      </c>
      <c r="U332" s="96" t="s">
        <v>3409</v>
      </c>
      <c r="V332" s="22" t="s">
        <v>2120</v>
      </c>
      <c r="W332" s="96" t="s">
        <v>3408</v>
      </c>
      <c r="X332" s="22" t="s">
        <v>2605</v>
      </c>
      <c r="Y332" s="11" t="s">
        <v>3331</v>
      </c>
      <c r="Z332" s="79"/>
      <c r="AA332" s="187">
        <v>329</v>
      </c>
    </row>
    <row r="333" spans="2:27" s="184" customFormat="1" ht="20" x14ac:dyDescent="0.2">
      <c r="B333" s="11" t="s">
        <v>1969</v>
      </c>
      <c r="C333" s="165" t="s">
        <v>4235</v>
      </c>
      <c r="D333" s="22" t="s">
        <v>2379</v>
      </c>
      <c r="E333" s="34">
        <v>1</v>
      </c>
      <c r="F333" s="22" t="s">
        <v>2223</v>
      </c>
      <c r="G333" s="88">
        <v>17.5</v>
      </c>
      <c r="H333" s="235">
        <f t="shared" si="44"/>
        <v>10.802469135802468</v>
      </c>
      <c r="I333" s="88">
        <v>17.5</v>
      </c>
      <c r="J333" s="235">
        <f t="shared" si="45"/>
        <v>10.802469135802468</v>
      </c>
      <c r="K333" s="215">
        <v>138</v>
      </c>
      <c r="L333" s="252">
        <f>_xlfn.XLOOKUP($K333,Inputs!$C$6:$C$23,Inputs!$D$6:$D$23)*$I333</f>
        <v>7.5875000000000004</v>
      </c>
      <c r="M333" s="68"/>
      <c r="N333" s="68"/>
      <c r="O333" s="215">
        <v>85</v>
      </c>
      <c r="P333" s="215">
        <v>94</v>
      </c>
      <c r="Q333" s="94">
        <v>0.9</v>
      </c>
      <c r="R333" s="68" t="s">
        <v>115</v>
      </c>
      <c r="S333" s="182">
        <f t="shared" ref="S333:S339" si="46">O333*Q333</f>
        <v>76.5</v>
      </c>
      <c r="T333" s="182">
        <f t="shared" ref="T333:T339" si="47">P333*Q333</f>
        <v>84.600000000000009</v>
      </c>
      <c r="U333" s="96" t="s">
        <v>3872</v>
      </c>
      <c r="V333" s="22" t="s">
        <v>2629</v>
      </c>
      <c r="W333" s="96" t="s">
        <v>3557</v>
      </c>
      <c r="X333" s="22" t="s">
        <v>2858</v>
      </c>
      <c r="Y333" s="11" t="s">
        <v>3323</v>
      </c>
      <c r="Z333" s="79"/>
      <c r="AA333" s="187">
        <v>330</v>
      </c>
    </row>
    <row r="334" spans="2:27" s="184" customFormat="1" ht="20" x14ac:dyDescent="0.2">
      <c r="B334" s="11" t="s">
        <v>1726</v>
      </c>
      <c r="C334" s="165" t="s">
        <v>4235</v>
      </c>
      <c r="D334" s="22" t="s">
        <v>2379</v>
      </c>
      <c r="E334" s="34">
        <v>1</v>
      </c>
      <c r="F334" s="22" t="s">
        <v>2223</v>
      </c>
      <c r="G334" s="88">
        <v>11.9</v>
      </c>
      <c r="H334" s="235">
        <f t="shared" si="44"/>
        <v>7.3456790123456788</v>
      </c>
      <c r="I334" s="88">
        <v>11.9</v>
      </c>
      <c r="J334" s="235">
        <f t="shared" si="45"/>
        <v>7.3456790123456788</v>
      </c>
      <c r="K334" s="215">
        <v>138</v>
      </c>
      <c r="L334" s="252">
        <f>_xlfn.XLOOKUP($K334,Inputs!$C$6:$C$23,Inputs!$D$6:$D$23)*$I334</f>
        <v>5.1595000000000004</v>
      </c>
      <c r="M334" s="68"/>
      <c r="N334" s="68"/>
      <c r="O334" s="215">
        <v>119</v>
      </c>
      <c r="P334" s="215">
        <v>147</v>
      </c>
      <c r="Q334" s="94">
        <v>0.9</v>
      </c>
      <c r="R334" s="68" t="s">
        <v>115</v>
      </c>
      <c r="S334" s="182">
        <f t="shared" si="46"/>
        <v>107.10000000000001</v>
      </c>
      <c r="T334" s="182">
        <f t="shared" si="47"/>
        <v>132.30000000000001</v>
      </c>
      <c r="U334" s="96" t="s">
        <v>3515</v>
      </c>
      <c r="V334" s="22" t="s">
        <v>2830</v>
      </c>
      <c r="W334" s="96" t="s">
        <v>3886</v>
      </c>
      <c r="X334" s="22" t="s">
        <v>2631</v>
      </c>
      <c r="Y334" s="11" t="s">
        <v>3320</v>
      </c>
      <c r="Z334" s="79"/>
      <c r="AA334" s="187">
        <v>331</v>
      </c>
    </row>
    <row r="335" spans="2:27" s="184" customFormat="1" ht="20" x14ac:dyDescent="0.2">
      <c r="B335" s="79" t="s">
        <v>1975</v>
      </c>
      <c r="C335" s="165" t="s">
        <v>4235</v>
      </c>
      <c r="D335" s="22" t="s">
        <v>2379</v>
      </c>
      <c r="E335" s="34">
        <v>1</v>
      </c>
      <c r="F335" s="22" t="s">
        <v>2223</v>
      </c>
      <c r="G335" s="88">
        <v>38.5</v>
      </c>
      <c r="H335" s="235">
        <f t="shared" si="44"/>
        <v>23.76543209876543</v>
      </c>
      <c r="I335" s="88">
        <v>38.5</v>
      </c>
      <c r="J335" s="235">
        <f t="shared" si="45"/>
        <v>23.76543209876543</v>
      </c>
      <c r="K335" s="216">
        <v>138</v>
      </c>
      <c r="L335" s="252">
        <f>_xlfn.XLOOKUP($K335,Inputs!$C$6:$C$23,Inputs!$D$6:$D$23)*$I335</f>
        <v>16.692500000000003</v>
      </c>
      <c r="M335" s="68"/>
      <c r="N335" s="68"/>
      <c r="O335" s="216">
        <v>85</v>
      </c>
      <c r="P335" s="216">
        <v>94</v>
      </c>
      <c r="Q335" s="94">
        <v>0.9</v>
      </c>
      <c r="R335" s="68" t="s">
        <v>115</v>
      </c>
      <c r="S335" s="182">
        <f t="shared" si="46"/>
        <v>76.5</v>
      </c>
      <c r="T335" s="182">
        <f t="shared" si="47"/>
        <v>84.600000000000009</v>
      </c>
      <c r="U335" s="96" t="s">
        <v>3557</v>
      </c>
      <c r="V335" s="22" t="s">
        <v>2858</v>
      </c>
      <c r="W335" s="96" t="s">
        <v>3438</v>
      </c>
      <c r="X335" s="22" t="s">
        <v>2690</v>
      </c>
      <c r="Y335" s="11" t="s">
        <v>3323</v>
      </c>
      <c r="Z335" s="79"/>
      <c r="AA335" s="187">
        <v>332</v>
      </c>
    </row>
    <row r="336" spans="2:27" s="184" customFormat="1" ht="20" x14ac:dyDescent="0.2">
      <c r="B336" s="11" t="s">
        <v>1867</v>
      </c>
      <c r="C336" s="165" t="s">
        <v>4235</v>
      </c>
      <c r="D336" s="22" t="s">
        <v>2379</v>
      </c>
      <c r="E336" s="34">
        <v>1</v>
      </c>
      <c r="F336" s="22" t="s">
        <v>2223</v>
      </c>
      <c r="G336" s="88">
        <v>10.5</v>
      </c>
      <c r="H336" s="235">
        <f t="shared" si="44"/>
        <v>6.481481481481481</v>
      </c>
      <c r="I336" s="88">
        <v>10.5</v>
      </c>
      <c r="J336" s="235">
        <f t="shared" si="45"/>
        <v>6.481481481481481</v>
      </c>
      <c r="K336" s="215">
        <v>138</v>
      </c>
      <c r="L336" s="252">
        <f>_xlfn.XLOOKUP($K336,Inputs!$C$6:$C$23,Inputs!$D$6:$D$23)*$I336</f>
        <v>4.5525000000000002</v>
      </c>
      <c r="M336" s="68"/>
      <c r="N336" s="68"/>
      <c r="O336" s="215">
        <v>119</v>
      </c>
      <c r="P336" s="215">
        <v>147</v>
      </c>
      <c r="Q336" s="94">
        <v>0.9</v>
      </c>
      <c r="R336" s="68" t="s">
        <v>115</v>
      </c>
      <c r="S336" s="182">
        <f t="shared" si="46"/>
        <v>107.10000000000001</v>
      </c>
      <c r="T336" s="182">
        <f t="shared" si="47"/>
        <v>132.30000000000001</v>
      </c>
      <c r="U336" s="96" t="s">
        <v>3776</v>
      </c>
      <c r="V336" s="22" t="s">
        <v>2615</v>
      </c>
      <c r="W336" s="96" t="s">
        <v>3584</v>
      </c>
      <c r="X336" s="22" t="s">
        <v>2620</v>
      </c>
      <c r="Y336" s="11" t="s">
        <v>3307</v>
      </c>
      <c r="Z336" s="79"/>
      <c r="AA336" s="187">
        <v>333</v>
      </c>
    </row>
    <row r="337" spans="2:27" s="184" customFormat="1" ht="20" x14ac:dyDescent="0.2">
      <c r="B337" s="11" t="s">
        <v>1582</v>
      </c>
      <c r="C337" s="165" t="s">
        <v>4235</v>
      </c>
      <c r="D337" s="22" t="s">
        <v>2379</v>
      </c>
      <c r="E337" s="34">
        <v>1</v>
      </c>
      <c r="F337" s="22" t="s">
        <v>2223</v>
      </c>
      <c r="G337" s="88">
        <v>21</v>
      </c>
      <c r="H337" s="235">
        <f t="shared" si="44"/>
        <v>12.962962962962962</v>
      </c>
      <c r="I337" s="88">
        <v>21</v>
      </c>
      <c r="J337" s="235">
        <f t="shared" si="45"/>
        <v>12.962962962962962</v>
      </c>
      <c r="K337" s="215">
        <v>138</v>
      </c>
      <c r="L337" s="252">
        <f>_xlfn.XLOOKUP($K337,Inputs!$C$6:$C$23,Inputs!$D$6:$D$23)*$I337</f>
        <v>9.1050000000000004</v>
      </c>
      <c r="M337" s="68"/>
      <c r="N337" s="68"/>
      <c r="O337" s="215">
        <v>120</v>
      </c>
      <c r="P337" s="215">
        <v>145</v>
      </c>
      <c r="Q337" s="94">
        <v>0.9</v>
      </c>
      <c r="R337" s="68" t="s">
        <v>115</v>
      </c>
      <c r="S337" s="182">
        <f t="shared" si="46"/>
        <v>108</v>
      </c>
      <c r="T337" s="182">
        <f t="shared" si="47"/>
        <v>130.5</v>
      </c>
      <c r="U337" s="96" t="s">
        <v>3483</v>
      </c>
      <c r="V337" s="22" t="s">
        <v>2647</v>
      </c>
      <c r="W337" s="96" t="s">
        <v>3913</v>
      </c>
      <c r="X337" s="22" t="s">
        <v>3174</v>
      </c>
      <c r="Y337" s="11" t="s">
        <v>3312</v>
      </c>
      <c r="Z337" s="79"/>
      <c r="AA337" s="187">
        <v>334</v>
      </c>
    </row>
    <row r="338" spans="2:27" s="184" customFormat="1" ht="20" x14ac:dyDescent="0.2">
      <c r="B338" s="11" t="s">
        <v>1892</v>
      </c>
      <c r="C338" s="165" t="s">
        <v>4235</v>
      </c>
      <c r="D338" s="22" t="s">
        <v>2379</v>
      </c>
      <c r="E338" s="34">
        <v>1</v>
      </c>
      <c r="F338" s="22" t="s">
        <v>2223</v>
      </c>
      <c r="G338" s="235">
        <v>21</v>
      </c>
      <c r="H338" s="235">
        <f t="shared" si="44"/>
        <v>12.962962962962962</v>
      </c>
      <c r="I338" s="235">
        <v>49</v>
      </c>
      <c r="J338" s="235">
        <f t="shared" si="45"/>
        <v>30.246913580246911</v>
      </c>
      <c r="K338" s="215">
        <v>138</v>
      </c>
      <c r="L338" s="252">
        <f>_xlfn.XLOOKUP($K338,Inputs!$C$6:$C$23,Inputs!$D$6:$D$23)*$I338</f>
        <v>21.245000000000001</v>
      </c>
      <c r="M338" s="68"/>
      <c r="N338" s="68"/>
      <c r="O338" s="215">
        <v>119</v>
      </c>
      <c r="P338" s="215">
        <v>146</v>
      </c>
      <c r="Q338" s="94">
        <v>0.9</v>
      </c>
      <c r="R338" s="68" t="s">
        <v>115</v>
      </c>
      <c r="S338" s="182">
        <f t="shared" si="46"/>
        <v>107.10000000000001</v>
      </c>
      <c r="T338" s="182">
        <f t="shared" si="47"/>
        <v>131.4</v>
      </c>
      <c r="U338" s="96" t="s">
        <v>3584</v>
      </c>
      <c r="V338" s="22" t="s">
        <v>2620</v>
      </c>
      <c r="W338" s="96" t="s">
        <v>4020</v>
      </c>
      <c r="X338" s="205" t="s">
        <v>2121</v>
      </c>
      <c r="Y338" s="11" t="s">
        <v>3307</v>
      </c>
      <c r="Z338" s="79"/>
      <c r="AA338" s="187">
        <v>335</v>
      </c>
    </row>
    <row r="339" spans="2:27" s="184" customFormat="1" ht="20" x14ac:dyDescent="0.2">
      <c r="B339" s="11" t="s">
        <v>1892</v>
      </c>
      <c r="C339" s="165" t="s">
        <v>4235</v>
      </c>
      <c r="D339" s="22" t="s">
        <v>2379</v>
      </c>
      <c r="E339" s="34">
        <v>1</v>
      </c>
      <c r="F339" s="22" t="s">
        <v>2223</v>
      </c>
      <c r="G339" s="88">
        <v>28</v>
      </c>
      <c r="H339" s="235">
        <f t="shared" si="44"/>
        <v>17.283950617283949</v>
      </c>
      <c r="I339" s="88">
        <v>49</v>
      </c>
      <c r="J339" s="235">
        <f t="shared" si="45"/>
        <v>30.246913580246911</v>
      </c>
      <c r="K339" s="215">
        <v>138</v>
      </c>
      <c r="L339" s="252">
        <f>_xlfn.XLOOKUP($K339,Inputs!$C$6:$C$23,Inputs!$D$6:$D$23)*$I339</f>
        <v>21.245000000000001</v>
      </c>
      <c r="M339" s="68"/>
      <c r="N339" s="68"/>
      <c r="O339" s="215">
        <v>119</v>
      </c>
      <c r="P339" s="215">
        <v>146</v>
      </c>
      <c r="Q339" s="94">
        <v>0.9</v>
      </c>
      <c r="R339" s="68" t="s">
        <v>115</v>
      </c>
      <c r="S339" s="182">
        <f t="shared" si="46"/>
        <v>107.10000000000001</v>
      </c>
      <c r="T339" s="182">
        <f t="shared" si="47"/>
        <v>131.4</v>
      </c>
      <c r="U339" s="96" t="s">
        <v>4020</v>
      </c>
      <c r="V339" s="22" t="s">
        <v>2121</v>
      </c>
      <c r="W339" s="96" t="s">
        <v>3769</v>
      </c>
      <c r="X339" s="22" t="s">
        <v>3023</v>
      </c>
      <c r="Y339" s="11" t="s">
        <v>3307</v>
      </c>
      <c r="Z339" s="79"/>
      <c r="AA339" s="187">
        <v>336</v>
      </c>
    </row>
    <row r="340" spans="2:27" s="184" customFormat="1" ht="20" x14ac:dyDescent="0.2">
      <c r="B340" s="11" t="s">
        <v>1894</v>
      </c>
      <c r="C340" s="165" t="s">
        <v>4235</v>
      </c>
      <c r="D340" s="22" t="s">
        <v>2379</v>
      </c>
      <c r="E340" s="34">
        <v>1</v>
      </c>
      <c r="F340" s="22" t="s">
        <v>2223</v>
      </c>
      <c r="G340" s="88">
        <v>7</v>
      </c>
      <c r="H340" s="235">
        <f t="shared" si="44"/>
        <v>4.3209876543209873</v>
      </c>
      <c r="I340" s="88">
        <v>7</v>
      </c>
      <c r="J340" s="235">
        <f t="shared" si="45"/>
        <v>4.3209876543209873</v>
      </c>
      <c r="K340" s="201">
        <v>144</v>
      </c>
      <c r="L340" s="252">
        <f>_xlfn.XLOOKUP($K340,Inputs!$C$6:$C$23,Inputs!$D$6:$D$23)*$I340</f>
        <v>3.0650000000000004</v>
      </c>
      <c r="M340" s="68"/>
      <c r="N340" s="68"/>
      <c r="O340" s="187"/>
      <c r="P340" s="187"/>
      <c r="Q340" s="94">
        <v>0.9</v>
      </c>
      <c r="R340" s="68">
        <f>IF((42.4*(J340)^(-0.6595))&gt;=3,3,(IF(42.4*(J340)^(-0.6595)&lt;=0.5,0.5,(42.4*(J340)^(-0.6595)))))</f>
        <v>3</v>
      </c>
      <c r="S340" s="276">
        <f>_xlfn.XLOOKUP($K340,Inputs!$G$6:$G$23,Inputs!J$6:J$23)*$R340</f>
        <v>153.60000000000002</v>
      </c>
      <c r="T340" s="276">
        <f>_xlfn.XLOOKUP($K340,Inputs!$G$6:$G$23,Inputs!K$6:K$23)*$R340</f>
        <v>169.96721311475409</v>
      </c>
      <c r="U340" s="96" t="s">
        <v>4020</v>
      </c>
      <c r="V340" s="22" t="s">
        <v>2121</v>
      </c>
      <c r="W340" s="96" t="s">
        <v>4019</v>
      </c>
      <c r="X340" s="22" t="s">
        <v>2689</v>
      </c>
      <c r="Y340" s="11" t="s">
        <v>3331</v>
      </c>
      <c r="Z340" s="79"/>
      <c r="AA340" s="187">
        <v>337</v>
      </c>
    </row>
    <row r="341" spans="2:27" s="184" customFormat="1" ht="20" x14ac:dyDescent="0.2">
      <c r="B341" s="11" t="s">
        <v>1885</v>
      </c>
      <c r="C341" s="165" t="s">
        <v>4235</v>
      </c>
      <c r="D341" s="22" t="s">
        <v>2379</v>
      </c>
      <c r="E341" s="34">
        <v>1</v>
      </c>
      <c r="F341" s="22" t="s">
        <v>2223</v>
      </c>
      <c r="G341" s="88">
        <v>7</v>
      </c>
      <c r="H341" s="235">
        <f t="shared" si="44"/>
        <v>4.3209876543209873</v>
      </c>
      <c r="I341" s="88">
        <v>7</v>
      </c>
      <c r="J341" s="235">
        <f t="shared" si="45"/>
        <v>4.3209876543209873</v>
      </c>
      <c r="K341" s="201">
        <v>144</v>
      </c>
      <c r="L341" s="252">
        <f>_xlfn.XLOOKUP($K341,Inputs!$C$6:$C$23,Inputs!$D$6:$D$23)*$I341</f>
        <v>3.0650000000000004</v>
      </c>
      <c r="M341" s="68"/>
      <c r="N341" s="68"/>
      <c r="O341" s="187"/>
      <c r="P341" s="187"/>
      <c r="Q341" s="94">
        <v>0.9</v>
      </c>
      <c r="R341" s="68">
        <f>IF((42.4*(J341)^(-0.6595))&gt;=3,3,(IF(42.4*(J341)^(-0.6595)&lt;=0.5,0.5,(42.4*(J341)^(-0.6595)))))</f>
        <v>3</v>
      </c>
      <c r="S341" s="276">
        <f>_xlfn.XLOOKUP($K341,Inputs!$G$6:$G$23,Inputs!J$6:J$23)*$R341</f>
        <v>153.60000000000002</v>
      </c>
      <c r="T341" s="276">
        <f>_xlfn.XLOOKUP($K341,Inputs!$G$6:$G$23,Inputs!K$6:K$23)*$R341</f>
        <v>169.96721311475409</v>
      </c>
      <c r="U341" s="96" t="s">
        <v>3555</v>
      </c>
      <c r="V341" s="22" t="s">
        <v>2857</v>
      </c>
      <c r="W341" s="96" t="s">
        <v>3859</v>
      </c>
      <c r="X341" s="22" t="s">
        <v>2722</v>
      </c>
      <c r="Y341" s="11" t="s">
        <v>3331</v>
      </c>
      <c r="Z341" s="79"/>
      <c r="AA341" s="187">
        <v>338</v>
      </c>
    </row>
    <row r="342" spans="2:27" s="184" customFormat="1" ht="20" x14ac:dyDescent="0.2">
      <c r="B342" s="11" t="s">
        <v>1724</v>
      </c>
      <c r="C342" s="165" t="s">
        <v>4235</v>
      </c>
      <c r="D342" s="22" t="s">
        <v>2379</v>
      </c>
      <c r="E342" s="34">
        <v>1</v>
      </c>
      <c r="F342" s="22" t="s">
        <v>2223</v>
      </c>
      <c r="G342" s="88">
        <v>8.5</v>
      </c>
      <c r="H342" s="235">
        <f t="shared" si="44"/>
        <v>5.2469135802469129</v>
      </c>
      <c r="I342" s="88">
        <v>8.5</v>
      </c>
      <c r="J342" s="235">
        <f t="shared" si="45"/>
        <v>5.2469135802469129</v>
      </c>
      <c r="K342" s="215">
        <v>138</v>
      </c>
      <c r="L342" s="252">
        <f>_xlfn.XLOOKUP($K342,Inputs!$C$6:$C$23,Inputs!$D$6:$D$23)*$I342</f>
        <v>3.6853571428571432</v>
      </c>
      <c r="M342" s="68"/>
      <c r="N342" s="68"/>
      <c r="O342" s="215">
        <v>106</v>
      </c>
      <c r="P342" s="215">
        <v>117</v>
      </c>
      <c r="Q342" s="94">
        <v>0.9</v>
      </c>
      <c r="R342" s="68" t="s">
        <v>115</v>
      </c>
      <c r="S342" s="182">
        <f>O342*Q342</f>
        <v>95.4</v>
      </c>
      <c r="T342" s="182">
        <f>P342*Q342</f>
        <v>105.3</v>
      </c>
      <c r="U342" s="96" t="s">
        <v>3515</v>
      </c>
      <c r="V342" s="22" t="s">
        <v>2830</v>
      </c>
      <c r="W342" s="96" t="s">
        <v>3519</v>
      </c>
      <c r="X342" s="22" t="s">
        <v>2834</v>
      </c>
      <c r="Y342" s="11" t="s">
        <v>3320</v>
      </c>
      <c r="Z342" s="79"/>
      <c r="AA342" s="187">
        <v>339</v>
      </c>
    </row>
    <row r="343" spans="2:27" s="184" customFormat="1" ht="20" x14ac:dyDescent="0.2">
      <c r="B343" s="11" t="s">
        <v>1362</v>
      </c>
      <c r="C343" s="165" t="s">
        <v>4235</v>
      </c>
      <c r="D343" s="22" t="s">
        <v>2379</v>
      </c>
      <c r="E343" s="34">
        <v>1</v>
      </c>
      <c r="F343" s="22" t="s">
        <v>2223</v>
      </c>
      <c r="G343" s="88">
        <v>30</v>
      </c>
      <c r="H343" s="235">
        <f t="shared" si="44"/>
        <v>18.518518518518519</v>
      </c>
      <c r="I343" s="88">
        <v>30</v>
      </c>
      <c r="J343" s="235">
        <f t="shared" si="45"/>
        <v>18.518518518518519</v>
      </c>
      <c r="K343" s="201">
        <v>144</v>
      </c>
      <c r="L343" s="252">
        <f>_xlfn.XLOOKUP($K343,Inputs!$C$6:$C$23,Inputs!$D$6:$D$23)*$I343</f>
        <v>13.135714285714286</v>
      </c>
      <c r="M343" s="68"/>
      <c r="N343" s="68"/>
      <c r="O343" s="187"/>
      <c r="P343" s="187"/>
      <c r="Q343" s="94">
        <v>0.9</v>
      </c>
      <c r="R343" s="68">
        <f>IF((42.4*(J343)^(-0.6595))&gt;=3,3,(IF(42.4*(J343)^(-0.6595)&lt;=0.5,0.5,(42.4*(J343)^(-0.6595)))))</f>
        <v>3</v>
      </c>
      <c r="S343" s="276">
        <f>_xlfn.XLOOKUP($K343,Inputs!$G$6:$G$23,Inputs!J$6:J$23)*$R343</f>
        <v>153.60000000000002</v>
      </c>
      <c r="T343" s="276">
        <f>_xlfn.XLOOKUP($K343,Inputs!$G$6:$G$23,Inputs!K$6:K$23)*$R343</f>
        <v>169.96721311475409</v>
      </c>
      <c r="U343" s="96" t="s">
        <v>3435</v>
      </c>
      <c r="V343" s="22" t="s">
        <v>2781</v>
      </c>
      <c r="W343" s="96" t="s">
        <v>3678</v>
      </c>
      <c r="X343" s="22" t="s">
        <v>2951</v>
      </c>
      <c r="Y343" s="11" t="s">
        <v>3331</v>
      </c>
      <c r="Z343" s="79"/>
      <c r="AA343" s="187">
        <v>340</v>
      </c>
    </row>
    <row r="344" spans="2:27" s="184" customFormat="1" ht="20" x14ac:dyDescent="0.2">
      <c r="B344" s="11" t="s">
        <v>723</v>
      </c>
      <c r="C344" s="165" t="s">
        <v>4235</v>
      </c>
      <c r="D344" s="22" t="s">
        <v>2379</v>
      </c>
      <c r="E344" s="34">
        <v>1</v>
      </c>
      <c r="F344" s="22" t="s">
        <v>2223</v>
      </c>
      <c r="G344" s="88">
        <v>29.400000000000002</v>
      </c>
      <c r="H344" s="235">
        <f t="shared" si="44"/>
        <v>18.148148148148149</v>
      </c>
      <c r="I344" s="88">
        <v>29.400000000000002</v>
      </c>
      <c r="J344" s="235">
        <f t="shared" si="45"/>
        <v>18.148148148148149</v>
      </c>
      <c r="K344" s="215">
        <v>138</v>
      </c>
      <c r="L344" s="252">
        <f>_xlfn.XLOOKUP($K344,Inputs!$C$6:$C$23,Inputs!$D$6:$D$23)*$I344</f>
        <v>12.747000000000002</v>
      </c>
      <c r="M344" s="68"/>
      <c r="N344" s="68"/>
      <c r="O344" s="215">
        <v>86</v>
      </c>
      <c r="P344" s="215">
        <v>91</v>
      </c>
      <c r="Q344" s="94">
        <v>0.9</v>
      </c>
      <c r="R344" s="68" t="s">
        <v>115</v>
      </c>
      <c r="S344" s="182">
        <f>O344*Q344</f>
        <v>77.400000000000006</v>
      </c>
      <c r="T344" s="182">
        <f>P344*Q344</f>
        <v>81.900000000000006</v>
      </c>
      <c r="U344" s="96" t="s">
        <v>3915</v>
      </c>
      <c r="V344" s="205" t="s">
        <v>3176</v>
      </c>
      <c r="W344" s="96" t="s">
        <v>3417</v>
      </c>
      <c r="X344" s="22" t="s">
        <v>2597</v>
      </c>
      <c r="Y344" s="11" t="s">
        <v>3286</v>
      </c>
      <c r="Z344" s="79"/>
      <c r="AA344" s="187">
        <v>341</v>
      </c>
    </row>
    <row r="345" spans="2:27" s="184" customFormat="1" ht="20" x14ac:dyDescent="0.2">
      <c r="B345" s="11" t="s">
        <v>726</v>
      </c>
      <c r="C345" s="165" t="s">
        <v>4238</v>
      </c>
      <c r="D345" s="22" t="s">
        <v>2379</v>
      </c>
      <c r="E345" s="34">
        <v>1</v>
      </c>
      <c r="F345" s="22" t="s">
        <v>2223</v>
      </c>
      <c r="G345" s="88">
        <v>8.4</v>
      </c>
      <c r="H345" s="235">
        <f t="shared" si="44"/>
        <v>5.1851851851851851</v>
      </c>
      <c r="I345" s="88">
        <v>8.4</v>
      </c>
      <c r="J345" s="235">
        <f t="shared" si="45"/>
        <v>5.1851851851851851</v>
      </c>
      <c r="K345" s="201">
        <v>240</v>
      </c>
      <c r="L345" s="252">
        <f>_xlfn.XLOOKUP($K345,Inputs!$C$6:$C$23,Inputs!$D$6:$D$23)*$I345</f>
        <v>4.0055555555555555</v>
      </c>
      <c r="M345" s="68"/>
      <c r="N345" s="68"/>
      <c r="O345" s="187"/>
      <c r="P345" s="187"/>
      <c r="Q345" s="94">
        <v>0.9</v>
      </c>
      <c r="R345" s="68">
        <f>IF((42.4*(J345)^(-0.6595))&gt;=3,3,(IF(42.4*(J345)^(-0.6595)&lt;=0.5,0.5,(42.4*(J345)^(-0.6595)))))</f>
        <v>3</v>
      </c>
      <c r="S345" s="276">
        <f>_xlfn.XLOOKUP($K345,Inputs!$G$6:$G$23,Inputs!J$6:J$23)*$R345</f>
        <v>438.57868020304568</v>
      </c>
      <c r="T345" s="276">
        <f>_xlfn.XLOOKUP($K345,Inputs!$G$6:$G$23,Inputs!K$6:K$23)*$R345</f>
        <v>476.03305785123973</v>
      </c>
      <c r="U345" s="96" t="s">
        <v>3566</v>
      </c>
      <c r="V345" s="22" t="s">
        <v>2673</v>
      </c>
      <c r="W345" s="96" t="s">
        <v>3825</v>
      </c>
      <c r="X345" s="22" t="s">
        <v>3070</v>
      </c>
      <c r="Y345" s="11" t="s">
        <v>3331</v>
      </c>
      <c r="Z345" s="79"/>
      <c r="AA345" s="187">
        <v>342</v>
      </c>
    </row>
    <row r="346" spans="2:27" s="184" customFormat="1" ht="20" x14ac:dyDescent="0.2">
      <c r="B346" s="11" t="s">
        <v>728</v>
      </c>
      <c r="C346" s="165" t="s">
        <v>4238</v>
      </c>
      <c r="D346" s="22" t="s">
        <v>2379</v>
      </c>
      <c r="E346" s="34">
        <v>1</v>
      </c>
      <c r="F346" s="22" t="s">
        <v>2223</v>
      </c>
      <c r="G346" s="88">
        <v>8.4</v>
      </c>
      <c r="H346" s="235">
        <f t="shared" si="44"/>
        <v>5.1851851851851851</v>
      </c>
      <c r="I346" s="88">
        <v>8.4</v>
      </c>
      <c r="J346" s="235">
        <f t="shared" si="45"/>
        <v>5.1851851851851851</v>
      </c>
      <c r="K346" s="201">
        <v>240</v>
      </c>
      <c r="L346" s="252">
        <f>_xlfn.XLOOKUP($K346,Inputs!$C$6:$C$23,Inputs!$D$6:$D$23)*$I346</f>
        <v>4.0055555555555555</v>
      </c>
      <c r="M346" s="68"/>
      <c r="N346" s="68"/>
      <c r="O346" s="187"/>
      <c r="P346" s="187"/>
      <c r="Q346" s="94">
        <v>0.9</v>
      </c>
      <c r="R346" s="68">
        <f>IF((42.4*(J346)^(-0.6595))&gt;=3,3,(IF(42.4*(J346)^(-0.6595)&lt;=0.5,0.5,(42.4*(J346)^(-0.6595)))))</f>
        <v>3</v>
      </c>
      <c r="S346" s="276">
        <f>_xlfn.XLOOKUP($K346,Inputs!$G$6:$G$23,Inputs!J$6:J$23)*$R346</f>
        <v>438.57868020304568</v>
      </c>
      <c r="T346" s="276">
        <f>_xlfn.XLOOKUP($K346,Inputs!$G$6:$G$23,Inputs!K$6:K$23)*$R346</f>
        <v>476.03305785123973</v>
      </c>
      <c r="U346" s="96" t="s">
        <v>3566</v>
      </c>
      <c r="V346" s="22" t="s">
        <v>2673</v>
      </c>
      <c r="W346" s="96" t="s">
        <v>3825</v>
      </c>
      <c r="X346" s="205" t="s">
        <v>3070</v>
      </c>
      <c r="Y346" s="11" t="s">
        <v>3331</v>
      </c>
      <c r="Z346" s="79"/>
      <c r="AA346" s="187">
        <v>343</v>
      </c>
    </row>
    <row r="347" spans="2:27" s="184" customFormat="1" ht="20" x14ac:dyDescent="0.2">
      <c r="B347" s="11" t="s">
        <v>1368</v>
      </c>
      <c r="C347" s="165" t="s">
        <v>4235</v>
      </c>
      <c r="D347" s="22" t="s">
        <v>2379</v>
      </c>
      <c r="E347" s="34">
        <v>1</v>
      </c>
      <c r="F347" s="22" t="s">
        <v>2223</v>
      </c>
      <c r="G347" s="88">
        <v>7.1999999999999993</v>
      </c>
      <c r="H347" s="235">
        <f t="shared" si="44"/>
        <v>4.4444444444444438</v>
      </c>
      <c r="I347" s="88">
        <v>7.1999999999999993</v>
      </c>
      <c r="J347" s="235">
        <f t="shared" si="45"/>
        <v>4.4444444444444438</v>
      </c>
      <c r="K347" s="215">
        <v>138</v>
      </c>
      <c r="L347" s="252">
        <f>_xlfn.XLOOKUP($K347,Inputs!$C$6:$C$23,Inputs!$D$6:$D$23)*$I347</f>
        <v>3.1217142857142859</v>
      </c>
      <c r="M347" s="68"/>
      <c r="N347" s="68"/>
      <c r="O347" s="215">
        <v>119</v>
      </c>
      <c r="P347" s="215">
        <v>146</v>
      </c>
      <c r="Q347" s="94">
        <v>0.9</v>
      </c>
      <c r="R347" s="68" t="s">
        <v>115</v>
      </c>
      <c r="S347" s="182">
        <f>O347*Q347</f>
        <v>107.10000000000001</v>
      </c>
      <c r="T347" s="182">
        <f>P347*Q347</f>
        <v>131.4</v>
      </c>
      <c r="U347" s="96" t="s">
        <v>3427</v>
      </c>
      <c r="V347" s="22" t="s">
        <v>2776</v>
      </c>
      <c r="W347" s="96" t="s">
        <v>3833</v>
      </c>
      <c r="X347" s="22" t="s">
        <v>3073</v>
      </c>
      <c r="Y347" s="11" t="s">
        <v>3306</v>
      </c>
      <c r="Z347" s="79"/>
      <c r="AA347" s="187">
        <v>344</v>
      </c>
    </row>
    <row r="348" spans="2:27" s="184" customFormat="1" ht="20" x14ac:dyDescent="0.2">
      <c r="B348" s="11" t="s">
        <v>1609</v>
      </c>
      <c r="C348" s="165" t="s">
        <v>4235</v>
      </c>
      <c r="D348" s="22" t="s">
        <v>2379</v>
      </c>
      <c r="E348" s="34">
        <v>1</v>
      </c>
      <c r="F348" s="22" t="s">
        <v>2223</v>
      </c>
      <c r="G348" s="88">
        <v>22.5</v>
      </c>
      <c r="H348" s="235">
        <f t="shared" si="44"/>
        <v>13.888888888888888</v>
      </c>
      <c r="I348" s="88">
        <v>22.5</v>
      </c>
      <c r="J348" s="235">
        <f t="shared" si="45"/>
        <v>13.888888888888888</v>
      </c>
      <c r="K348" s="201">
        <v>144</v>
      </c>
      <c r="L348" s="252">
        <f>_xlfn.XLOOKUP($K348,Inputs!$C$6:$C$23,Inputs!$D$6:$D$23)*$I348</f>
        <v>9.8517857142857146</v>
      </c>
      <c r="M348" s="68"/>
      <c r="N348" s="68"/>
      <c r="O348" s="187"/>
      <c r="P348" s="187"/>
      <c r="Q348" s="94">
        <v>0.9</v>
      </c>
      <c r="R348" s="68">
        <f>IF((42.4*(J348)^(-0.6595))&gt;=3,3,(IF(42.4*(J348)^(-0.6595)&lt;=0.5,0.5,(42.4*(J348)^(-0.6595)))))</f>
        <v>3</v>
      </c>
      <c r="S348" s="276">
        <f>_xlfn.XLOOKUP($K348,Inputs!$G$6:$G$23,Inputs!J$6:J$23)*$R348</f>
        <v>153.60000000000002</v>
      </c>
      <c r="T348" s="276">
        <f>_xlfn.XLOOKUP($K348,Inputs!$G$6:$G$23,Inputs!K$6:K$23)*$R348</f>
        <v>169.96721311475409</v>
      </c>
      <c r="U348" s="96" t="s">
        <v>3383</v>
      </c>
      <c r="V348" s="22" t="s">
        <v>2747</v>
      </c>
      <c r="W348" s="96" t="s">
        <v>4353</v>
      </c>
      <c r="X348" s="22" t="s">
        <v>4354</v>
      </c>
      <c r="Y348" s="11" t="s">
        <v>3331</v>
      </c>
      <c r="Z348" s="79"/>
      <c r="AA348" s="187">
        <v>345</v>
      </c>
    </row>
    <row r="349" spans="2:27" s="184" customFormat="1" ht="20" x14ac:dyDescent="0.2">
      <c r="B349" s="11" t="s">
        <v>1852</v>
      </c>
      <c r="C349" s="165" t="s">
        <v>4235</v>
      </c>
      <c r="D349" s="22" t="s">
        <v>2379</v>
      </c>
      <c r="E349" s="34">
        <v>1</v>
      </c>
      <c r="F349" s="22" t="s">
        <v>2223</v>
      </c>
      <c r="G349" s="235">
        <v>35</v>
      </c>
      <c r="H349" s="235">
        <f t="shared" si="44"/>
        <v>21.604938271604937</v>
      </c>
      <c r="I349" s="235">
        <v>35</v>
      </c>
      <c r="J349" s="235">
        <f t="shared" si="45"/>
        <v>21.604938271604937</v>
      </c>
      <c r="K349" s="215">
        <v>138</v>
      </c>
      <c r="L349" s="252">
        <f>_xlfn.XLOOKUP($K349,Inputs!$C$6:$C$23,Inputs!$D$6:$D$23)*$I349</f>
        <v>15.175000000000001</v>
      </c>
      <c r="M349" s="68"/>
      <c r="N349" s="68"/>
      <c r="O349" s="215">
        <v>230</v>
      </c>
      <c r="P349" s="215">
        <v>285</v>
      </c>
      <c r="Q349" s="94">
        <v>0.9</v>
      </c>
      <c r="R349" s="68" t="s">
        <v>115</v>
      </c>
      <c r="S349" s="182">
        <f>O349*Q349</f>
        <v>207</v>
      </c>
      <c r="T349" s="182">
        <f>P349*Q349</f>
        <v>256.5</v>
      </c>
      <c r="U349" s="96" t="s">
        <v>3563</v>
      </c>
      <c r="V349" s="22" t="s">
        <v>2862</v>
      </c>
      <c r="W349" s="96" t="s">
        <v>3757</v>
      </c>
      <c r="X349" s="22" t="s">
        <v>3015</v>
      </c>
      <c r="Y349" s="11" t="s">
        <v>3285</v>
      </c>
      <c r="Z349" s="79"/>
      <c r="AA349" s="187">
        <v>346</v>
      </c>
    </row>
    <row r="350" spans="2:27" s="184" customFormat="1" ht="20" x14ac:dyDescent="0.2">
      <c r="B350" s="11" t="s">
        <v>1611</v>
      </c>
      <c r="C350" s="165" t="s">
        <v>4235</v>
      </c>
      <c r="D350" s="22" t="s">
        <v>2379</v>
      </c>
      <c r="E350" s="34">
        <v>1</v>
      </c>
      <c r="F350" s="22" t="s">
        <v>2223</v>
      </c>
      <c r="G350" s="88">
        <v>20</v>
      </c>
      <c r="H350" s="235">
        <f t="shared" si="44"/>
        <v>12.345679012345679</v>
      </c>
      <c r="I350" s="88">
        <v>20</v>
      </c>
      <c r="J350" s="235">
        <f t="shared" si="45"/>
        <v>12.345679012345679</v>
      </c>
      <c r="K350" s="201">
        <v>144</v>
      </c>
      <c r="L350" s="252">
        <f>_xlfn.XLOOKUP($K350,Inputs!$C$6:$C$23,Inputs!$D$6:$D$23)*$I350</f>
        <v>8.757142857142858</v>
      </c>
      <c r="M350" s="68"/>
      <c r="N350" s="68"/>
      <c r="O350" s="187"/>
      <c r="P350" s="187"/>
      <c r="Q350" s="94">
        <v>0.9</v>
      </c>
      <c r="R350" s="68">
        <f>IF((42.4*(J350)^(-0.6595))&gt;=3,3,(IF(42.4*(J350)^(-0.6595)&lt;=0.5,0.5,(42.4*(J350)^(-0.6595)))))</f>
        <v>3</v>
      </c>
      <c r="S350" s="276">
        <f>_xlfn.XLOOKUP($K350,Inputs!$G$6:$G$23,Inputs!J$6:J$23)*$R350</f>
        <v>153.60000000000002</v>
      </c>
      <c r="T350" s="276">
        <f>_xlfn.XLOOKUP($K350,Inputs!$G$6:$G$23,Inputs!K$6:K$23)*$R350</f>
        <v>169.96721311475409</v>
      </c>
      <c r="U350" s="96" t="s">
        <v>4353</v>
      </c>
      <c r="V350" s="22" t="s">
        <v>4354</v>
      </c>
      <c r="W350" s="96" t="s">
        <v>3793</v>
      </c>
      <c r="X350" s="22" t="s">
        <v>2618</v>
      </c>
      <c r="Y350" s="11" t="s">
        <v>3331</v>
      </c>
      <c r="Z350" s="79"/>
      <c r="AA350" s="187">
        <v>347</v>
      </c>
    </row>
    <row r="351" spans="2:27" s="184" customFormat="1" ht="20" x14ac:dyDescent="0.2">
      <c r="B351" s="11" t="s">
        <v>1992</v>
      </c>
      <c r="C351" s="165" t="s">
        <v>4235</v>
      </c>
      <c r="D351" s="22" t="s">
        <v>2379</v>
      </c>
      <c r="E351" s="34">
        <v>1</v>
      </c>
      <c r="F351" s="22" t="s">
        <v>2223</v>
      </c>
      <c r="G351" s="88">
        <v>38.5</v>
      </c>
      <c r="H351" s="235">
        <f t="shared" si="44"/>
        <v>23.76543209876543</v>
      </c>
      <c r="I351" s="88">
        <v>38.5</v>
      </c>
      <c r="J351" s="235">
        <f t="shared" si="45"/>
        <v>23.76543209876543</v>
      </c>
      <c r="K351" s="215">
        <v>138</v>
      </c>
      <c r="L351" s="252">
        <f>_xlfn.XLOOKUP($K351,Inputs!$C$6:$C$23,Inputs!$D$6:$D$23)*$I351</f>
        <v>16.692500000000003</v>
      </c>
      <c r="M351" s="68"/>
      <c r="N351" s="68"/>
      <c r="O351" s="215">
        <v>81</v>
      </c>
      <c r="P351" s="215">
        <v>89</v>
      </c>
      <c r="Q351" s="94">
        <v>0.9</v>
      </c>
      <c r="R351" s="68" t="s">
        <v>115</v>
      </c>
      <c r="S351" s="182">
        <f t="shared" ref="S351:S357" si="48">O351*Q351</f>
        <v>72.900000000000006</v>
      </c>
      <c r="T351" s="182">
        <f t="shared" ref="T351:T357" si="49">P351*Q351</f>
        <v>80.100000000000009</v>
      </c>
      <c r="U351" s="96" t="s">
        <v>3459</v>
      </c>
      <c r="V351" s="22" t="s">
        <v>2612</v>
      </c>
      <c r="W351" s="96" t="s">
        <v>3501</v>
      </c>
      <c r="X351" s="22" t="s">
        <v>2820</v>
      </c>
      <c r="Y351" s="11" t="s">
        <v>3323</v>
      </c>
      <c r="Z351" s="79"/>
      <c r="AA351" s="187">
        <v>348</v>
      </c>
    </row>
    <row r="352" spans="2:27" s="184" customFormat="1" ht="20" x14ac:dyDescent="0.2">
      <c r="B352" s="11" t="s">
        <v>1965</v>
      </c>
      <c r="C352" s="165" t="s">
        <v>4235</v>
      </c>
      <c r="D352" s="22" t="s">
        <v>2379</v>
      </c>
      <c r="E352" s="34">
        <v>1</v>
      </c>
      <c r="F352" s="22" t="s">
        <v>2223</v>
      </c>
      <c r="G352" s="235">
        <v>35</v>
      </c>
      <c r="H352" s="235">
        <f t="shared" si="44"/>
        <v>21.604938271604937</v>
      </c>
      <c r="I352" s="235">
        <v>35</v>
      </c>
      <c r="J352" s="235">
        <f t="shared" si="45"/>
        <v>21.604938271604937</v>
      </c>
      <c r="K352" s="215">
        <v>138</v>
      </c>
      <c r="L352" s="252">
        <f>_xlfn.XLOOKUP($K352,Inputs!$C$6:$C$23,Inputs!$D$6:$D$23)*$I352</f>
        <v>15.175000000000001</v>
      </c>
      <c r="M352" s="68"/>
      <c r="N352" s="68"/>
      <c r="O352" s="215">
        <v>98</v>
      </c>
      <c r="P352" s="215">
        <v>108</v>
      </c>
      <c r="Q352" s="94">
        <v>0.9</v>
      </c>
      <c r="R352" s="68" t="s">
        <v>115</v>
      </c>
      <c r="S352" s="182">
        <f t="shared" si="48"/>
        <v>88.2</v>
      </c>
      <c r="T352" s="182">
        <f t="shared" si="49"/>
        <v>97.2</v>
      </c>
      <c r="U352" s="96" t="s">
        <v>3918</v>
      </c>
      <c r="V352" s="22" t="s">
        <v>3179</v>
      </c>
      <c r="W352" s="96" t="s">
        <v>3879</v>
      </c>
      <c r="X352" s="22" t="s">
        <v>2598</v>
      </c>
      <c r="Y352" s="11" t="s">
        <v>3323</v>
      </c>
      <c r="Z352" s="79"/>
      <c r="AA352" s="187">
        <v>349</v>
      </c>
    </row>
    <row r="353" spans="2:27" s="184" customFormat="1" ht="20" x14ac:dyDescent="0.2">
      <c r="B353" s="11" t="s">
        <v>1923</v>
      </c>
      <c r="C353" s="165" t="s">
        <v>4235</v>
      </c>
      <c r="D353" s="22" t="s">
        <v>2379</v>
      </c>
      <c r="E353" s="34">
        <v>1</v>
      </c>
      <c r="F353" s="22" t="s">
        <v>2223</v>
      </c>
      <c r="G353" s="88">
        <v>21</v>
      </c>
      <c r="H353" s="235">
        <f t="shared" si="44"/>
        <v>12.962962962962962</v>
      </c>
      <c r="I353" s="88">
        <v>21</v>
      </c>
      <c r="J353" s="235">
        <f t="shared" si="45"/>
        <v>12.962962962962962</v>
      </c>
      <c r="K353" s="215">
        <v>138</v>
      </c>
      <c r="L353" s="252">
        <f>_xlfn.XLOOKUP($K353,Inputs!$C$6:$C$23,Inputs!$D$6:$D$23)*$I353</f>
        <v>9.1050000000000004</v>
      </c>
      <c r="M353" s="68"/>
      <c r="N353" s="68"/>
      <c r="O353" s="215">
        <v>174</v>
      </c>
      <c r="P353" s="215">
        <v>215</v>
      </c>
      <c r="Q353" s="94">
        <v>0.9</v>
      </c>
      <c r="R353" s="68" t="s">
        <v>115</v>
      </c>
      <c r="S353" s="182">
        <f t="shared" si="48"/>
        <v>156.6</v>
      </c>
      <c r="T353" s="182">
        <f t="shared" si="49"/>
        <v>193.5</v>
      </c>
      <c r="U353" s="96" t="s">
        <v>3694</v>
      </c>
      <c r="V353" s="22" t="s">
        <v>2963</v>
      </c>
      <c r="W353" s="96" t="s">
        <v>3752</v>
      </c>
      <c r="X353" s="22" t="s">
        <v>3010</v>
      </c>
      <c r="Y353" s="11" t="s">
        <v>3303</v>
      </c>
      <c r="Z353" s="79"/>
      <c r="AA353" s="187">
        <v>350</v>
      </c>
    </row>
    <row r="354" spans="2:27" s="184" customFormat="1" ht="20" x14ac:dyDescent="0.2">
      <c r="B354" s="11" t="s">
        <v>1993</v>
      </c>
      <c r="C354" s="165" t="s">
        <v>4235</v>
      </c>
      <c r="D354" s="22" t="s">
        <v>2379</v>
      </c>
      <c r="E354" s="34">
        <v>1</v>
      </c>
      <c r="F354" s="22" t="s">
        <v>2223</v>
      </c>
      <c r="G354" s="88">
        <v>21</v>
      </c>
      <c r="H354" s="235">
        <f t="shared" si="44"/>
        <v>12.962962962962962</v>
      </c>
      <c r="I354" s="88">
        <v>21</v>
      </c>
      <c r="J354" s="235">
        <f t="shared" si="45"/>
        <v>12.962962962962962</v>
      </c>
      <c r="K354" s="215">
        <v>138</v>
      </c>
      <c r="L354" s="252">
        <f>_xlfn.XLOOKUP($K354,Inputs!$C$6:$C$23,Inputs!$D$6:$D$23)*$I354</f>
        <v>9.1050000000000004</v>
      </c>
      <c r="M354" s="68"/>
      <c r="N354" s="68"/>
      <c r="O354" s="215">
        <v>121</v>
      </c>
      <c r="P354" s="215">
        <v>133</v>
      </c>
      <c r="Q354" s="94">
        <v>0.9</v>
      </c>
      <c r="R354" s="68" t="s">
        <v>115</v>
      </c>
      <c r="S354" s="182">
        <f t="shared" si="48"/>
        <v>108.9</v>
      </c>
      <c r="T354" s="182">
        <f t="shared" si="49"/>
        <v>119.7</v>
      </c>
      <c r="U354" s="96" t="s">
        <v>3501</v>
      </c>
      <c r="V354" s="22" t="s">
        <v>2820</v>
      </c>
      <c r="W354" s="96" t="s">
        <v>3538</v>
      </c>
      <c r="X354" s="22" t="s">
        <v>2845</v>
      </c>
      <c r="Y354" s="11" t="s">
        <v>3323</v>
      </c>
      <c r="Z354" s="79"/>
      <c r="AA354" s="187">
        <v>351</v>
      </c>
    </row>
    <row r="355" spans="2:27" s="184" customFormat="1" ht="20" x14ac:dyDescent="0.2">
      <c r="B355" s="11" t="s">
        <v>1995</v>
      </c>
      <c r="C355" s="165" t="s">
        <v>4235</v>
      </c>
      <c r="D355" s="22" t="s">
        <v>2379</v>
      </c>
      <c r="E355" s="34">
        <v>1</v>
      </c>
      <c r="F355" s="22" t="s">
        <v>2223</v>
      </c>
      <c r="G355" s="88">
        <v>35</v>
      </c>
      <c r="H355" s="235">
        <f t="shared" si="44"/>
        <v>21.604938271604937</v>
      </c>
      <c r="I355" s="88">
        <v>35</v>
      </c>
      <c r="J355" s="235">
        <f t="shared" si="45"/>
        <v>21.604938271604937</v>
      </c>
      <c r="K355" s="215">
        <v>138</v>
      </c>
      <c r="L355" s="252">
        <f>_xlfn.XLOOKUP($K355,Inputs!$C$6:$C$23,Inputs!$D$6:$D$23)*$I355</f>
        <v>15.175000000000001</v>
      </c>
      <c r="M355" s="68"/>
      <c r="N355" s="68"/>
      <c r="O355" s="215">
        <v>177</v>
      </c>
      <c r="P355" s="215">
        <v>195</v>
      </c>
      <c r="Q355" s="94">
        <v>0.9</v>
      </c>
      <c r="R355" s="68" t="s">
        <v>115</v>
      </c>
      <c r="S355" s="182">
        <f t="shared" si="48"/>
        <v>159.30000000000001</v>
      </c>
      <c r="T355" s="182">
        <f t="shared" si="49"/>
        <v>175.5</v>
      </c>
      <c r="U355" s="96" t="s">
        <v>3501</v>
      </c>
      <c r="V355" s="22" t="s">
        <v>2820</v>
      </c>
      <c r="W355" s="96" t="s">
        <v>3356</v>
      </c>
      <c r="X355" s="22" t="s">
        <v>3204</v>
      </c>
      <c r="Y355" s="11" t="s">
        <v>3323</v>
      </c>
      <c r="Z355" s="79"/>
      <c r="AA355" s="187">
        <v>352</v>
      </c>
    </row>
    <row r="356" spans="2:27" s="184" customFormat="1" ht="20" x14ac:dyDescent="0.2">
      <c r="B356" s="11" t="s">
        <v>729</v>
      </c>
      <c r="C356" s="165" t="s">
        <v>4235</v>
      </c>
      <c r="D356" s="22" t="s">
        <v>2379</v>
      </c>
      <c r="E356" s="34">
        <v>1</v>
      </c>
      <c r="F356" s="22" t="s">
        <v>2223</v>
      </c>
      <c r="G356" s="88">
        <v>20</v>
      </c>
      <c r="H356" s="235">
        <f t="shared" si="44"/>
        <v>12.345679012345679</v>
      </c>
      <c r="I356" s="88">
        <v>20</v>
      </c>
      <c r="J356" s="235">
        <f t="shared" si="45"/>
        <v>12.345679012345679</v>
      </c>
      <c r="K356" s="215">
        <v>138</v>
      </c>
      <c r="L356" s="252">
        <f>_xlfn.XLOOKUP($K356,Inputs!$C$6:$C$23,Inputs!$D$6:$D$23)*$I356</f>
        <v>8.6714285714285726</v>
      </c>
      <c r="M356" s="68"/>
      <c r="N356" s="68"/>
      <c r="O356" s="215">
        <v>172</v>
      </c>
      <c r="P356" s="215">
        <v>212</v>
      </c>
      <c r="Q356" s="94">
        <v>0.9</v>
      </c>
      <c r="R356" s="68" t="s">
        <v>115</v>
      </c>
      <c r="S356" s="182">
        <f t="shared" si="48"/>
        <v>154.80000000000001</v>
      </c>
      <c r="T356" s="182">
        <f t="shared" si="49"/>
        <v>190.8</v>
      </c>
      <c r="U356" s="96" t="s">
        <v>3387</v>
      </c>
      <c r="V356" s="22" t="s">
        <v>2610</v>
      </c>
      <c r="W356" s="96" t="s">
        <v>3532</v>
      </c>
      <c r="X356" s="205" t="s">
        <v>2672</v>
      </c>
      <c r="Y356" s="11" t="s">
        <v>3328</v>
      </c>
      <c r="Z356" s="79"/>
      <c r="AA356" s="187">
        <v>353</v>
      </c>
    </row>
    <row r="357" spans="2:27" s="184" customFormat="1" ht="20" x14ac:dyDescent="0.2">
      <c r="B357" s="11" t="s">
        <v>731</v>
      </c>
      <c r="C357" s="165" t="s">
        <v>4235</v>
      </c>
      <c r="D357" s="22" t="s">
        <v>2379</v>
      </c>
      <c r="E357" s="34">
        <v>1</v>
      </c>
      <c r="F357" s="22" t="s">
        <v>2223</v>
      </c>
      <c r="G357" s="235">
        <v>20</v>
      </c>
      <c r="H357" s="235">
        <f t="shared" si="44"/>
        <v>12.345679012345679</v>
      </c>
      <c r="I357" s="235">
        <v>20</v>
      </c>
      <c r="J357" s="235">
        <f t="shared" si="45"/>
        <v>12.345679012345679</v>
      </c>
      <c r="K357" s="215">
        <v>138</v>
      </c>
      <c r="L357" s="252">
        <f>_xlfn.XLOOKUP($K357,Inputs!$C$6:$C$23,Inputs!$D$6:$D$23)*$I357</f>
        <v>8.6714285714285726</v>
      </c>
      <c r="M357" s="68"/>
      <c r="N357" s="68"/>
      <c r="O357" s="215">
        <v>167</v>
      </c>
      <c r="P357" s="215">
        <v>201</v>
      </c>
      <c r="Q357" s="94">
        <v>0.9</v>
      </c>
      <c r="R357" s="68" t="s">
        <v>115</v>
      </c>
      <c r="S357" s="182">
        <f t="shared" si="48"/>
        <v>150.30000000000001</v>
      </c>
      <c r="T357" s="182">
        <f t="shared" si="49"/>
        <v>180.9</v>
      </c>
      <c r="U357" s="96" t="s">
        <v>3544</v>
      </c>
      <c r="V357" s="22" t="s">
        <v>2848</v>
      </c>
      <c r="W357" s="96" t="s">
        <v>3727</v>
      </c>
      <c r="X357" s="22" t="s">
        <v>2644</v>
      </c>
      <c r="Y357" s="11" t="s">
        <v>3280</v>
      </c>
      <c r="Z357" s="79"/>
      <c r="AA357" s="187">
        <v>354</v>
      </c>
    </row>
    <row r="358" spans="2:27" s="184" customFormat="1" ht="20" x14ac:dyDescent="0.2">
      <c r="B358" s="11" t="s">
        <v>1564</v>
      </c>
      <c r="C358" s="165" t="s">
        <v>4235</v>
      </c>
      <c r="D358" s="22" t="s">
        <v>2379</v>
      </c>
      <c r="E358" s="34">
        <v>1</v>
      </c>
      <c r="F358" s="22" t="s">
        <v>2223</v>
      </c>
      <c r="G358" s="88">
        <v>12</v>
      </c>
      <c r="H358" s="235">
        <f t="shared" si="44"/>
        <v>7.4074074074074066</v>
      </c>
      <c r="I358" s="88">
        <v>12</v>
      </c>
      <c r="J358" s="235">
        <f t="shared" si="45"/>
        <v>7.4074074074074066</v>
      </c>
      <c r="K358" s="201">
        <v>144</v>
      </c>
      <c r="L358" s="252">
        <f>_xlfn.XLOOKUP($K358,Inputs!$C$6:$C$23,Inputs!$D$6:$D$23)*$I358</f>
        <v>5.2542857142857144</v>
      </c>
      <c r="M358" s="68"/>
      <c r="N358" s="68"/>
      <c r="O358" s="187"/>
      <c r="P358" s="187"/>
      <c r="Q358" s="94">
        <v>0.9</v>
      </c>
      <c r="R358" s="68">
        <f>IF((42.4*(J358)^(-0.6595))&gt;=3,3,(IF(42.4*(J358)^(-0.6595)&lt;=0.5,0.5,(42.4*(J358)^(-0.6595)))))</f>
        <v>3</v>
      </c>
      <c r="S358" s="276">
        <f>_xlfn.XLOOKUP($K358,Inputs!$G$6:$G$23,Inputs!J$6:J$23)*$R358</f>
        <v>153.60000000000002</v>
      </c>
      <c r="T358" s="276">
        <f>_xlfn.XLOOKUP($K358,Inputs!$G$6:$G$23,Inputs!K$6:K$23)*$R358</f>
        <v>169.96721311475409</v>
      </c>
      <c r="U358" s="96" t="s">
        <v>3897</v>
      </c>
      <c r="V358" s="22" t="s">
        <v>3158</v>
      </c>
      <c r="W358" s="96" t="s">
        <v>3727</v>
      </c>
      <c r="X358" s="205" t="s">
        <v>2644</v>
      </c>
      <c r="Y358" s="11" t="s">
        <v>3331</v>
      </c>
      <c r="Z358" s="79"/>
      <c r="AA358" s="187">
        <v>355</v>
      </c>
    </row>
    <row r="359" spans="2:27" s="184" customFormat="1" ht="20" x14ac:dyDescent="0.2">
      <c r="B359" s="11" t="s">
        <v>1990</v>
      </c>
      <c r="C359" s="165" t="s">
        <v>4235</v>
      </c>
      <c r="D359" s="22" t="s">
        <v>2379</v>
      </c>
      <c r="E359" s="34">
        <v>1</v>
      </c>
      <c r="F359" s="22" t="s">
        <v>2223</v>
      </c>
      <c r="G359" s="88">
        <v>10.5</v>
      </c>
      <c r="H359" s="235">
        <f t="shared" si="44"/>
        <v>6.481481481481481</v>
      </c>
      <c r="I359" s="88">
        <v>10.5</v>
      </c>
      <c r="J359" s="235">
        <f t="shared" si="45"/>
        <v>6.481481481481481</v>
      </c>
      <c r="K359" s="215">
        <v>138</v>
      </c>
      <c r="L359" s="252">
        <f>_xlfn.XLOOKUP($K359,Inputs!$C$6:$C$23,Inputs!$D$6:$D$23)*$I359</f>
        <v>4.5525000000000002</v>
      </c>
      <c r="M359" s="68"/>
      <c r="N359" s="68"/>
      <c r="O359" s="215">
        <v>121</v>
      </c>
      <c r="P359" s="215">
        <v>133</v>
      </c>
      <c r="Q359" s="94">
        <v>0.9</v>
      </c>
      <c r="R359" s="68" t="s">
        <v>115</v>
      </c>
      <c r="S359" s="182">
        <f t="shared" ref="S359:S368" si="50">O359*Q359</f>
        <v>108.9</v>
      </c>
      <c r="T359" s="182">
        <f t="shared" ref="T359:T368" si="51">P359*Q359</f>
        <v>119.7</v>
      </c>
      <c r="U359" s="96" t="s">
        <v>3459</v>
      </c>
      <c r="V359" s="22" t="s">
        <v>2612</v>
      </c>
      <c r="W359" s="96" t="s">
        <v>3415</v>
      </c>
      <c r="X359" s="22" t="s">
        <v>2768</v>
      </c>
      <c r="Y359" s="11" t="s">
        <v>3323</v>
      </c>
      <c r="Z359" s="79"/>
      <c r="AA359" s="187">
        <v>356</v>
      </c>
    </row>
    <row r="360" spans="2:27" s="184" customFormat="1" ht="20" x14ac:dyDescent="0.2">
      <c r="B360" s="11" t="s">
        <v>1988</v>
      </c>
      <c r="C360" s="165" t="s">
        <v>4235</v>
      </c>
      <c r="D360" s="22" t="s">
        <v>2379</v>
      </c>
      <c r="E360" s="34">
        <v>1</v>
      </c>
      <c r="F360" s="22" t="s">
        <v>2223</v>
      </c>
      <c r="G360" s="88">
        <v>24.5</v>
      </c>
      <c r="H360" s="235">
        <f t="shared" si="44"/>
        <v>15.123456790123456</v>
      </c>
      <c r="I360" s="88">
        <v>24.5</v>
      </c>
      <c r="J360" s="235">
        <f t="shared" si="45"/>
        <v>15.123456790123456</v>
      </c>
      <c r="K360" s="215">
        <v>138</v>
      </c>
      <c r="L360" s="252">
        <f>_xlfn.XLOOKUP($K360,Inputs!$C$6:$C$23,Inputs!$D$6:$D$23)*$I360</f>
        <v>10.6225</v>
      </c>
      <c r="M360" s="68"/>
      <c r="N360" s="68"/>
      <c r="O360" s="215">
        <v>287</v>
      </c>
      <c r="P360" s="93">
        <f>O360*1.3</f>
        <v>373.1</v>
      </c>
      <c r="Q360" s="94">
        <v>0.9</v>
      </c>
      <c r="R360" s="68" t="s">
        <v>115</v>
      </c>
      <c r="S360" s="182">
        <f t="shared" si="50"/>
        <v>258.3</v>
      </c>
      <c r="T360" s="182">
        <f t="shared" si="51"/>
        <v>335.79</v>
      </c>
      <c r="U360" s="96" t="s">
        <v>3350</v>
      </c>
      <c r="V360" s="22" t="s">
        <v>2731</v>
      </c>
      <c r="W360" s="96" t="s">
        <v>3415</v>
      </c>
      <c r="X360" s="22" t="s">
        <v>2768</v>
      </c>
      <c r="Y360" s="11" t="s">
        <v>3330</v>
      </c>
      <c r="Z360" s="79"/>
      <c r="AA360" s="187">
        <v>357</v>
      </c>
    </row>
    <row r="361" spans="2:27" s="184" customFormat="1" ht="20" x14ac:dyDescent="0.2">
      <c r="B361" s="11" t="s">
        <v>1989</v>
      </c>
      <c r="C361" s="165" t="s">
        <v>4235</v>
      </c>
      <c r="D361" s="22" t="s">
        <v>2379</v>
      </c>
      <c r="E361" s="34">
        <v>1</v>
      </c>
      <c r="F361" s="22" t="s">
        <v>2223</v>
      </c>
      <c r="G361" s="88">
        <v>38.5</v>
      </c>
      <c r="H361" s="235">
        <f t="shared" si="44"/>
        <v>23.76543209876543</v>
      </c>
      <c r="I361" s="88">
        <v>38.5</v>
      </c>
      <c r="J361" s="235">
        <f t="shared" si="45"/>
        <v>23.76543209876543</v>
      </c>
      <c r="K361" s="215">
        <v>138</v>
      </c>
      <c r="L361" s="252">
        <f>_xlfn.XLOOKUP($K361,Inputs!$C$6:$C$23,Inputs!$D$6:$D$23)*$I361</f>
        <v>16.692500000000003</v>
      </c>
      <c r="M361" s="68"/>
      <c r="N361" s="68"/>
      <c r="O361" s="215">
        <v>365</v>
      </c>
      <c r="P361" s="93">
        <f>O361*1.3</f>
        <v>474.5</v>
      </c>
      <c r="Q361" s="94">
        <v>0.9</v>
      </c>
      <c r="R361" s="68" t="s">
        <v>115</v>
      </c>
      <c r="S361" s="182">
        <f t="shared" si="50"/>
        <v>328.5</v>
      </c>
      <c r="T361" s="182">
        <f t="shared" si="51"/>
        <v>427.05</v>
      </c>
      <c r="U361" s="96" t="s">
        <v>3437</v>
      </c>
      <c r="V361" s="22" t="s">
        <v>2783</v>
      </c>
      <c r="W361" s="96" t="s">
        <v>3415</v>
      </c>
      <c r="X361" s="22" t="s">
        <v>2768</v>
      </c>
      <c r="Y361" s="11" t="s">
        <v>3276</v>
      </c>
      <c r="Z361" s="79"/>
      <c r="AA361" s="187">
        <v>358</v>
      </c>
    </row>
    <row r="362" spans="2:27" s="184" customFormat="1" ht="20" x14ac:dyDescent="0.2">
      <c r="B362" s="11" t="s">
        <v>1289</v>
      </c>
      <c r="C362" s="165" t="s">
        <v>4235</v>
      </c>
      <c r="D362" s="22" t="s">
        <v>2379</v>
      </c>
      <c r="E362" s="34">
        <v>1</v>
      </c>
      <c r="F362" s="22" t="s">
        <v>2223</v>
      </c>
      <c r="G362" s="88">
        <v>12</v>
      </c>
      <c r="H362" s="235">
        <f t="shared" si="44"/>
        <v>7.4074074074074066</v>
      </c>
      <c r="I362" s="88">
        <v>12</v>
      </c>
      <c r="J362" s="235">
        <f t="shared" si="45"/>
        <v>7.4074074074074066</v>
      </c>
      <c r="K362" s="215">
        <v>138</v>
      </c>
      <c r="L362" s="252">
        <f>_xlfn.XLOOKUP($K362,Inputs!$C$6:$C$23,Inputs!$D$6:$D$23)*$I362</f>
        <v>5.2028571428571428</v>
      </c>
      <c r="M362" s="68"/>
      <c r="N362" s="68"/>
      <c r="O362" s="215">
        <v>108</v>
      </c>
      <c r="P362" s="215">
        <v>114</v>
      </c>
      <c r="Q362" s="94">
        <v>0.9</v>
      </c>
      <c r="R362" s="68" t="s">
        <v>115</v>
      </c>
      <c r="S362" s="182">
        <f t="shared" si="50"/>
        <v>97.2</v>
      </c>
      <c r="T362" s="182">
        <f t="shared" si="51"/>
        <v>102.60000000000001</v>
      </c>
      <c r="U362" s="96" t="s">
        <v>3347</v>
      </c>
      <c r="V362" s="22" t="s">
        <v>2730</v>
      </c>
      <c r="W362" s="96" t="s">
        <v>3843</v>
      </c>
      <c r="X362" s="205" t="s">
        <v>3080</v>
      </c>
      <c r="Y362" s="11" t="s">
        <v>3289</v>
      </c>
      <c r="Z362" s="79"/>
      <c r="AA362" s="187">
        <v>359</v>
      </c>
    </row>
    <row r="363" spans="2:27" s="184" customFormat="1" ht="20" x14ac:dyDescent="0.2">
      <c r="B363" s="11" t="s">
        <v>1463</v>
      </c>
      <c r="C363" s="165" t="s">
        <v>4235</v>
      </c>
      <c r="D363" s="22" t="s">
        <v>2379</v>
      </c>
      <c r="E363" s="34">
        <v>1</v>
      </c>
      <c r="F363" s="22" t="s">
        <v>2223</v>
      </c>
      <c r="G363" s="88">
        <v>9</v>
      </c>
      <c r="H363" s="235">
        <f t="shared" si="44"/>
        <v>5.5555555555555554</v>
      </c>
      <c r="I363" s="88">
        <v>9</v>
      </c>
      <c r="J363" s="235">
        <f t="shared" si="45"/>
        <v>5.5555555555555554</v>
      </c>
      <c r="K363" s="215">
        <v>138</v>
      </c>
      <c r="L363" s="252">
        <f>_xlfn.XLOOKUP($K363,Inputs!$C$6:$C$23,Inputs!$D$6:$D$23)*$I363</f>
        <v>3.9021428571428576</v>
      </c>
      <c r="M363" s="68"/>
      <c r="N363" s="68"/>
      <c r="O363" s="215">
        <v>167</v>
      </c>
      <c r="P363" s="215">
        <v>191</v>
      </c>
      <c r="Q363" s="94">
        <v>0.9</v>
      </c>
      <c r="R363" s="68" t="s">
        <v>115</v>
      </c>
      <c r="S363" s="182">
        <f t="shared" si="50"/>
        <v>150.30000000000001</v>
      </c>
      <c r="T363" s="182">
        <f t="shared" si="51"/>
        <v>171.9</v>
      </c>
      <c r="U363" s="96" t="s">
        <v>3744</v>
      </c>
      <c r="V363" s="22" t="s">
        <v>3002</v>
      </c>
      <c r="W363" s="96" t="s">
        <v>3885</v>
      </c>
      <c r="X363" s="22" t="s">
        <v>3149</v>
      </c>
      <c r="Y363" s="11" t="s">
        <v>3299</v>
      </c>
      <c r="Z363" s="79"/>
      <c r="AA363" s="187">
        <v>360</v>
      </c>
    </row>
    <row r="364" spans="2:27" s="184" customFormat="1" ht="20" x14ac:dyDescent="0.2">
      <c r="B364" s="11" t="s">
        <v>1464</v>
      </c>
      <c r="C364" s="165" t="s">
        <v>4235</v>
      </c>
      <c r="D364" s="22" t="s">
        <v>2379</v>
      </c>
      <c r="E364" s="34">
        <v>1</v>
      </c>
      <c r="F364" s="22" t="s">
        <v>2223</v>
      </c>
      <c r="G364" s="88">
        <v>9</v>
      </c>
      <c r="H364" s="235">
        <f t="shared" si="44"/>
        <v>5.5555555555555554</v>
      </c>
      <c r="I364" s="88">
        <v>9</v>
      </c>
      <c r="J364" s="235">
        <f t="shared" si="45"/>
        <v>5.5555555555555554</v>
      </c>
      <c r="K364" s="215">
        <v>138</v>
      </c>
      <c r="L364" s="252">
        <f>_xlfn.XLOOKUP($K364,Inputs!$C$6:$C$23,Inputs!$D$6:$D$23)*$I364</f>
        <v>3.9021428571428576</v>
      </c>
      <c r="M364" s="68"/>
      <c r="N364" s="68"/>
      <c r="O364" s="215">
        <v>167</v>
      </c>
      <c r="P364" s="215">
        <v>191</v>
      </c>
      <c r="Q364" s="94">
        <v>0.9</v>
      </c>
      <c r="R364" s="68" t="s">
        <v>115</v>
      </c>
      <c r="S364" s="182">
        <f t="shared" si="50"/>
        <v>150.30000000000001</v>
      </c>
      <c r="T364" s="182">
        <f t="shared" si="51"/>
        <v>171.9</v>
      </c>
      <c r="U364" s="96" t="s">
        <v>3744</v>
      </c>
      <c r="V364" s="22" t="s">
        <v>3002</v>
      </c>
      <c r="W364" s="96" t="s">
        <v>3885</v>
      </c>
      <c r="X364" s="22" t="s">
        <v>3149</v>
      </c>
      <c r="Y364" s="11" t="s">
        <v>3299</v>
      </c>
      <c r="Z364" s="79"/>
      <c r="AA364" s="187">
        <v>361</v>
      </c>
    </row>
    <row r="365" spans="2:27" s="184" customFormat="1" ht="20" x14ac:dyDescent="0.2">
      <c r="B365" s="11" t="s">
        <v>1461</v>
      </c>
      <c r="C365" s="165" t="s">
        <v>4235</v>
      </c>
      <c r="D365" s="22" t="s">
        <v>2379</v>
      </c>
      <c r="E365" s="34">
        <v>1</v>
      </c>
      <c r="F365" s="22" t="s">
        <v>2223</v>
      </c>
      <c r="G365" s="88">
        <v>7.1999999999999993</v>
      </c>
      <c r="H365" s="235">
        <f t="shared" si="44"/>
        <v>4.4444444444444438</v>
      </c>
      <c r="I365" s="88">
        <v>7.1999999999999993</v>
      </c>
      <c r="J365" s="235">
        <f t="shared" si="45"/>
        <v>4.4444444444444438</v>
      </c>
      <c r="K365" s="215">
        <v>138</v>
      </c>
      <c r="L365" s="252">
        <f>_xlfn.XLOOKUP($K365,Inputs!$C$6:$C$23,Inputs!$D$6:$D$23)*$I365</f>
        <v>3.1217142857142859</v>
      </c>
      <c r="M365" s="68"/>
      <c r="N365" s="68"/>
      <c r="O365" s="215">
        <v>143</v>
      </c>
      <c r="P365" s="215">
        <v>172</v>
      </c>
      <c r="Q365" s="94">
        <v>0.9</v>
      </c>
      <c r="R365" s="68" t="s">
        <v>115</v>
      </c>
      <c r="S365" s="182">
        <f t="shared" si="50"/>
        <v>128.70000000000002</v>
      </c>
      <c r="T365" s="182">
        <f t="shared" si="51"/>
        <v>154.80000000000001</v>
      </c>
      <c r="U365" s="96" t="s">
        <v>3600</v>
      </c>
      <c r="V365" s="22" t="s">
        <v>2890</v>
      </c>
      <c r="W365" s="96" t="s">
        <v>3885</v>
      </c>
      <c r="X365" s="22" t="s">
        <v>3149</v>
      </c>
      <c r="Y365" s="11" t="s">
        <v>3308</v>
      </c>
      <c r="Z365" s="79"/>
      <c r="AA365" s="187">
        <v>362</v>
      </c>
    </row>
    <row r="366" spans="2:27" s="184" customFormat="1" ht="20" x14ac:dyDescent="0.2">
      <c r="B366" s="11" t="s">
        <v>732</v>
      </c>
      <c r="C366" s="165" t="s">
        <v>4235</v>
      </c>
      <c r="D366" s="22" t="s">
        <v>2379</v>
      </c>
      <c r="E366" s="34">
        <v>1</v>
      </c>
      <c r="F366" s="22" t="s">
        <v>2223</v>
      </c>
      <c r="G366" s="88">
        <v>30</v>
      </c>
      <c r="H366" s="235">
        <f t="shared" si="44"/>
        <v>18.518518518518519</v>
      </c>
      <c r="I366" s="88">
        <v>30</v>
      </c>
      <c r="J366" s="235">
        <f t="shared" si="45"/>
        <v>18.518518518518519</v>
      </c>
      <c r="K366" s="215">
        <v>138</v>
      </c>
      <c r="L366" s="252">
        <f>_xlfn.XLOOKUP($K366,Inputs!$C$6:$C$23,Inputs!$D$6:$D$23)*$I366</f>
        <v>13.007142857142858</v>
      </c>
      <c r="M366" s="68"/>
      <c r="N366" s="68"/>
      <c r="O366" s="215">
        <v>167</v>
      </c>
      <c r="P366" s="215">
        <v>201</v>
      </c>
      <c r="Q366" s="94">
        <v>0.9</v>
      </c>
      <c r="R366" s="68" t="s">
        <v>115</v>
      </c>
      <c r="S366" s="182">
        <f t="shared" si="50"/>
        <v>150.30000000000001</v>
      </c>
      <c r="T366" s="182">
        <f t="shared" si="51"/>
        <v>180.9</v>
      </c>
      <c r="U366" s="96" t="s">
        <v>3384</v>
      </c>
      <c r="V366" s="22" t="s">
        <v>2748</v>
      </c>
      <c r="W366" s="96" t="s">
        <v>3506</v>
      </c>
      <c r="X366" s="22" t="s">
        <v>2822</v>
      </c>
      <c r="Y366" s="11" t="s">
        <v>3298</v>
      </c>
      <c r="Z366" s="79"/>
      <c r="AA366" s="187">
        <v>363</v>
      </c>
    </row>
    <row r="367" spans="2:27" s="184" customFormat="1" ht="20" x14ac:dyDescent="0.2">
      <c r="B367" s="11" t="s">
        <v>1722</v>
      </c>
      <c r="C367" s="165" t="s">
        <v>4235</v>
      </c>
      <c r="D367" s="22" t="s">
        <v>2379</v>
      </c>
      <c r="E367" s="34">
        <v>1</v>
      </c>
      <c r="F367" s="22" t="s">
        <v>2223</v>
      </c>
      <c r="G367" s="88">
        <v>2.5499999999999998</v>
      </c>
      <c r="H367" s="235">
        <f t="shared" si="44"/>
        <v>1.574074074074074</v>
      </c>
      <c r="I367" s="88">
        <v>3.4</v>
      </c>
      <c r="J367" s="235">
        <f t="shared" si="45"/>
        <v>2.0987654320987654</v>
      </c>
      <c r="K367" s="216">
        <v>138</v>
      </c>
      <c r="L367" s="252">
        <f>_xlfn.XLOOKUP($K367,Inputs!$C$6:$C$23,Inputs!$D$6:$D$23)*$I367</f>
        <v>1.4741428571428572</v>
      </c>
      <c r="M367" s="68"/>
      <c r="N367" s="68"/>
      <c r="O367" s="216">
        <v>121</v>
      </c>
      <c r="P367" s="216">
        <v>142</v>
      </c>
      <c r="Q367" s="94">
        <v>0.9</v>
      </c>
      <c r="R367" s="68" t="s">
        <v>115</v>
      </c>
      <c r="S367" s="182">
        <f t="shared" si="50"/>
        <v>108.9</v>
      </c>
      <c r="T367" s="182">
        <f t="shared" si="51"/>
        <v>127.8</v>
      </c>
      <c r="U367" s="96" t="s">
        <v>3999</v>
      </c>
      <c r="V367" s="22" t="s">
        <v>2145</v>
      </c>
      <c r="W367" s="96" t="s">
        <v>3519</v>
      </c>
      <c r="X367" s="22" t="s">
        <v>2834</v>
      </c>
      <c r="Y367" s="11" t="s">
        <v>3320</v>
      </c>
      <c r="Z367" s="79"/>
      <c r="AA367" s="187">
        <v>364</v>
      </c>
    </row>
    <row r="368" spans="2:27" s="184" customFormat="1" ht="20" x14ac:dyDescent="0.2">
      <c r="B368" s="11" t="s">
        <v>1722</v>
      </c>
      <c r="C368" s="165" t="s">
        <v>4235</v>
      </c>
      <c r="D368" s="22" t="s">
        <v>2379</v>
      </c>
      <c r="E368" s="34">
        <v>1</v>
      </c>
      <c r="F368" s="22" t="s">
        <v>2223</v>
      </c>
      <c r="G368" s="88">
        <v>0.85</v>
      </c>
      <c r="H368" s="235">
        <f t="shared" si="44"/>
        <v>0.52469135802469136</v>
      </c>
      <c r="I368" s="88">
        <v>3.4</v>
      </c>
      <c r="J368" s="235">
        <f t="shared" si="45"/>
        <v>2.0987654320987654</v>
      </c>
      <c r="K368" s="215">
        <v>138</v>
      </c>
      <c r="L368" s="252">
        <f>_xlfn.XLOOKUP($K368,Inputs!$C$6:$C$23,Inputs!$D$6:$D$23)*$I368</f>
        <v>1.4741428571428572</v>
      </c>
      <c r="M368" s="68"/>
      <c r="N368" s="68"/>
      <c r="O368" s="215">
        <v>121</v>
      </c>
      <c r="P368" s="215">
        <v>148</v>
      </c>
      <c r="Q368" s="94">
        <v>0.9</v>
      </c>
      <c r="R368" s="68" t="s">
        <v>115</v>
      </c>
      <c r="S368" s="182">
        <f t="shared" si="50"/>
        <v>108.9</v>
      </c>
      <c r="T368" s="182">
        <f t="shared" si="51"/>
        <v>133.20000000000002</v>
      </c>
      <c r="U368" s="96" t="s">
        <v>3999</v>
      </c>
      <c r="V368" s="22" t="s">
        <v>2145</v>
      </c>
      <c r="W368" s="96" t="s">
        <v>3860</v>
      </c>
      <c r="X368" s="22" t="s">
        <v>2616</v>
      </c>
      <c r="Y368" s="11" t="s">
        <v>3320</v>
      </c>
      <c r="Z368" s="79"/>
      <c r="AA368" s="187">
        <v>365</v>
      </c>
    </row>
    <row r="369" spans="2:27" s="184" customFormat="1" ht="20" x14ac:dyDescent="0.2">
      <c r="B369" s="11" t="s">
        <v>1720</v>
      </c>
      <c r="C369" s="165" t="s">
        <v>4235</v>
      </c>
      <c r="D369" s="22" t="s">
        <v>2379</v>
      </c>
      <c r="E369" s="34">
        <v>1</v>
      </c>
      <c r="F369" s="22" t="s">
        <v>2223</v>
      </c>
      <c r="G369" s="88">
        <v>5.0999999999999996</v>
      </c>
      <c r="H369" s="235">
        <f t="shared" si="44"/>
        <v>3.1481481481481479</v>
      </c>
      <c r="I369" s="88">
        <v>5.0999999999999996</v>
      </c>
      <c r="J369" s="235">
        <f t="shared" si="45"/>
        <v>3.1481481481481479</v>
      </c>
      <c r="K369" s="201">
        <v>144</v>
      </c>
      <c r="L369" s="252">
        <f>_xlfn.XLOOKUP($K369,Inputs!$C$6:$C$23,Inputs!$D$6:$D$23)*$I369</f>
        <v>2.2330714285714284</v>
      </c>
      <c r="M369" s="68"/>
      <c r="N369" s="68"/>
      <c r="O369" s="187"/>
      <c r="P369" s="187"/>
      <c r="Q369" s="94">
        <v>0.9</v>
      </c>
      <c r="R369" s="68">
        <f>IF((42.4*(J369)^(-0.6595))&gt;=3,3,(IF(42.4*(J369)^(-0.6595)&lt;=0.5,0.5,(42.4*(J369)^(-0.6595)))))</f>
        <v>3</v>
      </c>
      <c r="S369" s="276">
        <f>_xlfn.XLOOKUP($K369,Inputs!$G$6:$G$23,Inputs!J$6:J$23)*$R369</f>
        <v>153.60000000000002</v>
      </c>
      <c r="T369" s="276">
        <f>_xlfn.XLOOKUP($K369,Inputs!$G$6:$G$23,Inputs!K$6:K$23)*$R369</f>
        <v>169.96721311475409</v>
      </c>
      <c r="U369" s="96" t="s">
        <v>3755</v>
      </c>
      <c r="V369" s="22" t="s">
        <v>3013</v>
      </c>
      <c r="W369" s="96" t="s">
        <v>3860</v>
      </c>
      <c r="X369" s="22" t="s">
        <v>2616</v>
      </c>
      <c r="Y369" s="11" t="s">
        <v>3331</v>
      </c>
      <c r="Z369" s="79"/>
      <c r="AA369" s="187">
        <v>366</v>
      </c>
    </row>
    <row r="370" spans="2:27" s="184" customFormat="1" ht="20" x14ac:dyDescent="0.2">
      <c r="B370" s="11" t="s">
        <v>1794</v>
      </c>
      <c r="C370" s="165" t="s">
        <v>4235</v>
      </c>
      <c r="D370" s="22" t="s">
        <v>2379</v>
      </c>
      <c r="E370" s="34">
        <v>1</v>
      </c>
      <c r="F370" s="22" t="s">
        <v>2223</v>
      </c>
      <c r="G370" s="235">
        <v>5</v>
      </c>
      <c r="H370" s="235">
        <f t="shared" si="44"/>
        <v>3.0864197530864197</v>
      </c>
      <c r="I370" s="235">
        <v>5</v>
      </c>
      <c r="J370" s="235">
        <f t="shared" si="45"/>
        <v>3.0864197530864197</v>
      </c>
      <c r="K370" s="215">
        <v>138</v>
      </c>
      <c r="L370" s="252">
        <f>_xlfn.XLOOKUP($K370,Inputs!$C$6:$C$23,Inputs!$D$6:$D$23)*$I370</f>
        <v>2.1678571428571431</v>
      </c>
      <c r="M370" s="68"/>
      <c r="N370" s="68"/>
      <c r="O370" s="215">
        <v>85</v>
      </c>
      <c r="P370" s="215">
        <v>90</v>
      </c>
      <c r="Q370" s="94">
        <v>0.9</v>
      </c>
      <c r="R370" s="68" t="s">
        <v>115</v>
      </c>
      <c r="S370" s="182">
        <f>O370*Q370</f>
        <v>76.5</v>
      </c>
      <c r="T370" s="182">
        <f>P370*Q370</f>
        <v>81</v>
      </c>
      <c r="U370" s="96" t="s">
        <v>3639</v>
      </c>
      <c r="V370" s="22" t="s">
        <v>2919</v>
      </c>
      <c r="W370" s="96" t="s">
        <v>3463</v>
      </c>
      <c r="X370" s="22" t="s">
        <v>2796</v>
      </c>
      <c r="Y370" s="11" t="s">
        <v>3285</v>
      </c>
      <c r="Z370" s="79"/>
      <c r="AA370" s="187">
        <v>367</v>
      </c>
    </row>
    <row r="371" spans="2:27" s="184" customFormat="1" ht="20" x14ac:dyDescent="0.2">
      <c r="B371" s="11" t="s">
        <v>1753</v>
      </c>
      <c r="C371" s="165" t="s">
        <v>4235</v>
      </c>
      <c r="D371" s="22" t="s">
        <v>2379</v>
      </c>
      <c r="E371" s="34">
        <v>1</v>
      </c>
      <c r="F371" s="22" t="s">
        <v>2223</v>
      </c>
      <c r="G371" s="88">
        <v>7.6499999999999995</v>
      </c>
      <c r="H371" s="235">
        <f t="shared" si="44"/>
        <v>4.7222222222222214</v>
      </c>
      <c r="I371" s="88">
        <v>7.6499999999999995</v>
      </c>
      <c r="J371" s="235">
        <f t="shared" si="45"/>
        <v>4.7222222222222214</v>
      </c>
      <c r="K371" s="201">
        <v>144</v>
      </c>
      <c r="L371" s="252">
        <f>_xlfn.XLOOKUP($K371,Inputs!$C$6:$C$23,Inputs!$D$6:$D$23)*$I371</f>
        <v>3.3496071428571428</v>
      </c>
      <c r="M371" s="68"/>
      <c r="N371" s="68"/>
      <c r="O371" s="187"/>
      <c r="P371" s="187"/>
      <c r="Q371" s="94">
        <v>0.9</v>
      </c>
      <c r="R371" s="68">
        <f>IF((42.4*(J371)^(-0.6595))&gt;=3,3,(IF(42.4*(J371)^(-0.6595)&lt;=0.5,0.5,(42.4*(J371)^(-0.6595)))))</f>
        <v>3</v>
      </c>
      <c r="S371" s="276">
        <f>_xlfn.XLOOKUP($K371,Inputs!$G$6:$G$23,Inputs!J$6:J$23)*$R371</f>
        <v>153.60000000000002</v>
      </c>
      <c r="T371" s="276">
        <f>_xlfn.XLOOKUP($K371,Inputs!$G$6:$G$23,Inputs!K$6:K$23)*$R371</f>
        <v>169.96721311475409</v>
      </c>
      <c r="U371" s="96" t="s">
        <v>3818</v>
      </c>
      <c r="V371" s="22" t="s">
        <v>3064</v>
      </c>
      <c r="W371" s="96" t="s">
        <v>1754</v>
      </c>
      <c r="X371" s="22" t="s">
        <v>3082</v>
      </c>
      <c r="Y371" s="11" t="s">
        <v>3331</v>
      </c>
      <c r="Z371" s="79"/>
      <c r="AA371" s="187">
        <v>368</v>
      </c>
    </row>
    <row r="372" spans="2:27" s="184" customFormat="1" ht="20" x14ac:dyDescent="0.2">
      <c r="B372" s="11" t="s">
        <v>735</v>
      </c>
      <c r="C372" s="165" t="s">
        <v>4235</v>
      </c>
      <c r="D372" s="22" t="s">
        <v>2379</v>
      </c>
      <c r="E372" s="34">
        <v>1</v>
      </c>
      <c r="F372" s="22" t="s">
        <v>2223</v>
      </c>
      <c r="G372" s="88">
        <v>12</v>
      </c>
      <c r="H372" s="235">
        <f t="shared" si="44"/>
        <v>7.4074074074074066</v>
      </c>
      <c r="I372" s="88">
        <v>12</v>
      </c>
      <c r="J372" s="235">
        <f t="shared" si="45"/>
        <v>7.4074074074074066</v>
      </c>
      <c r="K372" s="215">
        <v>138</v>
      </c>
      <c r="L372" s="252">
        <f>_xlfn.XLOOKUP($K372,Inputs!$C$6:$C$23,Inputs!$D$6:$D$23)*$I372</f>
        <v>5.2028571428571428</v>
      </c>
      <c r="M372" s="68"/>
      <c r="N372" s="68"/>
      <c r="O372" s="215">
        <v>119</v>
      </c>
      <c r="P372" s="215">
        <v>146</v>
      </c>
      <c r="Q372" s="94">
        <v>0.9</v>
      </c>
      <c r="R372" s="68" t="s">
        <v>115</v>
      </c>
      <c r="S372" s="182">
        <f>O372*Q372</f>
        <v>107.10000000000001</v>
      </c>
      <c r="T372" s="182">
        <f>P372*Q372</f>
        <v>131.4</v>
      </c>
      <c r="U372" s="96" t="s">
        <v>3568</v>
      </c>
      <c r="V372" s="22" t="s">
        <v>2864</v>
      </c>
      <c r="W372" s="96" t="s">
        <v>3926</v>
      </c>
      <c r="X372" s="22" t="s">
        <v>3185</v>
      </c>
      <c r="Y372" s="11" t="s">
        <v>3289</v>
      </c>
      <c r="Z372" s="79"/>
      <c r="AA372" s="187">
        <v>369</v>
      </c>
    </row>
    <row r="373" spans="2:27" s="184" customFormat="1" ht="20" x14ac:dyDescent="0.2">
      <c r="B373" s="11" t="s">
        <v>1535</v>
      </c>
      <c r="C373" s="165" t="s">
        <v>4237</v>
      </c>
      <c r="D373" s="22" t="s">
        <v>2379</v>
      </c>
      <c r="E373" s="34">
        <v>1</v>
      </c>
      <c r="F373" s="22" t="s">
        <v>2223</v>
      </c>
      <c r="G373" s="88">
        <v>18</v>
      </c>
      <c r="H373" s="235">
        <f t="shared" si="44"/>
        <v>11.111111111111111</v>
      </c>
      <c r="I373" s="88">
        <v>33</v>
      </c>
      <c r="J373" s="235">
        <f t="shared" si="45"/>
        <v>20.37037037037037</v>
      </c>
      <c r="K373" s="201">
        <v>72</v>
      </c>
      <c r="L373" s="252">
        <f>_xlfn.XLOOKUP($K373,Inputs!$C$6:$C$23,Inputs!$D$6:$D$23)*$I373</f>
        <v>12.752142857142857</v>
      </c>
      <c r="M373" s="68"/>
      <c r="N373" s="68"/>
      <c r="O373" s="187"/>
      <c r="P373" s="187"/>
      <c r="Q373" s="94">
        <v>0.9</v>
      </c>
      <c r="R373" s="68">
        <f>IF((42.4*(J373)^(-0.6595))&gt;=3,3,(IF(42.4*(J373)^(-0.6595)&lt;=0.5,0.5,(42.4*(J373)^(-0.6595)))))</f>
        <v>3</v>
      </c>
      <c r="S373" s="276">
        <f>_xlfn.XLOOKUP($K373,Inputs!$G$6:$G$23,Inputs!J$6:J$23)*$R373</f>
        <v>38.880000000000003</v>
      </c>
      <c r="T373" s="276">
        <f>_xlfn.XLOOKUP($K373,Inputs!$G$6:$G$23,Inputs!K$6:K$23)*$R373</f>
        <v>42.491803278688522</v>
      </c>
      <c r="U373" s="96" t="s">
        <v>3968</v>
      </c>
      <c r="V373" s="22" t="s">
        <v>2122</v>
      </c>
      <c r="W373" s="96" t="s">
        <v>3706</v>
      </c>
      <c r="X373" s="22" t="s">
        <v>2972</v>
      </c>
      <c r="Y373" s="11" t="s">
        <v>3331</v>
      </c>
      <c r="Z373" s="79"/>
      <c r="AA373" s="187">
        <v>370</v>
      </c>
    </row>
    <row r="374" spans="2:27" s="184" customFormat="1" ht="20" x14ac:dyDescent="0.2">
      <c r="B374" s="11" t="s">
        <v>1535</v>
      </c>
      <c r="C374" s="165" t="s">
        <v>4237</v>
      </c>
      <c r="D374" s="22" t="s">
        <v>2379</v>
      </c>
      <c r="E374" s="34">
        <v>1</v>
      </c>
      <c r="F374" s="22" t="s">
        <v>2223</v>
      </c>
      <c r="G374" s="88">
        <v>15</v>
      </c>
      <c r="H374" s="235">
        <f t="shared" si="44"/>
        <v>9.2592592592592595</v>
      </c>
      <c r="I374" s="88">
        <v>33</v>
      </c>
      <c r="J374" s="235">
        <f t="shared" si="45"/>
        <v>20.37037037037037</v>
      </c>
      <c r="K374" s="215">
        <v>69</v>
      </c>
      <c r="L374" s="252">
        <f>_xlfn.XLOOKUP($K374,Inputs!$C$6:$C$23,Inputs!$D$6:$D$23)*$I374</f>
        <v>12.681428571428571</v>
      </c>
      <c r="M374" s="68"/>
      <c r="N374" s="68"/>
      <c r="O374" s="215">
        <v>47</v>
      </c>
      <c r="P374" s="215">
        <v>47</v>
      </c>
      <c r="Q374" s="94">
        <v>0.9</v>
      </c>
      <c r="R374" s="68" t="s">
        <v>115</v>
      </c>
      <c r="S374" s="182">
        <f>O374*Q374</f>
        <v>42.300000000000004</v>
      </c>
      <c r="T374" s="182">
        <f>P374*Q374</f>
        <v>42.300000000000004</v>
      </c>
      <c r="U374" s="96" t="s">
        <v>3706</v>
      </c>
      <c r="V374" s="22" t="s">
        <v>2972</v>
      </c>
      <c r="W374" s="96" t="s">
        <v>3847</v>
      </c>
      <c r="X374" s="22" t="s">
        <v>3120</v>
      </c>
      <c r="Y374" s="11" t="s">
        <v>3299</v>
      </c>
      <c r="Z374" s="79"/>
      <c r="AA374" s="187">
        <v>371</v>
      </c>
    </row>
    <row r="375" spans="2:27" s="184" customFormat="1" ht="20" x14ac:dyDescent="0.2">
      <c r="B375" s="11" t="s">
        <v>1532</v>
      </c>
      <c r="C375" s="165" t="s">
        <v>4237</v>
      </c>
      <c r="D375" s="22" t="s">
        <v>2379</v>
      </c>
      <c r="E375" s="34">
        <v>1</v>
      </c>
      <c r="F375" s="22" t="s">
        <v>2223</v>
      </c>
      <c r="G375" s="88">
        <v>6</v>
      </c>
      <c r="H375" s="235">
        <f t="shared" si="44"/>
        <v>3.7037037037037033</v>
      </c>
      <c r="I375" s="88">
        <v>6</v>
      </c>
      <c r="J375" s="235">
        <f t="shared" si="45"/>
        <v>3.7037037037037033</v>
      </c>
      <c r="K375" s="201">
        <v>72</v>
      </c>
      <c r="L375" s="252">
        <f>_xlfn.XLOOKUP($K375,Inputs!$C$6:$C$23,Inputs!$D$6:$D$23)*$I375</f>
        <v>2.3185714285714285</v>
      </c>
      <c r="M375" s="68"/>
      <c r="N375" s="68"/>
      <c r="O375" s="187"/>
      <c r="P375" s="187"/>
      <c r="Q375" s="94">
        <v>0.9</v>
      </c>
      <c r="R375" s="68">
        <f>IF((42.4*(J375)^(-0.6595))&gt;=3,3,(IF(42.4*(J375)^(-0.6595)&lt;=0.5,0.5,(42.4*(J375)^(-0.6595)))))</f>
        <v>3</v>
      </c>
      <c r="S375" s="276">
        <f>_xlfn.XLOOKUP($K375,Inputs!$G$6:$G$23,Inputs!J$6:J$23)*$R375</f>
        <v>38.880000000000003</v>
      </c>
      <c r="T375" s="276">
        <f>_xlfn.XLOOKUP($K375,Inputs!$G$6:$G$23,Inputs!K$6:K$23)*$R375</f>
        <v>42.491803278688522</v>
      </c>
      <c r="U375" s="96" t="s">
        <v>3968</v>
      </c>
      <c r="V375" s="22" t="s">
        <v>2122</v>
      </c>
      <c r="W375" s="96" t="s">
        <v>3702</v>
      </c>
      <c r="X375" s="22" t="s">
        <v>2968</v>
      </c>
      <c r="Y375" s="11" t="s">
        <v>3331</v>
      </c>
      <c r="Z375" s="79"/>
      <c r="AA375" s="187">
        <v>372</v>
      </c>
    </row>
    <row r="376" spans="2:27" s="184" customFormat="1" ht="20" x14ac:dyDescent="0.2">
      <c r="B376" s="11" t="s">
        <v>1525</v>
      </c>
      <c r="C376" s="165" t="s">
        <v>4237</v>
      </c>
      <c r="D376" s="22" t="s">
        <v>2379</v>
      </c>
      <c r="E376" s="34">
        <v>1</v>
      </c>
      <c r="F376" s="22" t="s">
        <v>2223</v>
      </c>
      <c r="G376" s="88">
        <v>12</v>
      </c>
      <c r="H376" s="235">
        <f t="shared" si="44"/>
        <v>7.4074074074074066</v>
      </c>
      <c r="I376" s="88">
        <v>47</v>
      </c>
      <c r="J376" s="235">
        <f t="shared" si="45"/>
        <v>29.012345679012345</v>
      </c>
      <c r="K376" s="215">
        <v>69</v>
      </c>
      <c r="L376" s="252">
        <f>_xlfn.XLOOKUP($K376,Inputs!$C$6:$C$23,Inputs!$D$6:$D$23)*$I376</f>
        <v>18.061428571428571</v>
      </c>
      <c r="M376" s="68"/>
      <c r="N376" s="68"/>
      <c r="O376" s="215">
        <v>47</v>
      </c>
      <c r="P376" s="215">
        <v>47</v>
      </c>
      <c r="Q376" s="94">
        <v>0.9</v>
      </c>
      <c r="R376" s="68" t="s">
        <v>115</v>
      </c>
      <c r="S376" s="182">
        <f>O376*Q376</f>
        <v>42.300000000000004</v>
      </c>
      <c r="T376" s="182">
        <f>P376*Q376</f>
        <v>42.300000000000004</v>
      </c>
      <c r="U376" s="96" t="s">
        <v>3856</v>
      </c>
      <c r="V376" s="22" t="s">
        <v>3126</v>
      </c>
      <c r="W376" s="96" t="s">
        <v>3457</v>
      </c>
      <c r="X376" s="22" t="s">
        <v>2792</v>
      </c>
      <c r="Y376" s="11" t="s">
        <v>3299</v>
      </c>
      <c r="Z376" s="79"/>
      <c r="AA376" s="187">
        <v>373</v>
      </c>
    </row>
    <row r="377" spans="2:27" s="184" customFormat="1" ht="20" x14ac:dyDescent="0.2">
      <c r="B377" s="11" t="s">
        <v>1525</v>
      </c>
      <c r="C377" s="165" t="s">
        <v>4237</v>
      </c>
      <c r="D377" s="22" t="s">
        <v>2379</v>
      </c>
      <c r="E377" s="34">
        <v>1</v>
      </c>
      <c r="F377" s="22" t="s">
        <v>2223</v>
      </c>
      <c r="G377" s="235">
        <v>35</v>
      </c>
      <c r="H377" s="235">
        <f t="shared" si="44"/>
        <v>21.604938271604937</v>
      </c>
      <c r="I377" s="235">
        <v>47</v>
      </c>
      <c r="J377" s="235">
        <f t="shared" si="45"/>
        <v>29.012345679012345</v>
      </c>
      <c r="K377" s="215">
        <v>69</v>
      </c>
      <c r="L377" s="252">
        <f>_xlfn.XLOOKUP($K377,Inputs!$C$6:$C$23,Inputs!$D$6:$D$23)*$I377</f>
        <v>18.061428571428571</v>
      </c>
      <c r="M377" s="68"/>
      <c r="N377" s="68"/>
      <c r="O377" s="215">
        <v>47</v>
      </c>
      <c r="P377" s="215">
        <v>47</v>
      </c>
      <c r="Q377" s="94">
        <v>0.9</v>
      </c>
      <c r="R377" s="68" t="s">
        <v>115</v>
      </c>
      <c r="S377" s="182">
        <f>O377*Q377</f>
        <v>42.300000000000004</v>
      </c>
      <c r="T377" s="182">
        <f>P377*Q377</f>
        <v>42.300000000000004</v>
      </c>
      <c r="U377" s="96" t="s">
        <v>3457</v>
      </c>
      <c r="V377" s="22" t="s">
        <v>2792</v>
      </c>
      <c r="W377" s="96" t="s">
        <v>3373</v>
      </c>
      <c r="X377" s="22" t="s">
        <v>2656</v>
      </c>
      <c r="Y377" s="11" t="s">
        <v>3299</v>
      </c>
      <c r="Z377" s="79"/>
      <c r="AA377" s="187">
        <v>374</v>
      </c>
    </row>
    <row r="378" spans="2:27" s="184" customFormat="1" ht="20" x14ac:dyDescent="0.2">
      <c r="B378" s="11" t="s">
        <v>1529</v>
      </c>
      <c r="C378" s="165" t="s">
        <v>4237</v>
      </c>
      <c r="D378" s="22" t="s">
        <v>2379</v>
      </c>
      <c r="E378" s="34">
        <v>1</v>
      </c>
      <c r="F378" s="22" t="s">
        <v>2223</v>
      </c>
      <c r="G378" s="88">
        <v>9</v>
      </c>
      <c r="H378" s="235">
        <f t="shared" si="44"/>
        <v>5.5555555555555554</v>
      </c>
      <c r="I378" s="88">
        <v>18</v>
      </c>
      <c r="J378" s="235">
        <f t="shared" si="45"/>
        <v>11.111111111111111</v>
      </c>
      <c r="K378" s="215">
        <v>69</v>
      </c>
      <c r="L378" s="252">
        <f>_xlfn.XLOOKUP($K378,Inputs!$C$6:$C$23,Inputs!$D$6:$D$23)*$I378</f>
        <v>6.9171428571428573</v>
      </c>
      <c r="M378" s="68"/>
      <c r="N378" s="68"/>
      <c r="O378" s="215">
        <v>54.6</v>
      </c>
      <c r="P378" s="215">
        <v>69</v>
      </c>
      <c r="Q378" s="94">
        <v>0.9</v>
      </c>
      <c r="R378" s="68" t="s">
        <v>115</v>
      </c>
      <c r="S378" s="182">
        <f>O378*Q378</f>
        <v>49.14</v>
      </c>
      <c r="T378" s="182">
        <f>P378*Q378</f>
        <v>62.1</v>
      </c>
      <c r="U378" s="96" t="s">
        <v>3373</v>
      </c>
      <c r="V378" s="22" t="s">
        <v>2656</v>
      </c>
      <c r="W378" s="96" t="s">
        <v>3388</v>
      </c>
      <c r="X378" s="22" t="s">
        <v>2751</v>
      </c>
      <c r="Y378" s="11" t="s">
        <v>3299</v>
      </c>
      <c r="Z378" s="79"/>
      <c r="AA378" s="187">
        <v>375</v>
      </c>
    </row>
    <row r="379" spans="2:27" s="184" customFormat="1" ht="20" x14ac:dyDescent="0.2">
      <c r="B379" s="11" t="s">
        <v>1529</v>
      </c>
      <c r="C379" s="165" t="s">
        <v>4237</v>
      </c>
      <c r="D379" s="22" t="s">
        <v>2379</v>
      </c>
      <c r="E379" s="34">
        <v>1</v>
      </c>
      <c r="F379" s="22" t="s">
        <v>2223</v>
      </c>
      <c r="G379" s="88">
        <v>9</v>
      </c>
      <c r="H379" s="235">
        <f t="shared" si="44"/>
        <v>5.5555555555555554</v>
      </c>
      <c r="I379" s="88">
        <v>18</v>
      </c>
      <c r="J379" s="235">
        <f t="shared" si="45"/>
        <v>11.111111111111111</v>
      </c>
      <c r="K379" s="215">
        <v>69</v>
      </c>
      <c r="L379" s="252">
        <f>_xlfn.XLOOKUP($K379,Inputs!$C$6:$C$23,Inputs!$D$6:$D$23)*$I379</f>
        <v>6.9171428571428573</v>
      </c>
      <c r="M379" s="68"/>
      <c r="N379" s="68"/>
      <c r="O379" s="215">
        <v>54.6</v>
      </c>
      <c r="P379" s="215">
        <v>69</v>
      </c>
      <c r="Q379" s="94">
        <v>0.9</v>
      </c>
      <c r="R379" s="68" t="s">
        <v>115</v>
      </c>
      <c r="S379" s="182">
        <f>O379*Q379</f>
        <v>49.14</v>
      </c>
      <c r="T379" s="182">
        <f>P379*Q379</f>
        <v>62.1</v>
      </c>
      <c r="U379" s="96" t="s">
        <v>3388</v>
      </c>
      <c r="V379" s="22" t="s">
        <v>2751</v>
      </c>
      <c r="W379" s="96" t="s">
        <v>3612</v>
      </c>
      <c r="X379" s="22" t="s">
        <v>2900</v>
      </c>
      <c r="Y379" s="11" t="s">
        <v>3299</v>
      </c>
      <c r="Z379" s="79"/>
      <c r="AA379" s="187">
        <v>376</v>
      </c>
    </row>
    <row r="380" spans="2:27" s="184" customFormat="1" ht="20" x14ac:dyDescent="0.2">
      <c r="B380" s="11" t="s">
        <v>1531</v>
      </c>
      <c r="C380" s="165" t="s">
        <v>4237</v>
      </c>
      <c r="D380" s="22" t="s">
        <v>2379</v>
      </c>
      <c r="E380" s="34">
        <v>1</v>
      </c>
      <c r="F380" s="22" t="s">
        <v>2223</v>
      </c>
      <c r="G380" s="88">
        <v>9</v>
      </c>
      <c r="H380" s="235">
        <f t="shared" si="44"/>
        <v>5.5555555555555554</v>
      </c>
      <c r="I380" s="88">
        <v>9</v>
      </c>
      <c r="J380" s="235">
        <f t="shared" si="45"/>
        <v>5.5555555555555554</v>
      </c>
      <c r="K380" s="201">
        <v>72</v>
      </c>
      <c r="L380" s="252">
        <f>_xlfn.XLOOKUP($K380,Inputs!$C$6:$C$23,Inputs!$D$6:$D$23)*$I380</f>
        <v>3.4778571428571432</v>
      </c>
      <c r="M380" s="68"/>
      <c r="N380" s="68"/>
      <c r="O380" s="187"/>
      <c r="P380" s="187"/>
      <c r="Q380" s="94">
        <v>0.9</v>
      </c>
      <c r="R380" s="68">
        <f>IF((42.4*(J380)^(-0.6595))&gt;=3,3,(IF(42.4*(J380)^(-0.6595)&lt;=0.5,0.5,(42.4*(J380)^(-0.6595)))))</f>
        <v>3</v>
      </c>
      <c r="S380" s="276">
        <f>_xlfn.XLOOKUP($K380,Inputs!$G$6:$G$23,Inputs!J$6:J$23)*$R380</f>
        <v>38.880000000000003</v>
      </c>
      <c r="T380" s="276">
        <f>_xlfn.XLOOKUP($K380,Inputs!$G$6:$G$23,Inputs!K$6:K$23)*$R380</f>
        <v>42.491803278688522</v>
      </c>
      <c r="U380" s="96" t="s">
        <v>3388</v>
      </c>
      <c r="V380" s="22" t="s">
        <v>2751</v>
      </c>
      <c r="W380" s="96" t="s">
        <v>3968</v>
      </c>
      <c r="X380" s="22" t="s">
        <v>2122</v>
      </c>
      <c r="Y380" s="11" t="s">
        <v>3331</v>
      </c>
      <c r="Z380" s="79"/>
      <c r="AA380" s="187">
        <v>377</v>
      </c>
    </row>
    <row r="381" spans="2:27" s="184" customFormat="1" ht="20" x14ac:dyDescent="0.2">
      <c r="B381" s="11" t="s">
        <v>1527</v>
      </c>
      <c r="C381" s="165" t="s">
        <v>4237</v>
      </c>
      <c r="D381" s="22" t="s">
        <v>2379</v>
      </c>
      <c r="E381" s="34">
        <v>1</v>
      </c>
      <c r="F381" s="22" t="s">
        <v>2223</v>
      </c>
      <c r="G381" s="88">
        <v>7.1999999999999993</v>
      </c>
      <c r="H381" s="235">
        <f t="shared" si="44"/>
        <v>4.4444444444444438</v>
      </c>
      <c r="I381" s="88">
        <v>7.1999999999999993</v>
      </c>
      <c r="J381" s="235">
        <f t="shared" si="45"/>
        <v>4.4444444444444438</v>
      </c>
      <c r="K381" s="201">
        <v>72</v>
      </c>
      <c r="L381" s="252">
        <f>_xlfn.XLOOKUP($K381,Inputs!$C$6:$C$23,Inputs!$D$6:$D$23)*$I381</f>
        <v>2.782285714285714</v>
      </c>
      <c r="M381" s="68"/>
      <c r="N381" s="68"/>
      <c r="O381" s="187"/>
      <c r="P381" s="187"/>
      <c r="Q381" s="94">
        <v>0.9</v>
      </c>
      <c r="R381" s="68">
        <f>IF((42.4*(J381)^(-0.6595))&gt;=3,3,(IF(42.4*(J381)^(-0.6595)&lt;=0.5,0.5,(42.4*(J381)^(-0.6595)))))</f>
        <v>3</v>
      </c>
      <c r="S381" s="276">
        <f>_xlfn.XLOOKUP($K381,Inputs!$G$6:$G$23,Inputs!J$6:J$23)*$R381</f>
        <v>38.880000000000003</v>
      </c>
      <c r="T381" s="276">
        <f>_xlfn.XLOOKUP($K381,Inputs!$G$6:$G$23,Inputs!K$6:K$23)*$R381</f>
        <v>42.491803278688522</v>
      </c>
      <c r="U381" s="96" t="s">
        <v>3373</v>
      </c>
      <c r="V381" s="22" t="s">
        <v>2656</v>
      </c>
      <c r="W381" s="96" t="s">
        <v>3390</v>
      </c>
      <c r="X381" s="22" t="s">
        <v>2753</v>
      </c>
      <c r="Y381" s="11" t="s">
        <v>3331</v>
      </c>
      <c r="Z381" s="79"/>
      <c r="AA381" s="187">
        <v>378</v>
      </c>
    </row>
    <row r="382" spans="2:27" s="184" customFormat="1" ht="20" x14ac:dyDescent="0.2">
      <c r="B382" s="11" t="s">
        <v>1516</v>
      </c>
      <c r="C382" s="165" t="s">
        <v>4237</v>
      </c>
      <c r="D382" s="22" t="s">
        <v>2379</v>
      </c>
      <c r="E382" s="34">
        <v>1</v>
      </c>
      <c r="F382" s="22" t="s">
        <v>2223</v>
      </c>
      <c r="G382" s="235">
        <v>60</v>
      </c>
      <c r="H382" s="235">
        <f t="shared" si="44"/>
        <v>37.037037037037038</v>
      </c>
      <c r="I382" s="235">
        <v>108</v>
      </c>
      <c r="J382" s="235">
        <f t="shared" si="45"/>
        <v>66.666666666666657</v>
      </c>
      <c r="K382" s="215">
        <v>69</v>
      </c>
      <c r="L382" s="252">
        <f>_xlfn.XLOOKUP($K382,Inputs!$C$6:$C$23,Inputs!$D$6:$D$23)*$I382</f>
        <v>41.502857142857145</v>
      </c>
      <c r="M382" s="68"/>
      <c r="N382" s="68"/>
      <c r="O382" s="215">
        <v>23</v>
      </c>
      <c r="P382" s="215">
        <v>23</v>
      </c>
      <c r="Q382" s="94">
        <v>0.9</v>
      </c>
      <c r="R382" s="68" t="s">
        <v>115</v>
      </c>
      <c r="S382" s="182">
        <f>O382*Q382</f>
        <v>20.7</v>
      </c>
      <c r="T382" s="182">
        <f>P382*Q382</f>
        <v>20.7</v>
      </c>
      <c r="U382" s="96" t="s">
        <v>3763</v>
      </c>
      <c r="V382" s="22" t="s">
        <v>2639</v>
      </c>
      <c r="W382" s="96" t="s">
        <v>3946</v>
      </c>
      <c r="X382" s="22" t="s">
        <v>3198</v>
      </c>
      <c r="Y382" s="11" t="s">
        <v>3284</v>
      </c>
      <c r="Z382" s="79"/>
      <c r="AA382" s="187">
        <v>379</v>
      </c>
    </row>
    <row r="383" spans="2:27" s="184" customFormat="1" ht="20" x14ac:dyDescent="0.2">
      <c r="B383" s="11" t="s">
        <v>1516</v>
      </c>
      <c r="C383" s="165" t="s">
        <v>4237</v>
      </c>
      <c r="D383" s="22" t="s">
        <v>2379</v>
      </c>
      <c r="E383" s="34">
        <v>1</v>
      </c>
      <c r="F383" s="22" t="s">
        <v>2223</v>
      </c>
      <c r="G383" s="88">
        <v>24</v>
      </c>
      <c r="H383" s="235">
        <f t="shared" si="44"/>
        <v>14.814814814814813</v>
      </c>
      <c r="I383" s="88">
        <v>108</v>
      </c>
      <c r="J383" s="235">
        <f t="shared" si="45"/>
        <v>66.666666666666657</v>
      </c>
      <c r="K383" s="215">
        <v>69</v>
      </c>
      <c r="L383" s="252">
        <f>_xlfn.XLOOKUP($K383,Inputs!$C$6:$C$23,Inputs!$D$6:$D$23)*$I383</f>
        <v>41.502857142857145</v>
      </c>
      <c r="M383" s="68"/>
      <c r="N383" s="68"/>
      <c r="O383" s="215">
        <v>23</v>
      </c>
      <c r="P383" s="215">
        <v>23</v>
      </c>
      <c r="Q383" s="94">
        <v>0.9</v>
      </c>
      <c r="R383" s="68" t="s">
        <v>115</v>
      </c>
      <c r="S383" s="182">
        <f>O383*Q383</f>
        <v>20.7</v>
      </c>
      <c r="T383" s="182">
        <f>P383*Q383</f>
        <v>20.7</v>
      </c>
      <c r="U383" s="96" t="s">
        <v>3946</v>
      </c>
      <c r="V383" s="22" t="s">
        <v>3198</v>
      </c>
      <c r="W383" s="96" t="s">
        <v>3796</v>
      </c>
      <c r="X383" s="22" t="s">
        <v>3046</v>
      </c>
      <c r="Y383" s="11" t="s">
        <v>3284</v>
      </c>
      <c r="Z383" s="79"/>
      <c r="AA383" s="187">
        <v>380</v>
      </c>
    </row>
    <row r="384" spans="2:27" s="184" customFormat="1" ht="20" x14ac:dyDescent="0.2">
      <c r="B384" s="11" t="s">
        <v>1516</v>
      </c>
      <c r="C384" s="165" t="s">
        <v>4237</v>
      </c>
      <c r="D384" s="22" t="s">
        <v>2379</v>
      </c>
      <c r="E384" s="34">
        <v>1</v>
      </c>
      <c r="F384" s="22" t="s">
        <v>2223</v>
      </c>
      <c r="G384" s="88">
        <v>24</v>
      </c>
      <c r="H384" s="235">
        <f t="shared" si="44"/>
        <v>14.814814814814813</v>
      </c>
      <c r="I384" s="88">
        <v>108</v>
      </c>
      <c r="J384" s="235">
        <f t="shared" si="45"/>
        <v>66.666666666666657</v>
      </c>
      <c r="K384" s="215">
        <v>69</v>
      </c>
      <c r="L384" s="252">
        <f>_xlfn.XLOOKUP($K384,Inputs!$C$6:$C$23,Inputs!$D$6:$D$23)*$I384</f>
        <v>41.502857142857145</v>
      </c>
      <c r="M384" s="68"/>
      <c r="N384" s="68"/>
      <c r="O384" s="215">
        <v>23</v>
      </c>
      <c r="P384" s="215">
        <v>23</v>
      </c>
      <c r="Q384" s="94">
        <v>0.9</v>
      </c>
      <c r="R384" s="68" t="s">
        <v>115</v>
      </c>
      <c r="S384" s="182">
        <f>O384*Q384</f>
        <v>20.7</v>
      </c>
      <c r="T384" s="182">
        <f>P384*Q384</f>
        <v>20.7</v>
      </c>
      <c r="U384" s="96" t="s">
        <v>3796</v>
      </c>
      <c r="V384" s="22" t="s">
        <v>3046</v>
      </c>
      <c r="W384" s="96" t="s">
        <v>3598</v>
      </c>
      <c r="X384" s="22" t="s">
        <v>2887</v>
      </c>
      <c r="Y384" s="11" t="s">
        <v>3284</v>
      </c>
      <c r="Z384" s="79"/>
      <c r="AA384" s="187">
        <v>381</v>
      </c>
    </row>
    <row r="385" spans="1:27" s="184" customFormat="1" ht="20" x14ac:dyDescent="0.2">
      <c r="B385" s="11" t="s">
        <v>2018</v>
      </c>
      <c r="C385" s="165" t="s">
        <v>4237</v>
      </c>
      <c r="D385" s="22" t="s">
        <v>2379</v>
      </c>
      <c r="E385" s="34">
        <v>1</v>
      </c>
      <c r="F385" s="22" t="s">
        <v>2223</v>
      </c>
      <c r="G385" s="88">
        <v>15</v>
      </c>
      <c r="H385" s="235">
        <f t="shared" si="44"/>
        <v>9.2592592592592595</v>
      </c>
      <c r="I385" s="88">
        <v>45</v>
      </c>
      <c r="J385" s="235">
        <f t="shared" si="45"/>
        <v>27.777777777777775</v>
      </c>
      <c r="K385" s="201">
        <v>72</v>
      </c>
      <c r="L385" s="252">
        <f>_xlfn.XLOOKUP($K385,Inputs!$C$6:$C$23,Inputs!$D$6:$D$23)*$I385</f>
        <v>17.389285714285716</v>
      </c>
      <c r="M385" s="68"/>
      <c r="N385" s="68"/>
      <c r="O385" s="187"/>
      <c r="P385" s="187"/>
      <c r="Q385" s="94">
        <v>0.9</v>
      </c>
      <c r="R385" s="68">
        <f>IF((42.4*(J385)^(-0.6595))&gt;=3,3,(IF(42.4*(J385)^(-0.6595)&lt;=0.5,0.5,(42.4*(J385)^(-0.6595)))))</f>
        <v>3</v>
      </c>
      <c r="S385" s="276">
        <f>_xlfn.XLOOKUP($K385,Inputs!$G$6:$G$23,Inputs!J$6:J$23)*$R385</f>
        <v>38.880000000000003</v>
      </c>
      <c r="T385" s="276">
        <f>_xlfn.XLOOKUP($K385,Inputs!$G$6:$G$23,Inputs!K$6:K$23)*$R385</f>
        <v>42.491803278688522</v>
      </c>
      <c r="U385" s="96" t="s">
        <v>3531</v>
      </c>
      <c r="V385" s="22" t="s">
        <v>2841</v>
      </c>
      <c r="W385" s="96" t="s">
        <v>3869</v>
      </c>
      <c r="X385" s="22" t="s">
        <v>3137</v>
      </c>
      <c r="Y385" s="11" t="s">
        <v>3331</v>
      </c>
      <c r="Z385" s="79"/>
      <c r="AA385" s="187">
        <v>382</v>
      </c>
    </row>
    <row r="386" spans="1:27" s="184" customFormat="1" ht="20" x14ac:dyDescent="0.2">
      <c r="B386" s="11" t="s">
        <v>2018</v>
      </c>
      <c r="C386" s="165" t="s">
        <v>4237</v>
      </c>
      <c r="D386" s="22" t="s">
        <v>2379</v>
      </c>
      <c r="E386" s="34">
        <v>1</v>
      </c>
      <c r="F386" s="22" t="s">
        <v>2223</v>
      </c>
      <c r="G386" s="88">
        <v>15</v>
      </c>
      <c r="H386" s="235">
        <f t="shared" si="44"/>
        <v>9.2592592592592595</v>
      </c>
      <c r="I386" s="88">
        <v>45</v>
      </c>
      <c r="J386" s="235">
        <f t="shared" si="45"/>
        <v>27.777777777777775</v>
      </c>
      <c r="K386" s="201">
        <v>72</v>
      </c>
      <c r="L386" s="252">
        <f>_xlfn.XLOOKUP($K386,Inputs!$C$6:$C$23,Inputs!$D$6:$D$23)*$I386</f>
        <v>17.389285714285716</v>
      </c>
      <c r="M386" s="68"/>
      <c r="N386" s="68"/>
      <c r="O386" s="187"/>
      <c r="P386" s="187"/>
      <c r="Q386" s="94">
        <v>0.9</v>
      </c>
      <c r="R386" s="68">
        <f>IF((42.4*(J386)^(-0.6595))&gt;=3,3,(IF(42.4*(J386)^(-0.6595)&lt;=0.5,0.5,(42.4*(J386)^(-0.6595)))))</f>
        <v>3</v>
      </c>
      <c r="S386" s="276">
        <f>_xlfn.XLOOKUP($K386,Inputs!$G$6:$G$23,Inputs!J$6:J$23)*$R386</f>
        <v>38.880000000000003</v>
      </c>
      <c r="T386" s="276">
        <f>_xlfn.XLOOKUP($K386,Inputs!$G$6:$G$23,Inputs!K$6:K$23)*$R386</f>
        <v>42.491803278688522</v>
      </c>
      <c r="U386" s="96" t="s">
        <v>3869</v>
      </c>
      <c r="V386" s="22" t="s">
        <v>3137</v>
      </c>
      <c r="W386" s="96" t="s">
        <v>3572</v>
      </c>
      <c r="X386" s="22" t="s">
        <v>2867</v>
      </c>
      <c r="Y386" s="11" t="s">
        <v>3331</v>
      </c>
      <c r="Z386" s="79"/>
      <c r="AA386" s="187">
        <v>383</v>
      </c>
    </row>
    <row r="387" spans="1:27" s="184" customFormat="1" ht="20" x14ac:dyDescent="0.2">
      <c r="B387" s="11" t="s">
        <v>2018</v>
      </c>
      <c r="C387" s="165" t="s">
        <v>4237</v>
      </c>
      <c r="D387" s="22" t="s">
        <v>2379</v>
      </c>
      <c r="E387" s="34">
        <v>1</v>
      </c>
      <c r="F387" s="22" t="s">
        <v>2223</v>
      </c>
      <c r="G387" s="235">
        <v>15</v>
      </c>
      <c r="H387" s="235">
        <f t="shared" si="44"/>
        <v>9.2592592592592595</v>
      </c>
      <c r="I387" s="235">
        <v>45</v>
      </c>
      <c r="J387" s="235">
        <f t="shared" si="45"/>
        <v>27.777777777777775</v>
      </c>
      <c r="K387" s="201">
        <v>72</v>
      </c>
      <c r="L387" s="252">
        <f>_xlfn.XLOOKUP($K387,Inputs!$C$6:$C$23,Inputs!$D$6:$D$23)*$I387</f>
        <v>17.389285714285716</v>
      </c>
      <c r="M387" s="68"/>
      <c r="N387" s="68"/>
      <c r="O387" s="187"/>
      <c r="P387" s="187"/>
      <c r="Q387" s="94">
        <v>0.9</v>
      </c>
      <c r="R387" s="68">
        <f>IF((42.4*(J387)^(-0.6595))&gt;=3,3,(IF(42.4*(J387)^(-0.6595)&lt;=0.5,0.5,(42.4*(J387)^(-0.6595)))))</f>
        <v>3</v>
      </c>
      <c r="S387" s="276">
        <f>_xlfn.XLOOKUP($K387,Inputs!$G$6:$G$23,Inputs!J$6:J$23)*$R387</f>
        <v>38.880000000000003</v>
      </c>
      <c r="T387" s="276">
        <f>_xlfn.XLOOKUP($K387,Inputs!$G$6:$G$23,Inputs!K$6:K$23)*$R387</f>
        <v>42.491803278688522</v>
      </c>
      <c r="U387" s="96" t="s">
        <v>3572</v>
      </c>
      <c r="V387" s="22" t="s">
        <v>2867</v>
      </c>
      <c r="W387" s="96" t="s">
        <v>3817</v>
      </c>
      <c r="X387" s="22" t="s">
        <v>3063</v>
      </c>
      <c r="Y387" s="11" t="s">
        <v>3331</v>
      </c>
      <c r="Z387" s="79"/>
      <c r="AA387" s="187">
        <v>384</v>
      </c>
    </row>
    <row r="388" spans="1:27" s="184" customFormat="1" ht="20" x14ac:dyDescent="0.2">
      <c r="B388" s="11" t="s">
        <v>2044</v>
      </c>
      <c r="C388" s="165" t="s">
        <v>4237</v>
      </c>
      <c r="D388" s="22" t="s">
        <v>2379</v>
      </c>
      <c r="E388" s="34">
        <v>1</v>
      </c>
      <c r="F388" s="22" t="s">
        <v>2223</v>
      </c>
      <c r="G388" s="235">
        <v>30</v>
      </c>
      <c r="H388" s="235">
        <f t="shared" si="44"/>
        <v>18.518518518518519</v>
      </c>
      <c r="I388" s="235">
        <v>100</v>
      </c>
      <c r="J388" s="235">
        <f t="shared" si="45"/>
        <v>61.728395061728392</v>
      </c>
      <c r="K388" s="215">
        <v>69</v>
      </c>
      <c r="L388" s="252">
        <f>_xlfn.XLOOKUP($K388,Inputs!$C$6:$C$23,Inputs!$D$6:$D$23)*$I388</f>
        <v>38.428571428571431</v>
      </c>
      <c r="M388" s="68"/>
      <c r="N388" s="68"/>
      <c r="O388" s="215">
        <v>23</v>
      </c>
      <c r="P388" s="215">
        <v>23</v>
      </c>
      <c r="Q388" s="94">
        <v>0.9</v>
      </c>
      <c r="R388" s="68" t="s">
        <v>115</v>
      </c>
      <c r="S388" s="182">
        <f>O388*Q388</f>
        <v>20.7</v>
      </c>
      <c r="T388" s="182">
        <f>P388*Q388</f>
        <v>20.7</v>
      </c>
      <c r="U388" s="96" t="s">
        <v>3856</v>
      </c>
      <c r="V388" s="22" t="s">
        <v>3126</v>
      </c>
      <c r="W388" s="96" t="s">
        <v>3491</v>
      </c>
      <c r="X388" s="22" t="s">
        <v>2123</v>
      </c>
      <c r="Y388" s="11" t="s">
        <v>3299</v>
      </c>
      <c r="Z388" s="79"/>
      <c r="AA388" s="187">
        <v>385</v>
      </c>
    </row>
    <row r="389" spans="1:27" s="184" customFormat="1" ht="20" x14ac:dyDescent="0.2">
      <c r="B389" s="11" t="s">
        <v>2044</v>
      </c>
      <c r="C389" s="165" t="s">
        <v>4237</v>
      </c>
      <c r="D389" s="22" t="s">
        <v>2379</v>
      </c>
      <c r="E389" s="34">
        <v>1</v>
      </c>
      <c r="F389" s="22" t="s">
        <v>2223</v>
      </c>
      <c r="G389" s="235">
        <v>70</v>
      </c>
      <c r="H389" s="235">
        <f t="shared" ref="H389:H452" si="52">G389/1.62</f>
        <v>43.209876543209873</v>
      </c>
      <c r="I389" s="235">
        <v>100</v>
      </c>
      <c r="J389" s="235">
        <f t="shared" ref="J389:J452" si="53">I389/1.62</f>
        <v>61.728395061728392</v>
      </c>
      <c r="K389" s="201">
        <v>72</v>
      </c>
      <c r="L389" s="252">
        <f>_xlfn.XLOOKUP($K389,Inputs!$C$6:$C$23,Inputs!$D$6:$D$23)*$I389</f>
        <v>38.642857142857146</v>
      </c>
      <c r="M389" s="68"/>
      <c r="N389" s="68"/>
      <c r="O389" s="187"/>
      <c r="P389" s="187"/>
      <c r="Q389" s="94">
        <v>0.9</v>
      </c>
      <c r="R389" s="68">
        <f>IF((42.4*(J389)^(-0.6595))&gt;=3,3,(IF(42.4*(J389)^(-0.6595)&lt;=0.5,0.5,(42.4*(J389)^(-0.6595)))))</f>
        <v>2.7960247325015302</v>
      </c>
      <c r="S389" s="276">
        <f>_xlfn.XLOOKUP($K389,Inputs!$G$6:$G$23,Inputs!J$6:J$23)*$R389</f>
        <v>36.236480533219833</v>
      </c>
      <c r="T389" s="276">
        <f>_xlfn.XLOOKUP($K389,Inputs!$G$6:$G$23,Inputs!K$6:K$23)*$R389</f>
        <v>39.602710965267576</v>
      </c>
      <c r="U389" s="96" t="s">
        <v>3491</v>
      </c>
      <c r="V389" s="22" t="s">
        <v>2123</v>
      </c>
      <c r="W389" s="96" t="s">
        <v>3726</v>
      </c>
      <c r="X389" s="22" t="s">
        <v>2988</v>
      </c>
      <c r="Y389" s="11" t="s">
        <v>3331</v>
      </c>
      <c r="Z389" s="79"/>
      <c r="AA389" s="187">
        <v>386</v>
      </c>
    </row>
    <row r="390" spans="1:27" s="184" customFormat="1" ht="20" x14ac:dyDescent="0.2">
      <c r="B390" s="11" t="s">
        <v>741</v>
      </c>
      <c r="C390" s="165" t="s">
        <v>4237</v>
      </c>
      <c r="D390" s="22" t="s">
        <v>2379</v>
      </c>
      <c r="E390" s="34">
        <v>1</v>
      </c>
      <c r="F390" s="22" t="s">
        <v>2223</v>
      </c>
      <c r="G390" s="235">
        <v>15</v>
      </c>
      <c r="H390" s="235">
        <f t="shared" si="52"/>
        <v>9.2592592592592595</v>
      </c>
      <c r="I390" s="235">
        <v>15</v>
      </c>
      <c r="J390" s="235">
        <f t="shared" si="53"/>
        <v>9.2592592592592595</v>
      </c>
      <c r="K390" s="201">
        <v>72</v>
      </c>
      <c r="L390" s="252">
        <f>_xlfn.XLOOKUP($K390,Inputs!$C$6:$C$23,Inputs!$D$6:$D$23)*$I390</f>
        <v>5.7964285714285717</v>
      </c>
      <c r="M390" s="68"/>
      <c r="N390" s="68"/>
      <c r="O390" s="187"/>
      <c r="P390" s="187"/>
      <c r="Q390" s="94">
        <v>0.9</v>
      </c>
      <c r="R390" s="68">
        <f>IF((42.4*(J390)^(-0.6595))&gt;=3,3,(IF(42.4*(J390)^(-0.6595)&lt;=0.5,0.5,(42.4*(J390)^(-0.6595)))))</f>
        <v>3</v>
      </c>
      <c r="S390" s="276">
        <f>_xlfn.XLOOKUP($K390,Inputs!$G$6:$G$23,Inputs!J$6:J$23)*$R390</f>
        <v>38.880000000000003</v>
      </c>
      <c r="T390" s="276">
        <f>_xlfn.XLOOKUP($K390,Inputs!$G$6:$G$23,Inputs!K$6:K$23)*$R390</f>
        <v>42.491803278688522</v>
      </c>
      <c r="U390" s="96" t="s">
        <v>3817</v>
      </c>
      <c r="V390" s="22" t="s">
        <v>3063</v>
      </c>
      <c r="W390" s="96" t="s">
        <v>4029</v>
      </c>
      <c r="X390" s="22" t="s">
        <v>3255</v>
      </c>
      <c r="Y390" s="11" t="s">
        <v>3331</v>
      </c>
      <c r="Z390" s="79"/>
      <c r="AA390" s="187">
        <v>387</v>
      </c>
    </row>
    <row r="391" spans="1:27" s="184" customFormat="1" ht="20" x14ac:dyDescent="0.2">
      <c r="B391" s="11" t="s">
        <v>2043</v>
      </c>
      <c r="C391" s="165" t="s">
        <v>4237</v>
      </c>
      <c r="D391" s="22" t="s">
        <v>2379</v>
      </c>
      <c r="E391" s="34">
        <v>1</v>
      </c>
      <c r="F391" s="22" t="s">
        <v>2223</v>
      </c>
      <c r="G391" s="235">
        <v>45</v>
      </c>
      <c r="H391" s="235">
        <f t="shared" si="52"/>
        <v>27.777777777777775</v>
      </c>
      <c r="I391" s="235">
        <v>45</v>
      </c>
      <c r="J391" s="235">
        <f t="shared" si="53"/>
        <v>27.777777777777775</v>
      </c>
      <c r="K391" s="215">
        <v>69</v>
      </c>
      <c r="L391" s="252">
        <f>_xlfn.XLOOKUP($K391,Inputs!$C$6:$C$23,Inputs!$D$6:$D$23)*$I391</f>
        <v>17.292857142857144</v>
      </c>
      <c r="M391" s="68"/>
      <c r="N391" s="68"/>
      <c r="O391" s="215">
        <v>23</v>
      </c>
      <c r="P391" s="215">
        <v>23</v>
      </c>
      <c r="Q391" s="94">
        <v>0.9</v>
      </c>
      <c r="R391" s="68" t="s">
        <v>115</v>
      </c>
      <c r="S391" s="182">
        <f>O391*Q391</f>
        <v>20.7</v>
      </c>
      <c r="T391" s="182">
        <f>P391*Q391</f>
        <v>20.7</v>
      </c>
      <c r="U391" s="96" t="s">
        <v>3598</v>
      </c>
      <c r="V391" s="22" t="s">
        <v>2887</v>
      </c>
      <c r="W391" s="96" t="s">
        <v>3856</v>
      </c>
      <c r="X391" s="22" t="s">
        <v>3126</v>
      </c>
      <c r="Y391" s="11" t="s">
        <v>3299</v>
      </c>
      <c r="Z391" s="79"/>
      <c r="AA391" s="187">
        <v>388</v>
      </c>
    </row>
    <row r="392" spans="1:27" s="184" customFormat="1" ht="20" x14ac:dyDescent="0.2">
      <c r="B392" s="11" t="s">
        <v>2047</v>
      </c>
      <c r="C392" s="165" t="s">
        <v>4237</v>
      </c>
      <c r="D392" s="22" t="s">
        <v>2379</v>
      </c>
      <c r="E392" s="34">
        <v>1</v>
      </c>
      <c r="F392" s="22" t="s">
        <v>2223</v>
      </c>
      <c r="G392" s="88">
        <v>20</v>
      </c>
      <c r="H392" s="235">
        <f t="shared" si="52"/>
        <v>12.345679012345679</v>
      </c>
      <c r="I392" s="88">
        <v>20</v>
      </c>
      <c r="J392" s="235">
        <f t="shared" si="53"/>
        <v>12.345679012345679</v>
      </c>
      <c r="K392" s="201">
        <v>72</v>
      </c>
      <c r="L392" s="252">
        <f>_xlfn.XLOOKUP($K392,Inputs!$C$6:$C$23,Inputs!$D$6:$D$23)*$I392</f>
        <v>7.7285714285714295</v>
      </c>
      <c r="M392" s="68"/>
      <c r="N392" s="68"/>
      <c r="O392" s="215">
        <v>24</v>
      </c>
      <c r="P392" s="215">
        <v>24</v>
      </c>
      <c r="Q392" s="94">
        <v>0.9</v>
      </c>
      <c r="R392" s="68" t="s">
        <v>115</v>
      </c>
      <c r="S392" s="182">
        <f>O392*Q392</f>
        <v>21.6</v>
      </c>
      <c r="T392" s="182">
        <f>P392*Q392</f>
        <v>21.6</v>
      </c>
      <c r="U392" s="96" t="s">
        <v>3618</v>
      </c>
      <c r="V392" s="22" t="s">
        <v>2905</v>
      </c>
      <c r="W392" s="96" t="s">
        <v>3549</v>
      </c>
      <c r="X392" s="22" t="s">
        <v>2851</v>
      </c>
      <c r="Y392" s="11" t="s">
        <v>3273</v>
      </c>
      <c r="Z392" s="79"/>
      <c r="AA392" s="187">
        <v>389</v>
      </c>
    </row>
    <row r="393" spans="1:27" s="184" customFormat="1" ht="20" x14ac:dyDescent="0.2">
      <c r="A393" s="298"/>
      <c r="B393" s="11" t="s">
        <v>4366</v>
      </c>
      <c r="C393" s="165" t="s">
        <v>4237</v>
      </c>
      <c r="D393" s="22" t="s">
        <v>2379</v>
      </c>
      <c r="E393" s="34">
        <v>1</v>
      </c>
      <c r="F393" s="22" t="s">
        <v>2223</v>
      </c>
      <c r="G393" s="88">
        <v>1.5</v>
      </c>
      <c r="H393" s="235">
        <f t="shared" si="52"/>
        <v>0.92592592592592582</v>
      </c>
      <c r="I393" s="88">
        <v>1.5</v>
      </c>
      <c r="J393" s="235">
        <f t="shared" si="53"/>
        <v>0.92592592592592582</v>
      </c>
      <c r="K393" s="215">
        <v>69</v>
      </c>
      <c r="L393" s="252">
        <f>_xlfn.XLOOKUP($K393,Inputs!$C$6:$C$23,Inputs!$D$6:$D$23)*$I393</f>
        <v>0.5764285714285714</v>
      </c>
      <c r="M393" s="68"/>
      <c r="N393" s="68"/>
      <c r="O393" s="215">
        <v>23</v>
      </c>
      <c r="P393" s="215">
        <v>23</v>
      </c>
      <c r="Q393" s="94">
        <v>0.9</v>
      </c>
      <c r="R393" s="68" t="s">
        <v>115</v>
      </c>
      <c r="S393" s="182">
        <f>O393*Q393</f>
        <v>20.7</v>
      </c>
      <c r="T393" s="182">
        <f>P393*Q393</f>
        <v>20.7</v>
      </c>
      <c r="U393" s="96" t="s">
        <v>3946</v>
      </c>
      <c r="V393" s="22" t="s">
        <v>3198</v>
      </c>
      <c r="W393" s="96" t="s">
        <v>4367</v>
      </c>
      <c r="X393" s="22" t="s">
        <v>4368</v>
      </c>
      <c r="Y393" s="11" t="s">
        <v>4369</v>
      </c>
      <c r="Z393" s="79"/>
      <c r="AA393" s="187">
        <v>380</v>
      </c>
    </row>
    <row r="394" spans="1:27" s="184" customFormat="1" ht="20" x14ac:dyDescent="0.2">
      <c r="B394" s="11" t="s">
        <v>1523</v>
      </c>
      <c r="C394" s="165" t="s">
        <v>4237</v>
      </c>
      <c r="D394" s="22" t="s">
        <v>2379</v>
      </c>
      <c r="E394" s="34">
        <v>1</v>
      </c>
      <c r="F394" s="22" t="s">
        <v>2223</v>
      </c>
      <c r="G394" s="88">
        <v>6</v>
      </c>
      <c r="H394" s="235">
        <f t="shared" si="52"/>
        <v>3.7037037037037033</v>
      </c>
      <c r="I394" s="88">
        <v>6</v>
      </c>
      <c r="J394" s="235">
        <f t="shared" si="53"/>
        <v>3.7037037037037033</v>
      </c>
      <c r="K394" s="201">
        <v>72</v>
      </c>
      <c r="L394" s="252">
        <f>_xlfn.XLOOKUP($K394,Inputs!$C$6:$C$23,Inputs!$D$6:$D$23)*$I394</f>
        <v>2.3185714285714285</v>
      </c>
      <c r="M394" s="68"/>
      <c r="N394" s="68"/>
      <c r="O394" s="187"/>
      <c r="P394" s="187"/>
      <c r="Q394" s="94">
        <v>0.9</v>
      </c>
      <c r="R394" s="68">
        <f>IF((42.4*(J394)^(-0.6595))&gt;=3,3,(IF(42.4*(J394)^(-0.6595)&lt;=0.5,0.5,(42.4*(J394)^(-0.6595)))))</f>
        <v>3</v>
      </c>
      <c r="S394" s="276">
        <f>_xlfn.XLOOKUP($K394,Inputs!$G$6:$G$23,Inputs!J$6:J$23)*$R394</f>
        <v>38.880000000000003</v>
      </c>
      <c r="T394" s="276">
        <f>_xlfn.XLOOKUP($K394,Inputs!$G$6:$G$23,Inputs!K$6:K$23)*$R394</f>
        <v>42.491803278688522</v>
      </c>
      <c r="U394" s="96" t="s">
        <v>3491</v>
      </c>
      <c r="V394" s="22" t="s">
        <v>2123</v>
      </c>
      <c r="W394" s="96" t="s">
        <v>3490</v>
      </c>
      <c r="X394" s="22" t="s">
        <v>2811</v>
      </c>
      <c r="Y394" s="11" t="s">
        <v>3331</v>
      </c>
      <c r="Z394" s="79"/>
      <c r="AA394" s="187">
        <v>390</v>
      </c>
    </row>
    <row r="395" spans="1:27" s="184" customFormat="1" ht="20" x14ac:dyDescent="0.2">
      <c r="B395" s="11" t="s">
        <v>1237</v>
      </c>
      <c r="C395" s="165" t="s">
        <v>4237</v>
      </c>
      <c r="D395" s="22" t="s">
        <v>2379</v>
      </c>
      <c r="E395" s="34">
        <v>1</v>
      </c>
      <c r="F395" s="22" t="s">
        <v>2223</v>
      </c>
      <c r="G395" s="235">
        <v>5</v>
      </c>
      <c r="H395" s="235">
        <f t="shared" si="52"/>
        <v>3.0864197530864197</v>
      </c>
      <c r="I395" s="235">
        <v>5</v>
      </c>
      <c r="J395" s="235">
        <f t="shared" si="53"/>
        <v>3.0864197530864197</v>
      </c>
      <c r="K395" s="201">
        <v>72</v>
      </c>
      <c r="L395" s="252">
        <f>_xlfn.XLOOKUP($K395,Inputs!$C$6:$C$23,Inputs!$D$6:$D$23)*$I395</f>
        <v>1.9321428571428574</v>
      </c>
      <c r="M395" s="68"/>
      <c r="N395" s="68"/>
      <c r="O395" s="187"/>
      <c r="P395" s="187"/>
      <c r="Q395" s="94">
        <v>0.9</v>
      </c>
      <c r="R395" s="68">
        <f>IF((42.4*(J395)^(-0.6595))&gt;=3,3,(IF(42.4*(J395)^(-0.6595)&lt;=0.5,0.5,(42.4*(J395)^(-0.6595)))))</f>
        <v>3</v>
      </c>
      <c r="S395" s="276">
        <f>_xlfn.XLOOKUP($K395,Inputs!$G$6:$G$23,Inputs!J$6:J$23)*$R395</f>
        <v>38.880000000000003</v>
      </c>
      <c r="T395" s="276">
        <f>_xlfn.XLOOKUP($K395,Inputs!$G$6:$G$23,Inputs!K$6:K$23)*$R395</f>
        <v>42.491803278688522</v>
      </c>
      <c r="U395" s="96" t="s">
        <v>1235</v>
      </c>
      <c r="V395" s="22" t="s">
        <v>3214</v>
      </c>
      <c r="W395" s="96" t="s">
        <v>3624</v>
      </c>
      <c r="X395" s="22" t="s">
        <v>2909</v>
      </c>
      <c r="Y395" s="11" t="s">
        <v>3331</v>
      </c>
      <c r="Z395" s="79"/>
      <c r="AA395" s="187">
        <v>391</v>
      </c>
    </row>
    <row r="396" spans="1:27" s="184" customFormat="1" ht="20" x14ac:dyDescent="0.2">
      <c r="B396" s="11" t="s">
        <v>2045</v>
      </c>
      <c r="C396" s="165" t="s">
        <v>4237</v>
      </c>
      <c r="D396" s="22" t="s">
        <v>2379</v>
      </c>
      <c r="E396" s="34">
        <v>1</v>
      </c>
      <c r="F396" s="22" t="s">
        <v>2223</v>
      </c>
      <c r="G396" s="235">
        <v>30</v>
      </c>
      <c r="H396" s="235">
        <f t="shared" si="52"/>
        <v>18.518518518518519</v>
      </c>
      <c r="I396" s="235">
        <v>30</v>
      </c>
      <c r="J396" s="235">
        <f t="shared" si="53"/>
        <v>18.518518518518519</v>
      </c>
      <c r="K396" s="201">
        <v>72</v>
      </c>
      <c r="L396" s="252">
        <f>_xlfn.XLOOKUP($K396,Inputs!$C$6:$C$23,Inputs!$D$6:$D$23)*$I396</f>
        <v>11.592857142857143</v>
      </c>
      <c r="M396" s="68"/>
      <c r="N396" s="68"/>
      <c r="O396" s="215">
        <v>32</v>
      </c>
      <c r="P396" s="215">
        <v>42</v>
      </c>
      <c r="Q396" s="94">
        <v>0.9</v>
      </c>
      <c r="R396" s="68" t="s">
        <v>115</v>
      </c>
      <c r="S396" s="182">
        <f>O396*Q396</f>
        <v>28.8</v>
      </c>
      <c r="T396" s="182">
        <f>P396*Q396</f>
        <v>37.800000000000004</v>
      </c>
      <c r="U396" s="96" t="s">
        <v>3573</v>
      </c>
      <c r="V396" s="22" t="s">
        <v>2868</v>
      </c>
      <c r="W396" s="96" t="s">
        <v>3618</v>
      </c>
      <c r="X396" s="22" t="s">
        <v>2905</v>
      </c>
      <c r="Y396" s="11" t="s">
        <v>3273</v>
      </c>
      <c r="Z396" s="79"/>
      <c r="AA396" s="187">
        <v>392</v>
      </c>
    </row>
    <row r="397" spans="1:27" s="184" customFormat="1" ht="20" x14ac:dyDescent="0.2">
      <c r="B397" s="11" t="s">
        <v>1520</v>
      </c>
      <c r="C397" s="165" t="s">
        <v>4237</v>
      </c>
      <c r="D397" s="22" t="s">
        <v>2379</v>
      </c>
      <c r="E397" s="34">
        <v>1</v>
      </c>
      <c r="F397" s="22" t="s">
        <v>2223</v>
      </c>
      <c r="G397" s="235">
        <v>55</v>
      </c>
      <c r="H397" s="235">
        <f t="shared" si="52"/>
        <v>33.950617283950614</v>
      </c>
      <c r="I397" s="235">
        <v>55</v>
      </c>
      <c r="J397" s="235">
        <f t="shared" si="53"/>
        <v>33.950617283950614</v>
      </c>
      <c r="K397" s="215">
        <v>69</v>
      </c>
      <c r="L397" s="252">
        <f>_xlfn.XLOOKUP($K397,Inputs!$C$6:$C$23,Inputs!$D$6:$D$23)*$I397</f>
        <v>21.135714285714286</v>
      </c>
      <c r="M397" s="68"/>
      <c r="N397" s="68"/>
      <c r="O397" s="215">
        <v>35</v>
      </c>
      <c r="P397" s="215">
        <v>35</v>
      </c>
      <c r="Q397" s="94">
        <v>0.9</v>
      </c>
      <c r="R397" s="68" t="s">
        <v>115</v>
      </c>
      <c r="S397" s="182">
        <f>O397*Q397</f>
        <v>31.5</v>
      </c>
      <c r="T397" s="182">
        <f>P397*Q397</f>
        <v>31.5</v>
      </c>
      <c r="U397" s="96" t="s">
        <v>3598</v>
      </c>
      <c r="V397" s="22" t="s">
        <v>2887</v>
      </c>
      <c r="W397" s="96" t="s">
        <v>3719</v>
      </c>
      <c r="X397" s="22" t="s">
        <v>2619</v>
      </c>
      <c r="Y397" s="11" t="s">
        <v>3299</v>
      </c>
      <c r="Z397" s="79"/>
      <c r="AA397" s="187">
        <v>393</v>
      </c>
    </row>
    <row r="398" spans="1:27" s="184" customFormat="1" ht="20" x14ac:dyDescent="0.2">
      <c r="B398" s="11" t="s">
        <v>742</v>
      </c>
      <c r="C398" s="165" t="s">
        <v>4237</v>
      </c>
      <c r="D398" s="22" t="s">
        <v>2379</v>
      </c>
      <c r="E398" s="34">
        <v>1</v>
      </c>
      <c r="F398" s="22" t="s">
        <v>2223</v>
      </c>
      <c r="G398" s="88">
        <v>12</v>
      </c>
      <c r="H398" s="235">
        <f t="shared" si="52"/>
        <v>7.4074074074074066</v>
      </c>
      <c r="I398" s="88">
        <v>12</v>
      </c>
      <c r="J398" s="235">
        <f t="shared" si="53"/>
        <v>7.4074074074074066</v>
      </c>
      <c r="K398" s="201">
        <v>72</v>
      </c>
      <c r="L398" s="252">
        <f>_xlfn.XLOOKUP($K398,Inputs!$C$6:$C$23,Inputs!$D$6:$D$23)*$I398</f>
        <v>4.637142857142857</v>
      </c>
      <c r="M398" s="68"/>
      <c r="N398" s="68"/>
      <c r="O398" s="187"/>
      <c r="P398" s="187"/>
      <c r="Q398" s="94">
        <v>0.9</v>
      </c>
      <c r="R398" s="68">
        <f t="shared" ref="R398:R404" si="54">IF((42.4*(J398)^(-0.6595))&gt;=3,3,(IF(42.4*(J398)^(-0.6595)&lt;=0.5,0.5,(42.4*(J398)^(-0.6595)))))</f>
        <v>3</v>
      </c>
      <c r="S398" s="276">
        <f>_xlfn.XLOOKUP($K398,Inputs!$G$6:$G$23,Inputs!J$6:J$23)*$R398</f>
        <v>38.880000000000003</v>
      </c>
      <c r="T398" s="276">
        <f>_xlfn.XLOOKUP($K398,Inputs!$G$6:$G$23,Inputs!K$6:K$23)*$R398</f>
        <v>42.491803278688522</v>
      </c>
      <c r="U398" s="96" t="s">
        <v>3868</v>
      </c>
      <c r="V398" s="22" t="s">
        <v>3136</v>
      </c>
      <c r="W398" s="96" t="s">
        <v>3664</v>
      </c>
      <c r="X398" s="22" t="s">
        <v>2936</v>
      </c>
      <c r="Y398" s="11" t="s">
        <v>3331</v>
      </c>
      <c r="Z398" s="79"/>
      <c r="AA398" s="187">
        <v>394</v>
      </c>
    </row>
    <row r="399" spans="1:27" s="184" customFormat="1" ht="20" x14ac:dyDescent="0.2">
      <c r="B399" s="11" t="s">
        <v>745</v>
      </c>
      <c r="C399" s="165" t="s">
        <v>4237</v>
      </c>
      <c r="D399" s="22" t="s">
        <v>2379</v>
      </c>
      <c r="E399" s="34">
        <v>1</v>
      </c>
      <c r="F399" s="22" t="s">
        <v>2223</v>
      </c>
      <c r="G399" s="88">
        <v>20</v>
      </c>
      <c r="H399" s="235">
        <f t="shared" si="52"/>
        <v>12.345679012345679</v>
      </c>
      <c r="I399" s="88">
        <v>20</v>
      </c>
      <c r="J399" s="235">
        <f t="shared" si="53"/>
        <v>12.345679012345679</v>
      </c>
      <c r="K399" s="201">
        <v>72</v>
      </c>
      <c r="L399" s="252">
        <f>_xlfn.XLOOKUP($K399,Inputs!$C$6:$C$23,Inputs!$D$6:$D$23)*$I399</f>
        <v>7.7285714285714295</v>
      </c>
      <c r="M399" s="68"/>
      <c r="N399" s="68"/>
      <c r="O399" s="187"/>
      <c r="P399" s="187"/>
      <c r="Q399" s="94">
        <v>0.9</v>
      </c>
      <c r="R399" s="68">
        <f t="shared" si="54"/>
        <v>3</v>
      </c>
      <c r="S399" s="276">
        <f>_xlfn.XLOOKUP($K399,Inputs!$G$6:$G$23,Inputs!J$6:J$23)*$R399</f>
        <v>38.880000000000003</v>
      </c>
      <c r="T399" s="276">
        <f>_xlfn.XLOOKUP($K399,Inputs!$G$6:$G$23,Inputs!K$6:K$23)*$R399</f>
        <v>42.491803278688522</v>
      </c>
      <c r="U399" s="96" t="s">
        <v>3835</v>
      </c>
      <c r="V399" s="22" t="s">
        <v>3075</v>
      </c>
      <c r="W399" s="96" t="s">
        <v>3762</v>
      </c>
      <c r="X399" s="22" t="s">
        <v>2640</v>
      </c>
      <c r="Y399" s="11" t="s">
        <v>3331</v>
      </c>
      <c r="Z399" s="79"/>
      <c r="AA399" s="187">
        <v>395</v>
      </c>
    </row>
    <row r="400" spans="1:27" s="184" customFormat="1" ht="20" x14ac:dyDescent="0.2">
      <c r="B400" s="11" t="s">
        <v>748</v>
      </c>
      <c r="C400" s="165" t="s">
        <v>4237</v>
      </c>
      <c r="D400" s="22" t="s">
        <v>2379</v>
      </c>
      <c r="E400" s="34">
        <v>1</v>
      </c>
      <c r="F400" s="22" t="s">
        <v>2223</v>
      </c>
      <c r="G400" s="88">
        <v>40</v>
      </c>
      <c r="H400" s="235">
        <f t="shared" si="52"/>
        <v>24.691358024691358</v>
      </c>
      <c r="I400" s="88">
        <v>40</v>
      </c>
      <c r="J400" s="235">
        <f t="shared" si="53"/>
        <v>24.691358024691358</v>
      </c>
      <c r="K400" s="201">
        <v>72</v>
      </c>
      <c r="L400" s="252">
        <f>_xlfn.XLOOKUP($K400,Inputs!$C$6:$C$23,Inputs!$D$6:$D$23)*$I400</f>
        <v>15.457142857142859</v>
      </c>
      <c r="M400" s="68"/>
      <c r="N400" s="68"/>
      <c r="O400" s="187"/>
      <c r="P400" s="187"/>
      <c r="Q400" s="94">
        <v>0.9</v>
      </c>
      <c r="R400" s="68">
        <f t="shared" si="54"/>
        <v>3</v>
      </c>
      <c r="S400" s="276">
        <f>_xlfn.XLOOKUP($K400,Inputs!$G$6:$G$23,Inputs!J$6:J$23)*$R400</f>
        <v>38.880000000000003</v>
      </c>
      <c r="T400" s="276">
        <f>_xlfn.XLOOKUP($K400,Inputs!$G$6:$G$23,Inputs!K$6:K$23)*$R400</f>
        <v>42.491803278688522</v>
      </c>
      <c r="U400" s="96" t="s">
        <v>3868</v>
      </c>
      <c r="V400" s="22" t="s">
        <v>3136</v>
      </c>
      <c r="W400" s="96" t="s">
        <v>3817</v>
      </c>
      <c r="X400" s="22" t="s">
        <v>3063</v>
      </c>
      <c r="Y400" s="11" t="s">
        <v>3331</v>
      </c>
      <c r="Z400" s="79"/>
      <c r="AA400" s="187">
        <v>396</v>
      </c>
    </row>
    <row r="401" spans="1:27" s="184" customFormat="1" ht="20" x14ac:dyDescent="0.2">
      <c r="B401" s="11" t="s">
        <v>749</v>
      </c>
      <c r="C401" s="165" t="s">
        <v>4237</v>
      </c>
      <c r="D401" s="22" t="s">
        <v>2379</v>
      </c>
      <c r="E401" s="34">
        <v>1</v>
      </c>
      <c r="F401" s="22" t="s">
        <v>2223</v>
      </c>
      <c r="G401" s="88">
        <v>12</v>
      </c>
      <c r="H401" s="235">
        <f t="shared" si="52"/>
        <v>7.4074074074074066</v>
      </c>
      <c r="I401" s="88">
        <v>12</v>
      </c>
      <c r="J401" s="235">
        <f t="shared" si="53"/>
        <v>7.4074074074074066</v>
      </c>
      <c r="K401" s="201">
        <v>72</v>
      </c>
      <c r="L401" s="252">
        <f>_xlfn.XLOOKUP($K401,Inputs!$C$6:$C$23,Inputs!$D$6:$D$23)*$I401</f>
        <v>4.637142857142857</v>
      </c>
      <c r="M401" s="68"/>
      <c r="N401" s="68"/>
      <c r="O401" s="187"/>
      <c r="P401" s="187"/>
      <c r="Q401" s="94">
        <v>0.9</v>
      </c>
      <c r="R401" s="68">
        <f t="shared" si="54"/>
        <v>3</v>
      </c>
      <c r="S401" s="276">
        <f>_xlfn.XLOOKUP($K401,Inputs!$G$6:$G$23,Inputs!J$6:J$23)*$R401</f>
        <v>38.880000000000003</v>
      </c>
      <c r="T401" s="276">
        <f>_xlfn.XLOOKUP($K401,Inputs!$G$6:$G$23,Inputs!K$6:K$23)*$R401</f>
        <v>42.491803278688522</v>
      </c>
      <c r="U401" s="96" t="s">
        <v>3868</v>
      </c>
      <c r="V401" s="22" t="s">
        <v>3136</v>
      </c>
      <c r="W401" s="96" t="s">
        <v>3531</v>
      </c>
      <c r="X401" s="22" t="s">
        <v>2841</v>
      </c>
      <c r="Y401" s="11" t="s">
        <v>3331</v>
      </c>
      <c r="Z401" s="79"/>
      <c r="AA401" s="187">
        <v>397</v>
      </c>
    </row>
    <row r="402" spans="1:27" s="184" customFormat="1" ht="20" x14ac:dyDescent="0.2">
      <c r="B402" s="11" t="s">
        <v>751</v>
      </c>
      <c r="C402" s="165" t="s">
        <v>4237</v>
      </c>
      <c r="D402" s="22" t="s">
        <v>2379</v>
      </c>
      <c r="E402" s="34">
        <v>1</v>
      </c>
      <c r="F402" s="22" t="s">
        <v>2223</v>
      </c>
      <c r="G402" s="88">
        <v>15</v>
      </c>
      <c r="H402" s="235">
        <f t="shared" si="52"/>
        <v>9.2592592592592595</v>
      </c>
      <c r="I402" s="88">
        <v>15</v>
      </c>
      <c r="J402" s="235">
        <f t="shared" si="53"/>
        <v>9.2592592592592595</v>
      </c>
      <c r="K402" s="201">
        <v>72</v>
      </c>
      <c r="L402" s="252">
        <f>_xlfn.XLOOKUP($K402,Inputs!$C$6:$C$23,Inputs!$D$6:$D$23)*$I402</f>
        <v>5.7964285714285717</v>
      </c>
      <c r="M402" s="68"/>
      <c r="N402" s="68"/>
      <c r="O402" s="187"/>
      <c r="P402" s="187"/>
      <c r="Q402" s="94">
        <v>0.9</v>
      </c>
      <c r="R402" s="68">
        <f t="shared" si="54"/>
        <v>3</v>
      </c>
      <c r="S402" s="276">
        <f>_xlfn.XLOOKUP($K402,Inputs!$G$6:$G$23,Inputs!J$6:J$23)*$R402</f>
        <v>38.880000000000003</v>
      </c>
      <c r="T402" s="276">
        <f>_xlfn.XLOOKUP($K402,Inputs!$G$6:$G$23,Inputs!K$6:K$23)*$R402</f>
        <v>42.491803278688522</v>
      </c>
      <c r="U402" s="96" t="s">
        <v>3835</v>
      </c>
      <c r="V402" s="22" t="s">
        <v>3075</v>
      </c>
      <c r="W402" s="96" t="s">
        <v>3664</v>
      </c>
      <c r="X402" s="22" t="s">
        <v>2936</v>
      </c>
      <c r="Y402" s="11" t="s">
        <v>3331</v>
      </c>
      <c r="Z402" s="79"/>
      <c r="AA402" s="187">
        <v>398</v>
      </c>
    </row>
    <row r="403" spans="1:27" s="184" customFormat="1" ht="20" x14ac:dyDescent="0.2">
      <c r="B403" s="11" t="s">
        <v>1226</v>
      </c>
      <c r="C403" s="165" t="s">
        <v>4237</v>
      </c>
      <c r="D403" s="22" t="s">
        <v>2379</v>
      </c>
      <c r="E403" s="34">
        <v>1</v>
      </c>
      <c r="F403" s="22" t="s">
        <v>2223</v>
      </c>
      <c r="G403" s="235">
        <v>15</v>
      </c>
      <c r="H403" s="235">
        <f t="shared" si="52"/>
        <v>9.2592592592592595</v>
      </c>
      <c r="I403" s="235">
        <v>15</v>
      </c>
      <c r="J403" s="235">
        <f t="shared" si="53"/>
        <v>9.2592592592592595</v>
      </c>
      <c r="K403" s="201">
        <v>72</v>
      </c>
      <c r="L403" s="252">
        <f>_xlfn.XLOOKUP($K403,Inputs!$C$6:$C$23,Inputs!$D$6:$D$23)*$I403</f>
        <v>5.7964285714285717</v>
      </c>
      <c r="M403" s="68"/>
      <c r="N403" s="68"/>
      <c r="O403" s="187"/>
      <c r="P403" s="187"/>
      <c r="Q403" s="94">
        <v>0.9</v>
      </c>
      <c r="R403" s="68">
        <f t="shared" si="54"/>
        <v>3</v>
      </c>
      <c r="S403" s="276">
        <f>_xlfn.XLOOKUP($K403,Inputs!$G$6:$G$23,Inputs!J$6:J$23)*$R403</f>
        <v>38.880000000000003</v>
      </c>
      <c r="T403" s="276">
        <f>_xlfn.XLOOKUP($K403,Inputs!$G$6:$G$23,Inputs!K$6:K$23)*$R403</f>
        <v>42.491803278688522</v>
      </c>
      <c r="U403" s="96" t="s">
        <v>3810</v>
      </c>
      <c r="V403" s="22" t="s">
        <v>2641</v>
      </c>
      <c r="W403" s="212" t="s">
        <v>3720</v>
      </c>
      <c r="X403" s="296" t="s">
        <v>4259</v>
      </c>
      <c r="Y403" s="11" t="s">
        <v>3331</v>
      </c>
      <c r="Z403" s="79"/>
      <c r="AA403" s="187">
        <v>399</v>
      </c>
    </row>
    <row r="404" spans="1:27" s="184" customFormat="1" ht="20" x14ac:dyDescent="0.2">
      <c r="B404" s="11" t="s">
        <v>1227</v>
      </c>
      <c r="C404" s="165" t="s">
        <v>4237</v>
      </c>
      <c r="D404" s="22" t="s">
        <v>2379</v>
      </c>
      <c r="E404" s="34">
        <v>1</v>
      </c>
      <c r="F404" s="22" t="s">
        <v>2223</v>
      </c>
      <c r="G404" s="235">
        <v>15</v>
      </c>
      <c r="H404" s="235">
        <f t="shared" si="52"/>
        <v>9.2592592592592595</v>
      </c>
      <c r="I404" s="235">
        <v>15</v>
      </c>
      <c r="J404" s="235">
        <f t="shared" si="53"/>
        <v>9.2592592592592595</v>
      </c>
      <c r="K404" s="201">
        <v>72</v>
      </c>
      <c r="L404" s="252">
        <f>_xlfn.XLOOKUP($K404,Inputs!$C$6:$C$23,Inputs!$D$6:$D$23)*$I404</f>
        <v>5.7964285714285717</v>
      </c>
      <c r="M404" s="68"/>
      <c r="N404" s="68"/>
      <c r="O404" s="187"/>
      <c r="P404" s="187"/>
      <c r="Q404" s="94">
        <v>0.9</v>
      </c>
      <c r="R404" s="68">
        <f t="shared" si="54"/>
        <v>3</v>
      </c>
      <c r="S404" s="276">
        <f>_xlfn.XLOOKUP($K404,Inputs!$G$6:$G$23,Inputs!J$6:J$23)*$R404</f>
        <v>38.880000000000003</v>
      </c>
      <c r="T404" s="276">
        <f>_xlfn.XLOOKUP($K404,Inputs!$G$6:$G$23,Inputs!K$6:K$23)*$R404</f>
        <v>42.491803278688522</v>
      </c>
      <c r="U404" s="96" t="s">
        <v>3810</v>
      </c>
      <c r="V404" s="22" t="s">
        <v>2641</v>
      </c>
      <c r="W404" s="212" t="s">
        <v>3720</v>
      </c>
      <c r="X404" s="296" t="s">
        <v>4259</v>
      </c>
      <c r="Y404" s="11" t="s">
        <v>3331</v>
      </c>
      <c r="Z404" s="79"/>
      <c r="AA404" s="187">
        <v>400</v>
      </c>
    </row>
    <row r="405" spans="1:27" s="184" customFormat="1" ht="20" x14ac:dyDescent="0.2">
      <c r="B405" s="11" t="s">
        <v>1742</v>
      </c>
      <c r="C405" s="165" t="s">
        <v>4236</v>
      </c>
      <c r="D405" s="22" t="s">
        <v>2379</v>
      </c>
      <c r="E405" s="34">
        <v>1</v>
      </c>
      <c r="F405" s="22" t="s">
        <v>2223</v>
      </c>
      <c r="G405" s="88">
        <v>6.8</v>
      </c>
      <c r="H405" s="235">
        <f t="shared" si="52"/>
        <v>4.1975308641975309</v>
      </c>
      <c r="I405" s="88">
        <v>6.8</v>
      </c>
      <c r="J405" s="235">
        <f t="shared" si="53"/>
        <v>4.1975308641975309</v>
      </c>
      <c r="K405" s="215">
        <v>138</v>
      </c>
      <c r="L405" s="252">
        <f>_xlfn.XLOOKUP($K405,Inputs!$C$6:$C$23,Inputs!$D$6:$D$23)*$I405</f>
        <v>2.9482857142857144</v>
      </c>
      <c r="M405" s="68"/>
      <c r="N405" s="68"/>
      <c r="O405" s="215">
        <v>287</v>
      </c>
      <c r="P405" s="215">
        <v>287</v>
      </c>
      <c r="Q405" s="94">
        <v>0.9</v>
      </c>
      <c r="R405" s="68" t="s">
        <v>115</v>
      </c>
      <c r="S405" s="182">
        <f t="shared" ref="S405:S410" si="55">O405*Q405</f>
        <v>258.3</v>
      </c>
      <c r="T405" s="182">
        <f t="shared" ref="T405:T410" si="56">P405*Q405</f>
        <v>258.3</v>
      </c>
      <c r="U405" s="96" t="s">
        <v>1743</v>
      </c>
      <c r="V405" s="205" t="s">
        <v>4285</v>
      </c>
      <c r="W405" s="96" t="s">
        <v>3818</v>
      </c>
      <c r="X405" s="205" t="s">
        <v>3064</v>
      </c>
      <c r="Y405" s="11" t="s">
        <v>4298</v>
      </c>
      <c r="Z405" s="79"/>
      <c r="AA405" s="187">
        <v>401</v>
      </c>
    </row>
    <row r="406" spans="1:27" s="184" customFormat="1" ht="20" x14ac:dyDescent="0.2">
      <c r="B406" s="11" t="s">
        <v>1744</v>
      </c>
      <c r="C406" s="165" t="s">
        <v>4236</v>
      </c>
      <c r="D406" s="22" t="s">
        <v>2379</v>
      </c>
      <c r="E406" s="34">
        <v>1</v>
      </c>
      <c r="F406" s="22" t="s">
        <v>2223</v>
      </c>
      <c r="G406" s="88">
        <v>12.75</v>
      </c>
      <c r="H406" s="235">
        <f t="shared" si="52"/>
        <v>7.8703703703703702</v>
      </c>
      <c r="I406" s="88">
        <v>12.75</v>
      </c>
      <c r="J406" s="235">
        <f t="shared" si="53"/>
        <v>7.8703703703703702</v>
      </c>
      <c r="K406" s="216">
        <v>138</v>
      </c>
      <c r="L406" s="252">
        <f>_xlfn.XLOOKUP($K406,Inputs!$C$6:$C$23,Inputs!$D$6:$D$23)*$I406</f>
        <v>5.5280357142857151</v>
      </c>
      <c r="M406" s="68"/>
      <c r="N406" s="68"/>
      <c r="O406" s="216">
        <v>287</v>
      </c>
      <c r="P406" s="216">
        <v>287</v>
      </c>
      <c r="Q406" s="94">
        <v>0.9</v>
      </c>
      <c r="R406" s="68" t="s">
        <v>115</v>
      </c>
      <c r="S406" s="182">
        <f t="shared" si="55"/>
        <v>258.3</v>
      </c>
      <c r="T406" s="182">
        <f t="shared" si="56"/>
        <v>258.3</v>
      </c>
      <c r="U406" s="96" t="s">
        <v>1743</v>
      </c>
      <c r="V406" s="22" t="s">
        <v>4285</v>
      </c>
      <c r="W406" s="96" t="s">
        <v>461</v>
      </c>
      <c r="X406" s="22" t="s">
        <v>2643</v>
      </c>
      <c r="Y406" s="11" t="s">
        <v>4298</v>
      </c>
      <c r="Z406" s="79"/>
      <c r="AA406" s="187">
        <v>402</v>
      </c>
    </row>
    <row r="407" spans="1:27" s="184" customFormat="1" ht="20" x14ac:dyDescent="0.2">
      <c r="B407" s="11" t="s">
        <v>752</v>
      </c>
      <c r="C407" s="165" t="s">
        <v>4235</v>
      </c>
      <c r="D407" s="22" t="s">
        <v>2379</v>
      </c>
      <c r="E407" s="34">
        <v>1</v>
      </c>
      <c r="F407" s="22" t="s">
        <v>2223</v>
      </c>
      <c r="G407" s="235">
        <v>12</v>
      </c>
      <c r="H407" s="235">
        <f t="shared" si="52"/>
        <v>7.4074074074074066</v>
      </c>
      <c r="I407" s="235">
        <v>12</v>
      </c>
      <c r="J407" s="235">
        <f t="shared" si="53"/>
        <v>7.4074074074074066</v>
      </c>
      <c r="K407" s="215">
        <v>138</v>
      </c>
      <c r="L407" s="252">
        <f>_xlfn.XLOOKUP($K407,Inputs!$C$6:$C$23,Inputs!$D$6:$D$23)*$I407</f>
        <v>5.2028571428571428</v>
      </c>
      <c r="M407" s="68"/>
      <c r="N407" s="68"/>
      <c r="O407" s="215">
        <v>119</v>
      </c>
      <c r="P407" s="215">
        <v>146</v>
      </c>
      <c r="Q407" s="94">
        <v>0.9</v>
      </c>
      <c r="R407" s="68" t="s">
        <v>115</v>
      </c>
      <c r="S407" s="182">
        <f t="shared" si="55"/>
        <v>107.10000000000001</v>
      </c>
      <c r="T407" s="182">
        <f t="shared" si="56"/>
        <v>131.4</v>
      </c>
      <c r="U407" s="96" t="s">
        <v>3833</v>
      </c>
      <c r="V407" s="22" t="s">
        <v>3073</v>
      </c>
      <c r="W407" s="96" t="s">
        <v>3926</v>
      </c>
      <c r="X407" s="22" t="s">
        <v>3185</v>
      </c>
      <c r="Y407" s="11" t="s">
        <v>3281</v>
      </c>
      <c r="Z407" s="79"/>
      <c r="AA407" s="187">
        <v>403</v>
      </c>
    </row>
    <row r="408" spans="1:27" s="184" customFormat="1" ht="20" x14ac:dyDescent="0.2">
      <c r="B408" s="11" t="s">
        <v>1445</v>
      </c>
      <c r="C408" s="165" t="s">
        <v>4235</v>
      </c>
      <c r="D408" s="22" t="s">
        <v>2379</v>
      </c>
      <c r="E408" s="34">
        <v>1</v>
      </c>
      <c r="F408" s="22" t="s">
        <v>2223</v>
      </c>
      <c r="G408" s="88">
        <v>18</v>
      </c>
      <c r="H408" s="235">
        <f t="shared" si="52"/>
        <v>11.111111111111111</v>
      </c>
      <c r="I408" s="88">
        <v>18</v>
      </c>
      <c r="J408" s="235">
        <f t="shared" si="53"/>
        <v>11.111111111111111</v>
      </c>
      <c r="K408" s="215">
        <v>138</v>
      </c>
      <c r="L408" s="252">
        <f>_xlfn.XLOOKUP($K408,Inputs!$C$6:$C$23,Inputs!$D$6:$D$23)*$I408</f>
        <v>7.8042857142857152</v>
      </c>
      <c r="M408" s="68"/>
      <c r="N408" s="68"/>
      <c r="O408" s="215">
        <v>119</v>
      </c>
      <c r="P408" s="215">
        <v>146</v>
      </c>
      <c r="Q408" s="94">
        <v>0.9</v>
      </c>
      <c r="R408" s="68" t="s">
        <v>115</v>
      </c>
      <c r="S408" s="182">
        <f t="shared" si="55"/>
        <v>107.10000000000001</v>
      </c>
      <c r="T408" s="182">
        <f t="shared" si="56"/>
        <v>131.4</v>
      </c>
      <c r="U408" s="96" t="s">
        <v>3751</v>
      </c>
      <c r="V408" s="22" t="s">
        <v>3009</v>
      </c>
      <c r="W408" s="96" t="s">
        <v>3852</v>
      </c>
      <c r="X408" s="22" t="s">
        <v>3123</v>
      </c>
      <c r="Y408" s="11" t="s">
        <v>3277</v>
      </c>
      <c r="Z408" s="79"/>
      <c r="AA408" s="187">
        <v>404</v>
      </c>
    </row>
    <row r="409" spans="1:27" s="184" customFormat="1" ht="20" x14ac:dyDescent="0.2">
      <c r="B409" s="11" t="s">
        <v>1475</v>
      </c>
      <c r="C409" s="165" t="s">
        <v>4235</v>
      </c>
      <c r="D409" s="22" t="s">
        <v>2379</v>
      </c>
      <c r="E409" s="34">
        <v>1</v>
      </c>
      <c r="F409" s="22" t="s">
        <v>2223</v>
      </c>
      <c r="G409" s="88">
        <v>15</v>
      </c>
      <c r="H409" s="235">
        <f t="shared" si="52"/>
        <v>9.2592592592592595</v>
      </c>
      <c r="I409" s="88">
        <v>45</v>
      </c>
      <c r="J409" s="235">
        <f t="shared" si="53"/>
        <v>27.777777777777775</v>
      </c>
      <c r="K409" s="215">
        <v>138</v>
      </c>
      <c r="L409" s="252">
        <f>_xlfn.XLOOKUP($K409,Inputs!$C$6:$C$23,Inputs!$D$6:$D$23)*$I409</f>
        <v>19.510714285714286</v>
      </c>
      <c r="M409" s="68"/>
      <c r="N409" s="68"/>
      <c r="O409" s="215">
        <v>87</v>
      </c>
      <c r="P409" s="215">
        <v>135</v>
      </c>
      <c r="Q409" s="94">
        <v>0.9</v>
      </c>
      <c r="R409" s="68" t="s">
        <v>115</v>
      </c>
      <c r="S409" s="182">
        <f t="shared" si="55"/>
        <v>78.3</v>
      </c>
      <c r="T409" s="182">
        <f t="shared" si="56"/>
        <v>121.5</v>
      </c>
      <c r="U409" s="96" t="s">
        <v>3600</v>
      </c>
      <c r="V409" s="22" t="s">
        <v>2890</v>
      </c>
      <c r="W409" s="96" t="s">
        <v>3997</v>
      </c>
      <c r="X409" s="22" t="s">
        <v>2124</v>
      </c>
      <c r="Y409" s="11" t="s">
        <v>3309</v>
      </c>
      <c r="Z409" s="79"/>
      <c r="AA409" s="187">
        <v>405</v>
      </c>
    </row>
    <row r="410" spans="1:27" s="184" customFormat="1" ht="20" x14ac:dyDescent="0.2">
      <c r="B410" s="11" t="s">
        <v>1475</v>
      </c>
      <c r="C410" s="165" t="s">
        <v>4235</v>
      </c>
      <c r="D410" s="22" t="s">
        <v>2379</v>
      </c>
      <c r="E410" s="34">
        <v>1</v>
      </c>
      <c r="F410" s="22" t="s">
        <v>2223</v>
      </c>
      <c r="G410" s="88">
        <v>30</v>
      </c>
      <c r="H410" s="235">
        <f t="shared" si="52"/>
        <v>18.518518518518519</v>
      </c>
      <c r="I410" s="88">
        <v>45</v>
      </c>
      <c r="J410" s="235">
        <f t="shared" si="53"/>
        <v>27.777777777777775</v>
      </c>
      <c r="K410" s="215">
        <v>138</v>
      </c>
      <c r="L410" s="252">
        <f>_xlfn.XLOOKUP($K410,Inputs!$C$6:$C$23,Inputs!$D$6:$D$23)*$I410</f>
        <v>19.510714285714286</v>
      </c>
      <c r="M410" s="68"/>
      <c r="N410" s="68"/>
      <c r="O410" s="215">
        <v>109.3</v>
      </c>
      <c r="P410" s="215">
        <v>118</v>
      </c>
      <c r="Q410" s="94">
        <v>0.9</v>
      </c>
      <c r="R410" s="68" t="s">
        <v>115</v>
      </c>
      <c r="S410" s="182">
        <f t="shared" si="55"/>
        <v>98.37</v>
      </c>
      <c r="T410" s="182">
        <f t="shared" si="56"/>
        <v>106.2</v>
      </c>
      <c r="U410" s="96" t="s">
        <v>3997</v>
      </c>
      <c r="V410" s="22" t="s">
        <v>2124</v>
      </c>
      <c r="W410" s="96" t="s">
        <v>3373</v>
      </c>
      <c r="X410" s="22" t="s">
        <v>2656</v>
      </c>
      <c r="Y410" s="11" t="s">
        <v>3291</v>
      </c>
      <c r="Z410" s="79"/>
      <c r="AA410" s="187">
        <v>406</v>
      </c>
    </row>
    <row r="411" spans="1:27" s="184" customFormat="1" ht="20" x14ac:dyDescent="0.2">
      <c r="B411" s="11" t="s">
        <v>1476</v>
      </c>
      <c r="C411" s="165" t="s">
        <v>4235</v>
      </c>
      <c r="D411" s="22" t="s">
        <v>2379</v>
      </c>
      <c r="E411" s="34">
        <v>1</v>
      </c>
      <c r="F411" s="22" t="s">
        <v>2223</v>
      </c>
      <c r="G411" s="88">
        <v>6</v>
      </c>
      <c r="H411" s="235">
        <f t="shared" si="52"/>
        <v>3.7037037037037033</v>
      </c>
      <c r="I411" s="88">
        <v>6</v>
      </c>
      <c r="J411" s="235">
        <f t="shared" si="53"/>
        <v>3.7037037037037033</v>
      </c>
      <c r="K411" s="201">
        <v>144</v>
      </c>
      <c r="L411" s="252">
        <f>_xlfn.XLOOKUP($K411,Inputs!$C$6:$C$23,Inputs!$D$6:$D$23)*$I411</f>
        <v>2.6271428571428572</v>
      </c>
      <c r="M411" s="68"/>
      <c r="N411" s="68"/>
      <c r="O411" s="187"/>
      <c r="P411" s="187"/>
      <c r="Q411" s="94">
        <v>0.9</v>
      </c>
      <c r="R411" s="68">
        <f>IF((42.4*(J411)^(-0.6595))&gt;=3,3,(IF(42.4*(J411)^(-0.6595)&lt;=0.5,0.5,(42.4*(J411)^(-0.6595)))))</f>
        <v>3</v>
      </c>
      <c r="S411" s="276">
        <f>_xlfn.XLOOKUP($K411,Inputs!$G$6:$G$23,Inputs!J$6:J$23)*$R411</f>
        <v>153.60000000000002</v>
      </c>
      <c r="T411" s="276">
        <f>_xlfn.XLOOKUP($K411,Inputs!$G$6:$G$23,Inputs!K$6:K$23)*$R411</f>
        <v>169.96721311475409</v>
      </c>
      <c r="U411" s="96" t="s">
        <v>3997</v>
      </c>
      <c r="V411" s="22" t="s">
        <v>2124</v>
      </c>
      <c r="W411" s="96" t="s">
        <v>3826</v>
      </c>
      <c r="X411" s="22" t="s">
        <v>2601</v>
      </c>
      <c r="Y411" s="11" t="s">
        <v>3331</v>
      </c>
      <c r="Z411" s="79"/>
      <c r="AA411" s="187">
        <v>407</v>
      </c>
    </row>
    <row r="412" spans="1:27" s="184" customFormat="1" ht="20" x14ac:dyDescent="0.2">
      <c r="B412" s="11" t="s">
        <v>1465</v>
      </c>
      <c r="C412" s="165" t="s">
        <v>4235</v>
      </c>
      <c r="D412" s="22" t="s">
        <v>2379</v>
      </c>
      <c r="E412" s="34">
        <v>1</v>
      </c>
      <c r="F412" s="22" t="s">
        <v>2223</v>
      </c>
      <c r="G412" s="88">
        <v>12</v>
      </c>
      <c r="H412" s="235">
        <f t="shared" si="52"/>
        <v>7.4074074074074066</v>
      </c>
      <c r="I412" s="88">
        <v>27</v>
      </c>
      <c r="J412" s="235">
        <f t="shared" si="53"/>
        <v>16.666666666666664</v>
      </c>
      <c r="K412" s="215">
        <v>138</v>
      </c>
      <c r="L412" s="252">
        <f>_xlfn.XLOOKUP($K412,Inputs!$C$6:$C$23,Inputs!$D$6:$D$23)*$I412</f>
        <v>11.706428571428573</v>
      </c>
      <c r="M412" s="68"/>
      <c r="N412" s="68"/>
      <c r="O412" s="215">
        <v>83</v>
      </c>
      <c r="P412" s="215">
        <v>83</v>
      </c>
      <c r="Q412" s="94">
        <v>0.9</v>
      </c>
      <c r="R412" s="68" t="s">
        <v>115</v>
      </c>
      <c r="S412" s="182">
        <f t="shared" ref="S412:S422" si="57">O412*Q412</f>
        <v>74.7</v>
      </c>
      <c r="T412" s="182">
        <f t="shared" ref="T412:T422" si="58">P412*Q412</f>
        <v>74.7</v>
      </c>
      <c r="U412" s="96" t="s">
        <v>3600</v>
      </c>
      <c r="V412" s="22" t="s">
        <v>2890</v>
      </c>
      <c r="W412" s="96" t="s">
        <v>4017</v>
      </c>
      <c r="X412" s="22" t="s">
        <v>2125</v>
      </c>
      <c r="Y412" s="11" t="s">
        <v>3282</v>
      </c>
      <c r="Z412" s="79"/>
      <c r="AA412" s="187">
        <v>408</v>
      </c>
    </row>
    <row r="413" spans="1:27" s="184" customFormat="1" ht="20" x14ac:dyDescent="0.2">
      <c r="B413" s="11" t="s">
        <v>1465</v>
      </c>
      <c r="C413" s="165" t="s">
        <v>4235</v>
      </c>
      <c r="D413" s="22" t="s">
        <v>2379</v>
      </c>
      <c r="E413" s="34">
        <v>1</v>
      </c>
      <c r="F413" s="22" t="s">
        <v>2223</v>
      </c>
      <c r="G413" s="88">
        <v>15</v>
      </c>
      <c r="H413" s="235">
        <f t="shared" si="52"/>
        <v>9.2592592592592595</v>
      </c>
      <c r="I413" s="88">
        <v>27</v>
      </c>
      <c r="J413" s="235">
        <f t="shared" si="53"/>
        <v>16.666666666666664</v>
      </c>
      <c r="K413" s="215">
        <v>138</v>
      </c>
      <c r="L413" s="252">
        <f>_xlfn.XLOOKUP($K413,Inputs!$C$6:$C$23,Inputs!$D$6:$D$23)*$I413</f>
        <v>11.706428571428573</v>
      </c>
      <c r="M413" s="68"/>
      <c r="N413" s="68"/>
      <c r="O413" s="215">
        <v>121</v>
      </c>
      <c r="P413" s="215">
        <v>145</v>
      </c>
      <c r="Q413" s="94">
        <v>0.9</v>
      </c>
      <c r="R413" s="68" t="s">
        <v>115</v>
      </c>
      <c r="S413" s="182">
        <f t="shared" si="57"/>
        <v>108.9</v>
      </c>
      <c r="T413" s="182">
        <f t="shared" si="58"/>
        <v>130.5</v>
      </c>
      <c r="U413" s="96" t="s">
        <v>4017</v>
      </c>
      <c r="V413" s="22" t="s">
        <v>2125</v>
      </c>
      <c r="W413" s="96" t="s">
        <v>3626</v>
      </c>
      <c r="X413" s="22" t="s">
        <v>2912</v>
      </c>
      <c r="Y413" s="11" t="s">
        <v>3282</v>
      </c>
      <c r="Z413" s="79"/>
      <c r="AA413" s="187">
        <v>409</v>
      </c>
    </row>
    <row r="414" spans="1:27" s="184" customFormat="1" ht="20" x14ac:dyDescent="0.2">
      <c r="A414" s="298"/>
      <c r="B414" s="11" t="s">
        <v>2049</v>
      </c>
      <c r="C414" s="165" t="s">
        <v>4235</v>
      </c>
      <c r="D414" s="22" t="s">
        <v>2379</v>
      </c>
      <c r="E414" s="34">
        <v>1</v>
      </c>
      <c r="F414" s="22" t="s">
        <v>2223</v>
      </c>
      <c r="G414" s="88">
        <v>9</v>
      </c>
      <c r="H414" s="235">
        <f t="shared" si="52"/>
        <v>5.5555555555555554</v>
      </c>
      <c r="I414" s="88">
        <v>9</v>
      </c>
      <c r="J414" s="235">
        <f t="shared" si="53"/>
        <v>5.5555555555555554</v>
      </c>
      <c r="K414" s="215">
        <v>138</v>
      </c>
      <c r="L414" s="252">
        <f>_xlfn.XLOOKUP($K414,Inputs!$C$6:$C$23,Inputs!$D$6:$D$23)*$I414</f>
        <v>3.9021428571428576</v>
      </c>
      <c r="M414" s="68"/>
      <c r="N414" s="68"/>
      <c r="O414" s="215">
        <v>123</v>
      </c>
      <c r="P414" s="215">
        <v>150</v>
      </c>
      <c r="Q414" s="94">
        <v>0.9</v>
      </c>
      <c r="R414" s="68" t="s">
        <v>115</v>
      </c>
      <c r="S414" s="182">
        <f t="shared" si="57"/>
        <v>110.7</v>
      </c>
      <c r="T414" s="182">
        <f t="shared" si="58"/>
        <v>135</v>
      </c>
      <c r="U414" s="96" t="s">
        <v>4017</v>
      </c>
      <c r="V414" s="22" t="s">
        <v>2125</v>
      </c>
      <c r="W414" s="96" t="s">
        <v>4016</v>
      </c>
      <c r="X414" s="22" t="s">
        <v>4351</v>
      </c>
      <c r="Y414" s="11" t="s">
        <v>3282</v>
      </c>
      <c r="Z414" s="79"/>
      <c r="AA414" s="187">
        <v>410</v>
      </c>
    </row>
    <row r="415" spans="1:27" s="184" customFormat="1" ht="20" x14ac:dyDescent="0.2">
      <c r="B415" s="11" t="s">
        <v>1459</v>
      </c>
      <c r="C415" s="165" t="s">
        <v>4235</v>
      </c>
      <c r="D415" s="22" t="s">
        <v>2379</v>
      </c>
      <c r="E415" s="34">
        <v>1</v>
      </c>
      <c r="F415" s="22" t="s">
        <v>2223</v>
      </c>
      <c r="G415" s="88">
        <v>18</v>
      </c>
      <c r="H415" s="235">
        <f t="shared" si="52"/>
        <v>11.111111111111111</v>
      </c>
      <c r="I415" s="88">
        <v>18</v>
      </c>
      <c r="J415" s="235">
        <f t="shared" si="53"/>
        <v>11.111111111111111</v>
      </c>
      <c r="K415" s="215">
        <v>138</v>
      </c>
      <c r="L415" s="252">
        <f>_xlfn.XLOOKUP($K415,Inputs!$C$6:$C$23,Inputs!$D$6:$D$23)*$I415</f>
        <v>7.8042857142857152</v>
      </c>
      <c r="M415" s="68"/>
      <c r="N415" s="68"/>
      <c r="O415" s="215">
        <v>75</v>
      </c>
      <c r="P415" s="215">
        <v>79</v>
      </c>
      <c r="Q415" s="94">
        <v>0.9</v>
      </c>
      <c r="R415" s="68" t="s">
        <v>115</v>
      </c>
      <c r="S415" s="182">
        <f t="shared" si="57"/>
        <v>67.5</v>
      </c>
      <c r="T415" s="182">
        <f t="shared" si="58"/>
        <v>71.100000000000009</v>
      </c>
      <c r="U415" s="96" t="s">
        <v>3906</v>
      </c>
      <c r="V415" s="22" t="s">
        <v>3167</v>
      </c>
      <c r="W415" s="96" t="s">
        <v>3885</v>
      </c>
      <c r="X415" s="22" t="s">
        <v>3149</v>
      </c>
      <c r="Y415" s="11" t="s">
        <v>3309</v>
      </c>
      <c r="Z415" s="79"/>
      <c r="AA415" s="187">
        <v>411</v>
      </c>
    </row>
    <row r="416" spans="1:27" s="184" customFormat="1" ht="20" x14ac:dyDescent="0.2">
      <c r="B416" s="11" t="s">
        <v>1314</v>
      </c>
      <c r="C416" s="165" t="s">
        <v>4235</v>
      </c>
      <c r="D416" s="22" t="s">
        <v>2379</v>
      </c>
      <c r="E416" s="34">
        <v>1</v>
      </c>
      <c r="F416" s="22" t="s">
        <v>2223</v>
      </c>
      <c r="G416" s="88">
        <v>4.0249999999999995</v>
      </c>
      <c r="H416" s="235">
        <f t="shared" si="52"/>
        <v>2.4845679012345676</v>
      </c>
      <c r="I416" s="88">
        <v>4.0249999999999995</v>
      </c>
      <c r="J416" s="235">
        <f t="shared" si="53"/>
        <v>2.4845679012345676</v>
      </c>
      <c r="K416" s="215">
        <v>138</v>
      </c>
      <c r="L416" s="252">
        <f>_xlfn.XLOOKUP($K416,Inputs!$C$6:$C$23,Inputs!$D$6:$D$23)*$I416</f>
        <v>1.7451249999999998</v>
      </c>
      <c r="M416" s="68"/>
      <c r="N416" s="68"/>
      <c r="O416" s="215">
        <v>119</v>
      </c>
      <c r="P416" s="215">
        <v>113</v>
      </c>
      <c r="Q416" s="94">
        <v>0.9</v>
      </c>
      <c r="R416" s="68" t="s">
        <v>115</v>
      </c>
      <c r="S416" s="182">
        <f t="shared" si="57"/>
        <v>107.10000000000001</v>
      </c>
      <c r="T416" s="182">
        <f t="shared" si="58"/>
        <v>101.7</v>
      </c>
      <c r="U416" s="96" t="s">
        <v>3667</v>
      </c>
      <c r="V416" s="22" t="s">
        <v>2939</v>
      </c>
      <c r="W416" s="96" t="s">
        <v>3772</v>
      </c>
      <c r="X416" s="22" t="s">
        <v>3025</v>
      </c>
      <c r="Y416" s="11" t="s">
        <v>3281</v>
      </c>
      <c r="Z416" s="79"/>
      <c r="AA416" s="187">
        <v>412</v>
      </c>
    </row>
    <row r="417" spans="2:27" s="184" customFormat="1" ht="20" x14ac:dyDescent="0.2">
      <c r="B417" s="11" t="s">
        <v>1277</v>
      </c>
      <c r="C417" s="165" t="s">
        <v>4235</v>
      </c>
      <c r="D417" s="22" t="s">
        <v>2379</v>
      </c>
      <c r="E417" s="34">
        <v>1</v>
      </c>
      <c r="F417" s="22" t="s">
        <v>2223</v>
      </c>
      <c r="G417" s="235">
        <v>15</v>
      </c>
      <c r="H417" s="235">
        <f t="shared" si="52"/>
        <v>9.2592592592592595</v>
      </c>
      <c r="I417" s="235">
        <v>20</v>
      </c>
      <c r="J417" s="235">
        <f t="shared" si="53"/>
        <v>12.345679012345679</v>
      </c>
      <c r="K417" s="215">
        <v>138</v>
      </c>
      <c r="L417" s="252">
        <f>_xlfn.XLOOKUP($K417,Inputs!$C$6:$C$23,Inputs!$D$6:$D$23)*$I417</f>
        <v>8.6714285714285726</v>
      </c>
      <c r="M417" s="68"/>
      <c r="N417" s="68"/>
      <c r="O417" s="215">
        <v>119</v>
      </c>
      <c r="P417" s="215">
        <v>146</v>
      </c>
      <c r="Q417" s="94">
        <v>0.9</v>
      </c>
      <c r="R417" s="68" t="s">
        <v>115</v>
      </c>
      <c r="S417" s="182">
        <f t="shared" si="57"/>
        <v>107.10000000000001</v>
      </c>
      <c r="T417" s="182">
        <f t="shared" si="58"/>
        <v>131.4</v>
      </c>
      <c r="U417" s="96" t="s">
        <v>3645</v>
      </c>
      <c r="V417" s="22" t="s">
        <v>2922</v>
      </c>
      <c r="W417" s="96" t="s">
        <v>3364</v>
      </c>
      <c r="X417" s="205" t="s">
        <v>2126</v>
      </c>
      <c r="Y417" s="11" t="s">
        <v>3300</v>
      </c>
      <c r="Z417" s="79"/>
      <c r="AA417" s="187">
        <v>413</v>
      </c>
    </row>
    <row r="418" spans="2:27" s="188" customFormat="1" ht="20" x14ac:dyDescent="0.2">
      <c r="B418" s="11" t="s">
        <v>1277</v>
      </c>
      <c r="C418" s="165" t="s">
        <v>4235</v>
      </c>
      <c r="D418" s="22" t="s">
        <v>2379</v>
      </c>
      <c r="E418" s="34">
        <v>1</v>
      </c>
      <c r="F418" s="22" t="s">
        <v>2223</v>
      </c>
      <c r="G418" s="235">
        <v>5</v>
      </c>
      <c r="H418" s="235">
        <f t="shared" si="52"/>
        <v>3.0864197530864197</v>
      </c>
      <c r="I418" s="235">
        <v>20</v>
      </c>
      <c r="J418" s="235">
        <f t="shared" si="53"/>
        <v>12.345679012345679</v>
      </c>
      <c r="K418" s="215">
        <v>138</v>
      </c>
      <c r="L418" s="252">
        <f>_xlfn.XLOOKUP($K418,Inputs!$C$6:$C$23,Inputs!$D$6:$D$23)*$I418</f>
        <v>8.6714285714285726</v>
      </c>
      <c r="M418" s="68"/>
      <c r="N418" s="68"/>
      <c r="O418" s="215">
        <v>119</v>
      </c>
      <c r="P418" s="215">
        <v>146</v>
      </c>
      <c r="Q418" s="94">
        <v>0.9</v>
      </c>
      <c r="R418" s="68" t="s">
        <v>115</v>
      </c>
      <c r="S418" s="182">
        <f t="shared" si="57"/>
        <v>107.10000000000001</v>
      </c>
      <c r="T418" s="182">
        <f t="shared" si="58"/>
        <v>131.4</v>
      </c>
      <c r="U418" s="96" t="s">
        <v>3364</v>
      </c>
      <c r="V418" s="22" t="s">
        <v>2126</v>
      </c>
      <c r="W418" s="96" t="s">
        <v>3568</v>
      </c>
      <c r="X418" s="22" t="s">
        <v>2864</v>
      </c>
      <c r="Y418" s="11" t="s">
        <v>3300</v>
      </c>
      <c r="Z418" s="79"/>
      <c r="AA418" s="187">
        <v>414</v>
      </c>
    </row>
    <row r="419" spans="2:27" s="188" customFormat="1" ht="20" x14ac:dyDescent="0.2">
      <c r="B419" s="11" t="s">
        <v>1278</v>
      </c>
      <c r="C419" s="165" t="s">
        <v>4235</v>
      </c>
      <c r="D419" s="22" t="s">
        <v>2379</v>
      </c>
      <c r="E419" s="34">
        <v>1</v>
      </c>
      <c r="F419" s="22" t="s">
        <v>2223</v>
      </c>
      <c r="G419" s="235">
        <v>5</v>
      </c>
      <c r="H419" s="235">
        <f t="shared" si="52"/>
        <v>3.0864197530864197</v>
      </c>
      <c r="I419" s="235">
        <v>5</v>
      </c>
      <c r="J419" s="235">
        <f t="shared" si="53"/>
        <v>3.0864197530864197</v>
      </c>
      <c r="K419" s="215">
        <v>138</v>
      </c>
      <c r="L419" s="252">
        <f>_xlfn.XLOOKUP($K419,Inputs!$C$6:$C$23,Inputs!$D$6:$D$23)*$I419</f>
        <v>2.1678571428571431</v>
      </c>
      <c r="M419" s="68"/>
      <c r="N419" s="68"/>
      <c r="O419" s="215">
        <v>98</v>
      </c>
      <c r="P419" s="215">
        <v>132</v>
      </c>
      <c r="Q419" s="94">
        <v>0.9</v>
      </c>
      <c r="R419" s="68" t="s">
        <v>115</v>
      </c>
      <c r="S419" s="182">
        <f t="shared" si="57"/>
        <v>88.2</v>
      </c>
      <c r="T419" s="182">
        <f t="shared" si="58"/>
        <v>118.8</v>
      </c>
      <c r="U419" s="96" t="s">
        <v>3364</v>
      </c>
      <c r="V419" s="22" t="s">
        <v>2126</v>
      </c>
      <c r="W419" s="96" t="s">
        <v>3363</v>
      </c>
      <c r="X419" s="22" t="s">
        <v>3209</v>
      </c>
      <c r="Y419" s="11" t="s">
        <v>3300</v>
      </c>
      <c r="Z419" s="79"/>
      <c r="AA419" s="187">
        <v>415</v>
      </c>
    </row>
    <row r="420" spans="2:27" s="188" customFormat="1" ht="20" x14ac:dyDescent="0.2">
      <c r="B420" s="11" t="s">
        <v>754</v>
      </c>
      <c r="C420" s="165" t="s">
        <v>4235</v>
      </c>
      <c r="D420" s="22" t="s">
        <v>2379</v>
      </c>
      <c r="E420" s="34">
        <v>1</v>
      </c>
      <c r="F420" s="22" t="s">
        <v>2223</v>
      </c>
      <c r="G420" s="88">
        <v>12.600000000000001</v>
      </c>
      <c r="H420" s="235">
        <f t="shared" si="52"/>
        <v>7.7777777777777786</v>
      </c>
      <c r="I420" s="88">
        <v>12.600000000000001</v>
      </c>
      <c r="J420" s="235">
        <f t="shared" si="53"/>
        <v>7.7777777777777786</v>
      </c>
      <c r="K420" s="215">
        <v>138</v>
      </c>
      <c r="L420" s="252">
        <f>_xlfn.XLOOKUP($K420,Inputs!$C$6:$C$23,Inputs!$D$6:$D$23)*$I420</f>
        <v>5.463000000000001</v>
      </c>
      <c r="M420" s="68"/>
      <c r="N420" s="68"/>
      <c r="O420" s="215">
        <v>119</v>
      </c>
      <c r="P420" s="215">
        <v>146</v>
      </c>
      <c r="Q420" s="94">
        <v>0.9</v>
      </c>
      <c r="R420" s="68" t="s">
        <v>115</v>
      </c>
      <c r="S420" s="182">
        <f t="shared" si="57"/>
        <v>107.10000000000001</v>
      </c>
      <c r="T420" s="182">
        <f t="shared" si="58"/>
        <v>131.4</v>
      </c>
      <c r="U420" s="96" t="s">
        <v>3568</v>
      </c>
      <c r="V420" s="22" t="s">
        <v>2864</v>
      </c>
      <c r="W420" s="96" t="s">
        <v>3513</v>
      </c>
      <c r="X420" s="205" t="s">
        <v>3251</v>
      </c>
      <c r="Y420" s="11" t="s">
        <v>3289</v>
      </c>
      <c r="Z420" s="79"/>
      <c r="AA420" s="187">
        <v>416</v>
      </c>
    </row>
    <row r="421" spans="2:27" s="188" customFormat="1" ht="20" x14ac:dyDescent="0.2">
      <c r="B421" s="11" t="s">
        <v>2050</v>
      </c>
      <c r="C421" s="165" t="s">
        <v>4235</v>
      </c>
      <c r="D421" s="22" t="s">
        <v>2379</v>
      </c>
      <c r="E421" s="34">
        <v>1</v>
      </c>
      <c r="F421" s="22" t="s">
        <v>2223</v>
      </c>
      <c r="G421" s="235">
        <v>40</v>
      </c>
      <c r="H421" s="235">
        <f t="shared" si="52"/>
        <v>24.691358024691358</v>
      </c>
      <c r="I421" s="235">
        <v>69.400000000000006</v>
      </c>
      <c r="J421" s="235">
        <f t="shared" si="53"/>
        <v>42.839506172839506</v>
      </c>
      <c r="K421" s="215">
        <v>138</v>
      </c>
      <c r="L421" s="252">
        <f>_xlfn.XLOOKUP($K421,Inputs!$C$6:$C$23,Inputs!$D$6:$D$23)*$I421</f>
        <v>30.089857142857149</v>
      </c>
      <c r="M421" s="68"/>
      <c r="N421" s="68"/>
      <c r="O421" s="215">
        <v>121</v>
      </c>
      <c r="P421" s="215">
        <v>148</v>
      </c>
      <c r="Q421" s="94">
        <v>0.9</v>
      </c>
      <c r="R421" s="68" t="s">
        <v>115</v>
      </c>
      <c r="S421" s="182">
        <f t="shared" si="57"/>
        <v>108.9</v>
      </c>
      <c r="T421" s="182">
        <f t="shared" si="58"/>
        <v>133.20000000000002</v>
      </c>
      <c r="U421" s="96" t="s">
        <v>3674</v>
      </c>
      <c r="V421" s="22" t="s">
        <v>2947</v>
      </c>
      <c r="W421" s="96" t="s">
        <v>3990</v>
      </c>
      <c r="X421" s="204" t="s">
        <v>2127</v>
      </c>
      <c r="Y421" s="11" t="s">
        <v>3289</v>
      </c>
      <c r="Z421" s="79"/>
      <c r="AA421" s="187">
        <v>417</v>
      </c>
    </row>
    <row r="422" spans="2:27" s="188" customFormat="1" ht="20" x14ac:dyDescent="0.2">
      <c r="B422" s="11" t="s">
        <v>2050</v>
      </c>
      <c r="C422" s="165" t="s">
        <v>4235</v>
      </c>
      <c r="D422" s="22" t="s">
        <v>2379</v>
      </c>
      <c r="E422" s="34">
        <v>1</v>
      </c>
      <c r="F422" s="22" t="s">
        <v>2223</v>
      </c>
      <c r="G422" s="88">
        <v>29.400000000000002</v>
      </c>
      <c r="H422" s="235">
        <f t="shared" si="52"/>
        <v>18.148148148148149</v>
      </c>
      <c r="I422" s="88">
        <v>69.400000000000006</v>
      </c>
      <c r="J422" s="235">
        <f t="shared" si="53"/>
        <v>42.839506172839506</v>
      </c>
      <c r="K422" s="215">
        <v>138</v>
      </c>
      <c r="L422" s="252">
        <f>_xlfn.XLOOKUP($K422,Inputs!$C$6:$C$23,Inputs!$D$6:$D$23)*$I422</f>
        <v>30.089857142857149</v>
      </c>
      <c r="M422" s="68"/>
      <c r="N422" s="68"/>
      <c r="O422" s="215">
        <v>121</v>
      </c>
      <c r="P422" s="215">
        <v>148</v>
      </c>
      <c r="Q422" s="94">
        <v>0.9</v>
      </c>
      <c r="R422" s="68" t="s">
        <v>115</v>
      </c>
      <c r="S422" s="182">
        <f t="shared" si="57"/>
        <v>108.9</v>
      </c>
      <c r="T422" s="182">
        <f t="shared" si="58"/>
        <v>133.20000000000002</v>
      </c>
      <c r="U422" s="96" t="s">
        <v>3990</v>
      </c>
      <c r="V422" s="22" t="s">
        <v>2127</v>
      </c>
      <c r="W422" s="96" t="s">
        <v>3377</v>
      </c>
      <c r="X422" s="22" t="s">
        <v>2744</v>
      </c>
      <c r="Y422" s="11" t="s">
        <v>3289</v>
      </c>
      <c r="Z422" s="79"/>
      <c r="AA422" s="187">
        <v>418</v>
      </c>
    </row>
    <row r="423" spans="2:27" s="188" customFormat="1" ht="20" x14ac:dyDescent="0.2">
      <c r="B423" s="11" t="s">
        <v>2052</v>
      </c>
      <c r="C423" s="165" t="s">
        <v>4235</v>
      </c>
      <c r="D423" s="22" t="s">
        <v>2379</v>
      </c>
      <c r="E423" s="34">
        <v>1</v>
      </c>
      <c r="F423" s="22" t="s">
        <v>2223</v>
      </c>
      <c r="G423" s="88">
        <v>16.8</v>
      </c>
      <c r="H423" s="235">
        <f t="shared" si="52"/>
        <v>10.37037037037037</v>
      </c>
      <c r="I423" s="88">
        <v>21.84</v>
      </c>
      <c r="J423" s="235">
        <f t="shared" si="53"/>
        <v>13.481481481481481</v>
      </c>
      <c r="K423" s="201">
        <v>144</v>
      </c>
      <c r="L423" s="252">
        <f>_xlfn.XLOOKUP($K423,Inputs!$C$6:$C$23,Inputs!$D$6:$D$23)*$I423</f>
        <v>9.5628000000000011</v>
      </c>
      <c r="M423" s="68"/>
      <c r="N423" s="68"/>
      <c r="O423" s="187"/>
      <c r="P423" s="187"/>
      <c r="Q423" s="94">
        <v>0.9</v>
      </c>
      <c r="R423" s="68">
        <f>IF((42.4*(J423)^(-0.6595))&gt;=3,3,(IF(42.4*(J423)^(-0.6595)&lt;=0.5,0.5,(42.4*(J423)^(-0.6595)))))</f>
        <v>3</v>
      </c>
      <c r="S423" s="276">
        <f>_xlfn.XLOOKUP($K423,Inputs!$G$6:$G$23,Inputs!J$6:J$23)*$R423</f>
        <v>153.60000000000002</v>
      </c>
      <c r="T423" s="276">
        <f>_xlfn.XLOOKUP($K423,Inputs!$G$6:$G$23,Inputs!K$6:K$23)*$R423</f>
        <v>169.96721311475409</v>
      </c>
      <c r="U423" s="96" t="s">
        <v>3990</v>
      </c>
      <c r="V423" s="22" t="s">
        <v>2127</v>
      </c>
      <c r="W423" s="96" t="s">
        <v>3801</v>
      </c>
      <c r="X423" s="205" t="s">
        <v>2638</v>
      </c>
      <c r="Y423" s="11" t="s">
        <v>3331</v>
      </c>
      <c r="Z423" s="79"/>
      <c r="AA423" s="187">
        <v>419</v>
      </c>
    </row>
    <row r="424" spans="2:27" s="184" customFormat="1" ht="20" x14ac:dyDescent="0.2">
      <c r="B424" s="11" t="s">
        <v>2052</v>
      </c>
      <c r="C424" s="165" t="s">
        <v>4235</v>
      </c>
      <c r="D424" s="22" t="s">
        <v>2379</v>
      </c>
      <c r="E424" s="34">
        <v>1</v>
      </c>
      <c r="F424" s="22" t="s">
        <v>2223</v>
      </c>
      <c r="G424" s="88">
        <v>1.6800000000000002</v>
      </c>
      <c r="H424" s="235">
        <f t="shared" si="52"/>
        <v>1.037037037037037</v>
      </c>
      <c r="I424" s="88">
        <v>21.84</v>
      </c>
      <c r="J424" s="235">
        <f t="shared" si="53"/>
        <v>13.481481481481481</v>
      </c>
      <c r="K424" s="201">
        <v>144</v>
      </c>
      <c r="L424" s="252">
        <f>_xlfn.XLOOKUP($K424,Inputs!$C$6:$C$23,Inputs!$D$6:$D$23)*$I424</f>
        <v>9.5628000000000011</v>
      </c>
      <c r="M424" s="68"/>
      <c r="N424" s="68"/>
      <c r="O424" s="187"/>
      <c r="P424" s="187"/>
      <c r="Q424" s="94">
        <v>0.9</v>
      </c>
      <c r="R424" s="68">
        <f>IF((42.4*(J424)^(-0.6595))&gt;=3,3,(IF(42.4*(J424)^(-0.6595)&lt;=0.5,0.5,(42.4*(J424)^(-0.6595)))))</f>
        <v>3</v>
      </c>
      <c r="S424" s="276">
        <f>_xlfn.XLOOKUP($K424,Inputs!$G$6:$G$23,Inputs!J$6:J$23)*$R424</f>
        <v>153.60000000000002</v>
      </c>
      <c r="T424" s="276">
        <f>_xlfn.XLOOKUP($K424,Inputs!$G$6:$G$23,Inputs!K$6:K$23)*$R424</f>
        <v>169.96721311475409</v>
      </c>
      <c r="U424" s="96" t="s">
        <v>3801</v>
      </c>
      <c r="V424" s="205" t="s">
        <v>2638</v>
      </c>
      <c r="W424" s="96" t="s">
        <v>3587</v>
      </c>
      <c r="X424" s="205" t="s">
        <v>2878</v>
      </c>
      <c r="Y424" s="11" t="s">
        <v>3331</v>
      </c>
      <c r="Z424" s="79"/>
      <c r="AA424" s="187">
        <v>420</v>
      </c>
    </row>
    <row r="425" spans="2:27" s="184" customFormat="1" ht="20" x14ac:dyDescent="0.2">
      <c r="B425" s="11" t="s">
        <v>2052</v>
      </c>
      <c r="C425" s="165" t="s">
        <v>4235</v>
      </c>
      <c r="D425" s="22" t="s">
        <v>2379</v>
      </c>
      <c r="E425" s="34">
        <v>1</v>
      </c>
      <c r="F425" s="22" t="s">
        <v>2223</v>
      </c>
      <c r="G425" s="88">
        <v>1.6800000000000002</v>
      </c>
      <c r="H425" s="235">
        <f t="shared" si="52"/>
        <v>1.037037037037037</v>
      </c>
      <c r="I425" s="88">
        <v>21.84</v>
      </c>
      <c r="J425" s="235">
        <f t="shared" si="53"/>
        <v>13.481481481481481</v>
      </c>
      <c r="K425" s="201">
        <v>144</v>
      </c>
      <c r="L425" s="252">
        <f>_xlfn.XLOOKUP($K425,Inputs!$C$6:$C$23,Inputs!$D$6:$D$23)*$I425</f>
        <v>9.5628000000000011</v>
      </c>
      <c r="M425" s="68"/>
      <c r="N425" s="68"/>
      <c r="O425" s="187"/>
      <c r="P425" s="187"/>
      <c r="Q425" s="94">
        <v>0.9</v>
      </c>
      <c r="R425" s="68">
        <f>IF((42.4*(J425)^(-0.6595))&gt;=3,3,(IF(42.4*(J425)^(-0.6595)&lt;=0.5,0.5,(42.4*(J425)^(-0.6595)))))</f>
        <v>3</v>
      </c>
      <c r="S425" s="276">
        <f>_xlfn.XLOOKUP($K425,Inputs!$G$6:$G$23,Inputs!J$6:J$23)*$R425</f>
        <v>153.60000000000002</v>
      </c>
      <c r="T425" s="276">
        <f>_xlfn.XLOOKUP($K425,Inputs!$G$6:$G$23,Inputs!K$6:K$23)*$R425</f>
        <v>169.96721311475409</v>
      </c>
      <c r="U425" s="96" t="s">
        <v>3587</v>
      </c>
      <c r="V425" s="22" t="s">
        <v>2878</v>
      </c>
      <c r="W425" s="96" t="s">
        <v>3821</v>
      </c>
      <c r="X425" s="205" t="s">
        <v>3068</v>
      </c>
      <c r="Y425" s="11" t="s">
        <v>3331</v>
      </c>
      <c r="Z425" s="79"/>
      <c r="AA425" s="187">
        <v>421</v>
      </c>
    </row>
    <row r="426" spans="2:27" s="184" customFormat="1" ht="20" x14ac:dyDescent="0.2">
      <c r="B426" s="11" t="s">
        <v>2052</v>
      </c>
      <c r="C426" s="165" t="s">
        <v>4235</v>
      </c>
      <c r="D426" s="22" t="s">
        <v>2379</v>
      </c>
      <c r="E426" s="34">
        <v>1</v>
      </c>
      <c r="F426" s="22" t="s">
        <v>2223</v>
      </c>
      <c r="G426" s="88">
        <v>1.6800000000000002</v>
      </c>
      <c r="H426" s="235">
        <f t="shared" si="52"/>
        <v>1.037037037037037</v>
      </c>
      <c r="I426" s="88">
        <v>21.84</v>
      </c>
      <c r="J426" s="235">
        <f t="shared" si="53"/>
        <v>13.481481481481481</v>
      </c>
      <c r="K426" s="201">
        <v>144</v>
      </c>
      <c r="L426" s="252">
        <f>_xlfn.XLOOKUP($K426,Inputs!$C$6:$C$23,Inputs!$D$6:$D$23)*$I426</f>
        <v>9.5628000000000011</v>
      </c>
      <c r="M426" s="68"/>
      <c r="N426" s="68"/>
      <c r="O426" s="187"/>
      <c r="P426" s="187"/>
      <c r="Q426" s="94">
        <v>0.9</v>
      </c>
      <c r="R426" s="68">
        <f>IF((42.4*(J426)^(-0.6595))&gt;=3,3,(IF(42.4*(J426)^(-0.6595)&lt;=0.5,0.5,(42.4*(J426)^(-0.6595)))))</f>
        <v>3</v>
      </c>
      <c r="S426" s="276">
        <f>_xlfn.XLOOKUP($K426,Inputs!$G$6:$G$23,Inputs!J$6:J$23)*$R426</f>
        <v>153.60000000000002</v>
      </c>
      <c r="T426" s="276">
        <f>_xlfn.XLOOKUP($K426,Inputs!$G$6:$G$23,Inputs!K$6:K$23)*$R426</f>
        <v>169.96721311475409</v>
      </c>
      <c r="U426" s="96" t="s">
        <v>3821</v>
      </c>
      <c r="V426" s="22" t="s">
        <v>3068</v>
      </c>
      <c r="W426" s="96" t="s">
        <v>3761</v>
      </c>
      <c r="X426" s="22" t="s">
        <v>3018</v>
      </c>
      <c r="Y426" s="11" t="s">
        <v>3331</v>
      </c>
      <c r="Z426" s="79"/>
      <c r="AA426" s="187">
        <v>422</v>
      </c>
    </row>
    <row r="427" spans="2:27" s="184" customFormat="1" ht="20" x14ac:dyDescent="0.2">
      <c r="B427" s="11" t="s">
        <v>756</v>
      </c>
      <c r="C427" s="165" t="s">
        <v>4235</v>
      </c>
      <c r="D427" s="22" t="s">
        <v>2379</v>
      </c>
      <c r="E427" s="34">
        <v>1</v>
      </c>
      <c r="F427" s="22" t="s">
        <v>2223</v>
      </c>
      <c r="G427" s="235">
        <v>5</v>
      </c>
      <c r="H427" s="235">
        <f t="shared" si="52"/>
        <v>3.0864197530864197</v>
      </c>
      <c r="I427" s="235">
        <v>5</v>
      </c>
      <c r="J427" s="235">
        <f t="shared" si="53"/>
        <v>3.0864197530864197</v>
      </c>
      <c r="K427" s="201">
        <v>144</v>
      </c>
      <c r="L427" s="252">
        <f>_xlfn.XLOOKUP($K427,Inputs!$C$6:$C$23,Inputs!$D$6:$D$23)*$I427</f>
        <v>2.1892857142857145</v>
      </c>
      <c r="M427" s="68"/>
      <c r="N427" s="68"/>
      <c r="O427" s="187"/>
      <c r="P427" s="187"/>
      <c r="Q427" s="94">
        <v>0.9</v>
      </c>
      <c r="R427" s="68">
        <f>IF((42.4*(J427)^(-0.6595))&gt;=3,3,(IF(42.4*(J427)^(-0.6595)&lt;=0.5,0.5,(42.4*(J427)^(-0.6595)))))</f>
        <v>3</v>
      </c>
      <c r="S427" s="276">
        <f>_xlfn.XLOOKUP($K427,Inputs!$G$6:$G$23,Inputs!J$6:J$23)*$R427</f>
        <v>153.60000000000002</v>
      </c>
      <c r="T427" s="276">
        <f>_xlfn.XLOOKUP($K427,Inputs!$G$6:$G$23,Inputs!K$6:K$23)*$R427</f>
        <v>169.96721311475409</v>
      </c>
      <c r="U427" s="96" t="s">
        <v>3568</v>
      </c>
      <c r="V427" s="22" t="s">
        <v>2864</v>
      </c>
      <c r="W427" s="96" t="s">
        <v>3832</v>
      </c>
      <c r="X427" s="22" t="s">
        <v>2714</v>
      </c>
      <c r="Y427" s="11" t="s">
        <v>3331</v>
      </c>
      <c r="Z427" s="79"/>
      <c r="AA427" s="187">
        <v>423</v>
      </c>
    </row>
    <row r="428" spans="2:27" s="184" customFormat="1" ht="20" x14ac:dyDescent="0.2">
      <c r="B428" s="11" t="s">
        <v>758</v>
      </c>
      <c r="C428" s="165" t="s">
        <v>4235</v>
      </c>
      <c r="D428" s="22" t="s">
        <v>2379</v>
      </c>
      <c r="E428" s="34">
        <v>1</v>
      </c>
      <c r="F428" s="22" t="s">
        <v>2223</v>
      </c>
      <c r="G428" s="88">
        <v>37.800000000000004</v>
      </c>
      <c r="H428" s="235">
        <f t="shared" si="52"/>
        <v>23.333333333333336</v>
      </c>
      <c r="I428" s="88">
        <v>37.800000000000004</v>
      </c>
      <c r="J428" s="235">
        <f t="shared" si="53"/>
        <v>23.333333333333336</v>
      </c>
      <c r="K428" s="215">
        <v>138</v>
      </c>
      <c r="L428" s="252">
        <f>_xlfn.XLOOKUP($K428,Inputs!$C$6:$C$23,Inputs!$D$6:$D$23)*$I428</f>
        <v>16.389000000000003</v>
      </c>
      <c r="M428" s="68"/>
      <c r="N428" s="68"/>
      <c r="O428" s="215">
        <v>86</v>
      </c>
      <c r="P428" s="215">
        <v>91</v>
      </c>
      <c r="Q428" s="94">
        <v>0.9</v>
      </c>
      <c r="R428" s="68" t="s">
        <v>115</v>
      </c>
      <c r="S428" s="182">
        <f>O428*Q428</f>
        <v>77.400000000000006</v>
      </c>
      <c r="T428" s="182">
        <f>P428*Q428</f>
        <v>81.900000000000006</v>
      </c>
      <c r="U428" s="96" t="s">
        <v>3485</v>
      </c>
      <c r="V428" s="22" t="s">
        <v>2808</v>
      </c>
      <c r="W428" s="96" t="s">
        <v>3417</v>
      </c>
      <c r="X428" s="22" t="s">
        <v>2597</v>
      </c>
      <c r="Y428" s="11" t="s">
        <v>3286</v>
      </c>
      <c r="Z428" s="79"/>
      <c r="AA428" s="187">
        <v>424</v>
      </c>
    </row>
    <row r="429" spans="2:27" s="184" customFormat="1" ht="20" x14ac:dyDescent="0.2">
      <c r="B429" s="11" t="s">
        <v>1285</v>
      </c>
      <c r="C429" s="165" t="s">
        <v>4235</v>
      </c>
      <c r="D429" s="22" t="s">
        <v>2379</v>
      </c>
      <c r="E429" s="34">
        <v>1</v>
      </c>
      <c r="F429" s="22" t="s">
        <v>2223</v>
      </c>
      <c r="G429" s="88">
        <v>15</v>
      </c>
      <c r="H429" s="235">
        <f t="shared" si="52"/>
        <v>9.2592592592592595</v>
      </c>
      <c r="I429" s="88">
        <v>15</v>
      </c>
      <c r="J429" s="235">
        <f t="shared" si="53"/>
        <v>9.2592592592592595</v>
      </c>
      <c r="K429" s="201">
        <v>144</v>
      </c>
      <c r="L429" s="252">
        <f>_xlfn.XLOOKUP($K429,Inputs!$C$6:$C$23,Inputs!$D$6:$D$23)*$I429</f>
        <v>6.5678571428571431</v>
      </c>
      <c r="M429" s="68"/>
      <c r="N429" s="68"/>
      <c r="O429" s="187"/>
      <c r="P429" s="187"/>
      <c r="Q429" s="94">
        <v>0.9</v>
      </c>
      <c r="R429" s="68">
        <f>IF((42.4*(J429)^(-0.6595))&gt;=3,3,(IF(42.4*(J429)^(-0.6595)&lt;=0.5,0.5,(42.4*(J429)^(-0.6595)))))</f>
        <v>3</v>
      </c>
      <c r="S429" s="276">
        <f>_xlfn.XLOOKUP($K429,Inputs!$G$6:$G$23,Inputs!J$6:J$23)*$R429</f>
        <v>153.60000000000002</v>
      </c>
      <c r="T429" s="276">
        <f>_xlfn.XLOOKUP($K429,Inputs!$G$6:$G$23,Inputs!K$6:K$23)*$R429</f>
        <v>169.96721311475409</v>
      </c>
      <c r="U429" s="96" t="s">
        <v>3957</v>
      </c>
      <c r="V429" s="22" t="s">
        <v>2128</v>
      </c>
      <c r="W429" s="96" t="s">
        <v>3631</v>
      </c>
      <c r="X429" s="22" t="s">
        <v>2914</v>
      </c>
      <c r="Y429" s="11" t="s">
        <v>3331</v>
      </c>
      <c r="Z429" s="79"/>
      <c r="AA429" s="187">
        <v>425</v>
      </c>
    </row>
    <row r="430" spans="2:27" s="184" customFormat="1" ht="20" x14ac:dyDescent="0.2">
      <c r="B430" s="11" t="s">
        <v>1287</v>
      </c>
      <c r="C430" s="165" t="s">
        <v>4235</v>
      </c>
      <c r="D430" s="22" t="s">
        <v>2379</v>
      </c>
      <c r="E430" s="34">
        <v>1</v>
      </c>
      <c r="F430" s="22" t="s">
        <v>2223</v>
      </c>
      <c r="G430" s="88">
        <v>18</v>
      </c>
      <c r="H430" s="235">
        <f t="shared" si="52"/>
        <v>11.111111111111111</v>
      </c>
      <c r="I430" s="88">
        <v>18</v>
      </c>
      <c r="J430" s="235">
        <f t="shared" si="53"/>
        <v>11.111111111111111</v>
      </c>
      <c r="K430" s="215">
        <v>138</v>
      </c>
      <c r="L430" s="252">
        <f>_xlfn.XLOOKUP($K430,Inputs!$C$6:$C$23,Inputs!$D$6:$D$23)*$I430</f>
        <v>7.8042857142857152</v>
      </c>
      <c r="M430" s="68"/>
      <c r="N430" s="68"/>
      <c r="O430" s="215">
        <v>108</v>
      </c>
      <c r="P430" s="215">
        <v>114</v>
      </c>
      <c r="Q430" s="94">
        <v>0.9</v>
      </c>
      <c r="R430" s="68" t="s">
        <v>115</v>
      </c>
      <c r="S430" s="182">
        <f>O430*Q430</f>
        <v>97.2</v>
      </c>
      <c r="T430" s="182">
        <f>P430*Q430</f>
        <v>102.60000000000001</v>
      </c>
      <c r="U430" s="96" t="s">
        <v>3754</v>
      </c>
      <c r="V430" s="205" t="s">
        <v>3012</v>
      </c>
      <c r="W430" s="96" t="s">
        <v>3843</v>
      </c>
      <c r="X430" s="22" t="s">
        <v>3080</v>
      </c>
      <c r="Y430" s="11" t="s">
        <v>3289</v>
      </c>
      <c r="Z430" s="79"/>
      <c r="AA430" s="187">
        <v>426</v>
      </c>
    </row>
    <row r="431" spans="2:27" s="184" customFormat="1" ht="20" x14ac:dyDescent="0.2">
      <c r="B431" s="11" t="s">
        <v>1495</v>
      </c>
      <c r="C431" s="165" t="s">
        <v>4235</v>
      </c>
      <c r="D431" s="22" t="s">
        <v>2379</v>
      </c>
      <c r="E431" s="34">
        <v>1</v>
      </c>
      <c r="F431" s="22" t="s">
        <v>2223</v>
      </c>
      <c r="G431" s="88">
        <v>15</v>
      </c>
      <c r="H431" s="235">
        <f t="shared" si="52"/>
        <v>9.2592592592592595</v>
      </c>
      <c r="I431" s="88">
        <v>15</v>
      </c>
      <c r="J431" s="235">
        <f t="shared" si="53"/>
        <v>9.2592592592592595</v>
      </c>
      <c r="K431" s="215">
        <v>138</v>
      </c>
      <c r="L431" s="252">
        <f>_xlfn.XLOOKUP($K431,Inputs!$C$6:$C$23,Inputs!$D$6:$D$23)*$I431</f>
        <v>6.503571428571429</v>
      </c>
      <c r="M431" s="68"/>
      <c r="N431" s="68"/>
      <c r="O431" s="215">
        <v>98</v>
      </c>
      <c r="P431" s="215">
        <v>132</v>
      </c>
      <c r="Q431" s="94">
        <v>0.9</v>
      </c>
      <c r="R431" s="68" t="s">
        <v>115</v>
      </c>
      <c r="S431" s="182">
        <f>O431*Q431</f>
        <v>88.2</v>
      </c>
      <c r="T431" s="182">
        <f>P431*Q431</f>
        <v>118.8</v>
      </c>
      <c r="U431" s="96" t="s">
        <v>3599</v>
      </c>
      <c r="V431" s="22" t="s">
        <v>2888</v>
      </c>
      <c r="W431" s="96" t="s">
        <v>3785</v>
      </c>
      <c r="X431" s="22" t="s">
        <v>3036</v>
      </c>
      <c r="Y431" s="11" t="s">
        <v>3309</v>
      </c>
      <c r="Z431" s="79"/>
      <c r="AA431" s="187">
        <v>427</v>
      </c>
    </row>
    <row r="432" spans="2:27" s="184" customFormat="1" ht="20" x14ac:dyDescent="0.2">
      <c r="B432" s="11" t="s">
        <v>1595</v>
      </c>
      <c r="C432" s="165" t="s">
        <v>4235</v>
      </c>
      <c r="D432" s="22" t="s">
        <v>2379</v>
      </c>
      <c r="E432" s="34">
        <v>1</v>
      </c>
      <c r="F432" s="22" t="s">
        <v>2223</v>
      </c>
      <c r="G432" s="235">
        <v>55</v>
      </c>
      <c r="H432" s="235">
        <f t="shared" si="52"/>
        <v>33.950617283950614</v>
      </c>
      <c r="I432" s="235">
        <v>55</v>
      </c>
      <c r="J432" s="235">
        <f t="shared" si="53"/>
        <v>33.950617283950614</v>
      </c>
      <c r="K432" s="201">
        <v>144</v>
      </c>
      <c r="L432" s="252">
        <f>_xlfn.XLOOKUP($K432,Inputs!$C$6:$C$23,Inputs!$D$6:$D$23)*$I432</f>
        <v>24.082142857142859</v>
      </c>
      <c r="M432" s="68"/>
      <c r="N432" s="68"/>
      <c r="O432" s="187"/>
      <c r="P432" s="187"/>
      <c r="Q432" s="94">
        <v>0.9</v>
      </c>
      <c r="R432" s="68">
        <f t="shared" ref="R432:R441" si="59">IF((42.4*(J432)^(-0.6595))&gt;=3,3,(IF(42.4*(J432)^(-0.6595)&lt;=0.5,0.5,(42.4*(J432)^(-0.6595)))))</f>
        <v>3</v>
      </c>
      <c r="S432" s="276">
        <f>_xlfn.XLOOKUP($K432,Inputs!$G$6:$G$23,Inputs!J$6:J$23)*$R432</f>
        <v>153.60000000000002</v>
      </c>
      <c r="T432" s="276">
        <f>_xlfn.XLOOKUP($K432,Inputs!$G$6:$G$23,Inputs!K$6:K$23)*$R432</f>
        <v>169.96721311475409</v>
      </c>
      <c r="U432" s="96" t="s">
        <v>3383</v>
      </c>
      <c r="V432" s="22" t="s">
        <v>2747</v>
      </c>
      <c r="W432" s="96" t="s">
        <v>3802</v>
      </c>
      <c r="X432" s="22" t="s">
        <v>3051</v>
      </c>
      <c r="Y432" s="11" t="s">
        <v>3331</v>
      </c>
      <c r="Z432" s="79"/>
      <c r="AA432" s="187">
        <v>428</v>
      </c>
    </row>
    <row r="433" spans="2:27" s="184" customFormat="1" ht="20" x14ac:dyDescent="0.2">
      <c r="B433" s="11" t="s">
        <v>1599</v>
      </c>
      <c r="C433" s="165" t="s">
        <v>4235</v>
      </c>
      <c r="D433" s="22" t="s">
        <v>2379</v>
      </c>
      <c r="E433" s="34">
        <v>1</v>
      </c>
      <c r="F433" s="22" t="s">
        <v>2223</v>
      </c>
      <c r="G433" s="235">
        <v>90</v>
      </c>
      <c r="H433" s="235">
        <f t="shared" si="52"/>
        <v>55.55555555555555</v>
      </c>
      <c r="I433" s="235">
        <v>90</v>
      </c>
      <c r="J433" s="235">
        <f t="shared" si="53"/>
        <v>55.55555555555555</v>
      </c>
      <c r="K433" s="201">
        <v>144</v>
      </c>
      <c r="L433" s="252">
        <f>_xlfn.XLOOKUP($K433,Inputs!$C$6:$C$23,Inputs!$D$6:$D$23)*$I433</f>
        <v>39.407142857142858</v>
      </c>
      <c r="M433" s="68"/>
      <c r="N433" s="68"/>
      <c r="O433" s="187"/>
      <c r="P433" s="187"/>
      <c r="Q433" s="94">
        <v>0.9</v>
      </c>
      <c r="R433" s="68">
        <f t="shared" si="59"/>
        <v>2.9972162166153491</v>
      </c>
      <c r="S433" s="276">
        <f>_xlfn.XLOOKUP($K433,Inputs!$G$6:$G$23,Inputs!J$6:J$23)*$R433</f>
        <v>153.45747029070588</v>
      </c>
      <c r="T433" s="276">
        <f>_xlfn.XLOOKUP($K433,Inputs!$G$6:$G$23,Inputs!K$6:K$23)*$R433</f>
        <v>169.809495813486</v>
      </c>
      <c r="U433" s="96" t="s">
        <v>3850</v>
      </c>
      <c r="V433" s="205" t="s">
        <v>3122</v>
      </c>
      <c r="W433" s="96" t="s">
        <v>3391</v>
      </c>
      <c r="X433" s="22" t="s">
        <v>2658</v>
      </c>
      <c r="Y433" s="11" t="s">
        <v>3331</v>
      </c>
      <c r="Z433" s="79"/>
      <c r="AA433" s="187">
        <v>429</v>
      </c>
    </row>
    <row r="434" spans="2:27" s="184" customFormat="1" ht="20" x14ac:dyDescent="0.2">
      <c r="B434" s="11" t="s">
        <v>1657</v>
      </c>
      <c r="C434" s="165" t="s">
        <v>4235</v>
      </c>
      <c r="D434" s="22" t="s">
        <v>2379</v>
      </c>
      <c r="E434" s="34">
        <v>1</v>
      </c>
      <c r="F434" s="22" t="s">
        <v>2223</v>
      </c>
      <c r="G434" s="88">
        <v>15</v>
      </c>
      <c r="H434" s="235">
        <f t="shared" si="52"/>
        <v>9.2592592592592595</v>
      </c>
      <c r="I434" s="88">
        <v>42</v>
      </c>
      <c r="J434" s="235">
        <f t="shared" si="53"/>
        <v>25.925925925925924</v>
      </c>
      <c r="K434" s="201">
        <v>144</v>
      </c>
      <c r="L434" s="252">
        <f>_xlfn.XLOOKUP($K434,Inputs!$C$6:$C$23,Inputs!$D$6:$D$23)*$I434</f>
        <v>18.39</v>
      </c>
      <c r="M434" s="68"/>
      <c r="N434" s="68"/>
      <c r="O434" s="187"/>
      <c r="P434" s="187"/>
      <c r="Q434" s="94">
        <v>0.9</v>
      </c>
      <c r="R434" s="68">
        <f t="shared" si="59"/>
        <v>3</v>
      </c>
      <c r="S434" s="276">
        <f>_xlfn.XLOOKUP($K434,Inputs!$G$6:$G$23,Inputs!J$6:J$23)*$R434</f>
        <v>153.60000000000002</v>
      </c>
      <c r="T434" s="276">
        <f>_xlfn.XLOOKUP($K434,Inputs!$G$6:$G$23,Inputs!K$6:K$23)*$R434</f>
        <v>169.96721311475409</v>
      </c>
      <c r="U434" s="96" t="s">
        <v>3601</v>
      </c>
      <c r="V434" s="22" t="s">
        <v>4266</v>
      </c>
      <c r="W434" s="96" t="s">
        <v>3864</v>
      </c>
      <c r="X434" s="22" t="s">
        <v>3132</v>
      </c>
      <c r="Y434" s="11" t="s">
        <v>3331</v>
      </c>
      <c r="Z434" s="79"/>
      <c r="AA434" s="187">
        <v>430</v>
      </c>
    </row>
    <row r="435" spans="2:27" s="184" customFormat="1" ht="20" x14ac:dyDescent="0.2">
      <c r="B435" s="11" t="s">
        <v>1657</v>
      </c>
      <c r="C435" s="165" t="s">
        <v>4235</v>
      </c>
      <c r="D435" s="22" t="s">
        <v>2379</v>
      </c>
      <c r="E435" s="34">
        <v>1</v>
      </c>
      <c r="F435" s="22" t="s">
        <v>2223</v>
      </c>
      <c r="G435" s="88">
        <v>9</v>
      </c>
      <c r="H435" s="235">
        <f t="shared" si="52"/>
        <v>5.5555555555555554</v>
      </c>
      <c r="I435" s="88">
        <v>42</v>
      </c>
      <c r="J435" s="235">
        <f t="shared" si="53"/>
        <v>25.925925925925924</v>
      </c>
      <c r="K435" s="201">
        <v>144</v>
      </c>
      <c r="L435" s="252">
        <f>_xlfn.XLOOKUP($K435,Inputs!$C$6:$C$23,Inputs!$D$6:$D$23)*$I435</f>
        <v>18.39</v>
      </c>
      <c r="M435" s="68"/>
      <c r="N435" s="68"/>
      <c r="O435" s="187"/>
      <c r="P435" s="187"/>
      <c r="Q435" s="94">
        <v>0.9</v>
      </c>
      <c r="R435" s="68">
        <f t="shared" si="59"/>
        <v>3</v>
      </c>
      <c r="S435" s="276">
        <f>_xlfn.XLOOKUP($K435,Inputs!$G$6:$G$23,Inputs!J$6:J$23)*$R435</f>
        <v>153.60000000000002</v>
      </c>
      <c r="T435" s="276">
        <f>_xlfn.XLOOKUP($K435,Inputs!$G$6:$G$23,Inputs!K$6:K$23)*$R435</f>
        <v>169.96721311475409</v>
      </c>
      <c r="U435" s="96" t="s">
        <v>3864</v>
      </c>
      <c r="V435" s="22" t="s">
        <v>3132</v>
      </c>
      <c r="W435" s="96" t="s">
        <v>3449</v>
      </c>
      <c r="X435" s="22" t="s">
        <v>2712</v>
      </c>
      <c r="Y435" s="11" t="s">
        <v>3331</v>
      </c>
      <c r="Z435" s="79"/>
      <c r="AA435" s="187">
        <v>431</v>
      </c>
    </row>
    <row r="436" spans="2:27" s="184" customFormat="1" ht="20" x14ac:dyDescent="0.2">
      <c r="B436" s="11" t="s">
        <v>1657</v>
      </c>
      <c r="C436" s="165" t="s">
        <v>4235</v>
      </c>
      <c r="D436" s="22" t="s">
        <v>2379</v>
      </c>
      <c r="E436" s="34">
        <v>1</v>
      </c>
      <c r="F436" s="22" t="s">
        <v>2223</v>
      </c>
      <c r="G436" s="88">
        <v>6</v>
      </c>
      <c r="H436" s="235">
        <f t="shared" si="52"/>
        <v>3.7037037037037033</v>
      </c>
      <c r="I436" s="88">
        <v>42</v>
      </c>
      <c r="J436" s="235">
        <f t="shared" si="53"/>
        <v>25.925925925925924</v>
      </c>
      <c r="K436" s="201">
        <v>144</v>
      </c>
      <c r="L436" s="252">
        <f>_xlfn.XLOOKUP($K436,Inputs!$C$6:$C$23,Inputs!$D$6:$D$23)*$I436</f>
        <v>18.39</v>
      </c>
      <c r="M436" s="68"/>
      <c r="N436" s="68"/>
      <c r="O436" s="187"/>
      <c r="P436" s="187"/>
      <c r="Q436" s="94">
        <v>0.9</v>
      </c>
      <c r="R436" s="68">
        <f t="shared" si="59"/>
        <v>3</v>
      </c>
      <c r="S436" s="276">
        <f>_xlfn.XLOOKUP($K436,Inputs!$G$6:$G$23,Inputs!J$6:J$23)*$R436</f>
        <v>153.60000000000002</v>
      </c>
      <c r="T436" s="276">
        <f>_xlfn.XLOOKUP($K436,Inputs!$G$6:$G$23,Inputs!K$6:K$23)*$R436</f>
        <v>169.96721311475409</v>
      </c>
      <c r="U436" s="96" t="s">
        <v>3449</v>
      </c>
      <c r="V436" s="205" t="s">
        <v>2712</v>
      </c>
      <c r="W436" s="96" t="s">
        <v>3986</v>
      </c>
      <c r="X436" s="22" t="s">
        <v>2129</v>
      </c>
      <c r="Y436" s="11" t="s">
        <v>3331</v>
      </c>
      <c r="Z436" s="79"/>
      <c r="AA436" s="187">
        <v>432</v>
      </c>
    </row>
    <row r="437" spans="2:27" s="184" customFormat="1" ht="20" x14ac:dyDescent="0.2">
      <c r="B437" s="11" t="s">
        <v>1657</v>
      </c>
      <c r="C437" s="165" t="s">
        <v>4235</v>
      </c>
      <c r="D437" s="22" t="s">
        <v>2379</v>
      </c>
      <c r="E437" s="34">
        <v>1</v>
      </c>
      <c r="F437" s="22" t="s">
        <v>2223</v>
      </c>
      <c r="G437" s="88">
        <v>3</v>
      </c>
      <c r="H437" s="235">
        <f t="shared" si="52"/>
        <v>1.8518518518518516</v>
      </c>
      <c r="I437" s="88">
        <v>42</v>
      </c>
      <c r="J437" s="235">
        <f t="shared" si="53"/>
        <v>25.925925925925924</v>
      </c>
      <c r="K437" s="201">
        <v>144</v>
      </c>
      <c r="L437" s="252">
        <f>_xlfn.XLOOKUP($K437,Inputs!$C$6:$C$23,Inputs!$D$6:$D$23)*$I437</f>
        <v>18.39</v>
      </c>
      <c r="M437" s="68"/>
      <c r="N437" s="68"/>
      <c r="O437" s="187"/>
      <c r="P437" s="187"/>
      <c r="Q437" s="94">
        <v>0.9</v>
      </c>
      <c r="R437" s="68">
        <f t="shared" si="59"/>
        <v>3</v>
      </c>
      <c r="S437" s="276">
        <f>_xlfn.XLOOKUP($K437,Inputs!$G$6:$G$23,Inputs!J$6:J$23)*$R437</f>
        <v>153.60000000000002</v>
      </c>
      <c r="T437" s="276">
        <f>_xlfn.XLOOKUP($K437,Inputs!$G$6:$G$23,Inputs!K$6:K$23)*$R437</f>
        <v>169.96721311475409</v>
      </c>
      <c r="U437" s="96" t="s">
        <v>3986</v>
      </c>
      <c r="V437" s="22" t="s">
        <v>2129</v>
      </c>
      <c r="W437" s="96" t="s">
        <v>3988</v>
      </c>
      <c r="X437" s="205" t="s">
        <v>2130</v>
      </c>
      <c r="Y437" s="11" t="s">
        <v>3331</v>
      </c>
      <c r="Z437" s="79"/>
      <c r="AA437" s="187">
        <v>433</v>
      </c>
    </row>
    <row r="438" spans="2:27" s="184" customFormat="1" ht="20" x14ac:dyDescent="0.2">
      <c r="B438" s="11" t="s">
        <v>1657</v>
      </c>
      <c r="C438" s="165" t="s">
        <v>4235</v>
      </c>
      <c r="D438" s="22" t="s">
        <v>2379</v>
      </c>
      <c r="E438" s="34">
        <v>1</v>
      </c>
      <c r="F438" s="22" t="s">
        <v>2223</v>
      </c>
      <c r="G438" s="88">
        <v>9</v>
      </c>
      <c r="H438" s="235">
        <f t="shared" si="52"/>
        <v>5.5555555555555554</v>
      </c>
      <c r="I438" s="88">
        <v>42</v>
      </c>
      <c r="J438" s="235">
        <f t="shared" si="53"/>
        <v>25.925925925925924</v>
      </c>
      <c r="K438" s="201">
        <v>144</v>
      </c>
      <c r="L438" s="252">
        <f>_xlfn.XLOOKUP($K438,Inputs!$C$6:$C$23,Inputs!$D$6:$D$23)*$I438</f>
        <v>18.39</v>
      </c>
      <c r="M438" s="68"/>
      <c r="N438" s="68"/>
      <c r="O438" s="187"/>
      <c r="P438" s="187"/>
      <c r="Q438" s="94">
        <v>0.9</v>
      </c>
      <c r="R438" s="68">
        <f t="shared" si="59"/>
        <v>3</v>
      </c>
      <c r="S438" s="276">
        <f>_xlfn.XLOOKUP($K438,Inputs!$G$6:$G$23,Inputs!J$6:J$23)*$R438</f>
        <v>153.60000000000002</v>
      </c>
      <c r="T438" s="276">
        <f>_xlfn.XLOOKUP($K438,Inputs!$G$6:$G$23,Inputs!K$6:K$23)*$R438</f>
        <v>169.96721311475409</v>
      </c>
      <c r="U438" s="96" t="s">
        <v>3988</v>
      </c>
      <c r="V438" s="22" t="s">
        <v>2130</v>
      </c>
      <c r="W438" s="96" t="s">
        <v>3850</v>
      </c>
      <c r="X438" s="22" t="s">
        <v>3122</v>
      </c>
      <c r="Y438" s="11" t="s">
        <v>3331</v>
      </c>
      <c r="Z438" s="79"/>
      <c r="AA438" s="187">
        <v>434</v>
      </c>
    </row>
    <row r="439" spans="2:27" s="184" customFormat="1" ht="20" x14ac:dyDescent="0.2">
      <c r="B439" s="11" t="s">
        <v>1664</v>
      </c>
      <c r="C439" s="165" t="s">
        <v>4235</v>
      </c>
      <c r="D439" s="22" t="s">
        <v>2379</v>
      </c>
      <c r="E439" s="34">
        <v>1</v>
      </c>
      <c r="F439" s="22" t="s">
        <v>2223</v>
      </c>
      <c r="G439" s="88">
        <v>15</v>
      </c>
      <c r="H439" s="235">
        <f t="shared" si="52"/>
        <v>9.2592592592592595</v>
      </c>
      <c r="I439" s="88">
        <v>15</v>
      </c>
      <c r="J439" s="235">
        <f t="shared" si="53"/>
        <v>9.2592592592592595</v>
      </c>
      <c r="K439" s="201">
        <v>144</v>
      </c>
      <c r="L439" s="252">
        <f>_xlfn.XLOOKUP($K439,Inputs!$C$6:$C$23,Inputs!$D$6:$D$23)*$I439</f>
        <v>6.5678571428571431</v>
      </c>
      <c r="M439" s="68"/>
      <c r="N439" s="68"/>
      <c r="O439" s="187"/>
      <c r="P439" s="187"/>
      <c r="Q439" s="94">
        <v>0.9</v>
      </c>
      <c r="R439" s="68">
        <f t="shared" si="59"/>
        <v>3</v>
      </c>
      <c r="S439" s="276">
        <f>_xlfn.XLOOKUP($K439,Inputs!$G$6:$G$23,Inputs!J$6:J$23)*$R439</f>
        <v>153.60000000000002</v>
      </c>
      <c r="T439" s="276">
        <f>_xlfn.XLOOKUP($K439,Inputs!$G$6:$G$23,Inputs!K$6:K$23)*$R439</f>
        <v>169.96721311475409</v>
      </c>
      <c r="U439" s="96" t="s">
        <v>3988</v>
      </c>
      <c r="V439" s="22" t="s">
        <v>2130</v>
      </c>
      <c r="W439" s="96" t="s">
        <v>3797</v>
      </c>
      <c r="X439" s="22" t="s">
        <v>3047</v>
      </c>
      <c r="Y439" s="11" t="s">
        <v>3331</v>
      </c>
      <c r="Z439" s="79"/>
      <c r="AA439" s="187">
        <v>435</v>
      </c>
    </row>
    <row r="440" spans="2:27" s="184" customFormat="1" ht="20" x14ac:dyDescent="0.2">
      <c r="B440" s="11" t="s">
        <v>1662</v>
      </c>
      <c r="C440" s="165" t="s">
        <v>4235</v>
      </c>
      <c r="D440" s="22" t="s">
        <v>2379</v>
      </c>
      <c r="E440" s="34">
        <v>1</v>
      </c>
      <c r="F440" s="22" t="s">
        <v>2223</v>
      </c>
      <c r="G440" s="88">
        <v>9</v>
      </c>
      <c r="H440" s="235">
        <f t="shared" si="52"/>
        <v>5.5555555555555554</v>
      </c>
      <c r="I440" s="88">
        <v>9</v>
      </c>
      <c r="J440" s="235">
        <f t="shared" si="53"/>
        <v>5.5555555555555554</v>
      </c>
      <c r="K440" s="221">
        <v>144</v>
      </c>
      <c r="L440" s="252">
        <f>_xlfn.XLOOKUP($K440,Inputs!$C$6:$C$23,Inputs!$D$6:$D$23)*$I440</f>
        <v>3.9407142857142858</v>
      </c>
      <c r="M440" s="68"/>
      <c r="N440" s="68"/>
      <c r="O440" s="206"/>
      <c r="P440" s="206"/>
      <c r="Q440" s="94">
        <v>0.9</v>
      </c>
      <c r="R440" s="68">
        <f t="shared" si="59"/>
        <v>3</v>
      </c>
      <c r="S440" s="276">
        <f>_xlfn.XLOOKUP($K440,Inputs!$G$6:$G$23,Inputs!J$6:J$23)*$R440</f>
        <v>153.60000000000002</v>
      </c>
      <c r="T440" s="276">
        <f>_xlfn.XLOOKUP($K440,Inputs!$G$6:$G$23,Inputs!K$6:K$23)*$R440</f>
        <v>169.96721311475409</v>
      </c>
      <c r="U440" s="96" t="s">
        <v>3986</v>
      </c>
      <c r="V440" s="22" t="s">
        <v>2129</v>
      </c>
      <c r="W440" s="96" t="s">
        <v>3791</v>
      </c>
      <c r="X440" s="22" t="s">
        <v>3041</v>
      </c>
      <c r="Y440" s="11" t="s">
        <v>3331</v>
      </c>
      <c r="Z440" s="79"/>
      <c r="AA440" s="187">
        <v>436</v>
      </c>
    </row>
    <row r="441" spans="2:27" s="184" customFormat="1" ht="20" x14ac:dyDescent="0.2">
      <c r="B441" s="11" t="s">
        <v>1659</v>
      </c>
      <c r="C441" s="165" t="s">
        <v>4235</v>
      </c>
      <c r="D441" s="22" t="s">
        <v>2379</v>
      </c>
      <c r="E441" s="34">
        <v>1</v>
      </c>
      <c r="F441" s="22" t="s">
        <v>2223</v>
      </c>
      <c r="G441" s="88">
        <v>10.8</v>
      </c>
      <c r="H441" s="235">
        <f t="shared" si="52"/>
        <v>6.666666666666667</v>
      </c>
      <c r="I441" s="88">
        <v>10.8</v>
      </c>
      <c r="J441" s="235">
        <f t="shared" si="53"/>
        <v>6.666666666666667</v>
      </c>
      <c r="K441" s="201">
        <v>144</v>
      </c>
      <c r="L441" s="252">
        <f>_xlfn.XLOOKUP($K441,Inputs!$C$6:$C$23,Inputs!$D$6:$D$23)*$I441</f>
        <v>4.7288571428571435</v>
      </c>
      <c r="M441" s="68"/>
      <c r="N441" s="68"/>
      <c r="O441" s="187"/>
      <c r="P441" s="187"/>
      <c r="Q441" s="94">
        <v>0.9</v>
      </c>
      <c r="R441" s="68">
        <f t="shared" si="59"/>
        <v>3</v>
      </c>
      <c r="S441" s="276">
        <f>_xlfn.XLOOKUP($K441,Inputs!$G$6:$G$23,Inputs!J$6:J$23)*$R441</f>
        <v>153.60000000000002</v>
      </c>
      <c r="T441" s="276">
        <f>_xlfn.XLOOKUP($K441,Inputs!$G$6:$G$23,Inputs!K$6:K$23)*$R441</f>
        <v>169.96721311475409</v>
      </c>
      <c r="U441" s="96" t="s">
        <v>3864</v>
      </c>
      <c r="V441" s="22" t="s">
        <v>3132</v>
      </c>
      <c r="W441" s="96" t="s">
        <v>3518</v>
      </c>
      <c r="X441" s="22" t="s">
        <v>4355</v>
      </c>
      <c r="Y441" s="11" t="s">
        <v>3331</v>
      </c>
      <c r="Z441" s="79"/>
      <c r="AA441" s="187">
        <v>437</v>
      </c>
    </row>
    <row r="442" spans="2:27" s="184" customFormat="1" ht="20" x14ac:dyDescent="0.2">
      <c r="B442" s="11" t="s">
        <v>759</v>
      </c>
      <c r="C442" s="165" t="s">
        <v>4235</v>
      </c>
      <c r="D442" s="22" t="s">
        <v>2379</v>
      </c>
      <c r="E442" s="34">
        <v>1</v>
      </c>
      <c r="F442" s="22" t="s">
        <v>2223</v>
      </c>
      <c r="G442" s="88">
        <v>18</v>
      </c>
      <c r="H442" s="235">
        <f t="shared" si="52"/>
        <v>11.111111111111111</v>
      </c>
      <c r="I442" s="88">
        <v>18</v>
      </c>
      <c r="J442" s="235">
        <f t="shared" si="53"/>
        <v>11.111111111111111</v>
      </c>
      <c r="K442" s="201">
        <v>144</v>
      </c>
      <c r="L442" s="252">
        <f>_xlfn.XLOOKUP($K442,Inputs!$C$6:$C$23,Inputs!$D$6:$D$23)*$I442</f>
        <v>7.8814285714285717</v>
      </c>
      <c r="M442" s="68"/>
      <c r="N442" s="68"/>
      <c r="O442" s="215">
        <v>129</v>
      </c>
      <c r="P442" s="215">
        <v>157</v>
      </c>
      <c r="Q442" s="94">
        <v>0.9</v>
      </c>
      <c r="R442" s="68" t="s">
        <v>115</v>
      </c>
      <c r="S442" s="182">
        <f>O442*Q442</f>
        <v>116.10000000000001</v>
      </c>
      <c r="T442" s="182">
        <f>P442*Q442</f>
        <v>141.30000000000001</v>
      </c>
      <c r="U442" s="96" t="s">
        <v>3384</v>
      </c>
      <c r="V442" s="22" t="s">
        <v>2748</v>
      </c>
      <c r="W442" s="96" t="s">
        <v>3571</v>
      </c>
      <c r="X442" s="22" t="s">
        <v>2866</v>
      </c>
      <c r="Y442" s="11" t="s">
        <v>3328</v>
      </c>
      <c r="Z442" s="79"/>
      <c r="AA442" s="187">
        <v>438</v>
      </c>
    </row>
    <row r="443" spans="2:27" s="184" customFormat="1" ht="20" x14ac:dyDescent="0.2">
      <c r="B443" s="11" t="s">
        <v>1977</v>
      </c>
      <c r="C443" s="165" t="s">
        <v>4235</v>
      </c>
      <c r="D443" s="22" t="s">
        <v>2379</v>
      </c>
      <c r="E443" s="34">
        <v>1</v>
      </c>
      <c r="F443" s="22" t="s">
        <v>2223</v>
      </c>
      <c r="G443" s="88">
        <v>24.5</v>
      </c>
      <c r="H443" s="235">
        <f t="shared" si="52"/>
        <v>15.123456790123456</v>
      </c>
      <c r="I443" s="88">
        <v>24.5</v>
      </c>
      <c r="J443" s="235">
        <f t="shared" si="53"/>
        <v>15.123456790123456</v>
      </c>
      <c r="K443" s="201">
        <v>144</v>
      </c>
      <c r="L443" s="252">
        <f>_xlfn.XLOOKUP($K443,Inputs!$C$6:$C$23,Inputs!$D$6:$D$23)*$I443</f>
        <v>10.727500000000001</v>
      </c>
      <c r="M443" s="68"/>
      <c r="N443" s="68"/>
      <c r="O443" s="187"/>
      <c r="P443" s="187"/>
      <c r="Q443" s="94">
        <v>0.9</v>
      </c>
      <c r="R443" s="68">
        <f>IF((42.4*(J443)^(-0.6595))&gt;=3,3,(IF(42.4*(J443)^(-0.6595)&lt;=0.5,0.5,(42.4*(J443)^(-0.6595)))))</f>
        <v>3</v>
      </c>
      <c r="S443" s="276">
        <f>_xlfn.XLOOKUP($K443,Inputs!$G$6:$G$23,Inputs!J$6:J$23)*$R443</f>
        <v>153.60000000000002</v>
      </c>
      <c r="T443" s="276">
        <f>_xlfn.XLOOKUP($K443,Inputs!$G$6:$G$23,Inputs!K$6:K$23)*$R443</f>
        <v>169.96721311475409</v>
      </c>
      <c r="U443" s="96" t="s">
        <v>3438</v>
      </c>
      <c r="V443" s="22" t="s">
        <v>2690</v>
      </c>
      <c r="W443" s="96" t="s">
        <v>3923</v>
      </c>
      <c r="X443" s="205" t="s">
        <v>3183</v>
      </c>
      <c r="Y443" s="11" t="s">
        <v>3331</v>
      </c>
      <c r="Z443" s="79"/>
      <c r="AA443" s="187">
        <v>439</v>
      </c>
    </row>
    <row r="444" spans="2:27" s="184" customFormat="1" ht="20" x14ac:dyDescent="0.2">
      <c r="B444" s="11" t="s">
        <v>2019</v>
      </c>
      <c r="C444" s="165" t="s">
        <v>4235</v>
      </c>
      <c r="D444" s="22" t="s">
        <v>2379</v>
      </c>
      <c r="E444" s="34">
        <v>1</v>
      </c>
      <c r="F444" s="22" t="s">
        <v>2223</v>
      </c>
      <c r="G444" s="235">
        <v>65</v>
      </c>
      <c r="H444" s="235">
        <f t="shared" si="52"/>
        <v>40.123456790123456</v>
      </c>
      <c r="I444" s="235">
        <v>100.12</v>
      </c>
      <c r="J444" s="235">
        <f t="shared" si="53"/>
        <v>61.802469135802468</v>
      </c>
      <c r="K444" s="215">
        <v>138</v>
      </c>
      <c r="L444" s="252">
        <f>_xlfn.XLOOKUP($K444,Inputs!$C$6:$C$23,Inputs!$D$6:$D$23)*$I444</f>
        <v>43.409171428571433</v>
      </c>
      <c r="M444" s="68"/>
      <c r="N444" s="68"/>
      <c r="O444" s="215">
        <v>86</v>
      </c>
      <c r="P444" s="215">
        <v>91</v>
      </c>
      <c r="Q444" s="94">
        <v>0.9</v>
      </c>
      <c r="R444" s="68" t="s">
        <v>115</v>
      </c>
      <c r="S444" s="182">
        <f>O444*Q444</f>
        <v>77.400000000000006</v>
      </c>
      <c r="T444" s="182">
        <f>P444*Q444</f>
        <v>81.900000000000006</v>
      </c>
      <c r="U444" s="96" t="s">
        <v>3749</v>
      </c>
      <c r="V444" s="22" t="s">
        <v>3007</v>
      </c>
      <c r="W444" s="96" t="s">
        <v>3561</v>
      </c>
      <c r="X444" s="22" t="s">
        <v>2209</v>
      </c>
      <c r="Y444" s="11" t="s">
        <v>3280</v>
      </c>
      <c r="Z444" s="79"/>
      <c r="AA444" s="187">
        <v>440</v>
      </c>
    </row>
    <row r="445" spans="2:27" s="184" customFormat="1" ht="20" x14ac:dyDescent="0.2">
      <c r="B445" s="79" t="s">
        <v>2019</v>
      </c>
      <c r="C445" s="165" t="s">
        <v>4235</v>
      </c>
      <c r="D445" s="22" t="s">
        <v>2379</v>
      </c>
      <c r="E445" s="34">
        <v>1</v>
      </c>
      <c r="F445" s="22" t="s">
        <v>2223</v>
      </c>
      <c r="G445" s="235">
        <v>20</v>
      </c>
      <c r="H445" s="235">
        <f t="shared" si="52"/>
        <v>12.345679012345679</v>
      </c>
      <c r="I445" s="235">
        <v>100.12</v>
      </c>
      <c r="J445" s="235">
        <f t="shared" si="53"/>
        <v>61.802469135802468</v>
      </c>
      <c r="K445" s="215">
        <v>138</v>
      </c>
      <c r="L445" s="252">
        <f>_xlfn.XLOOKUP($K445,Inputs!$C$6:$C$23,Inputs!$D$6:$D$23)*$I445</f>
        <v>43.409171428571433</v>
      </c>
      <c r="M445" s="68"/>
      <c r="N445" s="68"/>
      <c r="O445" s="215">
        <v>86</v>
      </c>
      <c r="P445" s="215">
        <v>91</v>
      </c>
      <c r="Q445" s="94">
        <v>0.9</v>
      </c>
      <c r="R445" s="68" t="s">
        <v>115</v>
      </c>
      <c r="S445" s="182">
        <f>O445*Q445</f>
        <v>77.400000000000006</v>
      </c>
      <c r="T445" s="182">
        <f>P445*Q445</f>
        <v>81.900000000000006</v>
      </c>
      <c r="U445" s="96" t="s">
        <v>3561</v>
      </c>
      <c r="V445" s="22" t="s">
        <v>2209</v>
      </c>
      <c r="W445" s="96" t="s">
        <v>3924</v>
      </c>
      <c r="X445" s="22" t="s">
        <v>2727</v>
      </c>
      <c r="Y445" s="11" t="s">
        <v>3286</v>
      </c>
      <c r="Z445" s="79"/>
      <c r="AA445" s="187">
        <v>441</v>
      </c>
    </row>
    <row r="446" spans="2:27" s="184" customFormat="1" ht="20" x14ac:dyDescent="0.2">
      <c r="B446" s="79" t="s">
        <v>2019</v>
      </c>
      <c r="C446" s="165" t="s">
        <v>4235</v>
      </c>
      <c r="D446" s="22" t="s">
        <v>2379</v>
      </c>
      <c r="E446" s="34">
        <v>1</v>
      </c>
      <c r="F446" s="22" t="s">
        <v>2223</v>
      </c>
      <c r="G446" s="88">
        <v>15.120000000000001</v>
      </c>
      <c r="H446" s="235">
        <f t="shared" si="52"/>
        <v>9.3333333333333339</v>
      </c>
      <c r="I446" s="88">
        <v>100.12</v>
      </c>
      <c r="J446" s="235">
        <f t="shared" si="53"/>
        <v>61.802469135802468</v>
      </c>
      <c r="K446" s="215">
        <v>138</v>
      </c>
      <c r="L446" s="252">
        <f>_xlfn.XLOOKUP($K446,Inputs!$C$6:$C$23,Inputs!$D$6:$D$23)*$I446</f>
        <v>43.409171428571433</v>
      </c>
      <c r="M446" s="68"/>
      <c r="N446" s="68"/>
      <c r="O446" s="215">
        <v>72</v>
      </c>
      <c r="P446" s="215">
        <v>72</v>
      </c>
      <c r="Q446" s="94">
        <v>0.9</v>
      </c>
      <c r="R446" s="68" t="s">
        <v>115</v>
      </c>
      <c r="S446" s="182">
        <f>O446*Q446</f>
        <v>64.8</v>
      </c>
      <c r="T446" s="182">
        <f>P446*Q446</f>
        <v>64.8</v>
      </c>
      <c r="U446" s="96" t="s">
        <v>3924</v>
      </c>
      <c r="V446" s="22" t="s">
        <v>2727</v>
      </c>
      <c r="W446" s="96" t="s">
        <v>3476</v>
      </c>
      <c r="X446" s="22" t="s">
        <v>2802</v>
      </c>
      <c r="Y446" s="11" t="s">
        <v>3286</v>
      </c>
      <c r="Z446" s="79"/>
      <c r="AA446" s="187">
        <v>442</v>
      </c>
    </row>
    <row r="447" spans="2:27" s="184" customFormat="1" ht="20" x14ac:dyDescent="0.2">
      <c r="B447" s="79" t="s">
        <v>1394</v>
      </c>
      <c r="C447" s="165" t="s">
        <v>4235</v>
      </c>
      <c r="D447" s="22" t="s">
        <v>2379</v>
      </c>
      <c r="E447" s="34">
        <v>1</v>
      </c>
      <c r="F447" s="22" t="s">
        <v>2223</v>
      </c>
      <c r="G447" s="88">
        <v>12.600000000000001</v>
      </c>
      <c r="H447" s="235">
        <f t="shared" si="52"/>
        <v>7.7777777777777786</v>
      </c>
      <c r="I447" s="88">
        <v>54.6</v>
      </c>
      <c r="J447" s="235">
        <f t="shared" si="53"/>
        <v>33.703703703703702</v>
      </c>
      <c r="K447" s="201">
        <v>144</v>
      </c>
      <c r="L447" s="252">
        <f>_xlfn.XLOOKUP($K447,Inputs!$C$6:$C$23,Inputs!$D$6:$D$23)*$I447</f>
        <v>23.907000000000004</v>
      </c>
      <c r="M447" s="68"/>
      <c r="N447" s="68"/>
      <c r="O447" s="187"/>
      <c r="P447" s="187"/>
      <c r="Q447" s="94">
        <v>0.9</v>
      </c>
      <c r="R447" s="68">
        <f>IF((42.4*(J447)^(-0.6595))&gt;=3,3,(IF(42.4*(J447)^(-0.6595)&lt;=0.5,0.5,(42.4*(J447)^(-0.6595)))))</f>
        <v>3</v>
      </c>
      <c r="S447" s="276">
        <f>_xlfn.XLOOKUP($K447,Inputs!$G$6:$G$23,Inputs!J$6:J$23)*$R447</f>
        <v>153.60000000000002</v>
      </c>
      <c r="T447" s="276">
        <f>_xlfn.XLOOKUP($K447,Inputs!$G$6:$G$23,Inputs!K$6:K$23)*$R447</f>
        <v>169.96721311475409</v>
      </c>
      <c r="U447" s="96" t="s">
        <v>3561</v>
      </c>
      <c r="V447" s="22" t="s">
        <v>2209</v>
      </c>
      <c r="W447" s="96" t="s">
        <v>4008</v>
      </c>
      <c r="X447" s="22" t="s">
        <v>2131</v>
      </c>
      <c r="Y447" s="11" t="s">
        <v>3331</v>
      </c>
      <c r="Z447" s="79"/>
      <c r="AA447" s="187">
        <v>443</v>
      </c>
    </row>
    <row r="448" spans="2:27" s="184" customFormat="1" ht="20" x14ac:dyDescent="0.2">
      <c r="B448" s="79" t="s">
        <v>1394</v>
      </c>
      <c r="C448" s="165" t="s">
        <v>4235</v>
      </c>
      <c r="D448" s="22" t="s">
        <v>2379</v>
      </c>
      <c r="E448" s="34">
        <v>1</v>
      </c>
      <c r="F448" s="22" t="s">
        <v>2223</v>
      </c>
      <c r="G448" s="88">
        <v>42</v>
      </c>
      <c r="H448" s="235">
        <f t="shared" si="52"/>
        <v>25.925925925925924</v>
      </c>
      <c r="I448" s="88">
        <v>54.6</v>
      </c>
      <c r="J448" s="235">
        <f t="shared" si="53"/>
        <v>33.703703703703702</v>
      </c>
      <c r="K448" s="201">
        <v>144</v>
      </c>
      <c r="L448" s="252">
        <f>_xlfn.XLOOKUP($K448,Inputs!$C$6:$C$23,Inputs!$D$6:$D$23)*$I448</f>
        <v>23.907000000000004</v>
      </c>
      <c r="M448" s="68"/>
      <c r="N448" s="68"/>
      <c r="O448" s="187"/>
      <c r="P448" s="187"/>
      <c r="Q448" s="94">
        <v>0.9</v>
      </c>
      <c r="R448" s="68">
        <f>IF((42.4*(J448)^(-0.6595))&gt;=3,3,(IF(42.4*(J448)^(-0.6595)&lt;=0.5,0.5,(42.4*(J448)^(-0.6595)))))</f>
        <v>3</v>
      </c>
      <c r="S448" s="276">
        <f>_xlfn.XLOOKUP($K448,Inputs!$G$6:$G$23,Inputs!J$6:J$23)*$R448</f>
        <v>153.60000000000002</v>
      </c>
      <c r="T448" s="276">
        <f>_xlfn.XLOOKUP($K448,Inputs!$G$6:$G$23,Inputs!K$6:K$23)*$R448</f>
        <v>169.96721311475409</v>
      </c>
      <c r="U448" s="96" t="s">
        <v>4008</v>
      </c>
      <c r="V448" s="22" t="s">
        <v>2131</v>
      </c>
      <c r="W448" s="96" t="s">
        <v>3560</v>
      </c>
      <c r="X448" s="22" t="s">
        <v>2860</v>
      </c>
      <c r="Y448" s="11" t="s">
        <v>3331</v>
      </c>
      <c r="Z448" s="79"/>
      <c r="AA448" s="187">
        <v>444</v>
      </c>
    </row>
    <row r="449" spans="2:27" s="184" customFormat="1" ht="20" x14ac:dyDescent="0.2">
      <c r="B449" s="11" t="s">
        <v>1929</v>
      </c>
      <c r="C449" s="165" t="s">
        <v>4235</v>
      </c>
      <c r="D449" s="22" t="s">
        <v>2379</v>
      </c>
      <c r="E449" s="34">
        <v>1</v>
      </c>
      <c r="F449" s="22" t="s">
        <v>2223</v>
      </c>
      <c r="G449" s="88">
        <v>21</v>
      </c>
      <c r="H449" s="235">
        <f t="shared" si="52"/>
        <v>12.962962962962962</v>
      </c>
      <c r="I449" s="88">
        <v>77</v>
      </c>
      <c r="J449" s="235">
        <f t="shared" si="53"/>
        <v>47.53086419753086</v>
      </c>
      <c r="K449" s="215">
        <v>138</v>
      </c>
      <c r="L449" s="252">
        <f>_xlfn.XLOOKUP($K449,Inputs!$C$6:$C$23,Inputs!$D$6:$D$23)*$I449</f>
        <v>33.385000000000005</v>
      </c>
      <c r="M449" s="68"/>
      <c r="N449" s="68"/>
      <c r="O449" s="215">
        <v>119</v>
      </c>
      <c r="P449" s="215">
        <v>146</v>
      </c>
      <c r="Q449" s="94">
        <v>0.9</v>
      </c>
      <c r="R449" s="68" t="s">
        <v>115</v>
      </c>
      <c r="S449" s="182">
        <f>O449*Q449</f>
        <v>107.10000000000001</v>
      </c>
      <c r="T449" s="182">
        <f>P449*Q449</f>
        <v>131.4</v>
      </c>
      <c r="U449" s="96" t="s">
        <v>3567</v>
      </c>
      <c r="V449" s="22" t="s">
        <v>2691</v>
      </c>
      <c r="W449" s="96" t="s">
        <v>3972</v>
      </c>
      <c r="X449" s="22" t="s">
        <v>2132</v>
      </c>
      <c r="Y449" s="11" t="s">
        <v>3303</v>
      </c>
      <c r="Z449" s="79"/>
      <c r="AA449" s="187">
        <v>445</v>
      </c>
    </row>
    <row r="450" spans="2:27" s="184" customFormat="1" ht="20" x14ac:dyDescent="0.2">
      <c r="B450" s="11" t="s">
        <v>1929</v>
      </c>
      <c r="C450" s="165" t="s">
        <v>4235</v>
      </c>
      <c r="D450" s="22" t="s">
        <v>2379</v>
      </c>
      <c r="E450" s="34">
        <v>1</v>
      </c>
      <c r="F450" s="22" t="s">
        <v>2223</v>
      </c>
      <c r="G450" s="88">
        <v>28</v>
      </c>
      <c r="H450" s="235">
        <f t="shared" si="52"/>
        <v>17.283950617283949</v>
      </c>
      <c r="I450" s="88">
        <v>77</v>
      </c>
      <c r="J450" s="235">
        <f t="shared" si="53"/>
        <v>47.53086419753086</v>
      </c>
      <c r="K450" s="215">
        <v>138</v>
      </c>
      <c r="L450" s="252">
        <f>_xlfn.XLOOKUP($K450,Inputs!$C$6:$C$23,Inputs!$D$6:$D$23)*$I450</f>
        <v>33.385000000000005</v>
      </c>
      <c r="M450" s="68"/>
      <c r="N450" s="68"/>
      <c r="O450" s="215">
        <v>91</v>
      </c>
      <c r="P450" s="215">
        <v>128</v>
      </c>
      <c r="Q450" s="94">
        <v>0.9</v>
      </c>
      <c r="R450" s="68" t="s">
        <v>115</v>
      </c>
      <c r="S450" s="182">
        <f>O450*Q450</f>
        <v>81.900000000000006</v>
      </c>
      <c r="T450" s="182">
        <f>P450*Q450</f>
        <v>115.2</v>
      </c>
      <c r="U450" s="96" t="s">
        <v>3972</v>
      </c>
      <c r="V450" s="22" t="s">
        <v>2132</v>
      </c>
      <c r="W450" s="96" t="s">
        <v>3416</v>
      </c>
      <c r="X450" s="22" t="s">
        <v>2769</v>
      </c>
      <c r="Y450" s="11" t="s">
        <v>3301</v>
      </c>
      <c r="Z450" s="79"/>
      <c r="AA450" s="187">
        <v>446</v>
      </c>
    </row>
    <row r="451" spans="2:27" s="184" customFormat="1" ht="20" x14ac:dyDescent="0.2">
      <c r="B451" s="11" t="s">
        <v>1929</v>
      </c>
      <c r="C451" s="165" t="s">
        <v>4235</v>
      </c>
      <c r="D451" s="22" t="s">
        <v>2379</v>
      </c>
      <c r="E451" s="34">
        <v>1</v>
      </c>
      <c r="F451" s="22" t="s">
        <v>2223</v>
      </c>
      <c r="G451" s="88">
        <v>21</v>
      </c>
      <c r="H451" s="235">
        <f t="shared" si="52"/>
        <v>12.962962962962962</v>
      </c>
      <c r="I451" s="88">
        <v>77</v>
      </c>
      <c r="J451" s="235">
        <f t="shared" si="53"/>
        <v>47.53086419753086</v>
      </c>
      <c r="K451" s="215">
        <v>138</v>
      </c>
      <c r="L451" s="252">
        <f>_xlfn.XLOOKUP($K451,Inputs!$C$6:$C$23,Inputs!$D$6:$D$23)*$I451</f>
        <v>33.385000000000005</v>
      </c>
      <c r="M451" s="68"/>
      <c r="N451" s="68"/>
      <c r="O451" s="215">
        <v>122</v>
      </c>
      <c r="P451" s="215">
        <v>150</v>
      </c>
      <c r="Q451" s="94">
        <v>0.9</v>
      </c>
      <c r="R451" s="68" t="s">
        <v>115</v>
      </c>
      <c r="S451" s="182">
        <f>O451*Q451</f>
        <v>109.8</v>
      </c>
      <c r="T451" s="182">
        <f>P451*Q451</f>
        <v>135</v>
      </c>
      <c r="U451" s="96" t="s">
        <v>3416</v>
      </c>
      <c r="V451" s="22" t="s">
        <v>2769</v>
      </c>
      <c r="W451" s="96" t="s">
        <v>3989</v>
      </c>
      <c r="X451" s="205" t="s">
        <v>2210</v>
      </c>
      <c r="Y451" s="11" t="s">
        <v>3303</v>
      </c>
      <c r="Z451" s="79"/>
      <c r="AA451" s="187">
        <v>447</v>
      </c>
    </row>
    <row r="452" spans="2:27" s="184" customFormat="1" ht="20" x14ac:dyDescent="0.2">
      <c r="B452" s="11" t="s">
        <v>1929</v>
      </c>
      <c r="C452" s="165" t="s">
        <v>4235</v>
      </c>
      <c r="D452" s="22" t="s">
        <v>2379</v>
      </c>
      <c r="E452" s="34">
        <v>1</v>
      </c>
      <c r="F452" s="22" t="s">
        <v>2223</v>
      </c>
      <c r="G452" s="88">
        <v>7</v>
      </c>
      <c r="H452" s="235">
        <f t="shared" si="52"/>
        <v>4.3209876543209873</v>
      </c>
      <c r="I452" s="88">
        <v>77</v>
      </c>
      <c r="J452" s="235">
        <f t="shared" si="53"/>
        <v>47.53086419753086</v>
      </c>
      <c r="K452" s="215">
        <v>138</v>
      </c>
      <c r="L452" s="252">
        <f>_xlfn.XLOOKUP($K452,Inputs!$C$6:$C$23,Inputs!$D$6:$D$23)*$I452</f>
        <v>33.385000000000005</v>
      </c>
      <c r="M452" s="68"/>
      <c r="N452" s="68"/>
      <c r="O452" s="215">
        <v>116</v>
      </c>
      <c r="P452" s="215">
        <v>146</v>
      </c>
      <c r="Q452" s="94">
        <v>0.9</v>
      </c>
      <c r="R452" s="68" t="s">
        <v>115</v>
      </c>
      <c r="S452" s="182">
        <f>O452*Q452</f>
        <v>104.4</v>
      </c>
      <c r="T452" s="182">
        <f>P452*Q452</f>
        <v>131.4</v>
      </c>
      <c r="U452" s="96" t="s">
        <v>3989</v>
      </c>
      <c r="V452" s="22" t="s">
        <v>2210</v>
      </c>
      <c r="W452" s="96" t="s">
        <v>3479</v>
      </c>
      <c r="X452" s="22" t="s">
        <v>2804</v>
      </c>
      <c r="Y452" s="11" t="s">
        <v>3303</v>
      </c>
      <c r="Z452" s="79"/>
      <c r="AA452" s="187">
        <v>448</v>
      </c>
    </row>
    <row r="453" spans="2:27" s="184" customFormat="1" ht="20" x14ac:dyDescent="0.2">
      <c r="B453" s="11" t="s">
        <v>1930</v>
      </c>
      <c r="C453" s="165" t="s">
        <v>4235</v>
      </c>
      <c r="D453" s="22" t="s">
        <v>2379</v>
      </c>
      <c r="E453" s="34">
        <v>1</v>
      </c>
      <c r="F453" s="22" t="s">
        <v>2223</v>
      </c>
      <c r="G453" s="88">
        <v>7</v>
      </c>
      <c r="H453" s="235">
        <f t="shared" ref="H453:H516" si="60">G453/1.62</f>
        <v>4.3209876543209873</v>
      </c>
      <c r="I453" s="88">
        <v>7</v>
      </c>
      <c r="J453" s="235">
        <f t="shared" ref="J453:J516" si="61">I453/1.62</f>
        <v>4.3209876543209873</v>
      </c>
      <c r="K453" s="215">
        <v>138</v>
      </c>
      <c r="L453" s="252">
        <f>_xlfn.XLOOKUP($K453,Inputs!$C$6:$C$23,Inputs!$D$6:$D$23)*$I453</f>
        <v>3.0350000000000001</v>
      </c>
      <c r="M453" s="68"/>
      <c r="N453" s="68"/>
      <c r="O453" s="215">
        <v>120</v>
      </c>
      <c r="P453" s="215">
        <v>148</v>
      </c>
      <c r="Q453" s="94">
        <v>0.9</v>
      </c>
      <c r="R453" s="68" t="s">
        <v>115</v>
      </c>
      <c r="S453" s="182">
        <f>O453*Q453</f>
        <v>108</v>
      </c>
      <c r="T453" s="182">
        <f>P453*Q453</f>
        <v>133.20000000000002</v>
      </c>
      <c r="U453" s="96" t="s">
        <v>3989</v>
      </c>
      <c r="V453" s="22" t="s">
        <v>2210</v>
      </c>
      <c r="W453" s="96" t="s">
        <v>3800</v>
      </c>
      <c r="X453" s="205" t="s">
        <v>3050</v>
      </c>
      <c r="Y453" s="11" t="s">
        <v>3301</v>
      </c>
      <c r="Z453" s="79"/>
      <c r="AA453" s="187">
        <v>449</v>
      </c>
    </row>
    <row r="454" spans="2:27" s="184" customFormat="1" ht="20" x14ac:dyDescent="0.2">
      <c r="B454" s="11" t="s">
        <v>1933</v>
      </c>
      <c r="C454" s="165" t="s">
        <v>4235</v>
      </c>
      <c r="D454" s="22" t="s">
        <v>2379</v>
      </c>
      <c r="E454" s="34">
        <v>1</v>
      </c>
      <c r="F454" s="22" t="s">
        <v>2223</v>
      </c>
      <c r="G454" s="88">
        <v>21</v>
      </c>
      <c r="H454" s="235">
        <f t="shared" si="60"/>
        <v>12.962962962962962</v>
      </c>
      <c r="I454" s="88">
        <v>21</v>
      </c>
      <c r="J454" s="235">
        <f t="shared" si="61"/>
        <v>12.962962962962962</v>
      </c>
      <c r="K454" s="201">
        <v>144</v>
      </c>
      <c r="L454" s="252">
        <f>_xlfn.XLOOKUP($K454,Inputs!$C$6:$C$23,Inputs!$D$6:$D$23)*$I454</f>
        <v>9.1950000000000003</v>
      </c>
      <c r="M454" s="68"/>
      <c r="N454" s="68"/>
      <c r="O454" s="187"/>
      <c r="P454" s="187"/>
      <c r="Q454" s="94">
        <v>0.9</v>
      </c>
      <c r="R454" s="68">
        <f>IF((42.4*(J454)^(-0.6595))&gt;=3,3,(IF(42.4*(J454)^(-0.6595)&lt;=0.5,0.5,(42.4*(J454)^(-0.6595)))))</f>
        <v>3</v>
      </c>
      <c r="S454" s="276">
        <f>_xlfn.XLOOKUP($K454,Inputs!$G$6:$G$23,Inputs!J$6:J$23)*$R454</f>
        <v>153.60000000000002</v>
      </c>
      <c r="T454" s="276">
        <f>_xlfn.XLOOKUP($K454,Inputs!$G$6:$G$23,Inputs!K$6:K$23)*$R454</f>
        <v>169.96721311475409</v>
      </c>
      <c r="U454" s="96" t="s">
        <v>3972</v>
      </c>
      <c r="V454" s="22" t="s">
        <v>2132</v>
      </c>
      <c r="W454" s="96" t="s">
        <v>3708</v>
      </c>
      <c r="X454" s="205" t="s">
        <v>2696</v>
      </c>
      <c r="Y454" s="11" t="s">
        <v>3331</v>
      </c>
      <c r="Z454" s="79"/>
      <c r="AA454" s="187">
        <v>450</v>
      </c>
    </row>
    <row r="455" spans="2:27" s="184" customFormat="1" ht="20" x14ac:dyDescent="0.2">
      <c r="B455" s="11" t="s">
        <v>764</v>
      </c>
      <c r="C455" s="165" t="s">
        <v>4235</v>
      </c>
      <c r="D455" s="22" t="s">
        <v>2379</v>
      </c>
      <c r="E455" s="34">
        <v>1</v>
      </c>
      <c r="F455" s="22" t="s">
        <v>2223</v>
      </c>
      <c r="G455" s="235">
        <v>25</v>
      </c>
      <c r="H455" s="235">
        <f t="shared" si="60"/>
        <v>15.432098765432098</v>
      </c>
      <c r="I455" s="235">
        <v>25</v>
      </c>
      <c r="J455" s="235">
        <f t="shared" si="61"/>
        <v>15.432098765432098</v>
      </c>
      <c r="K455" s="215">
        <v>138</v>
      </c>
      <c r="L455" s="252">
        <f>_xlfn.XLOOKUP($K455,Inputs!$C$6:$C$23,Inputs!$D$6:$D$23)*$I455</f>
        <v>10.839285714285715</v>
      </c>
      <c r="M455" s="68"/>
      <c r="N455" s="68"/>
      <c r="O455" s="215">
        <v>169</v>
      </c>
      <c r="P455" s="215">
        <v>191</v>
      </c>
      <c r="Q455" s="94">
        <v>0.9</v>
      </c>
      <c r="R455" s="68" t="s">
        <v>115</v>
      </c>
      <c r="S455" s="182">
        <f t="shared" ref="S455:S463" si="62">O455*Q455</f>
        <v>152.1</v>
      </c>
      <c r="T455" s="182">
        <f t="shared" ref="T455:T463" si="63">P455*Q455</f>
        <v>171.9</v>
      </c>
      <c r="U455" s="96" t="s">
        <v>3674</v>
      </c>
      <c r="V455" s="22" t="s">
        <v>2947</v>
      </c>
      <c r="W455" s="96" t="s">
        <v>3750</v>
      </c>
      <c r="X455" s="205" t="s">
        <v>3008</v>
      </c>
      <c r="Y455" s="11" t="s">
        <v>3297</v>
      </c>
      <c r="Z455" s="79"/>
      <c r="AA455" s="187">
        <v>451</v>
      </c>
    </row>
    <row r="456" spans="2:27" s="184" customFormat="1" ht="20" x14ac:dyDescent="0.2">
      <c r="B456" s="11" t="s">
        <v>1844</v>
      </c>
      <c r="C456" s="165" t="s">
        <v>4235</v>
      </c>
      <c r="D456" s="22" t="s">
        <v>2379</v>
      </c>
      <c r="E456" s="34">
        <v>1</v>
      </c>
      <c r="F456" s="22" t="s">
        <v>2223</v>
      </c>
      <c r="G456" s="88">
        <v>14</v>
      </c>
      <c r="H456" s="235">
        <f t="shared" si="60"/>
        <v>8.6419753086419746</v>
      </c>
      <c r="I456" s="88">
        <v>31.5</v>
      </c>
      <c r="J456" s="235">
        <f t="shared" si="61"/>
        <v>19.444444444444443</v>
      </c>
      <c r="K456" s="215">
        <v>138</v>
      </c>
      <c r="L456" s="252">
        <f>_xlfn.XLOOKUP($K456,Inputs!$C$6:$C$23,Inputs!$D$6:$D$23)*$I456</f>
        <v>13.657500000000001</v>
      </c>
      <c r="M456" s="68"/>
      <c r="N456" s="68"/>
      <c r="O456" s="215">
        <v>119</v>
      </c>
      <c r="P456" s="215">
        <v>143</v>
      </c>
      <c r="Q456" s="94">
        <v>0.9</v>
      </c>
      <c r="R456" s="68" t="s">
        <v>115</v>
      </c>
      <c r="S456" s="182">
        <f t="shared" si="62"/>
        <v>107.10000000000001</v>
      </c>
      <c r="T456" s="182">
        <f t="shared" si="63"/>
        <v>128.70000000000002</v>
      </c>
      <c r="U456" s="96" t="s">
        <v>3615</v>
      </c>
      <c r="V456" s="22" t="s">
        <v>2903</v>
      </c>
      <c r="W456" s="96" t="s">
        <v>3967</v>
      </c>
      <c r="X456" s="22" t="s">
        <v>2133</v>
      </c>
      <c r="Y456" s="11" t="s">
        <v>3285</v>
      </c>
      <c r="Z456" s="79"/>
      <c r="AA456" s="187">
        <v>452</v>
      </c>
    </row>
    <row r="457" spans="2:27" s="184" customFormat="1" ht="20" x14ac:dyDescent="0.2">
      <c r="B457" s="11" t="s">
        <v>1844</v>
      </c>
      <c r="C457" s="165" t="s">
        <v>4235</v>
      </c>
      <c r="D457" s="22" t="s">
        <v>2379</v>
      </c>
      <c r="E457" s="34">
        <v>1</v>
      </c>
      <c r="F457" s="22" t="s">
        <v>2223</v>
      </c>
      <c r="G457" s="88">
        <v>17.5</v>
      </c>
      <c r="H457" s="235">
        <f t="shared" si="60"/>
        <v>10.802469135802468</v>
      </c>
      <c r="I457" s="88">
        <v>31.5</v>
      </c>
      <c r="J457" s="235">
        <f t="shared" si="61"/>
        <v>19.444444444444443</v>
      </c>
      <c r="K457" s="215">
        <v>138</v>
      </c>
      <c r="L457" s="252">
        <f>_xlfn.XLOOKUP($K457,Inputs!$C$6:$C$23,Inputs!$D$6:$D$23)*$I457</f>
        <v>13.657500000000001</v>
      </c>
      <c r="M457" s="68"/>
      <c r="N457" s="68"/>
      <c r="O457" s="215">
        <v>121</v>
      </c>
      <c r="P457" s="215">
        <v>148</v>
      </c>
      <c r="Q457" s="94">
        <v>0.9</v>
      </c>
      <c r="R457" s="68" t="s">
        <v>115</v>
      </c>
      <c r="S457" s="182">
        <f t="shared" si="62"/>
        <v>108.9</v>
      </c>
      <c r="T457" s="182">
        <f t="shared" si="63"/>
        <v>133.20000000000002</v>
      </c>
      <c r="U457" s="96" t="s">
        <v>3967</v>
      </c>
      <c r="V457" s="22" t="s">
        <v>2133</v>
      </c>
      <c r="W457" s="96" t="s">
        <v>3697</v>
      </c>
      <c r="X457" s="22" t="s">
        <v>2965</v>
      </c>
      <c r="Y457" s="11" t="s">
        <v>3285</v>
      </c>
      <c r="Z457" s="79"/>
      <c r="AA457" s="187">
        <v>453</v>
      </c>
    </row>
    <row r="458" spans="2:27" s="184" customFormat="1" ht="20" x14ac:dyDescent="0.2">
      <c r="B458" s="11" t="s">
        <v>1850</v>
      </c>
      <c r="C458" s="165" t="s">
        <v>4235</v>
      </c>
      <c r="D458" s="22" t="s">
        <v>2379</v>
      </c>
      <c r="E458" s="34">
        <v>1</v>
      </c>
      <c r="F458" s="22" t="s">
        <v>2223</v>
      </c>
      <c r="G458" s="88">
        <v>7</v>
      </c>
      <c r="H458" s="235">
        <f t="shared" si="60"/>
        <v>4.3209876543209873</v>
      </c>
      <c r="I458" s="88">
        <v>7</v>
      </c>
      <c r="J458" s="235">
        <f t="shared" si="61"/>
        <v>4.3209876543209873</v>
      </c>
      <c r="K458" s="215">
        <v>138</v>
      </c>
      <c r="L458" s="252">
        <f>_xlfn.XLOOKUP($K458,Inputs!$C$6:$C$23,Inputs!$D$6:$D$23)*$I458</f>
        <v>3.0350000000000001</v>
      </c>
      <c r="M458" s="68"/>
      <c r="N458" s="68"/>
      <c r="O458" s="215">
        <v>119</v>
      </c>
      <c r="P458" s="215">
        <v>146</v>
      </c>
      <c r="Q458" s="94">
        <v>0.9</v>
      </c>
      <c r="R458" s="68" t="s">
        <v>115</v>
      </c>
      <c r="S458" s="182">
        <f t="shared" si="62"/>
        <v>107.10000000000001</v>
      </c>
      <c r="T458" s="182">
        <f t="shared" si="63"/>
        <v>131.4</v>
      </c>
      <c r="U458" s="96" t="s">
        <v>3967</v>
      </c>
      <c r="V458" s="22" t="s">
        <v>2133</v>
      </c>
      <c r="W458" s="96" t="s">
        <v>3757</v>
      </c>
      <c r="X458" s="22" t="s">
        <v>3015</v>
      </c>
      <c r="Y458" s="11" t="s">
        <v>3285</v>
      </c>
      <c r="Z458" s="79"/>
      <c r="AA458" s="187">
        <v>454</v>
      </c>
    </row>
    <row r="459" spans="2:27" s="184" customFormat="1" ht="20" x14ac:dyDescent="0.2">
      <c r="B459" s="11" t="s">
        <v>766</v>
      </c>
      <c r="C459" s="165" t="s">
        <v>4235</v>
      </c>
      <c r="D459" s="22" t="s">
        <v>2379</v>
      </c>
      <c r="E459" s="34">
        <v>1</v>
      </c>
      <c r="F459" s="22" t="s">
        <v>2223</v>
      </c>
      <c r="G459" s="235">
        <v>30</v>
      </c>
      <c r="H459" s="235">
        <f t="shared" si="60"/>
        <v>18.518518518518519</v>
      </c>
      <c r="I459" s="235">
        <v>60</v>
      </c>
      <c r="J459" s="235">
        <f t="shared" si="61"/>
        <v>37.037037037037038</v>
      </c>
      <c r="K459" s="215">
        <v>138</v>
      </c>
      <c r="L459" s="252">
        <f>_xlfn.XLOOKUP($K459,Inputs!$C$6:$C$23,Inputs!$D$6:$D$23)*$I459</f>
        <v>26.014285714285716</v>
      </c>
      <c r="M459" s="68"/>
      <c r="N459" s="68"/>
      <c r="O459" s="215">
        <v>72</v>
      </c>
      <c r="P459" s="215">
        <v>72</v>
      </c>
      <c r="Q459" s="94">
        <v>0.9</v>
      </c>
      <c r="R459" s="68" t="s">
        <v>115</v>
      </c>
      <c r="S459" s="182">
        <f t="shared" si="62"/>
        <v>64.8</v>
      </c>
      <c r="T459" s="182">
        <f t="shared" si="63"/>
        <v>64.8</v>
      </c>
      <c r="U459" s="96" t="s">
        <v>3669</v>
      </c>
      <c r="V459" s="22" t="s">
        <v>2941</v>
      </c>
      <c r="W459" s="96" t="s">
        <v>3779</v>
      </c>
      <c r="X459" s="22" t="s">
        <v>3032</v>
      </c>
      <c r="Y459" s="11" t="s">
        <v>3294</v>
      </c>
      <c r="Z459" s="79"/>
      <c r="AA459" s="187">
        <v>455</v>
      </c>
    </row>
    <row r="460" spans="2:27" s="184" customFormat="1" ht="20" x14ac:dyDescent="0.2">
      <c r="B460" s="11" t="s">
        <v>766</v>
      </c>
      <c r="C460" s="165" t="s">
        <v>4235</v>
      </c>
      <c r="D460" s="22" t="s">
        <v>2379</v>
      </c>
      <c r="E460" s="34">
        <v>1</v>
      </c>
      <c r="F460" s="22" t="s">
        <v>2223</v>
      </c>
      <c r="G460" s="235">
        <v>30</v>
      </c>
      <c r="H460" s="235">
        <f t="shared" si="60"/>
        <v>18.518518518518519</v>
      </c>
      <c r="I460" s="235">
        <v>60</v>
      </c>
      <c r="J460" s="235">
        <f t="shared" si="61"/>
        <v>37.037037037037038</v>
      </c>
      <c r="K460" s="215">
        <v>138</v>
      </c>
      <c r="L460" s="252">
        <f>_xlfn.XLOOKUP($K460,Inputs!$C$6:$C$23,Inputs!$D$6:$D$23)*$I460</f>
        <v>26.014285714285716</v>
      </c>
      <c r="M460" s="68"/>
      <c r="N460" s="68"/>
      <c r="O460" s="215">
        <v>72</v>
      </c>
      <c r="P460" s="215">
        <v>72</v>
      </c>
      <c r="Q460" s="94">
        <v>0.9</v>
      </c>
      <c r="R460" s="68" t="s">
        <v>115</v>
      </c>
      <c r="S460" s="182">
        <f t="shared" si="62"/>
        <v>64.8</v>
      </c>
      <c r="T460" s="182">
        <f t="shared" si="63"/>
        <v>64.8</v>
      </c>
      <c r="U460" s="96" t="s">
        <v>3779</v>
      </c>
      <c r="V460" s="22" t="s">
        <v>3032</v>
      </c>
      <c r="W460" s="96" t="s">
        <v>3915</v>
      </c>
      <c r="X460" s="22" t="s">
        <v>3176</v>
      </c>
      <c r="Y460" s="11" t="s">
        <v>3294</v>
      </c>
      <c r="Z460" s="79"/>
      <c r="AA460" s="187">
        <v>456</v>
      </c>
    </row>
    <row r="461" spans="2:27" s="184" customFormat="1" ht="20" x14ac:dyDescent="0.2">
      <c r="B461" s="11" t="s">
        <v>1381</v>
      </c>
      <c r="C461" s="165" t="s">
        <v>4235</v>
      </c>
      <c r="D461" s="22" t="s">
        <v>2379</v>
      </c>
      <c r="E461" s="34">
        <v>1</v>
      </c>
      <c r="F461" s="22" t="s">
        <v>2223</v>
      </c>
      <c r="G461" s="88">
        <v>24</v>
      </c>
      <c r="H461" s="235">
        <f t="shared" si="60"/>
        <v>14.814814814814813</v>
      </c>
      <c r="I461" s="88">
        <v>84</v>
      </c>
      <c r="J461" s="235">
        <f t="shared" si="61"/>
        <v>51.851851851851848</v>
      </c>
      <c r="K461" s="215">
        <v>138</v>
      </c>
      <c r="L461" s="252">
        <f>_xlfn.XLOOKUP($K461,Inputs!$C$6:$C$23,Inputs!$D$6:$D$23)*$I461</f>
        <v>36.42</v>
      </c>
      <c r="M461" s="68"/>
      <c r="N461" s="68"/>
      <c r="O461" s="215">
        <v>85.1</v>
      </c>
      <c r="P461" s="215">
        <v>90.1</v>
      </c>
      <c r="Q461" s="94">
        <v>0.9</v>
      </c>
      <c r="R461" s="68" t="s">
        <v>115</v>
      </c>
      <c r="S461" s="182">
        <f t="shared" si="62"/>
        <v>76.59</v>
      </c>
      <c r="T461" s="182">
        <f t="shared" si="63"/>
        <v>81.09</v>
      </c>
      <c r="U461" s="96" t="s">
        <v>3521</v>
      </c>
      <c r="V461" s="22" t="s">
        <v>2662</v>
      </c>
      <c r="W461" s="96" t="s">
        <v>3545</v>
      </c>
      <c r="X461" s="22" t="s">
        <v>2849</v>
      </c>
      <c r="Y461" s="11" t="s">
        <v>3277</v>
      </c>
      <c r="Z461" s="79"/>
      <c r="AA461" s="187">
        <v>457</v>
      </c>
    </row>
    <row r="462" spans="2:27" s="184" customFormat="1" ht="20" x14ac:dyDescent="0.2">
      <c r="B462" s="11" t="s">
        <v>1381</v>
      </c>
      <c r="C462" s="165" t="s">
        <v>4235</v>
      </c>
      <c r="D462" s="22" t="s">
        <v>2379</v>
      </c>
      <c r="E462" s="34">
        <v>1</v>
      </c>
      <c r="F462" s="22" t="s">
        <v>2223</v>
      </c>
      <c r="G462" s="88">
        <v>45</v>
      </c>
      <c r="H462" s="235">
        <f t="shared" si="60"/>
        <v>27.777777777777775</v>
      </c>
      <c r="I462" s="88">
        <v>84</v>
      </c>
      <c r="J462" s="235">
        <f t="shared" si="61"/>
        <v>51.851851851851848</v>
      </c>
      <c r="K462" s="215">
        <v>138</v>
      </c>
      <c r="L462" s="252">
        <f>_xlfn.XLOOKUP($K462,Inputs!$C$6:$C$23,Inputs!$D$6:$D$23)*$I462</f>
        <v>36.42</v>
      </c>
      <c r="M462" s="68"/>
      <c r="N462" s="68"/>
      <c r="O462" s="215">
        <v>85.1</v>
      </c>
      <c r="P462" s="215">
        <v>90.1</v>
      </c>
      <c r="Q462" s="94">
        <v>0.9</v>
      </c>
      <c r="R462" s="68" t="s">
        <v>115</v>
      </c>
      <c r="S462" s="182">
        <f t="shared" si="62"/>
        <v>76.59</v>
      </c>
      <c r="T462" s="182">
        <f t="shared" si="63"/>
        <v>81.09</v>
      </c>
      <c r="U462" s="96" t="s">
        <v>3545</v>
      </c>
      <c r="V462" s="22" t="s">
        <v>2849</v>
      </c>
      <c r="W462" s="96" t="s">
        <v>4007</v>
      </c>
      <c r="X462" s="22" t="s">
        <v>2134</v>
      </c>
      <c r="Y462" s="11" t="s">
        <v>3277</v>
      </c>
      <c r="Z462" s="79"/>
      <c r="AA462" s="187">
        <v>458</v>
      </c>
    </row>
    <row r="463" spans="2:27" s="184" customFormat="1" ht="20" x14ac:dyDescent="0.2">
      <c r="B463" s="11" t="s">
        <v>1381</v>
      </c>
      <c r="C463" s="165" t="s">
        <v>4235</v>
      </c>
      <c r="D463" s="22" t="s">
        <v>2379</v>
      </c>
      <c r="E463" s="34">
        <v>1</v>
      </c>
      <c r="F463" s="22" t="s">
        <v>2223</v>
      </c>
      <c r="G463" s="88">
        <v>15</v>
      </c>
      <c r="H463" s="235">
        <f t="shared" si="60"/>
        <v>9.2592592592592595</v>
      </c>
      <c r="I463" s="88">
        <v>84</v>
      </c>
      <c r="J463" s="235">
        <f t="shared" si="61"/>
        <v>51.851851851851848</v>
      </c>
      <c r="K463" s="215">
        <v>138</v>
      </c>
      <c r="L463" s="252">
        <f>_xlfn.XLOOKUP($K463,Inputs!$C$6:$C$23,Inputs!$D$6:$D$23)*$I463</f>
        <v>36.42</v>
      </c>
      <c r="M463" s="68"/>
      <c r="N463" s="68"/>
      <c r="O463" s="215">
        <v>98</v>
      </c>
      <c r="P463" s="215">
        <v>131.9</v>
      </c>
      <c r="Q463" s="94">
        <v>0.9</v>
      </c>
      <c r="R463" s="68" t="s">
        <v>115</v>
      </c>
      <c r="S463" s="182">
        <f t="shared" si="62"/>
        <v>88.2</v>
      </c>
      <c r="T463" s="182">
        <f t="shared" si="63"/>
        <v>118.71000000000001</v>
      </c>
      <c r="U463" s="96" t="s">
        <v>4007</v>
      </c>
      <c r="V463" s="22" t="s">
        <v>2134</v>
      </c>
      <c r="W463" s="96" t="s">
        <v>3927</v>
      </c>
      <c r="X463" s="22" t="s">
        <v>3186</v>
      </c>
      <c r="Y463" s="11" t="s">
        <v>3277</v>
      </c>
      <c r="Z463" s="79"/>
      <c r="AA463" s="187">
        <v>459</v>
      </c>
    </row>
    <row r="464" spans="2:27" s="184" customFormat="1" ht="20" x14ac:dyDescent="0.2">
      <c r="B464" s="11" t="s">
        <v>1385</v>
      </c>
      <c r="C464" s="165" t="s">
        <v>4235</v>
      </c>
      <c r="D464" s="22" t="s">
        <v>2379</v>
      </c>
      <c r="E464" s="34">
        <v>1</v>
      </c>
      <c r="F464" s="22" t="s">
        <v>2223</v>
      </c>
      <c r="G464" s="88">
        <v>6</v>
      </c>
      <c r="H464" s="235">
        <f t="shared" si="60"/>
        <v>3.7037037037037033</v>
      </c>
      <c r="I464" s="88">
        <v>6</v>
      </c>
      <c r="J464" s="235">
        <f t="shared" si="61"/>
        <v>3.7037037037037033</v>
      </c>
      <c r="K464" s="201">
        <v>144</v>
      </c>
      <c r="L464" s="252">
        <f>_xlfn.XLOOKUP($K464,Inputs!$C$6:$C$23,Inputs!$D$6:$D$23)*$I464</f>
        <v>2.6271428571428572</v>
      </c>
      <c r="M464" s="68"/>
      <c r="N464" s="68"/>
      <c r="O464" s="187"/>
      <c r="P464" s="187"/>
      <c r="Q464" s="94">
        <v>0.9</v>
      </c>
      <c r="R464" s="68">
        <f>IF((42.4*(J464)^(-0.6595))&gt;=3,3,(IF(42.4*(J464)^(-0.6595)&lt;=0.5,0.5,(42.4*(J464)^(-0.6595)))))</f>
        <v>3</v>
      </c>
      <c r="S464" s="276">
        <f>_xlfn.XLOOKUP($K464,Inputs!$G$6:$G$23,Inputs!J$6:J$23)*$R464</f>
        <v>153.60000000000002</v>
      </c>
      <c r="T464" s="276">
        <f>_xlfn.XLOOKUP($K464,Inputs!$G$6:$G$23,Inputs!K$6:K$23)*$R464</f>
        <v>169.96721311475409</v>
      </c>
      <c r="U464" s="96" t="s">
        <v>4007</v>
      </c>
      <c r="V464" s="22" t="s">
        <v>2134</v>
      </c>
      <c r="W464" s="96" t="s">
        <v>3884</v>
      </c>
      <c r="X464" s="22" t="s">
        <v>3268</v>
      </c>
      <c r="Y464" s="11" t="s">
        <v>3331</v>
      </c>
      <c r="Z464" s="79"/>
      <c r="AA464" s="187">
        <v>460</v>
      </c>
    </row>
    <row r="465" spans="2:27" s="184" customFormat="1" ht="20" x14ac:dyDescent="0.2">
      <c r="B465" s="11" t="s">
        <v>1336</v>
      </c>
      <c r="C465" s="165" t="s">
        <v>4239</v>
      </c>
      <c r="D465" s="22" t="s">
        <v>2379</v>
      </c>
      <c r="E465" s="34">
        <v>1</v>
      </c>
      <c r="F465" s="22" t="s">
        <v>2223</v>
      </c>
      <c r="G465" s="88">
        <v>8.625</v>
      </c>
      <c r="H465" s="235">
        <f t="shared" si="60"/>
        <v>5.3240740740740735</v>
      </c>
      <c r="I465" s="88">
        <v>8.625</v>
      </c>
      <c r="J465" s="235">
        <f t="shared" si="61"/>
        <v>5.3240740740740735</v>
      </c>
      <c r="K465" s="201">
        <v>72</v>
      </c>
      <c r="L465" s="252">
        <f>_xlfn.XLOOKUP($K465,Inputs!$C$6:$C$23,Inputs!$D$6:$D$23)*$I465</f>
        <v>3.3329464285714288</v>
      </c>
      <c r="M465" s="68"/>
      <c r="N465" s="68"/>
      <c r="O465" s="215">
        <v>40</v>
      </c>
      <c r="P465" s="215">
        <v>40</v>
      </c>
      <c r="Q465" s="94">
        <v>0.9</v>
      </c>
      <c r="R465" s="68" t="s">
        <v>115</v>
      </c>
      <c r="S465" s="182">
        <f t="shared" ref="S465:S477" si="64">O465*Q465</f>
        <v>36</v>
      </c>
      <c r="T465" s="182">
        <f t="shared" ref="T465:T477" si="65">P465*Q465</f>
        <v>36</v>
      </c>
      <c r="U465" s="96" t="s">
        <v>3475</v>
      </c>
      <c r="V465" s="22" t="s">
        <v>2669</v>
      </c>
      <c r="W465" s="96" t="s">
        <v>3600</v>
      </c>
      <c r="X465" s="22" t="s">
        <v>2890</v>
      </c>
      <c r="Y465" s="11" t="s">
        <v>3326</v>
      </c>
      <c r="Z465" s="79"/>
      <c r="AA465" s="187">
        <v>461</v>
      </c>
    </row>
    <row r="466" spans="2:27" s="184" customFormat="1" ht="20" x14ac:dyDescent="0.2">
      <c r="B466" s="11" t="s">
        <v>1335</v>
      </c>
      <c r="C466" s="165" t="s">
        <v>4239</v>
      </c>
      <c r="D466" s="22" t="s">
        <v>2379</v>
      </c>
      <c r="E466" s="34">
        <v>1</v>
      </c>
      <c r="F466" s="22" t="s">
        <v>2223</v>
      </c>
      <c r="G466" s="88">
        <v>8.625</v>
      </c>
      <c r="H466" s="235">
        <f t="shared" si="60"/>
        <v>5.3240740740740735</v>
      </c>
      <c r="I466" s="88">
        <v>8.625</v>
      </c>
      <c r="J466" s="235">
        <f t="shared" si="61"/>
        <v>5.3240740740740735</v>
      </c>
      <c r="K466" s="201">
        <v>72</v>
      </c>
      <c r="L466" s="252">
        <f>_xlfn.XLOOKUP($K466,Inputs!$C$6:$C$23,Inputs!$D$6:$D$23)*$I466</f>
        <v>3.3329464285714288</v>
      </c>
      <c r="M466" s="68"/>
      <c r="N466" s="68"/>
      <c r="O466" s="215">
        <v>40</v>
      </c>
      <c r="P466" s="215">
        <v>40</v>
      </c>
      <c r="Q466" s="94">
        <v>0.9</v>
      </c>
      <c r="R466" s="68" t="s">
        <v>115</v>
      </c>
      <c r="S466" s="182">
        <f t="shared" si="64"/>
        <v>36</v>
      </c>
      <c r="T466" s="182">
        <f t="shared" si="65"/>
        <v>36</v>
      </c>
      <c r="U466" s="96" t="s">
        <v>3475</v>
      </c>
      <c r="V466" s="22" t="s">
        <v>2669</v>
      </c>
      <c r="W466" s="96" t="s">
        <v>3600</v>
      </c>
      <c r="X466" s="22" t="s">
        <v>2890</v>
      </c>
      <c r="Y466" s="11" t="s">
        <v>3326</v>
      </c>
      <c r="Z466" s="79"/>
      <c r="AA466" s="187">
        <v>462</v>
      </c>
    </row>
    <row r="467" spans="2:27" s="184" customFormat="1" ht="20" x14ac:dyDescent="0.2">
      <c r="B467" s="11" t="s">
        <v>1333</v>
      </c>
      <c r="C467" s="165" t="s">
        <v>4239</v>
      </c>
      <c r="D467" s="22" t="s">
        <v>2379</v>
      </c>
      <c r="E467" s="34">
        <v>1</v>
      </c>
      <c r="F467" s="22" t="s">
        <v>2223</v>
      </c>
      <c r="G467" s="88">
        <v>6.8999999999999995</v>
      </c>
      <c r="H467" s="235">
        <f t="shared" si="60"/>
        <v>4.2592592592592586</v>
      </c>
      <c r="I467" s="88">
        <v>6.8999999999999995</v>
      </c>
      <c r="J467" s="235">
        <f t="shared" si="61"/>
        <v>4.2592592592592586</v>
      </c>
      <c r="K467" s="201">
        <v>72</v>
      </c>
      <c r="L467" s="252">
        <f>_xlfn.XLOOKUP($K467,Inputs!$C$6:$C$23,Inputs!$D$6:$D$23)*$I467</f>
        <v>2.6663571428571426</v>
      </c>
      <c r="M467" s="68"/>
      <c r="N467" s="68"/>
      <c r="O467" s="215">
        <v>48</v>
      </c>
      <c r="P467" s="215">
        <v>56</v>
      </c>
      <c r="Q467" s="94">
        <v>0.9</v>
      </c>
      <c r="R467" s="68" t="s">
        <v>115</v>
      </c>
      <c r="S467" s="182">
        <f t="shared" si="64"/>
        <v>43.2</v>
      </c>
      <c r="T467" s="182">
        <f t="shared" si="65"/>
        <v>50.4</v>
      </c>
      <c r="U467" s="96" t="s">
        <v>3475</v>
      </c>
      <c r="V467" s="22" t="s">
        <v>2669</v>
      </c>
      <c r="W467" s="96" t="s">
        <v>3657</v>
      </c>
      <c r="X467" s="22" t="s">
        <v>2929</v>
      </c>
      <c r="Y467" s="11" t="s">
        <v>3326</v>
      </c>
      <c r="Z467" s="79"/>
      <c r="AA467" s="187">
        <v>463</v>
      </c>
    </row>
    <row r="468" spans="2:27" s="184" customFormat="1" ht="20" x14ac:dyDescent="0.2">
      <c r="B468" s="11" t="s">
        <v>1334</v>
      </c>
      <c r="C468" s="165" t="s">
        <v>4239</v>
      </c>
      <c r="D468" s="22" t="s">
        <v>2379</v>
      </c>
      <c r="E468" s="34">
        <v>1</v>
      </c>
      <c r="F468" s="22" t="s">
        <v>2223</v>
      </c>
      <c r="G468" s="88">
        <v>6.8999999999999995</v>
      </c>
      <c r="H468" s="235">
        <f t="shared" si="60"/>
        <v>4.2592592592592586</v>
      </c>
      <c r="I468" s="88">
        <v>6.8999999999999995</v>
      </c>
      <c r="J468" s="235">
        <f t="shared" si="61"/>
        <v>4.2592592592592586</v>
      </c>
      <c r="K468" s="201">
        <v>72</v>
      </c>
      <c r="L468" s="252">
        <f>_xlfn.XLOOKUP($K468,Inputs!$C$6:$C$23,Inputs!$D$6:$D$23)*$I468</f>
        <v>2.6663571428571426</v>
      </c>
      <c r="M468" s="68"/>
      <c r="N468" s="68"/>
      <c r="O468" s="215">
        <v>48</v>
      </c>
      <c r="P468" s="215">
        <v>56</v>
      </c>
      <c r="Q468" s="94">
        <v>0.9</v>
      </c>
      <c r="R468" s="68" t="s">
        <v>115</v>
      </c>
      <c r="S468" s="182">
        <f t="shared" si="64"/>
        <v>43.2</v>
      </c>
      <c r="T468" s="182">
        <f t="shared" si="65"/>
        <v>50.4</v>
      </c>
      <c r="U468" s="96" t="s">
        <v>3475</v>
      </c>
      <c r="V468" s="22" t="s">
        <v>2669</v>
      </c>
      <c r="W468" s="96" t="s">
        <v>3657</v>
      </c>
      <c r="X468" s="22" t="s">
        <v>2929</v>
      </c>
      <c r="Y468" s="11" t="s">
        <v>3326</v>
      </c>
      <c r="Z468" s="79"/>
      <c r="AA468" s="187">
        <v>464</v>
      </c>
    </row>
    <row r="469" spans="2:27" s="184" customFormat="1" ht="20" x14ac:dyDescent="0.2">
      <c r="B469" s="11" t="s">
        <v>2056</v>
      </c>
      <c r="C469" s="165" t="s">
        <v>4239</v>
      </c>
      <c r="D469" s="22" t="s">
        <v>2379</v>
      </c>
      <c r="E469" s="34">
        <v>1</v>
      </c>
      <c r="F469" s="22" t="s">
        <v>2223</v>
      </c>
      <c r="G469" s="88">
        <v>10.35</v>
      </c>
      <c r="H469" s="235">
        <f t="shared" si="60"/>
        <v>6.3888888888888884</v>
      </c>
      <c r="I469" s="88">
        <v>10.35</v>
      </c>
      <c r="J469" s="235">
        <f t="shared" si="61"/>
        <v>6.3888888888888884</v>
      </c>
      <c r="K469" s="215">
        <v>69</v>
      </c>
      <c r="L469" s="252">
        <f>_xlfn.XLOOKUP($K469,Inputs!$C$6:$C$23,Inputs!$D$6:$D$23)*$I469</f>
        <v>3.9773571428571426</v>
      </c>
      <c r="M469" s="68"/>
      <c r="N469" s="68"/>
      <c r="O469" s="215">
        <v>57.5</v>
      </c>
      <c r="P469" s="215">
        <v>57.5</v>
      </c>
      <c r="Q469" s="94">
        <v>0.9</v>
      </c>
      <c r="R469" s="68" t="s">
        <v>115</v>
      </c>
      <c r="S469" s="182">
        <f t="shared" si="64"/>
        <v>51.75</v>
      </c>
      <c r="T469" s="182">
        <f t="shared" si="65"/>
        <v>51.75</v>
      </c>
      <c r="U469" s="96" t="s">
        <v>3475</v>
      </c>
      <c r="V469" s="22" t="s">
        <v>2669</v>
      </c>
      <c r="W469" s="96" t="s">
        <v>3738</v>
      </c>
      <c r="X469" s="22" t="s">
        <v>2996</v>
      </c>
      <c r="Y469" s="11" t="s">
        <v>3288</v>
      </c>
      <c r="Z469" s="79"/>
      <c r="AA469" s="187">
        <v>465</v>
      </c>
    </row>
    <row r="470" spans="2:27" s="184" customFormat="1" ht="20" x14ac:dyDescent="0.2">
      <c r="B470" s="11" t="s">
        <v>1342</v>
      </c>
      <c r="C470" s="165" t="s">
        <v>4239</v>
      </c>
      <c r="D470" s="22" t="s">
        <v>2379</v>
      </c>
      <c r="E470" s="34">
        <v>1</v>
      </c>
      <c r="F470" s="22" t="s">
        <v>2223</v>
      </c>
      <c r="G470" s="88">
        <v>5.75</v>
      </c>
      <c r="H470" s="235">
        <f t="shared" si="60"/>
        <v>3.5493827160493825</v>
      </c>
      <c r="I470" s="88">
        <v>5.75</v>
      </c>
      <c r="J470" s="235">
        <f t="shared" si="61"/>
        <v>3.5493827160493825</v>
      </c>
      <c r="K470" s="215">
        <v>69</v>
      </c>
      <c r="L470" s="252">
        <f>_xlfn.XLOOKUP($K470,Inputs!$C$6:$C$23,Inputs!$D$6:$D$23)*$I470</f>
        <v>2.2096428571428572</v>
      </c>
      <c r="M470" s="68"/>
      <c r="N470" s="68"/>
      <c r="O470" s="215">
        <v>57.5</v>
      </c>
      <c r="P470" s="215">
        <v>62.3</v>
      </c>
      <c r="Q470" s="94">
        <v>0.9</v>
      </c>
      <c r="R470" s="68" t="s">
        <v>115</v>
      </c>
      <c r="S470" s="182">
        <f t="shared" si="64"/>
        <v>51.75</v>
      </c>
      <c r="T470" s="182">
        <f t="shared" si="65"/>
        <v>56.07</v>
      </c>
      <c r="U470" s="96" t="s">
        <v>3641</v>
      </c>
      <c r="V470" s="22" t="s">
        <v>2642</v>
      </c>
      <c r="W470" s="96" t="s">
        <v>3713</v>
      </c>
      <c r="X470" s="22" t="s">
        <v>2978</v>
      </c>
      <c r="Y470" s="11" t="s">
        <v>3288</v>
      </c>
      <c r="Z470" s="79"/>
      <c r="AA470" s="187">
        <v>466</v>
      </c>
    </row>
    <row r="471" spans="2:27" s="184" customFormat="1" ht="20" x14ac:dyDescent="0.2">
      <c r="B471" s="11" t="s">
        <v>1341</v>
      </c>
      <c r="C471" s="165" t="s">
        <v>4239</v>
      </c>
      <c r="D471" s="22" t="s">
        <v>2379</v>
      </c>
      <c r="E471" s="34">
        <v>1</v>
      </c>
      <c r="F471" s="22" t="s">
        <v>2223</v>
      </c>
      <c r="G471" s="88">
        <v>6.8999999999999995</v>
      </c>
      <c r="H471" s="235">
        <f t="shared" si="60"/>
        <v>4.2592592592592586</v>
      </c>
      <c r="I471" s="88">
        <v>6.8999999999999995</v>
      </c>
      <c r="J471" s="235">
        <f t="shared" si="61"/>
        <v>4.2592592592592586</v>
      </c>
      <c r="K471" s="215">
        <v>69</v>
      </c>
      <c r="L471" s="252">
        <f>_xlfn.XLOOKUP($K471,Inputs!$C$6:$C$23,Inputs!$D$6:$D$23)*$I471</f>
        <v>2.6515714285714282</v>
      </c>
      <c r="M471" s="68"/>
      <c r="N471" s="68"/>
      <c r="O471" s="215">
        <v>57.5</v>
      </c>
      <c r="P471" s="215">
        <v>62.3</v>
      </c>
      <c r="Q471" s="94">
        <v>0.9</v>
      </c>
      <c r="R471" s="68" t="s">
        <v>115</v>
      </c>
      <c r="S471" s="182">
        <f t="shared" si="64"/>
        <v>51.75</v>
      </c>
      <c r="T471" s="182">
        <f t="shared" si="65"/>
        <v>56.07</v>
      </c>
      <c r="U471" s="96" t="s">
        <v>3641</v>
      </c>
      <c r="V471" s="22" t="s">
        <v>2642</v>
      </c>
      <c r="W471" s="96" t="s">
        <v>3943</v>
      </c>
      <c r="X471" s="22" t="s">
        <v>3195</v>
      </c>
      <c r="Y471" s="11" t="s">
        <v>3288</v>
      </c>
      <c r="Z471" s="79"/>
      <c r="AA471" s="187">
        <v>467</v>
      </c>
    </row>
    <row r="472" spans="2:27" s="184" customFormat="1" ht="20" x14ac:dyDescent="0.2">
      <c r="B472" s="11" t="s">
        <v>2057</v>
      </c>
      <c r="C472" s="165" t="s">
        <v>4239</v>
      </c>
      <c r="D472" s="22" t="s">
        <v>2379</v>
      </c>
      <c r="E472" s="34">
        <v>1</v>
      </c>
      <c r="F472" s="22" t="s">
        <v>2223</v>
      </c>
      <c r="G472" s="88">
        <v>3.4499999999999997</v>
      </c>
      <c r="H472" s="235">
        <f t="shared" si="60"/>
        <v>2.1296296296296293</v>
      </c>
      <c r="I472" s="88">
        <v>3.4499999999999997</v>
      </c>
      <c r="J472" s="235">
        <f t="shared" si="61"/>
        <v>2.1296296296296293</v>
      </c>
      <c r="K472" s="201">
        <v>72</v>
      </c>
      <c r="L472" s="252">
        <f>_xlfn.XLOOKUP($K472,Inputs!$C$6:$C$23,Inputs!$D$6:$D$23)*$I472</f>
        <v>1.3331785714285713</v>
      </c>
      <c r="M472" s="68"/>
      <c r="N472" s="68"/>
      <c r="O472" s="215">
        <v>90</v>
      </c>
      <c r="P472" s="215">
        <v>124</v>
      </c>
      <c r="Q472" s="94">
        <v>0.9</v>
      </c>
      <c r="R472" s="68" t="s">
        <v>115</v>
      </c>
      <c r="S472" s="182">
        <f t="shared" si="64"/>
        <v>81</v>
      </c>
      <c r="T472" s="182">
        <f t="shared" si="65"/>
        <v>111.60000000000001</v>
      </c>
      <c r="U472" s="96" t="s">
        <v>4252</v>
      </c>
      <c r="V472" s="22" t="s">
        <v>4253</v>
      </c>
      <c r="W472" s="96" t="s">
        <v>3600</v>
      </c>
      <c r="X472" s="22" t="s">
        <v>2890</v>
      </c>
      <c r="Y472" s="11" t="s">
        <v>3326</v>
      </c>
      <c r="Z472" s="79"/>
      <c r="AA472" s="187">
        <v>468</v>
      </c>
    </row>
    <row r="473" spans="2:27" s="184" customFormat="1" ht="20" x14ac:dyDescent="0.2">
      <c r="B473" s="11" t="s">
        <v>1329</v>
      </c>
      <c r="C473" s="165" t="s">
        <v>4239</v>
      </c>
      <c r="D473" s="22" t="s">
        <v>2379</v>
      </c>
      <c r="E473" s="34">
        <v>1</v>
      </c>
      <c r="F473" s="22" t="s">
        <v>2223</v>
      </c>
      <c r="G473" s="88">
        <v>6.8999999999999995</v>
      </c>
      <c r="H473" s="235">
        <f t="shared" si="60"/>
        <v>4.2592592592592586</v>
      </c>
      <c r="I473" s="88">
        <v>6.8999999999999995</v>
      </c>
      <c r="J473" s="235">
        <f t="shared" si="61"/>
        <v>4.2592592592592586</v>
      </c>
      <c r="K473" s="201">
        <v>72</v>
      </c>
      <c r="L473" s="252">
        <f>_xlfn.XLOOKUP($K473,Inputs!$C$6:$C$23,Inputs!$D$6:$D$23)*$I473</f>
        <v>2.6663571428571426</v>
      </c>
      <c r="M473" s="68"/>
      <c r="N473" s="68"/>
      <c r="O473" s="215">
        <v>90</v>
      </c>
      <c r="P473" s="215">
        <v>124</v>
      </c>
      <c r="Q473" s="94">
        <v>0.9</v>
      </c>
      <c r="R473" s="68" t="s">
        <v>115</v>
      </c>
      <c r="S473" s="182">
        <f t="shared" si="64"/>
        <v>81</v>
      </c>
      <c r="T473" s="182">
        <f t="shared" si="65"/>
        <v>111.60000000000001</v>
      </c>
      <c r="U473" s="96" t="s">
        <v>4252</v>
      </c>
      <c r="V473" s="22" t="s">
        <v>4253</v>
      </c>
      <c r="W473" s="96" t="s">
        <v>2207</v>
      </c>
      <c r="X473" s="22" t="s">
        <v>2719</v>
      </c>
      <c r="Y473" s="11" t="s">
        <v>3326</v>
      </c>
      <c r="Z473" s="79"/>
      <c r="AA473" s="187">
        <v>469</v>
      </c>
    </row>
    <row r="474" spans="2:27" s="184" customFormat="1" ht="20" x14ac:dyDescent="0.2">
      <c r="B474" s="11" t="s">
        <v>1344</v>
      </c>
      <c r="C474" s="165" t="s">
        <v>4239</v>
      </c>
      <c r="D474" s="22" t="s">
        <v>2379</v>
      </c>
      <c r="E474" s="34">
        <v>1</v>
      </c>
      <c r="F474" s="22" t="s">
        <v>2223</v>
      </c>
      <c r="G474" s="88">
        <v>5.75</v>
      </c>
      <c r="H474" s="235">
        <f t="shared" si="60"/>
        <v>3.5493827160493825</v>
      </c>
      <c r="I474" s="88">
        <v>5.75</v>
      </c>
      <c r="J474" s="235">
        <f t="shared" si="61"/>
        <v>3.5493827160493825</v>
      </c>
      <c r="K474" s="209">
        <v>69</v>
      </c>
      <c r="L474" s="252">
        <f>_xlfn.XLOOKUP($K474,Inputs!$C$6:$C$23,Inputs!$D$6:$D$23)*$I474</f>
        <v>2.2096428571428572</v>
      </c>
      <c r="M474" s="68"/>
      <c r="N474" s="68"/>
      <c r="O474" s="209">
        <v>57.4</v>
      </c>
      <c r="P474" s="209">
        <v>62.7</v>
      </c>
      <c r="Q474" s="94">
        <v>0.9</v>
      </c>
      <c r="R474" s="68" t="s">
        <v>115</v>
      </c>
      <c r="S474" s="182">
        <f t="shared" si="64"/>
        <v>51.66</v>
      </c>
      <c r="T474" s="182">
        <f t="shared" si="65"/>
        <v>56.430000000000007</v>
      </c>
      <c r="U474" s="96" t="s">
        <v>3713</v>
      </c>
      <c r="V474" s="22" t="s">
        <v>2978</v>
      </c>
      <c r="W474" s="96" t="s">
        <v>3576</v>
      </c>
      <c r="X474" s="22" t="s">
        <v>2871</v>
      </c>
      <c r="Y474" s="11" t="s">
        <v>3304</v>
      </c>
      <c r="Z474" s="79"/>
      <c r="AA474" s="187">
        <v>470</v>
      </c>
    </row>
    <row r="475" spans="2:27" s="184" customFormat="1" ht="20" x14ac:dyDescent="0.2">
      <c r="B475" s="11" t="s">
        <v>1331</v>
      </c>
      <c r="C475" s="165" t="s">
        <v>4239</v>
      </c>
      <c r="D475" s="22" t="s">
        <v>2379</v>
      </c>
      <c r="E475" s="34">
        <v>1</v>
      </c>
      <c r="F475" s="22" t="s">
        <v>2223</v>
      </c>
      <c r="G475" s="88">
        <v>6.8999999999999995</v>
      </c>
      <c r="H475" s="235">
        <f t="shared" si="60"/>
        <v>4.2592592592592586</v>
      </c>
      <c r="I475" s="88">
        <v>6.8999999999999995</v>
      </c>
      <c r="J475" s="235">
        <f t="shared" si="61"/>
        <v>4.2592592592592586</v>
      </c>
      <c r="K475" s="215">
        <v>69</v>
      </c>
      <c r="L475" s="252">
        <f>_xlfn.XLOOKUP($K475,Inputs!$C$6:$C$23,Inputs!$D$6:$D$23)*$I475</f>
        <v>2.6515714285714282</v>
      </c>
      <c r="M475" s="68"/>
      <c r="N475" s="68"/>
      <c r="O475" s="215">
        <v>57</v>
      </c>
      <c r="P475" s="215">
        <v>57</v>
      </c>
      <c r="Q475" s="94">
        <v>0.9</v>
      </c>
      <c r="R475" s="68" t="s">
        <v>115</v>
      </c>
      <c r="S475" s="182">
        <f t="shared" si="64"/>
        <v>51.300000000000004</v>
      </c>
      <c r="T475" s="182">
        <f t="shared" si="65"/>
        <v>51.300000000000004</v>
      </c>
      <c r="U475" s="96" t="s">
        <v>3738</v>
      </c>
      <c r="V475" s="22" t="s">
        <v>2996</v>
      </c>
      <c r="W475" s="96" t="s">
        <v>3657</v>
      </c>
      <c r="X475" s="22" t="s">
        <v>2929</v>
      </c>
      <c r="Y475" s="11" t="s">
        <v>3288</v>
      </c>
      <c r="Z475" s="79"/>
      <c r="AA475" s="187">
        <v>471</v>
      </c>
    </row>
    <row r="476" spans="2:27" s="184" customFormat="1" ht="20" x14ac:dyDescent="0.2">
      <c r="B476" s="11" t="s">
        <v>1339</v>
      </c>
      <c r="C476" s="165" t="s">
        <v>4239</v>
      </c>
      <c r="D476" s="22" t="s">
        <v>2379</v>
      </c>
      <c r="E476" s="34">
        <v>1</v>
      </c>
      <c r="F476" s="22" t="s">
        <v>2223</v>
      </c>
      <c r="G476" s="88">
        <v>5.75</v>
      </c>
      <c r="H476" s="235">
        <f t="shared" si="60"/>
        <v>3.5493827160493825</v>
      </c>
      <c r="I476" s="88">
        <v>5.75</v>
      </c>
      <c r="J476" s="235">
        <f t="shared" si="61"/>
        <v>3.5493827160493825</v>
      </c>
      <c r="K476" s="215">
        <v>69</v>
      </c>
      <c r="L476" s="252">
        <f>_xlfn.XLOOKUP($K476,Inputs!$C$6:$C$23,Inputs!$D$6:$D$23)*$I476</f>
        <v>2.2096428571428572</v>
      </c>
      <c r="M476" s="68"/>
      <c r="N476" s="68"/>
      <c r="O476" s="215">
        <v>61.3</v>
      </c>
      <c r="P476" s="215">
        <v>85.3</v>
      </c>
      <c r="Q476" s="94">
        <v>0.9</v>
      </c>
      <c r="R476" s="68" t="s">
        <v>115</v>
      </c>
      <c r="S476" s="182">
        <f t="shared" si="64"/>
        <v>55.17</v>
      </c>
      <c r="T476" s="182">
        <f t="shared" si="65"/>
        <v>76.77</v>
      </c>
      <c r="U476" s="96" t="s">
        <v>3738</v>
      </c>
      <c r="V476" s="22" t="s">
        <v>2996</v>
      </c>
      <c r="W476" s="96" t="s">
        <v>3943</v>
      </c>
      <c r="X476" s="22" t="s">
        <v>3195</v>
      </c>
      <c r="Y476" s="11" t="s">
        <v>3288</v>
      </c>
      <c r="Z476" s="79"/>
      <c r="AA476" s="187">
        <v>472</v>
      </c>
    </row>
    <row r="477" spans="2:27" s="184" customFormat="1" ht="20" x14ac:dyDescent="0.2">
      <c r="B477" s="11" t="s">
        <v>1346</v>
      </c>
      <c r="C477" s="165" t="s">
        <v>4239</v>
      </c>
      <c r="D477" s="22" t="s">
        <v>2379</v>
      </c>
      <c r="E477" s="34">
        <v>1</v>
      </c>
      <c r="F477" s="22" t="s">
        <v>2223</v>
      </c>
      <c r="G477" s="88">
        <v>2.2999999999999998</v>
      </c>
      <c r="H477" s="235">
        <f t="shared" si="60"/>
        <v>1.419753086419753</v>
      </c>
      <c r="I477" s="88">
        <v>2.5299999999999998</v>
      </c>
      <c r="J477" s="235">
        <f t="shared" si="61"/>
        <v>1.5617283950617282</v>
      </c>
      <c r="K477" s="201">
        <v>72</v>
      </c>
      <c r="L477" s="252">
        <f>_xlfn.XLOOKUP($K477,Inputs!$C$6:$C$23,Inputs!$D$6:$D$23)*$I477</f>
        <v>0.97766428571428565</v>
      </c>
      <c r="M477" s="68"/>
      <c r="N477" s="68"/>
      <c r="O477" s="215">
        <v>60</v>
      </c>
      <c r="P477" s="215">
        <v>60</v>
      </c>
      <c r="Q477" s="94">
        <v>0.9</v>
      </c>
      <c r="R477" s="68" t="s">
        <v>115</v>
      </c>
      <c r="S477" s="182">
        <f t="shared" si="64"/>
        <v>54</v>
      </c>
      <c r="T477" s="182">
        <f t="shared" si="65"/>
        <v>54</v>
      </c>
      <c r="U477" s="96" t="s">
        <v>3576</v>
      </c>
      <c r="V477" s="22" t="s">
        <v>2871</v>
      </c>
      <c r="W477" s="96" t="s">
        <v>3804</v>
      </c>
      <c r="X477" s="22" t="s">
        <v>3053</v>
      </c>
      <c r="Y477" s="11" t="s">
        <v>3326</v>
      </c>
      <c r="Z477" s="79"/>
      <c r="AA477" s="187">
        <v>473</v>
      </c>
    </row>
    <row r="478" spans="2:27" s="184" customFormat="1" ht="20" x14ac:dyDescent="0.2">
      <c r="B478" s="11" t="s">
        <v>1346</v>
      </c>
      <c r="C478" s="165" t="s">
        <v>4239</v>
      </c>
      <c r="D478" s="22" t="s">
        <v>2379</v>
      </c>
      <c r="E478" s="34">
        <v>1</v>
      </c>
      <c r="F478" s="22" t="s">
        <v>2223</v>
      </c>
      <c r="G478" s="88">
        <v>0.22999999999999998</v>
      </c>
      <c r="H478" s="235">
        <f t="shared" si="60"/>
        <v>0.1419753086419753</v>
      </c>
      <c r="I478" s="88">
        <v>2.5299999999999998</v>
      </c>
      <c r="J478" s="235">
        <f t="shared" si="61"/>
        <v>1.5617283950617282</v>
      </c>
      <c r="K478" s="201">
        <v>72</v>
      </c>
      <c r="L478" s="252">
        <f>_xlfn.XLOOKUP($K478,Inputs!$C$6:$C$23,Inputs!$D$6:$D$23)*$I478</f>
        <v>0.97766428571428565</v>
      </c>
      <c r="M478" s="68"/>
      <c r="N478" s="68"/>
      <c r="O478" s="187"/>
      <c r="P478" s="187"/>
      <c r="Q478" s="94">
        <v>0.9</v>
      </c>
      <c r="R478" s="68">
        <f>IF((42.4*(J478)^(-0.6595))&gt;=3,3,(IF(42.4*(J478)^(-0.6595)&lt;=0.5,0.5,(42.4*(J478)^(-0.6595)))))</f>
        <v>3</v>
      </c>
      <c r="S478" s="276">
        <f>_xlfn.XLOOKUP($K478,Inputs!$G$6:$G$23,Inputs!J$6:J$23)*$R478</f>
        <v>38.880000000000003</v>
      </c>
      <c r="T478" s="276">
        <f>_xlfn.XLOOKUP($K478,Inputs!$G$6:$G$23,Inputs!K$6:K$23)*$R478</f>
        <v>42.491803278688522</v>
      </c>
      <c r="U478" s="96" t="s">
        <v>3804</v>
      </c>
      <c r="V478" s="22" t="s">
        <v>3053</v>
      </c>
      <c r="W478" s="96" t="s">
        <v>4273</v>
      </c>
      <c r="X478" s="22" t="s">
        <v>4274</v>
      </c>
      <c r="Y478" s="11" t="s">
        <v>3331</v>
      </c>
      <c r="Z478" s="79"/>
      <c r="AA478" s="187">
        <v>474</v>
      </c>
    </row>
    <row r="479" spans="2:27" s="184" customFormat="1" ht="20" x14ac:dyDescent="0.2">
      <c r="B479" s="11" t="s">
        <v>1347</v>
      </c>
      <c r="C479" s="165" t="s">
        <v>4239</v>
      </c>
      <c r="D479" s="22" t="s">
        <v>2379</v>
      </c>
      <c r="E479" s="34">
        <v>1</v>
      </c>
      <c r="F479" s="22" t="s">
        <v>2223</v>
      </c>
      <c r="G479" s="88">
        <v>2.2999999999999998</v>
      </c>
      <c r="H479" s="235">
        <f t="shared" si="60"/>
        <v>1.419753086419753</v>
      </c>
      <c r="I479" s="88">
        <v>2.5299999999999998</v>
      </c>
      <c r="J479" s="235">
        <f t="shared" si="61"/>
        <v>1.5617283950617282</v>
      </c>
      <c r="K479" s="201">
        <v>72</v>
      </c>
      <c r="L479" s="252">
        <f>_xlfn.XLOOKUP($K479,Inputs!$C$6:$C$23,Inputs!$D$6:$D$23)*$I479</f>
        <v>0.97766428571428565</v>
      </c>
      <c r="M479" s="68"/>
      <c r="N479" s="68"/>
      <c r="O479" s="215">
        <v>80</v>
      </c>
      <c r="P479" s="215">
        <v>80</v>
      </c>
      <c r="Q479" s="94">
        <v>0.9</v>
      </c>
      <c r="R479" s="68" t="s">
        <v>115</v>
      </c>
      <c r="S479" s="182">
        <f>O479*Q479</f>
        <v>72</v>
      </c>
      <c r="T479" s="182">
        <f>P479*Q479</f>
        <v>72</v>
      </c>
      <c r="U479" s="96" t="s">
        <v>3576</v>
      </c>
      <c r="V479" s="22" t="s">
        <v>2871</v>
      </c>
      <c r="W479" s="96" t="s">
        <v>3804</v>
      </c>
      <c r="X479" s="22" t="s">
        <v>3053</v>
      </c>
      <c r="Y479" s="11" t="s">
        <v>3326</v>
      </c>
      <c r="Z479" s="79"/>
      <c r="AA479" s="187">
        <v>475</v>
      </c>
    </row>
    <row r="480" spans="2:27" s="184" customFormat="1" ht="20" x14ac:dyDescent="0.2">
      <c r="B480" s="11" t="s">
        <v>1347</v>
      </c>
      <c r="C480" s="165" t="s">
        <v>4239</v>
      </c>
      <c r="D480" s="22" t="s">
        <v>2379</v>
      </c>
      <c r="E480" s="34">
        <v>1</v>
      </c>
      <c r="F480" s="22" t="s">
        <v>2223</v>
      </c>
      <c r="G480" s="88">
        <v>0.22999999999999998</v>
      </c>
      <c r="H480" s="235">
        <f t="shared" si="60"/>
        <v>0.1419753086419753</v>
      </c>
      <c r="I480" s="88">
        <v>2.5299999999999998</v>
      </c>
      <c r="J480" s="235">
        <f t="shared" si="61"/>
        <v>1.5617283950617282</v>
      </c>
      <c r="K480" s="201">
        <v>72</v>
      </c>
      <c r="L480" s="252">
        <f>_xlfn.XLOOKUP($K480,Inputs!$C$6:$C$23,Inputs!$D$6:$D$23)*$I480</f>
        <v>0.97766428571428565</v>
      </c>
      <c r="M480" s="68"/>
      <c r="N480" s="68"/>
      <c r="O480" s="187"/>
      <c r="P480" s="187"/>
      <c r="Q480" s="94">
        <v>0.9</v>
      </c>
      <c r="R480" s="68">
        <f>IF((42.4*(J480)^(-0.6595))&gt;=3,3,(IF(42.4*(J480)^(-0.6595)&lt;=0.5,0.5,(42.4*(J480)^(-0.6595)))))</f>
        <v>3</v>
      </c>
      <c r="S480" s="276">
        <f>_xlfn.XLOOKUP($K480,Inputs!$G$6:$G$23,Inputs!J$6:J$23)*$R480</f>
        <v>38.880000000000003</v>
      </c>
      <c r="T480" s="276">
        <f>_xlfn.XLOOKUP($K480,Inputs!$G$6:$G$23,Inputs!K$6:K$23)*$R480</f>
        <v>42.491803278688522</v>
      </c>
      <c r="U480" s="96" t="s">
        <v>3804</v>
      </c>
      <c r="V480" s="22" t="s">
        <v>3053</v>
      </c>
      <c r="W480" s="96" t="s">
        <v>4273</v>
      </c>
      <c r="X480" s="22" t="s">
        <v>4274</v>
      </c>
      <c r="Y480" s="11" t="s">
        <v>3331</v>
      </c>
      <c r="Z480" s="79"/>
      <c r="AA480" s="187">
        <v>476</v>
      </c>
    </row>
    <row r="481" spans="2:27" s="184" customFormat="1" ht="20" x14ac:dyDescent="0.2">
      <c r="B481" s="11" t="s">
        <v>1350</v>
      </c>
      <c r="C481" s="165" t="s">
        <v>4239</v>
      </c>
      <c r="D481" s="22" t="s">
        <v>2379</v>
      </c>
      <c r="E481" s="34">
        <v>1</v>
      </c>
      <c r="F481" s="22" t="s">
        <v>2223</v>
      </c>
      <c r="G481" s="88">
        <v>2.2999999999999998</v>
      </c>
      <c r="H481" s="235">
        <f t="shared" si="60"/>
        <v>1.419753086419753</v>
      </c>
      <c r="I481" s="88">
        <v>2.2999999999999998</v>
      </c>
      <c r="J481" s="235">
        <f t="shared" si="61"/>
        <v>1.419753086419753</v>
      </c>
      <c r="K481" s="215">
        <v>69</v>
      </c>
      <c r="L481" s="252">
        <f>_xlfn.XLOOKUP($K481,Inputs!$C$6:$C$23,Inputs!$D$6:$D$23)*$I481</f>
        <v>0.88385714285714279</v>
      </c>
      <c r="M481" s="68"/>
      <c r="N481" s="68"/>
      <c r="O481" s="215">
        <v>63.9</v>
      </c>
      <c r="P481" s="215">
        <v>63.9</v>
      </c>
      <c r="Q481" s="94">
        <v>0.9</v>
      </c>
      <c r="R481" s="68" t="s">
        <v>115</v>
      </c>
      <c r="S481" s="182">
        <f t="shared" ref="S481:S489" si="66">O481*Q481</f>
        <v>57.51</v>
      </c>
      <c r="T481" s="182">
        <f t="shared" ref="T481:T489" si="67">P481*Q481</f>
        <v>57.51</v>
      </c>
      <c r="U481" s="96" t="s">
        <v>4281</v>
      </c>
      <c r="V481" s="203" t="s">
        <v>4282</v>
      </c>
      <c r="W481" s="96" t="s">
        <v>3804</v>
      </c>
      <c r="X481" s="22" t="s">
        <v>3053</v>
      </c>
      <c r="Y481" s="11" t="s">
        <v>3288</v>
      </c>
      <c r="Z481" s="79"/>
      <c r="AA481" s="187">
        <v>477</v>
      </c>
    </row>
    <row r="482" spans="2:27" s="184" customFormat="1" ht="20" x14ac:dyDescent="0.2">
      <c r="B482" s="11" t="s">
        <v>1349</v>
      </c>
      <c r="C482" s="165" t="s">
        <v>4239</v>
      </c>
      <c r="D482" s="22" t="s">
        <v>2379</v>
      </c>
      <c r="E482" s="34">
        <v>1</v>
      </c>
      <c r="F482" s="22" t="s">
        <v>2223</v>
      </c>
      <c r="G482" s="88">
        <v>2.2999999999999998</v>
      </c>
      <c r="H482" s="235">
        <f t="shared" si="60"/>
        <v>1.419753086419753</v>
      </c>
      <c r="I482" s="88">
        <v>2.2999999999999998</v>
      </c>
      <c r="J482" s="235">
        <f t="shared" si="61"/>
        <v>1.419753086419753</v>
      </c>
      <c r="K482" s="215">
        <v>69</v>
      </c>
      <c r="L482" s="252">
        <f>_xlfn.XLOOKUP($K482,Inputs!$C$6:$C$23,Inputs!$D$6:$D$23)*$I482</f>
        <v>0.88385714285714279</v>
      </c>
      <c r="M482" s="68"/>
      <c r="N482" s="68"/>
      <c r="O482" s="215">
        <v>63.9</v>
      </c>
      <c r="P482" s="215">
        <v>63.9</v>
      </c>
      <c r="Q482" s="94">
        <v>0.9</v>
      </c>
      <c r="R482" s="68" t="s">
        <v>115</v>
      </c>
      <c r="S482" s="182">
        <f t="shared" si="66"/>
        <v>57.51</v>
      </c>
      <c r="T482" s="182">
        <f t="shared" si="67"/>
        <v>57.51</v>
      </c>
      <c r="U482" s="96" t="s">
        <v>4281</v>
      </c>
      <c r="V482" s="203" t="s">
        <v>4282</v>
      </c>
      <c r="W482" s="96" t="s">
        <v>3804</v>
      </c>
      <c r="X482" s="22" t="s">
        <v>3053</v>
      </c>
      <c r="Y482" s="11" t="s">
        <v>3288</v>
      </c>
      <c r="Z482" s="79"/>
      <c r="AA482" s="187">
        <v>478</v>
      </c>
    </row>
    <row r="483" spans="2:27" s="184" customFormat="1" ht="20" x14ac:dyDescent="0.2">
      <c r="B483" s="11" t="s">
        <v>1351</v>
      </c>
      <c r="C483" s="165" t="s">
        <v>4239</v>
      </c>
      <c r="D483" s="22" t="s">
        <v>2379</v>
      </c>
      <c r="E483" s="34">
        <v>1</v>
      </c>
      <c r="F483" s="22" t="s">
        <v>2223</v>
      </c>
      <c r="G483" s="88">
        <v>2.2999999999999998</v>
      </c>
      <c r="H483" s="235">
        <f t="shared" si="60"/>
        <v>1.419753086419753</v>
      </c>
      <c r="I483" s="88">
        <v>2.2999999999999998</v>
      </c>
      <c r="J483" s="235">
        <f t="shared" si="61"/>
        <v>1.419753086419753</v>
      </c>
      <c r="K483" s="215">
        <v>69</v>
      </c>
      <c r="L483" s="252">
        <f>_xlfn.XLOOKUP($K483,Inputs!$C$6:$C$23,Inputs!$D$6:$D$23)*$I483</f>
        <v>0.88385714285714279</v>
      </c>
      <c r="M483" s="68"/>
      <c r="N483" s="68"/>
      <c r="O483" s="215">
        <v>63.9</v>
      </c>
      <c r="P483" s="215">
        <v>63.9</v>
      </c>
      <c r="Q483" s="94">
        <v>0.9</v>
      </c>
      <c r="R483" s="68" t="s">
        <v>115</v>
      </c>
      <c r="S483" s="182">
        <f t="shared" si="66"/>
        <v>57.51</v>
      </c>
      <c r="T483" s="182">
        <f t="shared" si="67"/>
        <v>57.51</v>
      </c>
      <c r="U483" s="96" t="s">
        <v>4281</v>
      </c>
      <c r="V483" s="203" t="s">
        <v>4282</v>
      </c>
      <c r="W483" s="96" t="s">
        <v>3804</v>
      </c>
      <c r="X483" s="205" t="s">
        <v>3053</v>
      </c>
      <c r="Y483" s="11" t="s">
        <v>3288</v>
      </c>
      <c r="Z483" s="79"/>
      <c r="AA483" s="187">
        <v>479</v>
      </c>
    </row>
    <row r="484" spans="2:27" s="184" customFormat="1" ht="20" x14ac:dyDescent="0.2">
      <c r="B484" s="11" t="s">
        <v>2079</v>
      </c>
      <c r="C484" s="165" t="s">
        <v>4239</v>
      </c>
      <c r="D484" s="22" t="s">
        <v>2379</v>
      </c>
      <c r="E484" s="34">
        <v>1</v>
      </c>
      <c r="F484" s="22" t="s">
        <v>2223</v>
      </c>
      <c r="G484" s="88">
        <v>10.35</v>
      </c>
      <c r="H484" s="235">
        <f t="shared" si="60"/>
        <v>6.3888888888888884</v>
      </c>
      <c r="I484" s="88">
        <v>10.35</v>
      </c>
      <c r="J484" s="235">
        <f t="shared" si="61"/>
        <v>6.3888888888888884</v>
      </c>
      <c r="K484" s="215">
        <v>69</v>
      </c>
      <c r="L484" s="252">
        <f>_xlfn.XLOOKUP($K484,Inputs!$C$6:$C$23,Inputs!$D$6:$D$23)*$I484</f>
        <v>3.9773571428571426</v>
      </c>
      <c r="M484" s="68"/>
      <c r="N484" s="68"/>
      <c r="O484" s="215">
        <v>57</v>
      </c>
      <c r="P484" s="215">
        <v>62</v>
      </c>
      <c r="Q484" s="94">
        <v>0.9</v>
      </c>
      <c r="R484" s="68" t="s">
        <v>115</v>
      </c>
      <c r="S484" s="182">
        <f t="shared" si="66"/>
        <v>51.300000000000004</v>
      </c>
      <c r="T484" s="182">
        <f t="shared" si="67"/>
        <v>55.800000000000004</v>
      </c>
      <c r="U484" s="96" t="s">
        <v>3943</v>
      </c>
      <c r="V484" s="22" t="s">
        <v>3195</v>
      </c>
      <c r="W484" s="96" t="s">
        <v>3804</v>
      </c>
      <c r="X484" s="22" t="s">
        <v>3053</v>
      </c>
      <c r="Y484" s="11" t="s">
        <v>3288</v>
      </c>
      <c r="Z484" s="79"/>
      <c r="AA484" s="187">
        <v>480</v>
      </c>
    </row>
    <row r="485" spans="2:27" s="184" customFormat="1" ht="20" x14ac:dyDescent="0.2">
      <c r="B485" s="11" t="s">
        <v>1338</v>
      </c>
      <c r="C485" s="165" t="s">
        <v>4239</v>
      </c>
      <c r="D485" s="22" t="s">
        <v>2379</v>
      </c>
      <c r="E485" s="34">
        <v>1</v>
      </c>
      <c r="F485" s="22" t="s">
        <v>2223</v>
      </c>
      <c r="G485" s="88">
        <v>4.0249999999999995</v>
      </c>
      <c r="H485" s="235">
        <f t="shared" si="60"/>
        <v>2.4845679012345676</v>
      </c>
      <c r="I485" s="88">
        <v>4.0249999999999995</v>
      </c>
      <c r="J485" s="235">
        <f t="shared" si="61"/>
        <v>2.4845679012345676</v>
      </c>
      <c r="K485" s="215">
        <v>69</v>
      </c>
      <c r="L485" s="252">
        <f>_xlfn.XLOOKUP($K485,Inputs!$C$6:$C$23,Inputs!$D$6:$D$23)*$I485</f>
        <v>1.5467499999999998</v>
      </c>
      <c r="M485" s="68"/>
      <c r="N485" s="68"/>
      <c r="O485" s="215">
        <v>57.5</v>
      </c>
      <c r="P485" s="215">
        <v>62.3</v>
      </c>
      <c r="Q485" s="94">
        <v>0.9</v>
      </c>
      <c r="R485" s="68" t="s">
        <v>115</v>
      </c>
      <c r="S485" s="182">
        <f t="shared" si="66"/>
        <v>51.75</v>
      </c>
      <c r="T485" s="182">
        <f t="shared" si="67"/>
        <v>56.07</v>
      </c>
      <c r="U485" s="96" t="s">
        <v>4281</v>
      </c>
      <c r="V485" s="203" t="s">
        <v>4282</v>
      </c>
      <c r="W485" s="96" t="s">
        <v>3738</v>
      </c>
      <c r="X485" s="22" t="s">
        <v>2996</v>
      </c>
      <c r="Y485" s="11" t="s">
        <v>3288</v>
      </c>
      <c r="Z485" s="79"/>
      <c r="AA485" s="187">
        <v>481</v>
      </c>
    </row>
    <row r="486" spans="2:27" s="184" customFormat="1" ht="20" x14ac:dyDescent="0.2">
      <c r="B486" s="11" t="s">
        <v>1375</v>
      </c>
      <c r="C486" s="165" t="s">
        <v>4235</v>
      </c>
      <c r="D486" s="22" t="s">
        <v>2379</v>
      </c>
      <c r="E486" s="34">
        <v>1</v>
      </c>
      <c r="F486" s="22" t="s">
        <v>2223</v>
      </c>
      <c r="G486" s="88">
        <v>10.8</v>
      </c>
      <c r="H486" s="235">
        <f t="shared" si="60"/>
        <v>6.666666666666667</v>
      </c>
      <c r="I486" s="88">
        <v>31.8</v>
      </c>
      <c r="J486" s="235">
        <f t="shared" si="61"/>
        <v>19.62962962962963</v>
      </c>
      <c r="K486" s="215">
        <v>138</v>
      </c>
      <c r="L486" s="252">
        <f>_xlfn.XLOOKUP($K486,Inputs!$C$6:$C$23,Inputs!$D$6:$D$23)*$I486</f>
        <v>13.787571428571431</v>
      </c>
      <c r="M486" s="68"/>
      <c r="N486" s="68"/>
      <c r="O486" s="215">
        <v>86</v>
      </c>
      <c r="P486" s="215">
        <v>91.1</v>
      </c>
      <c r="Q486" s="94">
        <v>0.9</v>
      </c>
      <c r="R486" s="68" t="s">
        <v>115</v>
      </c>
      <c r="S486" s="182">
        <f t="shared" si="66"/>
        <v>77.400000000000006</v>
      </c>
      <c r="T486" s="182">
        <f t="shared" si="67"/>
        <v>81.99</v>
      </c>
      <c r="U486" s="96" t="s">
        <v>3367</v>
      </c>
      <c r="V486" s="22" t="s">
        <v>2739</v>
      </c>
      <c r="W486" s="96" t="s">
        <v>3963</v>
      </c>
      <c r="X486" s="22" t="s">
        <v>2135</v>
      </c>
      <c r="Y486" s="11" t="s">
        <v>3277</v>
      </c>
      <c r="Z486" s="79"/>
      <c r="AA486" s="187">
        <v>482</v>
      </c>
    </row>
    <row r="487" spans="2:27" s="184" customFormat="1" ht="20" x14ac:dyDescent="0.2">
      <c r="B487" s="11" t="s">
        <v>1375</v>
      </c>
      <c r="C487" s="165" t="s">
        <v>4235</v>
      </c>
      <c r="D487" s="22" t="s">
        <v>2379</v>
      </c>
      <c r="E487" s="34">
        <v>1</v>
      </c>
      <c r="F487" s="22" t="s">
        <v>2223</v>
      </c>
      <c r="G487" s="88">
        <v>21</v>
      </c>
      <c r="H487" s="235">
        <f t="shared" si="60"/>
        <v>12.962962962962962</v>
      </c>
      <c r="I487" s="88">
        <v>31.8</v>
      </c>
      <c r="J487" s="235">
        <f t="shared" si="61"/>
        <v>19.62962962962963</v>
      </c>
      <c r="K487" s="215">
        <v>138</v>
      </c>
      <c r="L487" s="252">
        <f>_xlfn.XLOOKUP($K487,Inputs!$C$6:$C$23,Inputs!$D$6:$D$23)*$I487</f>
        <v>13.787571428571431</v>
      </c>
      <c r="M487" s="68"/>
      <c r="N487" s="68"/>
      <c r="O487" s="215">
        <v>85.1</v>
      </c>
      <c r="P487" s="215">
        <v>90.1</v>
      </c>
      <c r="Q487" s="94">
        <v>0.9</v>
      </c>
      <c r="R487" s="68" t="s">
        <v>115</v>
      </c>
      <c r="S487" s="182">
        <f t="shared" si="66"/>
        <v>76.59</v>
      </c>
      <c r="T487" s="182">
        <f t="shared" si="67"/>
        <v>81.09</v>
      </c>
      <c r="U487" s="96" t="s">
        <v>3963</v>
      </c>
      <c r="V487" s="205" t="s">
        <v>2135</v>
      </c>
      <c r="W487" s="96" t="s">
        <v>3521</v>
      </c>
      <c r="X487" s="22" t="s">
        <v>2662</v>
      </c>
      <c r="Y487" s="11" t="s">
        <v>3277</v>
      </c>
      <c r="Z487" s="79"/>
      <c r="AA487" s="187">
        <v>483</v>
      </c>
    </row>
    <row r="488" spans="2:27" s="184" customFormat="1" ht="20" x14ac:dyDescent="0.2">
      <c r="B488" s="79" t="s">
        <v>1307</v>
      </c>
      <c r="C488" s="165" t="s">
        <v>4235</v>
      </c>
      <c r="D488" s="22" t="s">
        <v>2379</v>
      </c>
      <c r="E488" s="34">
        <v>1</v>
      </c>
      <c r="F488" s="22" t="s">
        <v>2223</v>
      </c>
      <c r="G488" s="88">
        <v>15</v>
      </c>
      <c r="H488" s="235">
        <f t="shared" si="60"/>
        <v>9.2592592592592595</v>
      </c>
      <c r="I488" s="88">
        <v>21</v>
      </c>
      <c r="J488" s="235">
        <f t="shared" si="61"/>
        <v>12.962962962962962</v>
      </c>
      <c r="K488" s="215">
        <v>138</v>
      </c>
      <c r="L488" s="252">
        <f>_xlfn.XLOOKUP($K488,Inputs!$C$6:$C$23,Inputs!$D$6:$D$23)*$I488</f>
        <v>9.1050000000000004</v>
      </c>
      <c r="M488" s="68"/>
      <c r="N488" s="68"/>
      <c r="O488" s="215">
        <v>119</v>
      </c>
      <c r="P488" s="215">
        <v>146</v>
      </c>
      <c r="Q488" s="94">
        <v>0.9</v>
      </c>
      <c r="R488" s="68" t="s">
        <v>115</v>
      </c>
      <c r="S488" s="182">
        <f t="shared" si="66"/>
        <v>107.10000000000001</v>
      </c>
      <c r="T488" s="182">
        <f t="shared" si="67"/>
        <v>131.4</v>
      </c>
      <c r="U488" s="96" t="s">
        <v>4278</v>
      </c>
      <c r="V488" s="22" t="s">
        <v>4280</v>
      </c>
      <c r="W488" s="96" t="s">
        <v>3427</v>
      </c>
      <c r="X488" s="22" t="s">
        <v>2776</v>
      </c>
      <c r="Y488" s="11" t="s">
        <v>3281</v>
      </c>
      <c r="Z488" s="79"/>
      <c r="AA488" s="187">
        <v>484</v>
      </c>
    </row>
    <row r="489" spans="2:27" s="184" customFormat="1" ht="20" x14ac:dyDescent="0.2">
      <c r="B489" s="79" t="s">
        <v>1307</v>
      </c>
      <c r="C489" s="165" t="s">
        <v>4235</v>
      </c>
      <c r="D489" s="22" t="s">
        <v>2379</v>
      </c>
      <c r="E489" s="34">
        <v>1</v>
      </c>
      <c r="F489" s="22" t="s">
        <v>2223</v>
      </c>
      <c r="G489" s="88">
        <v>6</v>
      </c>
      <c r="H489" s="235">
        <f t="shared" si="60"/>
        <v>3.7037037037037033</v>
      </c>
      <c r="I489" s="88">
        <v>21</v>
      </c>
      <c r="J489" s="235">
        <f t="shared" si="61"/>
        <v>12.962962962962962</v>
      </c>
      <c r="K489" s="215">
        <v>138</v>
      </c>
      <c r="L489" s="252">
        <f>_xlfn.XLOOKUP($K489,Inputs!$C$6:$C$23,Inputs!$D$6:$D$23)*$I489</f>
        <v>9.1050000000000004</v>
      </c>
      <c r="M489" s="68"/>
      <c r="N489" s="68"/>
      <c r="O489" s="215">
        <v>172</v>
      </c>
      <c r="P489" s="215">
        <v>212</v>
      </c>
      <c r="Q489" s="94">
        <v>0.9</v>
      </c>
      <c r="R489" s="68" t="s">
        <v>115</v>
      </c>
      <c r="S489" s="182">
        <f t="shared" si="66"/>
        <v>154.80000000000001</v>
      </c>
      <c r="T489" s="182">
        <f t="shared" si="67"/>
        <v>190.8</v>
      </c>
      <c r="U489" s="96" t="s">
        <v>3524</v>
      </c>
      <c r="V489" s="22" t="s">
        <v>2837</v>
      </c>
      <c r="W489" s="96" t="s">
        <v>4278</v>
      </c>
      <c r="X489" s="22" t="s">
        <v>4280</v>
      </c>
      <c r="Y489" s="11" t="s">
        <v>3281</v>
      </c>
      <c r="Z489" s="79"/>
      <c r="AA489" s="187">
        <v>485</v>
      </c>
    </row>
    <row r="490" spans="2:27" s="184" customFormat="1" ht="20" x14ac:dyDescent="0.2">
      <c r="B490" s="11" t="s">
        <v>1377</v>
      </c>
      <c r="C490" s="165" t="s">
        <v>4235</v>
      </c>
      <c r="D490" s="22" t="s">
        <v>2379</v>
      </c>
      <c r="E490" s="34">
        <v>1</v>
      </c>
      <c r="F490" s="22" t="s">
        <v>2223</v>
      </c>
      <c r="G490" s="88">
        <v>12</v>
      </c>
      <c r="H490" s="235">
        <f t="shared" si="60"/>
        <v>7.4074074074074066</v>
      </c>
      <c r="I490" s="88">
        <v>19.2</v>
      </c>
      <c r="J490" s="235">
        <f t="shared" si="61"/>
        <v>11.851851851851851</v>
      </c>
      <c r="K490" s="201">
        <v>144</v>
      </c>
      <c r="L490" s="252">
        <f>_xlfn.XLOOKUP($K490,Inputs!$C$6:$C$23,Inputs!$D$6:$D$23)*$I490</f>
        <v>8.4068571428571435</v>
      </c>
      <c r="M490" s="68"/>
      <c r="N490" s="68"/>
      <c r="O490" s="187"/>
      <c r="P490" s="187"/>
      <c r="Q490" s="94">
        <v>0.9</v>
      </c>
      <c r="R490" s="68">
        <f>IF((42.4*(J490)^(-0.6595))&gt;=3,3,(IF(42.4*(J490)^(-0.6595)&lt;=0.5,0.5,(42.4*(J490)^(-0.6595)))))</f>
        <v>3</v>
      </c>
      <c r="S490" s="276">
        <f>_xlfn.XLOOKUP($K490,Inputs!$G$6:$G$23,Inputs!J$6:J$23)*$R490</f>
        <v>153.60000000000002</v>
      </c>
      <c r="T490" s="276">
        <f>_xlfn.XLOOKUP($K490,Inputs!$G$6:$G$23,Inputs!K$6:K$23)*$R490</f>
        <v>169.96721311475409</v>
      </c>
      <c r="U490" s="96" t="s">
        <v>3963</v>
      </c>
      <c r="V490" s="22" t="s">
        <v>2135</v>
      </c>
      <c r="W490" s="96" t="s">
        <v>3985</v>
      </c>
      <c r="X490" s="22" t="s">
        <v>2136</v>
      </c>
      <c r="Y490" s="11" t="s">
        <v>3331</v>
      </c>
      <c r="Z490" s="79"/>
      <c r="AA490" s="187">
        <v>486</v>
      </c>
    </row>
    <row r="491" spans="2:27" s="184" customFormat="1" ht="20" x14ac:dyDescent="0.2">
      <c r="B491" s="11" t="s">
        <v>1377</v>
      </c>
      <c r="C491" s="165" t="s">
        <v>4235</v>
      </c>
      <c r="D491" s="22" t="s">
        <v>2379</v>
      </c>
      <c r="E491" s="34">
        <v>1</v>
      </c>
      <c r="F491" s="22" t="s">
        <v>2223</v>
      </c>
      <c r="G491" s="88">
        <v>7.1999999999999993</v>
      </c>
      <c r="H491" s="235">
        <f t="shared" si="60"/>
        <v>4.4444444444444438</v>
      </c>
      <c r="I491" s="88">
        <v>19.2</v>
      </c>
      <c r="J491" s="235">
        <f t="shared" si="61"/>
        <v>11.851851851851851</v>
      </c>
      <c r="K491" s="201">
        <v>144</v>
      </c>
      <c r="L491" s="252">
        <f>_xlfn.XLOOKUP($K491,Inputs!$C$6:$C$23,Inputs!$D$6:$D$23)*$I491</f>
        <v>8.4068571428571435</v>
      </c>
      <c r="M491" s="68"/>
      <c r="N491" s="68"/>
      <c r="O491" s="187"/>
      <c r="P491" s="187"/>
      <c r="Q491" s="94">
        <v>0.9</v>
      </c>
      <c r="R491" s="68">
        <f>IF((42.4*(J491)^(-0.6595))&gt;=3,3,(IF(42.4*(J491)^(-0.6595)&lt;=0.5,0.5,(42.4*(J491)^(-0.6595)))))</f>
        <v>3</v>
      </c>
      <c r="S491" s="276">
        <f>_xlfn.XLOOKUP($K491,Inputs!$G$6:$G$23,Inputs!J$6:J$23)*$R491</f>
        <v>153.60000000000002</v>
      </c>
      <c r="T491" s="276">
        <f>_xlfn.XLOOKUP($K491,Inputs!$G$6:$G$23,Inputs!K$6:K$23)*$R491</f>
        <v>169.96721311475409</v>
      </c>
      <c r="U491" s="96" t="s">
        <v>3985</v>
      </c>
      <c r="V491" s="22" t="s">
        <v>2136</v>
      </c>
      <c r="W491" s="96" t="s">
        <v>3662</v>
      </c>
      <c r="X491" s="22" t="s">
        <v>2934</v>
      </c>
      <c r="Y491" s="11" t="s">
        <v>3331</v>
      </c>
      <c r="Z491" s="79"/>
      <c r="AA491" s="187">
        <v>487</v>
      </c>
    </row>
    <row r="492" spans="2:27" s="184" customFormat="1" ht="20" x14ac:dyDescent="0.2">
      <c r="B492" s="79" t="s">
        <v>1380</v>
      </c>
      <c r="C492" s="165" t="s">
        <v>4235</v>
      </c>
      <c r="D492" s="22" t="s">
        <v>2379</v>
      </c>
      <c r="E492" s="34">
        <v>1</v>
      </c>
      <c r="F492" s="22" t="s">
        <v>2223</v>
      </c>
      <c r="G492" s="88">
        <v>4.8000000000000007</v>
      </c>
      <c r="H492" s="235">
        <f t="shared" si="60"/>
        <v>2.9629629629629632</v>
      </c>
      <c r="I492" s="88">
        <v>4.8000000000000007</v>
      </c>
      <c r="J492" s="235">
        <f t="shared" si="61"/>
        <v>2.9629629629629632</v>
      </c>
      <c r="K492" s="201">
        <v>144</v>
      </c>
      <c r="L492" s="252">
        <f>_xlfn.XLOOKUP($K492,Inputs!$C$6:$C$23,Inputs!$D$6:$D$23)*$I492</f>
        <v>2.1017142857142863</v>
      </c>
      <c r="M492" s="68"/>
      <c r="N492" s="68"/>
      <c r="O492" s="187"/>
      <c r="P492" s="187"/>
      <c r="Q492" s="94">
        <v>0.9</v>
      </c>
      <c r="R492" s="68">
        <f>IF((42.4*(J492)^(-0.6595))&gt;=3,3,(IF(42.4*(J492)^(-0.6595)&lt;=0.5,0.5,(42.4*(J492)^(-0.6595)))))</f>
        <v>3</v>
      </c>
      <c r="S492" s="276">
        <f>_xlfn.XLOOKUP($K492,Inputs!$G$6:$G$23,Inputs!J$6:J$23)*$R492</f>
        <v>153.60000000000002</v>
      </c>
      <c r="T492" s="276">
        <f>_xlfn.XLOOKUP($K492,Inputs!$G$6:$G$23,Inputs!K$6:K$23)*$R492</f>
        <v>169.96721311475409</v>
      </c>
      <c r="U492" s="96" t="s">
        <v>3985</v>
      </c>
      <c r="V492" s="22" t="s">
        <v>2136</v>
      </c>
      <c r="W492" s="96" t="s">
        <v>3786</v>
      </c>
      <c r="X492" s="22" t="s">
        <v>3037</v>
      </c>
      <c r="Y492" s="11" t="s">
        <v>3331</v>
      </c>
      <c r="Z492" s="79"/>
      <c r="AA492" s="187">
        <v>488</v>
      </c>
    </row>
    <row r="493" spans="2:27" s="184" customFormat="1" ht="20" x14ac:dyDescent="0.2">
      <c r="B493" s="11" t="s">
        <v>1798</v>
      </c>
      <c r="C493" s="165" t="s">
        <v>4235</v>
      </c>
      <c r="D493" s="22" t="s">
        <v>2379</v>
      </c>
      <c r="E493" s="34">
        <v>1</v>
      </c>
      <c r="F493" s="22" t="s">
        <v>2223</v>
      </c>
      <c r="G493" s="88">
        <v>3.4</v>
      </c>
      <c r="H493" s="235">
        <f t="shared" si="60"/>
        <v>2.0987654320987654</v>
      </c>
      <c r="I493" s="88">
        <v>24.4</v>
      </c>
      <c r="J493" s="235">
        <f t="shared" si="61"/>
        <v>15.061728395061726</v>
      </c>
      <c r="K493" s="215">
        <v>138</v>
      </c>
      <c r="L493" s="252">
        <f>_xlfn.XLOOKUP($K493,Inputs!$C$6:$C$23,Inputs!$D$6:$D$23)*$I493</f>
        <v>10.579142857142857</v>
      </c>
      <c r="M493" s="68"/>
      <c r="N493" s="68"/>
      <c r="O493" s="215">
        <v>120</v>
      </c>
      <c r="P493" s="215">
        <v>143</v>
      </c>
      <c r="Q493" s="94">
        <v>0.9</v>
      </c>
      <c r="R493" s="68" t="s">
        <v>115</v>
      </c>
      <c r="S493" s="182">
        <f t="shared" ref="S493:S500" si="68">O493*Q493</f>
        <v>108</v>
      </c>
      <c r="T493" s="182">
        <f t="shared" ref="T493:T500" si="69">P493*Q493</f>
        <v>128.70000000000002</v>
      </c>
      <c r="U493" s="96" t="s">
        <v>3851</v>
      </c>
      <c r="V493" s="22" t="s">
        <v>2720</v>
      </c>
      <c r="W493" s="96" t="s">
        <v>3737</v>
      </c>
      <c r="X493" s="22" t="s">
        <v>2621</v>
      </c>
      <c r="Y493" s="11" t="s">
        <v>3285</v>
      </c>
      <c r="Z493" s="79"/>
      <c r="AA493" s="187">
        <v>489</v>
      </c>
    </row>
    <row r="494" spans="2:27" s="184" customFormat="1" ht="20" x14ac:dyDescent="0.2">
      <c r="B494" s="11" t="s">
        <v>1798</v>
      </c>
      <c r="C494" s="165" t="s">
        <v>4235</v>
      </c>
      <c r="D494" s="22" t="s">
        <v>2379</v>
      </c>
      <c r="E494" s="34">
        <v>1</v>
      </c>
      <c r="F494" s="22" t="s">
        <v>2223</v>
      </c>
      <c r="G494" s="235">
        <v>21</v>
      </c>
      <c r="H494" s="235">
        <f t="shared" si="60"/>
        <v>12.962962962962962</v>
      </c>
      <c r="I494" s="235">
        <v>24.4</v>
      </c>
      <c r="J494" s="235">
        <f t="shared" si="61"/>
        <v>15.061728395061726</v>
      </c>
      <c r="K494" s="215">
        <v>138</v>
      </c>
      <c r="L494" s="252">
        <f>_xlfn.XLOOKUP($K494,Inputs!$C$6:$C$23,Inputs!$D$6:$D$23)*$I494</f>
        <v>10.579142857142857</v>
      </c>
      <c r="M494" s="68"/>
      <c r="N494" s="68"/>
      <c r="O494" s="215">
        <v>120</v>
      </c>
      <c r="P494" s="215">
        <v>148</v>
      </c>
      <c r="Q494" s="94">
        <v>0.9</v>
      </c>
      <c r="R494" s="68" t="s">
        <v>115</v>
      </c>
      <c r="S494" s="182">
        <f t="shared" si="68"/>
        <v>108</v>
      </c>
      <c r="T494" s="182">
        <f t="shared" si="69"/>
        <v>133.20000000000002</v>
      </c>
      <c r="U494" s="96" t="s">
        <v>3737</v>
      </c>
      <c r="V494" s="22" t="s">
        <v>2621</v>
      </c>
      <c r="W494" s="96" t="s">
        <v>3581</v>
      </c>
      <c r="X494" s="22" t="s">
        <v>2874</v>
      </c>
      <c r="Y494" s="11" t="s">
        <v>3285</v>
      </c>
      <c r="Z494" s="79"/>
      <c r="AA494" s="187">
        <v>490</v>
      </c>
    </row>
    <row r="495" spans="2:27" s="184" customFormat="1" ht="20" x14ac:dyDescent="0.2">
      <c r="B495" s="11" t="s">
        <v>1919</v>
      </c>
      <c r="C495" s="165" t="s">
        <v>4235</v>
      </c>
      <c r="D495" s="22" t="s">
        <v>2379</v>
      </c>
      <c r="E495" s="34">
        <v>1</v>
      </c>
      <c r="F495" s="22" t="s">
        <v>2223</v>
      </c>
      <c r="G495" s="235">
        <v>10</v>
      </c>
      <c r="H495" s="235">
        <f t="shared" si="60"/>
        <v>6.1728395061728394</v>
      </c>
      <c r="I495" s="235">
        <v>10</v>
      </c>
      <c r="J495" s="235">
        <f t="shared" si="61"/>
        <v>6.1728395061728394</v>
      </c>
      <c r="K495" s="215">
        <v>138</v>
      </c>
      <c r="L495" s="252">
        <f>_xlfn.XLOOKUP($K495,Inputs!$C$6:$C$23,Inputs!$D$6:$D$23)*$I495</f>
        <v>4.3357142857142863</v>
      </c>
      <c r="M495" s="68"/>
      <c r="N495" s="68"/>
      <c r="O495" s="215">
        <v>167</v>
      </c>
      <c r="P495" s="215">
        <v>201</v>
      </c>
      <c r="Q495" s="94">
        <v>0.9</v>
      </c>
      <c r="R495" s="68" t="s">
        <v>115</v>
      </c>
      <c r="S495" s="182">
        <f t="shared" si="68"/>
        <v>150.30000000000001</v>
      </c>
      <c r="T495" s="182">
        <f t="shared" si="69"/>
        <v>180.9</v>
      </c>
      <c r="U495" s="96" t="s">
        <v>3752</v>
      </c>
      <c r="V495" s="22" t="s">
        <v>3010</v>
      </c>
      <c r="W495" s="96" t="s">
        <v>3890</v>
      </c>
      <c r="X495" s="22" t="s">
        <v>3152</v>
      </c>
      <c r="Y495" s="11" t="s">
        <v>3303</v>
      </c>
      <c r="Z495" s="79"/>
      <c r="AA495" s="187">
        <v>491</v>
      </c>
    </row>
    <row r="496" spans="2:27" s="184" customFormat="1" ht="20" x14ac:dyDescent="0.2">
      <c r="B496" s="11" t="s">
        <v>769</v>
      </c>
      <c r="C496" s="165" t="s">
        <v>4235</v>
      </c>
      <c r="D496" s="22" t="s">
        <v>2379</v>
      </c>
      <c r="E496" s="34">
        <v>1</v>
      </c>
      <c r="F496" s="22" t="s">
        <v>2223</v>
      </c>
      <c r="G496" s="235">
        <v>15</v>
      </c>
      <c r="H496" s="235">
        <f t="shared" si="60"/>
        <v>9.2592592592592595</v>
      </c>
      <c r="I496" s="235">
        <v>15</v>
      </c>
      <c r="J496" s="235">
        <f t="shared" si="61"/>
        <v>9.2592592592592595</v>
      </c>
      <c r="K496" s="215">
        <v>138</v>
      </c>
      <c r="L496" s="252">
        <f>_xlfn.XLOOKUP($K496,Inputs!$C$6:$C$23,Inputs!$D$6:$D$23)*$I496</f>
        <v>6.503571428571429</v>
      </c>
      <c r="M496" s="68"/>
      <c r="N496" s="68"/>
      <c r="O496" s="215">
        <v>96</v>
      </c>
      <c r="P496" s="215">
        <v>94</v>
      </c>
      <c r="Q496" s="94">
        <v>0.9</v>
      </c>
      <c r="R496" s="68" t="s">
        <v>115</v>
      </c>
      <c r="S496" s="182">
        <f t="shared" si="68"/>
        <v>86.4</v>
      </c>
      <c r="T496" s="182">
        <f t="shared" si="69"/>
        <v>84.600000000000009</v>
      </c>
      <c r="U496" s="96" t="s">
        <v>3794</v>
      </c>
      <c r="V496" s="22" t="s">
        <v>3044</v>
      </c>
      <c r="W496" s="96" t="s">
        <v>3377</v>
      </c>
      <c r="X496" s="22" t="s">
        <v>2744</v>
      </c>
      <c r="Y496" s="11" t="s">
        <v>3297</v>
      </c>
      <c r="Z496" s="79"/>
      <c r="AA496" s="187">
        <v>492</v>
      </c>
    </row>
    <row r="497" spans="2:27" s="184" customFormat="1" ht="20" x14ac:dyDescent="0.2">
      <c r="B497" s="11" t="s">
        <v>1305</v>
      </c>
      <c r="C497" s="165" t="s">
        <v>4235</v>
      </c>
      <c r="D497" s="22" t="s">
        <v>2379</v>
      </c>
      <c r="E497" s="34">
        <v>1</v>
      </c>
      <c r="F497" s="22" t="s">
        <v>2223</v>
      </c>
      <c r="G497" s="88">
        <v>4.5999999999999996</v>
      </c>
      <c r="H497" s="235">
        <f t="shared" si="60"/>
        <v>2.8395061728395059</v>
      </c>
      <c r="I497" s="88">
        <v>4.5999999999999996</v>
      </c>
      <c r="J497" s="235">
        <f t="shared" si="61"/>
        <v>2.8395061728395059</v>
      </c>
      <c r="K497" s="215">
        <v>138</v>
      </c>
      <c r="L497" s="252">
        <f>_xlfn.XLOOKUP($K497,Inputs!$C$6:$C$23,Inputs!$D$6:$D$23)*$I497</f>
        <v>1.9944285714285714</v>
      </c>
      <c r="M497" s="68"/>
      <c r="N497" s="68"/>
      <c r="O497" s="215">
        <v>121</v>
      </c>
      <c r="P497" s="215">
        <v>149</v>
      </c>
      <c r="Q497" s="94">
        <v>0.9</v>
      </c>
      <c r="R497" s="68" t="s">
        <v>115</v>
      </c>
      <c r="S497" s="182">
        <f t="shared" si="68"/>
        <v>108.9</v>
      </c>
      <c r="T497" s="182">
        <f t="shared" si="69"/>
        <v>134.1</v>
      </c>
      <c r="U497" s="96" t="s">
        <v>3524</v>
      </c>
      <c r="V497" s="22" t="s">
        <v>2837</v>
      </c>
      <c r="W497" s="96" t="s">
        <v>3386</v>
      </c>
      <c r="X497" s="22" t="s">
        <v>2750</v>
      </c>
      <c r="Y497" s="11" t="s">
        <v>3281</v>
      </c>
      <c r="Z497" s="79"/>
      <c r="AA497" s="187">
        <v>493</v>
      </c>
    </row>
    <row r="498" spans="2:27" s="184" customFormat="1" ht="20" x14ac:dyDescent="0.2">
      <c r="B498" s="11" t="s">
        <v>1321</v>
      </c>
      <c r="C498" s="165" t="s">
        <v>4235</v>
      </c>
      <c r="D498" s="22" t="s">
        <v>2379</v>
      </c>
      <c r="E498" s="34">
        <v>1</v>
      </c>
      <c r="F498" s="22" t="s">
        <v>2223</v>
      </c>
      <c r="G498" s="88">
        <v>7.4749999999999996</v>
      </c>
      <c r="H498" s="235">
        <f t="shared" si="60"/>
        <v>4.6141975308641969</v>
      </c>
      <c r="I498" s="88">
        <v>7.4749999999999996</v>
      </c>
      <c r="J498" s="235">
        <f t="shared" si="61"/>
        <v>4.6141975308641969</v>
      </c>
      <c r="K498" s="215">
        <v>138</v>
      </c>
      <c r="L498" s="252">
        <f>_xlfn.XLOOKUP($K498,Inputs!$C$6:$C$23,Inputs!$D$6:$D$23)*$I498</f>
        <v>3.2409464285714287</v>
      </c>
      <c r="M498" s="68"/>
      <c r="N498" s="68"/>
      <c r="O498" s="215">
        <v>103</v>
      </c>
      <c r="P498" s="215">
        <v>135</v>
      </c>
      <c r="Q498" s="94">
        <v>0.9</v>
      </c>
      <c r="R498" s="68" t="s">
        <v>115</v>
      </c>
      <c r="S498" s="182">
        <f t="shared" si="68"/>
        <v>92.7</v>
      </c>
      <c r="T498" s="182">
        <f t="shared" si="69"/>
        <v>121.5</v>
      </c>
      <c r="U498" s="96" t="s">
        <v>3524</v>
      </c>
      <c r="V498" s="22" t="s">
        <v>2837</v>
      </c>
      <c r="W498" s="96" t="s">
        <v>3630</v>
      </c>
      <c r="X498" s="22" t="s">
        <v>3259</v>
      </c>
      <c r="Y498" s="11" t="s">
        <v>3281</v>
      </c>
      <c r="Z498" s="79"/>
      <c r="AA498" s="187">
        <v>494</v>
      </c>
    </row>
    <row r="499" spans="2:27" s="188" customFormat="1" ht="20" x14ac:dyDescent="0.2">
      <c r="B499" s="11" t="s">
        <v>1323</v>
      </c>
      <c r="C499" s="165" t="s">
        <v>4235</v>
      </c>
      <c r="D499" s="22" t="s">
        <v>2379</v>
      </c>
      <c r="E499" s="34">
        <v>1</v>
      </c>
      <c r="F499" s="22" t="s">
        <v>2223</v>
      </c>
      <c r="G499" s="88">
        <v>2.875</v>
      </c>
      <c r="H499" s="235">
        <f t="shared" si="60"/>
        <v>1.7746913580246912</v>
      </c>
      <c r="I499" s="88">
        <v>9.1999999999999993</v>
      </c>
      <c r="J499" s="235">
        <f t="shared" si="61"/>
        <v>5.6790123456790118</v>
      </c>
      <c r="K499" s="215">
        <v>138</v>
      </c>
      <c r="L499" s="252">
        <f>_xlfn.XLOOKUP($K499,Inputs!$C$6:$C$23,Inputs!$D$6:$D$23)*$I499</f>
        <v>3.9888571428571429</v>
      </c>
      <c r="M499" s="68"/>
      <c r="N499" s="68"/>
      <c r="O499" s="215">
        <v>111</v>
      </c>
      <c r="P499" s="215">
        <v>141</v>
      </c>
      <c r="Q499" s="94">
        <v>0.9</v>
      </c>
      <c r="R499" s="68" t="s">
        <v>115</v>
      </c>
      <c r="S499" s="182">
        <f t="shared" si="68"/>
        <v>99.9</v>
      </c>
      <c r="T499" s="182">
        <f t="shared" si="69"/>
        <v>126.9</v>
      </c>
      <c r="U499" s="96" t="s">
        <v>3630</v>
      </c>
      <c r="V499" s="22" t="s">
        <v>3259</v>
      </c>
      <c r="W499" s="96" t="s">
        <v>3360</v>
      </c>
      <c r="X499" s="22" t="s">
        <v>2137</v>
      </c>
      <c r="Y499" s="11" t="s">
        <v>3281</v>
      </c>
      <c r="Z499" s="79"/>
      <c r="AA499" s="187">
        <v>495</v>
      </c>
    </row>
    <row r="500" spans="2:27" s="188" customFormat="1" ht="20" x14ac:dyDescent="0.2">
      <c r="B500" s="11" t="s">
        <v>1323</v>
      </c>
      <c r="C500" s="165" t="s">
        <v>4235</v>
      </c>
      <c r="D500" s="22" t="s">
        <v>2379</v>
      </c>
      <c r="E500" s="34">
        <v>1</v>
      </c>
      <c r="F500" s="22" t="s">
        <v>2223</v>
      </c>
      <c r="G500" s="88">
        <v>6.3249999999999993</v>
      </c>
      <c r="H500" s="235">
        <f t="shared" si="60"/>
        <v>3.9043209876543203</v>
      </c>
      <c r="I500" s="88">
        <v>9.1999999999999993</v>
      </c>
      <c r="J500" s="235">
        <f t="shared" si="61"/>
        <v>5.6790123456790118</v>
      </c>
      <c r="K500" s="215">
        <v>138</v>
      </c>
      <c r="L500" s="252">
        <f>_xlfn.XLOOKUP($K500,Inputs!$C$6:$C$23,Inputs!$D$6:$D$23)*$I500</f>
        <v>3.9888571428571429</v>
      </c>
      <c r="M500" s="68"/>
      <c r="N500" s="68"/>
      <c r="O500" s="215">
        <v>111</v>
      </c>
      <c r="P500" s="215">
        <v>141</v>
      </c>
      <c r="Q500" s="94">
        <v>0.9</v>
      </c>
      <c r="R500" s="68" t="s">
        <v>115</v>
      </c>
      <c r="S500" s="182">
        <f t="shared" si="68"/>
        <v>99.9</v>
      </c>
      <c r="T500" s="182">
        <f t="shared" si="69"/>
        <v>126.9</v>
      </c>
      <c r="U500" s="96" t="s">
        <v>3360</v>
      </c>
      <c r="V500" s="22" t="s">
        <v>2137</v>
      </c>
      <c r="W500" s="96" t="s">
        <v>3524</v>
      </c>
      <c r="X500" s="22" t="s">
        <v>2837</v>
      </c>
      <c r="Y500" s="11" t="s">
        <v>3281</v>
      </c>
      <c r="Z500" s="79"/>
      <c r="AA500" s="187">
        <v>496</v>
      </c>
    </row>
    <row r="501" spans="2:27" s="188" customFormat="1" ht="20" x14ac:dyDescent="0.2">
      <c r="B501" s="11" t="s">
        <v>1326</v>
      </c>
      <c r="C501" s="165" t="s">
        <v>4235</v>
      </c>
      <c r="D501" s="22" t="s">
        <v>2379</v>
      </c>
      <c r="E501" s="34">
        <v>1</v>
      </c>
      <c r="F501" s="22" t="s">
        <v>2223</v>
      </c>
      <c r="G501" s="88">
        <v>2.875</v>
      </c>
      <c r="H501" s="235">
        <f t="shared" si="60"/>
        <v>1.7746913580246912</v>
      </c>
      <c r="I501" s="88">
        <v>4.5999999999999996</v>
      </c>
      <c r="J501" s="235">
        <f t="shared" si="61"/>
        <v>2.8395061728395059</v>
      </c>
      <c r="K501" s="201">
        <v>144</v>
      </c>
      <c r="L501" s="252">
        <f>_xlfn.XLOOKUP($K501,Inputs!$C$6:$C$23,Inputs!$D$6:$D$23)*$I501</f>
        <v>2.0141428571428572</v>
      </c>
      <c r="M501" s="68"/>
      <c r="N501" s="68"/>
      <c r="O501" s="187"/>
      <c r="P501" s="187"/>
      <c r="Q501" s="94">
        <v>0.9</v>
      </c>
      <c r="R501" s="68">
        <f>IF((42.4*(J501)^(-0.6595))&gt;=3,3,(IF(42.4*(J501)^(-0.6595)&lt;=0.5,0.5,(42.4*(J501)^(-0.6595)))))</f>
        <v>3</v>
      </c>
      <c r="S501" s="276">
        <f>_xlfn.XLOOKUP($K501,Inputs!$G$6:$G$23,Inputs!J$6:J$23)*$R501</f>
        <v>153.60000000000002</v>
      </c>
      <c r="T501" s="276">
        <f>_xlfn.XLOOKUP($K501,Inputs!$G$6:$G$23,Inputs!K$6:K$23)*$R501</f>
        <v>169.96721311475409</v>
      </c>
      <c r="U501" s="96" t="s">
        <v>3360</v>
      </c>
      <c r="V501" s="22" t="s">
        <v>2137</v>
      </c>
      <c r="W501" s="96" t="s">
        <v>3359</v>
      </c>
      <c r="X501" s="22" t="s">
        <v>3206</v>
      </c>
      <c r="Y501" s="11" t="s">
        <v>3331</v>
      </c>
      <c r="Z501" s="79"/>
      <c r="AA501" s="187">
        <v>497</v>
      </c>
    </row>
    <row r="502" spans="2:27" s="188" customFormat="1" ht="20" x14ac:dyDescent="0.2">
      <c r="B502" s="11" t="s">
        <v>1326</v>
      </c>
      <c r="C502" s="165" t="s">
        <v>4235</v>
      </c>
      <c r="D502" s="22" t="s">
        <v>2379</v>
      </c>
      <c r="E502" s="34">
        <v>1</v>
      </c>
      <c r="F502" s="22" t="s">
        <v>2223</v>
      </c>
      <c r="G502" s="88">
        <v>1.7249999999999999</v>
      </c>
      <c r="H502" s="235">
        <f t="shared" si="60"/>
        <v>1.0648148148148147</v>
      </c>
      <c r="I502" s="88">
        <v>4.5999999999999996</v>
      </c>
      <c r="J502" s="235">
        <f t="shared" si="61"/>
        <v>2.8395061728395059</v>
      </c>
      <c r="K502" s="201">
        <v>144</v>
      </c>
      <c r="L502" s="252">
        <f>_xlfn.XLOOKUP($K502,Inputs!$C$6:$C$23,Inputs!$D$6:$D$23)*$I502</f>
        <v>2.0141428571428572</v>
      </c>
      <c r="M502" s="68"/>
      <c r="N502" s="68"/>
      <c r="O502" s="187"/>
      <c r="P502" s="187"/>
      <c r="Q502" s="94">
        <v>0.9</v>
      </c>
      <c r="R502" s="68">
        <f>IF((42.4*(J502)^(-0.6595))&gt;=3,3,(IF(42.4*(J502)^(-0.6595)&lt;=0.5,0.5,(42.4*(J502)^(-0.6595)))))</f>
        <v>3</v>
      </c>
      <c r="S502" s="276">
        <f>_xlfn.XLOOKUP($K502,Inputs!$G$6:$G$23,Inputs!J$6:J$23)*$R502</f>
        <v>153.60000000000002</v>
      </c>
      <c r="T502" s="276">
        <f>_xlfn.XLOOKUP($K502,Inputs!$G$6:$G$23,Inputs!K$6:K$23)*$R502</f>
        <v>169.96721311475409</v>
      </c>
      <c r="U502" s="96" t="s">
        <v>3359</v>
      </c>
      <c r="V502" s="22" t="s">
        <v>3206</v>
      </c>
      <c r="W502" s="96" t="s">
        <v>3361</v>
      </c>
      <c r="X502" s="22" t="s">
        <v>3207</v>
      </c>
      <c r="Y502" s="11" t="s">
        <v>3331</v>
      </c>
      <c r="Z502" s="79"/>
      <c r="AA502" s="187">
        <v>498</v>
      </c>
    </row>
    <row r="503" spans="2:27" s="188" customFormat="1" ht="20" x14ac:dyDescent="0.2">
      <c r="B503" s="11" t="s">
        <v>1352</v>
      </c>
      <c r="C503" s="165" t="s">
        <v>4235</v>
      </c>
      <c r="D503" s="22" t="s">
        <v>2379</v>
      </c>
      <c r="E503" s="34">
        <v>1</v>
      </c>
      <c r="F503" s="22" t="s">
        <v>2223</v>
      </c>
      <c r="G503" s="235">
        <v>25</v>
      </c>
      <c r="H503" s="235">
        <f t="shared" si="60"/>
        <v>15.432098765432098</v>
      </c>
      <c r="I503" s="235">
        <v>43</v>
      </c>
      <c r="J503" s="235">
        <f t="shared" si="61"/>
        <v>26.543209876543209</v>
      </c>
      <c r="K503" s="215">
        <v>138</v>
      </c>
      <c r="L503" s="252">
        <f>_xlfn.XLOOKUP($K503,Inputs!$C$6:$C$23,Inputs!$D$6:$D$23)*$I503</f>
        <v>18.64357142857143</v>
      </c>
      <c r="M503" s="68"/>
      <c r="N503" s="68"/>
      <c r="O503" s="215">
        <v>143</v>
      </c>
      <c r="P503" s="215">
        <v>162</v>
      </c>
      <c r="Q503" s="94">
        <v>0.9</v>
      </c>
      <c r="R503" s="68" t="s">
        <v>115</v>
      </c>
      <c r="S503" s="182">
        <f>O503*Q503</f>
        <v>128.70000000000002</v>
      </c>
      <c r="T503" s="182">
        <f>P503*Q503</f>
        <v>145.80000000000001</v>
      </c>
      <c r="U503" s="96" t="s">
        <v>3347</v>
      </c>
      <c r="V503" s="22" t="s">
        <v>2730</v>
      </c>
      <c r="W503" s="96" t="s">
        <v>3508</v>
      </c>
      <c r="X503" s="205" t="s">
        <v>2824</v>
      </c>
      <c r="Y503" s="11" t="s">
        <v>3289</v>
      </c>
      <c r="Z503" s="79"/>
      <c r="AA503" s="187">
        <v>499</v>
      </c>
    </row>
    <row r="504" spans="2:27" s="188" customFormat="1" ht="20" x14ac:dyDescent="0.2">
      <c r="B504" s="11" t="s">
        <v>1352</v>
      </c>
      <c r="C504" s="165" t="s">
        <v>4235</v>
      </c>
      <c r="D504" s="22" t="s">
        <v>2379</v>
      </c>
      <c r="E504" s="34">
        <v>1</v>
      </c>
      <c r="F504" s="22" t="s">
        <v>2223</v>
      </c>
      <c r="G504" s="235">
        <v>18</v>
      </c>
      <c r="H504" s="235">
        <f t="shared" si="60"/>
        <v>11.111111111111111</v>
      </c>
      <c r="I504" s="235">
        <v>43</v>
      </c>
      <c r="J504" s="235">
        <f t="shared" si="61"/>
        <v>26.543209876543209</v>
      </c>
      <c r="K504" s="201">
        <v>144</v>
      </c>
      <c r="L504" s="252">
        <f>_xlfn.XLOOKUP($K504,Inputs!$C$6:$C$23,Inputs!$D$6:$D$23)*$I504</f>
        <v>18.827857142857145</v>
      </c>
      <c r="M504" s="68"/>
      <c r="N504" s="68"/>
      <c r="O504" s="187"/>
      <c r="P504" s="187"/>
      <c r="Q504" s="94">
        <v>0.9</v>
      </c>
      <c r="R504" s="68">
        <f>IF((42.4*(J504)^(-0.6595))&gt;=3,3,(IF(42.4*(J504)^(-0.6595)&lt;=0.5,0.5,(42.4*(J504)^(-0.6595)))))</f>
        <v>3</v>
      </c>
      <c r="S504" s="276">
        <f>_xlfn.XLOOKUP($K504,Inputs!$G$6:$G$23,Inputs!J$6:J$23)*$R504</f>
        <v>153.60000000000002</v>
      </c>
      <c r="T504" s="276">
        <f>_xlfn.XLOOKUP($K504,Inputs!$G$6:$G$23,Inputs!K$6:K$23)*$R504</f>
        <v>169.96721311475409</v>
      </c>
      <c r="U504" s="96" t="s">
        <v>3508</v>
      </c>
      <c r="V504" s="22" t="s">
        <v>2824</v>
      </c>
      <c r="W504" s="96" t="s">
        <v>3404</v>
      </c>
      <c r="X504" s="22" t="s">
        <v>2761</v>
      </c>
      <c r="Y504" s="11" t="s">
        <v>3331</v>
      </c>
      <c r="Z504" s="79"/>
      <c r="AA504" s="187">
        <v>500</v>
      </c>
    </row>
    <row r="505" spans="2:27" s="188" customFormat="1" ht="20" x14ac:dyDescent="0.2">
      <c r="B505" s="11" t="s">
        <v>772</v>
      </c>
      <c r="C505" s="165" t="s">
        <v>4235</v>
      </c>
      <c r="D505" s="22" t="s">
        <v>2379</v>
      </c>
      <c r="E505" s="34">
        <v>1</v>
      </c>
      <c r="F505" s="22" t="s">
        <v>2223</v>
      </c>
      <c r="G505" s="88">
        <v>12</v>
      </c>
      <c r="H505" s="235">
        <f t="shared" si="60"/>
        <v>7.4074074074074066</v>
      </c>
      <c r="I505" s="88">
        <v>49.2</v>
      </c>
      <c r="J505" s="235">
        <f t="shared" si="61"/>
        <v>30.37037037037037</v>
      </c>
      <c r="K505" s="215">
        <v>138</v>
      </c>
      <c r="L505" s="252">
        <f>_xlfn.XLOOKUP($K505,Inputs!$C$6:$C$23,Inputs!$D$6:$D$23)*$I505</f>
        <v>21.331714285714288</v>
      </c>
      <c r="M505" s="68"/>
      <c r="N505" s="68"/>
      <c r="O505" s="215">
        <v>112</v>
      </c>
      <c r="P505" s="215">
        <v>135</v>
      </c>
      <c r="Q505" s="94">
        <v>0.9</v>
      </c>
      <c r="R505" s="68" t="s">
        <v>115</v>
      </c>
      <c r="S505" s="182">
        <f t="shared" ref="S505:S511" si="70">O505*Q505</f>
        <v>100.8</v>
      </c>
      <c r="T505" s="182">
        <f t="shared" ref="T505:T511" si="71">P505*Q505</f>
        <v>121.5</v>
      </c>
      <c r="U505" s="96" t="s">
        <v>3532</v>
      </c>
      <c r="V505" s="22" t="s">
        <v>2672</v>
      </c>
      <c r="W505" s="96" t="s">
        <v>3387</v>
      </c>
      <c r="X505" s="22" t="s">
        <v>2610</v>
      </c>
      <c r="Y505" s="11" t="s">
        <v>3328</v>
      </c>
      <c r="Z505" s="79"/>
      <c r="AA505" s="187">
        <v>501</v>
      </c>
    </row>
    <row r="506" spans="2:27" s="184" customFormat="1" ht="20" x14ac:dyDescent="0.2">
      <c r="B506" s="11" t="s">
        <v>772</v>
      </c>
      <c r="C506" s="165" t="s">
        <v>4235</v>
      </c>
      <c r="D506" s="22" t="s">
        <v>2379</v>
      </c>
      <c r="E506" s="34">
        <v>1</v>
      </c>
      <c r="F506" s="22" t="s">
        <v>2223</v>
      </c>
      <c r="G506" s="235">
        <v>18</v>
      </c>
      <c r="H506" s="235">
        <f t="shared" si="60"/>
        <v>11.111111111111111</v>
      </c>
      <c r="I506" s="235">
        <v>49.2</v>
      </c>
      <c r="J506" s="235">
        <f t="shared" si="61"/>
        <v>30.37037037037037</v>
      </c>
      <c r="K506" s="215">
        <v>138</v>
      </c>
      <c r="L506" s="252">
        <f>_xlfn.XLOOKUP($K506,Inputs!$C$6:$C$23,Inputs!$D$6:$D$23)*$I506</f>
        <v>21.331714285714288</v>
      </c>
      <c r="M506" s="68"/>
      <c r="N506" s="68"/>
      <c r="O506" s="215">
        <v>99</v>
      </c>
      <c r="P506" s="215">
        <v>133</v>
      </c>
      <c r="Q506" s="94">
        <v>0.9</v>
      </c>
      <c r="R506" s="68" t="s">
        <v>115</v>
      </c>
      <c r="S506" s="182">
        <f t="shared" si="70"/>
        <v>89.100000000000009</v>
      </c>
      <c r="T506" s="182">
        <f t="shared" si="71"/>
        <v>119.7</v>
      </c>
      <c r="U506" s="96" t="s">
        <v>3387</v>
      </c>
      <c r="V506" s="22" t="s">
        <v>2610</v>
      </c>
      <c r="W506" s="96" t="s">
        <v>3950</v>
      </c>
      <c r="X506" s="22" t="s">
        <v>2138</v>
      </c>
      <c r="Y506" s="11" t="s">
        <v>3328</v>
      </c>
      <c r="Z506" s="79"/>
      <c r="AA506" s="187">
        <v>502</v>
      </c>
    </row>
    <row r="507" spans="2:27" s="184" customFormat="1" ht="20" x14ac:dyDescent="0.2">
      <c r="B507" s="11" t="s">
        <v>772</v>
      </c>
      <c r="C507" s="165" t="s">
        <v>4235</v>
      </c>
      <c r="D507" s="22" t="s">
        <v>2379</v>
      </c>
      <c r="E507" s="34">
        <v>1</v>
      </c>
      <c r="F507" s="22" t="s">
        <v>2223</v>
      </c>
      <c r="G507" s="88">
        <v>12</v>
      </c>
      <c r="H507" s="235">
        <f t="shared" si="60"/>
        <v>7.4074074074074066</v>
      </c>
      <c r="I507" s="88">
        <v>49.2</v>
      </c>
      <c r="J507" s="235">
        <f t="shared" si="61"/>
        <v>30.37037037037037</v>
      </c>
      <c r="K507" s="215">
        <v>138</v>
      </c>
      <c r="L507" s="252">
        <f>_xlfn.XLOOKUP($K507,Inputs!$C$6:$C$23,Inputs!$D$6:$D$23)*$I507</f>
        <v>21.331714285714288</v>
      </c>
      <c r="M507" s="68"/>
      <c r="N507" s="68"/>
      <c r="O507" s="215">
        <v>99</v>
      </c>
      <c r="P507" s="215">
        <v>133</v>
      </c>
      <c r="Q507" s="94">
        <v>0.9</v>
      </c>
      <c r="R507" s="68" t="s">
        <v>115</v>
      </c>
      <c r="S507" s="182">
        <f t="shared" si="70"/>
        <v>89.100000000000009</v>
      </c>
      <c r="T507" s="182">
        <f t="shared" si="71"/>
        <v>119.7</v>
      </c>
      <c r="U507" s="96" t="s">
        <v>3950</v>
      </c>
      <c r="V507" s="22" t="s">
        <v>2138</v>
      </c>
      <c r="W507" s="96" t="s">
        <v>3478</v>
      </c>
      <c r="X507" s="22" t="s">
        <v>2139</v>
      </c>
      <c r="Y507" s="11" t="s">
        <v>3328</v>
      </c>
      <c r="Z507" s="79"/>
      <c r="AA507" s="187">
        <v>503</v>
      </c>
    </row>
    <row r="508" spans="2:27" s="184" customFormat="1" ht="20" x14ac:dyDescent="0.2">
      <c r="B508" s="11" t="s">
        <v>772</v>
      </c>
      <c r="C508" s="165" t="s">
        <v>4235</v>
      </c>
      <c r="D508" s="22" t="s">
        <v>2379</v>
      </c>
      <c r="E508" s="34">
        <v>1</v>
      </c>
      <c r="F508" s="22" t="s">
        <v>2223</v>
      </c>
      <c r="G508" s="88">
        <v>7.1999999999999993</v>
      </c>
      <c r="H508" s="235">
        <f t="shared" si="60"/>
        <v>4.4444444444444438</v>
      </c>
      <c r="I508" s="88">
        <v>49.2</v>
      </c>
      <c r="J508" s="235">
        <f t="shared" si="61"/>
        <v>30.37037037037037</v>
      </c>
      <c r="K508" s="215">
        <v>138</v>
      </c>
      <c r="L508" s="252">
        <f>_xlfn.XLOOKUP($K508,Inputs!$C$6:$C$23,Inputs!$D$6:$D$23)*$I508</f>
        <v>21.331714285714288</v>
      </c>
      <c r="M508" s="68"/>
      <c r="N508" s="68"/>
      <c r="O508" s="215">
        <v>119</v>
      </c>
      <c r="P508" s="215">
        <v>147</v>
      </c>
      <c r="Q508" s="94">
        <v>0.9</v>
      </c>
      <c r="R508" s="68" t="s">
        <v>115</v>
      </c>
      <c r="S508" s="182">
        <f t="shared" si="70"/>
        <v>107.10000000000001</v>
      </c>
      <c r="T508" s="182">
        <f t="shared" si="71"/>
        <v>132.30000000000001</v>
      </c>
      <c r="U508" s="96" t="s">
        <v>3478</v>
      </c>
      <c r="V508" s="22" t="s">
        <v>2139</v>
      </c>
      <c r="W508" s="96" t="s">
        <v>3481</v>
      </c>
      <c r="X508" s="22" t="s">
        <v>2805</v>
      </c>
      <c r="Y508" s="11" t="s">
        <v>3328</v>
      </c>
      <c r="Z508" s="79"/>
      <c r="AA508" s="187">
        <v>504</v>
      </c>
    </row>
    <row r="509" spans="2:27" s="184" customFormat="1" ht="20" x14ac:dyDescent="0.2">
      <c r="B509" s="11" t="s">
        <v>2058</v>
      </c>
      <c r="C509" s="165" t="s">
        <v>4235</v>
      </c>
      <c r="D509" s="22" t="s">
        <v>2379</v>
      </c>
      <c r="E509" s="34">
        <v>1</v>
      </c>
      <c r="F509" s="22" t="s">
        <v>2223</v>
      </c>
      <c r="G509" s="88">
        <v>15</v>
      </c>
      <c r="H509" s="235">
        <f t="shared" si="60"/>
        <v>9.2592592592592595</v>
      </c>
      <c r="I509" s="88">
        <v>15</v>
      </c>
      <c r="J509" s="235">
        <f t="shared" si="61"/>
        <v>9.2592592592592595</v>
      </c>
      <c r="K509" s="215">
        <v>138</v>
      </c>
      <c r="L509" s="252">
        <f>_xlfn.XLOOKUP($K509,Inputs!$C$6:$C$23,Inputs!$D$6:$D$23)*$I509</f>
        <v>6.503571428571429</v>
      </c>
      <c r="M509" s="68"/>
      <c r="N509" s="68"/>
      <c r="O509" s="215">
        <v>119</v>
      </c>
      <c r="P509" s="215">
        <v>147</v>
      </c>
      <c r="Q509" s="94">
        <v>0.9</v>
      </c>
      <c r="R509" s="68" t="s">
        <v>115</v>
      </c>
      <c r="S509" s="182">
        <f t="shared" si="70"/>
        <v>107.10000000000001</v>
      </c>
      <c r="T509" s="182">
        <f t="shared" si="71"/>
        <v>132.30000000000001</v>
      </c>
      <c r="U509" s="96" t="s">
        <v>3950</v>
      </c>
      <c r="V509" s="22" t="s">
        <v>2138</v>
      </c>
      <c r="W509" s="96" t="s">
        <v>3591</v>
      </c>
      <c r="X509" s="22" t="s">
        <v>2882</v>
      </c>
      <c r="Y509" s="11" t="s">
        <v>3328</v>
      </c>
      <c r="Z509" s="79"/>
      <c r="AA509" s="187">
        <v>505</v>
      </c>
    </row>
    <row r="510" spans="2:27" s="184" customFormat="1" ht="20" x14ac:dyDescent="0.2">
      <c r="B510" s="11" t="s">
        <v>1312</v>
      </c>
      <c r="C510" s="165" t="s">
        <v>4235</v>
      </c>
      <c r="D510" s="22" t="s">
        <v>2379</v>
      </c>
      <c r="E510" s="34">
        <v>1</v>
      </c>
      <c r="F510" s="22" t="s">
        <v>2223</v>
      </c>
      <c r="G510" s="88">
        <v>2.875</v>
      </c>
      <c r="H510" s="235">
        <f t="shared" si="60"/>
        <v>1.7746913580246912</v>
      </c>
      <c r="I510" s="88">
        <v>2.875</v>
      </c>
      <c r="J510" s="235">
        <f t="shared" si="61"/>
        <v>1.7746913580246912</v>
      </c>
      <c r="K510" s="215">
        <v>138</v>
      </c>
      <c r="L510" s="252">
        <f>_xlfn.XLOOKUP($K510,Inputs!$C$6:$C$23,Inputs!$D$6:$D$23)*$I510</f>
        <v>1.2465178571428572</v>
      </c>
      <c r="M510" s="68"/>
      <c r="N510" s="68"/>
      <c r="O510" s="215">
        <v>98</v>
      </c>
      <c r="P510" s="215">
        <v>132</v>
      </c>
      <c r="Q510" s="94">
        <v>0.9</v>
      </c>
      <c r="R510" s="68" t="s">
        <v>115</v>
      </c>
      <c r="S510" s="182">
        <f t="shared" si="70"/>
        <v>88.2</v>
      </c>
      <c r="T510" s="182">
        <f t="shared" si="71"/>
        <v>118.8</v>
      </c>
      <c r="U510" s="96" t="s">
        <v>3667</v>
      </c>
      <c r="V510" s="22" t="s">
        <v>2939</v>
      </c>
      <c r="W510" s="96" t="s">
        <v>3369</v>
      </c>
      <c r="X510" s="22" t="s">
        <v>2740</v>
      </c>
      <c r="Y510" s="11" t="s">
        <v>3281</v>
      </c>
      <c r="Z510" s="79"/>
      <c r="AA510" s="187">
        <v>506</v>
      </c>
    </row>
    <row r="511" spans="2:27" s="184" customFormat="1" ht="20" x14ac:dyDescent="0.2">
      <c r="B511" s="11" t="s">
        <v>1685</v>
      </c>
      <c r="C511" s="165" t="s">
        <v>4235</v>
      </c>
      <c r="D511" s="22" t="s">
        <v>2379</v>
      </c>
      <c r="E511" s="34">
        <v>1</v>
      </c>
      <c r="F511" s="22" t="s">
        <v>2223</v>
      </c>
      <c r="G511" s="88">
        <v>10.5</v>
      </c>
      <c r="H511" s="235">
        <f t="shared" si="60"/>
        <v>6.481481481481481</v>
      </c>
      <c r="I511" s="88">
        <v>10.5</v>
      </c>
      <c r="J511" s="235">
        <f t="shared" si="61"/>
        <v>6.481481481481481</v>
      </c>
      <c r="K511" s="215">
        <v>138</v>
      </c>
      <c r="L511" s="252">
        <f>_xlfn.XLOOKUP($K511,Inputs!$C$6:$C$23,Inputs!$D$6:$D$23)*$I511</f>
        <v>4.5525000000000002</v>
      </c>
      <c r="M511" s="68"/>
      <c r="N511" s="68"/>
      <c r="O511" s="215">
        <v>85</v>
      </c>
      <c r="P511" s="215">
        <v>90</v>
      </c>
      <c r="Q511" s="94">
        <v>0.9</v>
      </c>
      <c r="R511" s="68" t="s">
        <v>115</v>
      </c>
      <c r="S511" s="182">
        <f t="shared" si="70"/>
        <v>76.5</v>
      </c>
      <c r="T511" s="182">
        <f t="shared" si="71"/>
        <v>81</v>
      </c>
      <c r="U511" s="96" t="s">
        <v>3552</v>
      </c>
      <c r="V511" s="22" t="s">
        <v>2140</v>
      </c>
      <c r="W511" s="96" t="s">
        <v>3551</v>
      </c>
      <c r="X511" s="22" t="s">
        <v>2853</v>
      </c>
      <c r="Y511" s="11" t="s">
        <v>3296</v>
      </c>
      <c r="Z511" s="79"/>
      <c r="AA511" s="187">
        <v>507</v>
      </c>
    </row>
    <row r="512" spans="2:27" s="184" customFormat="1" ht="20" x14ac:dyDescent="0.2">
      <c r="B512" s="11" t="s">
        <v>1587</v>
      </c>
      <c r="C512" s="165" t="s">
        <v>4235</v>
      </c>
      <c r="D512" s="22" t="s">
        <v>2379</v>
      </c>
      <c r="E512" s="34">
        <v>1</v>
      </c>
      <c r="F512" s="22" t="s">
        <v>2223</v>
      </c>
      <c r="G512" s="88">
        <v>12</v>
      </c>
      <c r="H512" s="235">
        <f t="shared" si="60"/>
        <v>7.4074074074074066</v>
      </c>
      <c r="I512" s="88">
        <v>12</v>
      </c>
      <c r="J512" s="235">
        <f t="shared" si="61"/>
        <v>7.4074074074074066</v>
      </c>
      <c r="K512" s="201">
        <v>144</v>
      </c>
      <c r="L512" s="252">
        <f>_xlfn.XLOOKUP($K512,Inputs!$C$6:$C$23,Inputs!$D$6:$D$23)*$I512</f>
        <v>5.2542857142857144</v>
      </c>
      <c r="M512" s="68"/>
      <c r="N512" s="68"/>
      <c r="O512" s="187"/>
      <c r="P512" s="187"/>
      <c r="Q512" s="94">
        <v>0.9</v>
      </c>
      <c r="R512" s="68">
        <f>IF((42.4*(J512)^(-0.6595))&gt;=3,3,(IF(42.4*(J512)^(-0.6595)&lt;=0.5,0.5,(42.4*(J512)^(-0.6595)))))</f>
        <v>3</v>
      </c>
      <c r="S512" s="276">
        <f>_xlfn.XLOOKUP($K512,Inputs!$G$6:$G$23,Inputs!J$6:J$23)*$R512</f>
        <v>153.60000000000002</v>
      </c>
      <c r="T512" s="276">
        <f>_xlfn.XLOOKUP($K512,Inputs!$G$6:$G$23,Inputs!K$6:K$23)*$R512</f>
        <v>169.96721311475409</v>
      </c>
      <c r="U512" s="96" t="s">
        <v>3478</v>
      </c>
      <c r="V512" s="22" t="s">
        <v>2139</v>
      </c>
      <c r="W512" s="96" t="s">
        <v>3477</v>
      </c>
      <c r="X512" s="22" t="s">
        <v>2803</v>
      </c>
      <c r="Y512" s="11" t="s">
        <v>3331</v>
      </c>
      <c r="Z512" s="79"/>
      <c r="AA512" s="187">
        <v>508</v>
      </c>
    </row>
    <row r="513" spans="2:27" s="184" customFormat="1" ht="20" x14ac:dyDescent="0.2">
      <c r="B513" s="11" t="s">
        <v>1578</v>
      </c>
      <c r="C513" s="165" t="s">
        <v>4235</v>
      </c>
      <c r="D513" s="22" t="s">
        <v>2379</v>
      </c>
      <c r="E513" s="34">
        <v>1</v>
      </c>
      <c r="F513" s="22" t="s">
        <v>2223</v>
      </c>
      <c r="G513" s="88">
        <v>8</v>
      </c>
      <c r="H513" s="235">
        <f t="shared" si="60"/>
        <v>4.9382716049382713</v>
      </c>
      <c r="I513" s="88">
        <v>48</v>
      </c>
      <c r="J513" s="235">
        <f t="shared" si="61"/>
        <v>29.629629629629626</v>
      </c>
      <c r="K513" s="215">
        <v>138</v>
      </c>
      <c r="L513" s="252">
        <f>_xlfn.XLOOKUP($K513,Inputs!$C$6:$C$23,Inputs!$D$6:$D$23)*$I513</f>
        <v>20.811428571428571</v>
      </c>
      <c r="M513" s="68"/>
      <c r="N513" s="68"/>
      <c r="O513" s="215">
        <v>75</v>
      </c>
      <c r="P513" s="215">
        <v>79</v>
      </c>
      <c r="Q513" s="94">
        <v>0.9</v>
      </c>
      <c r="R513" s="68" t="s">
        <v>115</v>
      </c>
      <c r="S513" s="182">
        <f t="shared" ref="S513:S518" si="72">O513*Q513</f>
        <v>67.5</v>
      </c>
      <c r="T513" s="182">
        <f t="shared" ref="T513:T518" si="73">P513*Q513</f>
        <v>71.100000000000009</v>
      </c>
      <c r="U513" s="96" t="s">
        <v>3544</v>
      </c>
      <c r="V513" s="22" t="s">
        <v>2848</v>
      </c>
      <c r="W513" s="96" t="s">
        <v>3983</v>
      </c>
      <c r="X513" s="22" t="s">
        <v>2141</v>
      </c>
      <c r="Y513" s="11" t="s">
        <v>3280</v>
      </c>
      <c r="Z513" s="79"/>
      <c r="AA513" s="187">
        <v>509</v>
      </c>
    </row>
    <row r="514" spans="2:27" s="184" customFormat="1" ht="20" x14ac:dyDescent="0.2">
      <c r="B514" s="11" t="s">
        <v>1578</v>
      </c>
      <c r="C514" s="165" t="s">
        <v>4235</v>
      </c>
      <c r="D514" s="22" t="s">
        <v>2379</v>
      </c>
      <c r="E514" s="34">
        <v>1</v>
      </c>
      <c r="F514" s="22" t="s">
        <v>2223</v>
      </c>
      <c r="G514" s="88">
        <v>20</v>
      </c>
      <c r="H514" s="235">
        <f t="shared" si="60"/>
        <v>12.345679012345679</v>
      </c>
      <c r="I514" s="88">
        <v>48</v>
      </c>
      <c r="J514" s="235">
        <f t="shared" si="61"/>
        <v>29.629629629629626</v>
      </c>
      <c r="K514" s="215">
        <v>138</v>
      </c>
      <c r="L514" s="252">
        <f>_xlfn.XLOOKUP($K514,Inputs!$C$6:$C$23,Inputs!$D$6:$D$23)*$I514</f>
        <v>20.811428571428571</v>
      </c>
      <c r="M514" s="68"/>
      <c r="N514" s="68"/>
      <c r="O514" s="215">
        <v>75</v>
      </c>
      <c r="P514" s="215">
        <v>79</v>
      </c>
      <c r="Q514" s="94">
        <v>0.9</v>
      </c>
      <c r="R514" s="68" t="s">
        <v>115</v>
      </c>
      <c r="S514" s="182">
        <f t="shared" si="72"/>
        <v>67.5</v>
      </c>
      <c r="T514" s="182">
        <f t="shared" si="73"/>
        <v>71.100000000000009</v>
      </c>
      <c r="U514" s="96" t="s">
        <v>3983</v>
      </c>
      <c r="V514" s="22" t="s">
        <v>2141</v>
      </c>
      <c r="W514" s="96" t="s">
        <v>4027</v>
      </c>
      <c r="X514" s="22" t="s">
        <v>3267</v>
      </c>
      <c r="Y514" s="11" t="s">
        <v>3280</v>
      </c>
      <c r="Z514" s="79"/>
      <c r="AA514" s="187">
        <v>510</v>
      </c>
    </row>
    <row r="515" spans="2:27" s="184" customFormat="1" ht="20" x14ac:dyDescent="0.2">
      <c r="B515" s="11" t="s">
        <v>1578</v>
      </c>
      <c r="C515" s="165" t="s">
        <v>4235</v>
      </c>
      <c r="D515" s="22" t="s">
        <v>2379</v>
      </c>
      <c r="E515" s="34">
        <v>1</v>
      </c>
      <c r="F515" s="22" t="s">
        <v>2223</v>
      </c>
      <c r="G515" s="88">
        <v>20</v>
      </c>
      <c r="H515" s="235">
        <f t="shared" si="60"/>
        <v>12.345679012345679</v>
      </c>
      <c r="I515" s="88">
        <v>48</v>
      </c>
      <c r="J515" s="235">
        <f t="shared" si="61"/>
        <v>29.629629629629626</v>
      </c>
      <c r="K515" s="215">
        <v>138</v>
      </c>
      <c r="L515" s="252">
        <f>_xlfn.XLOOKUP($K515,Inputs!$C$6:$C$23,Inputs!$D$6:$D$23)*$I515</f>
        <v>20.811428571428571</v>
      </c>
      <c r="M515" s="68"/>
      <c r="N515" s="68"/>
      <c r="O515" s="215">
        <v>75</v>
      </c>
      <c r="P515" s="215">
        <v>79</v>
      </c>
      <c r="Q515" s="94">
        <v>0.9</v>
      </c>
      <c r="R515" s="68" t="s">
        <v>115</v>
      </c>
      <c r="S515" s="182">
        <f t="shared" si="72"/>
        <v>67.5</v>
      </c>
      <c r="T515" s="182">
        <f t="shared" si="73"/>
        <v>71.100000000000009</v>
      </c>
      <c r="U515" s="96" t="s">
        <v>4027</v>
      </c>
      <c r="V515" s="22" t="s">
        <v>3267</v>
      </c>
      <c r="W515" s="96" t="s">
        <v>3777</v>
      </c>
      <c r="X515" s="22" t="s">
        <v>3030</v>
      </c>
      <c r="Y515" s="11" t="s">
        <v>3328</v>
      </c>
      <c r="Z515" s="79"/>
      <c r="AA515" s="187">
        <v>511</v>
      </c>
    </row>
    <row r="516" spans="2:27" s="184" customFormat="1" ht="20" x14ac:dyDescent="0.2">
      <c r="B516" s="11" t="s">
        <v>1204</v>
      </c>
      <c r="C516" s="165" t="s">
        <v>4235</v>
      </c>
      <c r="D516" s="22" t="s">
        <v>2379</v>
      </c>
      <c r="E516" s="34">
        <v>1</v>
      </c>
      <c r="F516" s="22" t="s">
        <v>2223</v>
      </c>
      <c r="G516" s="88">
        <v>10</v>
      </c>
      <c r="H516" s="235">
        <f t="shared" si="60"/>
        <v>6.1728395061728394</v>
      </c>
      <c r="I516" s="88">
        <v>10</v>
      </c>
      <c r="J516" s="235">
        <f t="shared" si="61"/>
        <v>6.1728395061728394</v>
      </c>
      <c r="K516" s="215">
        <v>138</v>
      </c>
      <c r="L516" s="252">
        <f>_xlfn.XLOOKUP($K516,Inputs!$C$6:$C$23,Inputs!$D$6:$D$23)*$I516</f>
        <v>4.3357142857142863</v>
      </c>
      <c r="M516" s="68"/>
      <c r="N516" s="68"/>
      <c r="O516" s="215">
        <v>120</v>
      </c>
      <c r="P516" s="215">
        <v>145</v>
      </c>
      <c r="Q516" s="94">
        <v>0.9</v>
      </c>
      <c r="R516" s="68" t="s">
        <v>115</v>
      </c>
      <c r="S516" s="182">
        <f t="shared" si="72"/>
        <v>108</v>
      </c>
      <c r="T516" s="182">
        <f t="shared" si="73"/>
        <v>130.5</v>
      </c>
      <c r="U516" s="96" t="s">
        <v>3983</v>
      </c>
      <c r="V516" s="22" t="s">
        <v>2141</v>
      </c>
      <c r="W516" s="96" t="s">
        <v>3764</v>
      </c>
      <c r="X516" s="22" t="s">
        <v>3019</v>
      </c>
      <c r="Y516" s="11" t="s">
        <v>3280</v>
      </c>
      <c r="Z516" s="79"/>
      <c r="AA516" s="187">
        <v>512</v>
      </c>
    </row>
    <row r="517" spans="2:27" s="184" customFormat="1" ht="20" x14ac:dyDescent="0.2">
      <c r="B517" s="11" t="s">
        <v>774</v>
      </c>
      <c r="C517" s="165" t="s">
        <v>4235</v>
      </c>
      <c r="D517" s="22" t="s">
        <v>2379</v>
      </c>
      <c r="E517" s="34">
        <v>1</v>
      </c>
      <c r="F517" s="22" t="s">
        <v>2223</v>
      </c>
      <c r="G517" s="235">
        <v>24</v>
      </c>
      <c r="H517" s="235">
        <f t="shared" ref="H517:H580" si="74">G517/1.62</f>
        <v>14.814814814814813</v>
      </c>
      <c r="I517" s="235">
        <v>42</v>
      </c>
      <c r="J517" s="235">
        <f t="shared" ref="J517:J580" si="75">I517/1.62</f>
        <v>25.925925925925924</v>
      </c>
      <c r="K517" s="215">
        <v>138</v>
      </c>
      <c r="L517" s="252">
        <f>_xlfn.XLOOKUP($K517,Inputs!$C$6:$C$23,Inputs!$D$6:$D$23)*$I517</f>
        <v>18.21</v>
      </c>
      <c r="M517" s="68"/>
      <c r="N517" s="68"/>
      <c r="O517" s="215">
        <v>172</v>
      </c>
      <c r="P517" s="215">
        <v>212</v>
      </c>
      <c r="Q517" s="94">
        <v>0.9</v>
      </c>
      <c r="R517" s="68" t="s">
        <v>115</v>
      </c>
      <c r="S517" s="182">
        <f t="shared" si="72"/>
        <v>154.80000000000001</v>
      </c>
      <c r="T517" s="182">
        <f t="shared" si="73"/>
        <v>190.8</v>
      </c>
      <c r="U517" s="96" t="s">
        <v>3387</v>
      </c>
      <c r="V517" s="22" t="s">
        <v>2610</v>
      </c>
      <c r="W517" s="96" t="s">
        <v>3978</v>
      </c>
      <c r="X517" s="22" t="s">
        <v>2142</v>
      </c>
      <c r="Y517" s="11" t="s">
        <v>3328</v>
      </c>
      <c r="Z517" s="79"/>
      <c r="AA517" s="187">
        <v>513</v>
      </c>
    </row>
    <row r="518" spans="2:27" s="184" customFormat="1" ht="20" x14ac:dyDescent="0.2">
      <c r="B518" s="11" t="s">
        <v>774</v>
      </c>
      <c r="C518" s="165" t="s">
        <v>4235</v>
      </c>
      <c r="D518" s="22" t="s">
        <v>2379</v>
      </c>
      <c r="E518" s="34">
        <v>1</v>
      </c>
      <c r="F518" s="22" t="s">
        <v>2223</v>
      </c>
      <c r="G518" s="88">
        <v>18</v>
      </c>
      <c r="H518" s="235">
        <f t="shared" si="74"/>
        <v>11.111111111111111</v>
      </c>
      <c r="I518" s="88">
        <v>42</v>
      </c>
      <c r="J518" s="235">
        <f t="shared" si="75"/>
        <v>25.925925925925924</v>
      </c>
      <c r="K518" s="216">
        <v>138</v>
      </c>
      <c r="L518" s="252">
        <f>_xlfn.XLOOKUP($K518,Inputs!$C$6:$C$23,Inputs!$D$6:$D$23)*$I518</f>
        <v>18.21</v>
      </c>
      <c r="M518" s="68"/>
      <c r="N518" s="68"/>
      <c r="O518" s="216">
        <v>172</v>
      </c>
      <c r="P518" s="216">
        <v>212</v>
      </c>
      <c r="Q518" s="94">
        <v>0.9</v>
      </c>
      <c r="R518" s="68" t="s">
        <v>115</v>
      </c>
      <c r="S518" s="182">
        <f t="shared" si="72"/>
        <v>154.80000000000001</v>
      </c>
      <c r="T518" s="182">
        <f t="shared" si="73"/>
        <v>190.8</v>
      </c>
      <c r="U518" s="96" t="s">
        <v>3978</v>
      </c>
      <c r="V518" s="22" t="s">
        <v>2142</v>
      </c>
      <c r="W518" s="96" t="s">
        <v>3483</v>
      </c>
      <c r="X518" s="22" t="s">
        <v>2647</v>
      </c>
      <c r="Y518" s="11" t="s">
        <v>3328</v>
      </c>
      <c r="Z518" s="79"/>
      <c r="AA518" s="187">
        <v>514</v>
      </c>
    </row>
    <row r="519" spans="2:27" s="184" customFormat="1" ht="20" x14ac:dyDescent="0.2">
      <c r="B519" s="11" t="s">
        <v>1579</v>
      </c>
      <c r="C519" s="165" t="s">
        <v>4235</v>
      </c>
      <c r="D519" s="22" t="s">
        <v>2379</v>
      </c>
      <c r="E519" s="34">
        <v>1</v>
      </c>
      <c r="F519" s="22" t="s">
        <v>2223</v>
      </c>
      <c r="G519" s="88">
        <v>6</v>
      </c>
      <c r="H519" s="235">
        <f t="shared" si="74"/>
        <v>3.7037037037037033</v>
      </c>
      <c r="I519" s="88">
        <v>12</v>
      </c>
      <c r="J519" s="235">
        <f t="shared" si="75"/>
        <v>7.4074074074074066</v>
      </c>
      <c r="K519" s="201">
        <v>144</v>
      </c>
      <c r="L519" s="252">
        <f>_xlfn.XLOOKUP($K519,Inputs!$C$6:$C$23,Inputs!$D$6:$D$23)*$I519</f>
        <v>5.2542857142857144</v>
      </c>
      <c r="M519" s="68"/>
      <c r="N519" s="68"/>
      <c r="O519" s="187"/>
      <c r="P519" s="187"/>
      <c r="Q519" s="94">
        <v>0.9</v>
      </c>
      <c r="R519" s="68">
        <f t="shared" ref="R519:R526" si="76">IF((42.4*(J519)^(-0.6595))&gt;=3,3,(IF(42.4*(J519)^(-0.6595)&lt;=0.5,0.5,(42.4*(J519)^(-0.6595)))))</f>
        <v>3</v>
      </c>
      <c r="S519" s="276">
        <f>_xlfn.XLOOKUP($K519,Inputs!$G$6:$G$23,Inputs!J$6:J$23)*$R519</f>
        <v>153.60000000000002</v>
      </c>
      <c r="T519" s="276">
        <f>_xlfn.XLOOKUP($K519,Inputs!$G$6:$G$23,Inputs!K$6:K$23)*$R519</f>
        <v>169.96721311475409</v>
      </c>
      <c r="U519" s="96" t="s">
        <v>3978</v>
      </c>
      <c r="V519" s="22" t="s">
        <v>2142</v>
      </c>
      <c r="W519" s="96" t="s">
        <v>3504</v>
      </c>
      <c r="X519" s="22" t="s">
        <v>2143</v>
      </c>
      <c r="Y519" s="11" t="s">
        <v>3331</v>
      </c>
      <c r="Z519" s="79"/>
      <c r="AA519" s="187">
        <v>515</v>
      </c>
    </row>
    <row r="520" spans="2:27" s="184" customFormat="1" ht="20" x14ac:dyDescent="0.2">
      <c r="B520" s="11" t="s">
        <v>1579</v>
      </c>
      <c r="C520" s="165" t="s">
        <v>4235</v>
      </c>
      <c r="D520" s="22" t="s">
        <v>2379</v>
      </c>
      <c r="E520" s="34">
        <v>1</v>
      </c>
      <c r="F520" s="22" t="s">
        <v>2223</v>
      </c>
      <c r="G520" s="88">
        <v>6</v>
      </c>
      <c r="H520" s="235">
        <f t="shared" si="74"/>
        <v>3.7037037037037033</v>
      </c>
      <c r="I520" s="88">
        <v>12</v>
      </c>
      <c r="J520" s="235">
        <f t="shared" si="75"/>
        <v>7.4074074074074066</v>
      </c>
      <c r="K520" s="201">
        <v>144</v>
      </c>
      <c r="L520" s="252">
        <f>_xlfn.XLOOKUP($K520,Inputs!$C$6:$C$23,Inputs!$D$6:$D$23)*$I520</f>
        <v>5.2542857142857144</v>
      </c>
      <c r="M520" s="68"/>
      <c r="N520" s="68"/>
      <c r="O520" s="187"/>
      <c r="P520" s="187"/>
      <c r="Q520" s="94">
        <v>0.9</v>
      </c>
      <c r="R520" s="68">
        <f t="shared" si="76"/>
        <v>3</v>
      </c>
      <c r="S520" s="276">
        <f>_xlfn.XLOOKUP($K520,Inputs!$G$6:$G$23,Inputs!J$6:J$23)*$R520</f>
        <v>153.60000000000002</v>
      </c>
      <c r="T520" s="276">
        <f>_xlfn.XLOOKUP($K520,Inputs!$G$6:$G$23,Inputs!K$6:K$23)*$R520</f>
        <v>169.96721311475409</v>
      </c>
      <c r="U520" s="96" t="s">
        <v>3504</v>
      </c>
      <c r="V520" s="22" t="s">
        <v>2143</v>
      </c>
      <c r="W520" s="96" t="s">
        <v>3729</v>
      </c>
      <c r="X520" s="22" t="s">
        <v>2990</v>
      </c>
      <c r="Y520" s="11" t="s">
        <v>3331</v>
      </c>
      <c r="Z520" s="79"/>
      <c r="AA520" s="187">
        <v>516</v>
      </c>
    </row>
    <row r="521" spans="2:27" s="184" customFormat="1" ht="20" x14ac:dyDescent="0.2">
      <c r="B521" s="11" t="s">
        <v>1581</v>
      </c>
      <c r="C521" s="165" t="s">
        <v>4235</v>
      </c>
      <c r="D521" s="22" t="s">
        <v>2379</v>
      </c>
      <c r="E521" s="34">
        <v>1</v>
      </c>
      <c r="F521" s="22" t="s">
        <v>2223</v>
      </c>
      <c r="G521" s="88">
        <v>9</v>
      </c>
      <c r="H521" s="235">
        <f t="shared" si="74"/>
        <v>5.5555555555555554</v>
      </c>
      <c r="I521" s="88">
        <v>9</v>
      </c>
      <c r="J521" s="235">
        <f t="shared" si="75"/>
        <v>5.5555555555555554</v>
      </c>
      <c r="K521" s="201">
        <v>144</v>
      </c>
      <c r="L521" s="252">
        <f>_xlfn.XLOOKUP($K521,Inputs!$C$6:$C$23,Inputs!$D$6:$D$23)*$I521</f>
        <v>3.9407142857142858</v>
      </c>
      <c r="M521" s="68"/>
      <c r="N521" s="68"/>
      <c r="O521" s="187"/>
      <c r="P521" s="187"/>
      <c r="Q521" s="94">
        <v>0.9</v>
      </c>
      <c r="R521" s="68">
        <f t="shared" si="76"/>
        <v>3</v>
      </c>
      <c r="S521" s="276">
        <f>_xlfn.XLOOKUP($K521,Inputs!$G$6:$G$23,Inputs!J$6:J$23)*$R521</f>
        <v>153.60000000000002</v>
      </c>
      <c r="T521" s="276">
        <f>_xlfn.XLOOKUP($K521,Inputs!$G$6:$G$23,Inputs!K$6:K$23)*$R521</f>
        <v>169.96721311475409</v>
      </c>
      <c r="U521" s="96" t="s">
        <v>3504</v>
      </c>
      <c r="V521" s="22" t="s">
        <v>2143</v>
      </c>
      <c r="W521" s="96" t="s">
        <v>3503</v>
      </c>
      <c r="X521" s="22" t="s">
        <v>2627</v>
      </c>
      <c r="Y521" s="11" t="s">
        <v>3331</v>
      </c>
      <c r="Z521" s="79"/>
      <c r="AA521" s="187">
        <v>517</v>
      </c>
    </row>
    <row r="522" spans="2:27" s="184" customFormat="1" ht="20" x14ac:dyDescent="0.2">
      <c r="B522" s="11" t="s">
        <v>1311</v>
      </c>
      <c r="C522" s="165" t="s">
        <v>4235</v>
      </c>
      <c r="D522" s="22" t="s">
        <v>2379</v>
      </c>
      <c r="E522" s="34">
        <v>1</v>
      </c>
      <c r="F522" s="22" t="s">
        <v>2223</v>
      </c>
      <c r="G522" s="88">
        <v>30</v>
      </c>
      <c r="H522" s="235">
        <f t="shared" si="74"/>
        <v>18.518518518518519</v>
      </c>
      <c r="I522" s="88">
        <v>30</v>
      </c>
      <c r="J522" s="235">
        <f t="shared" si="75"/>
        <v>18.518518518518519</v>
      </c>
      <c r="K522" s="201">
        <v>144</v>
      </c>
      <c r="L522" s="252">
        <f>_xlfn.XLOOKUP($K522,Inputs!$C$6:$C$23,Inputs!$D$6:$D$23)*$I522</f>
        <v>13.135714285714286</v>
      </c>
      <c r="M522" s="68"/>
      <c r="N522" s="68"/>
      <c r="O522" s="187"/>
      <c r="P522" s="187"/>
      <c r="Q522" s="94">
        <v>0.9</v>
      </c>
      <c r="R522" s="68">
        <f t="shared" si="76"/>
        <v>3</v>
      </c>
      <c r="S522" s="276">
        <f>_xlfn.XLOOKUP($K522,Inputs!$G$6:$G$23,Inputs!J$6:J$23)*$R522</f>
        <v>153.60000000000002</v>
      </c>
      <c r="T522" s="276">
        <f>_xlfn.XLOOKUP($K522,Inputs!$G$6:$G$23,Inputs!K$6:K$23)*$R522</f>
        <v>169.96721311475409</v>
      </c>
      <c r="U522" s="96" t="s">
        <v>4278</v>
      </c>
      <c r="V522" s="22" t="s">
        <v>4280</v>
      </c>
      <c r="W522" s="96" t="s">
        <v>3444</v>
      </c>
      <c r="X522" s="22" t="s">
        <v>2212</v>
      </c>
      <c r="Y522" s="11" t="s">
        <v>3331</v>
      </c>
      <c r="Z522" s="79"/>
      <c r="AA522" s="187">
        <v>518</v>
      </c>
    </row>
    <row r="523" spans="2:27" s="184" customFormat="1" ht="20" x14ac:dyDescent="0.2">
      <c r="B523" s="11" t="s">
        <v>1370</v>
      </c>
      <c r="C523" s="165" t="s">
        <v>4235</v>
      </c>
      <c r="D523" s="22" t="s">
        <v>2379</v>
      </c>
      <c r="E523" s="34">
        <v>1</v>
      </c>
      <c r="F523" s="22" t="s">
        <v>2223</v>
      </c>
      <c r="G523" s="88">
        <v>7.1999999999999993</v>
      </c>
      <c r="H523" s="235">
        <f t="shared" si="74"/>
        <v>4.4444444444444438</v>
      </c>
      <c r="I523" s="88">
        <v>7.1999999999999993</v>
      </c>
      <c r="J523" s="235">
        <f t="shared" si="75"/>
        <v>4.4444444444444438</v>
      </c>
      <c r="K523" s="201">
        <v>144</v>
      </c>
      <c r="L523" s="252">
        <f>_xlfn.XLOOKUP($K523,Inputs!$C$6:$C$23,Inputs!$D$6:$D$23)*$I523</f>
        <v>3.1525714285714286</v>
      </c>
      <c r="M523" s="68"/>
      <c r="N523" s="68"/>
      <c r="O523" s="187"/>
      <c r="P523" s="187"/>
      <c r="Q523" s="94">
        <v>0.9</v>
      </c>
      <c r="R523" s="68">
        <f t="shared" si="76"/>
        <v>3</v>
      </c>
      <c r="S523" s="276">
        <f>_xlfn.XLOOKUP($K523,Inputs!$G$6:$G$23,Inputs!J$6:J$23)*$R523</f>
        <v>153.60000000000002</v>
      </c>
      <c r="T523" s="276">
        <f>_xlfn.XLOOKUP($K523,Inputs!$G$6:$G$23,Inputs!K$6:K$23)*$R523</f>
        <v>169.96721311475409</v>
      </c>
      <c r="U523" s="96" t="s">
        <v>3444</v>
      </c>
      <c r="V523" s="22" t="s">
        <v>2212</v>
      </c>
      <c r="W523" s="96" t="s">
        <v>4277</v>
      </c>
      <c r="X523" s="22" t="s">
        <v>4279</v>
      </c>
      <c r="Y523" s="11" t="s">
        <v>3331</v>
      </c>
      <c r="Z523" s="79"/>
      <c r="AA523" s="187">
        <v>519</v>
      </c>
    </row>
    <row r="524" spans="2:27" s="184" customFormat="1" ht="20" x14ac:dyDescent="0.2">
      <c r="B524" s="11" t="s">
        <v>1371</v>
      </c>
      <c r="C524" s="165" t="s">
        <v>4235</v>
      </c>
      <c r="D524" s="22" t="s">
        <v>2379</v>
      </c>
      <c r="E524" s="34">
        <v>1</v>
      </c>
      <c r="F524" s="22" t="s">
        <v>2223</v>
      </c>
      <c r="G524" s="88">
        <v>6</v>
      </c>
      <c r="H524" s="235">
        <f t="shared" si="74"/>
        <v>3.7037037037037033</v>
      </c>
      <c r="I524" s="88">
        <v>6</v>
      </c>
      <c r="J524" s="235">
        <f t="shared" si="75"/>
        <v>3.7037037037037033</v>
      </c>
      <c r="K524" s="201">
        <v>144</v>
      </c>
      <c r="L524" s="252">
        <f>_xlfn.XLOOKUP($K524,Inputs!$C$6:$C$23,Inputs!$D$6:$D$23)*$I524</f>
        <v>2.6271428571428572</v>
      </c>
      <c r="M524" s="68"/>
      <c r="N524" s="68"/>
      <c r="O524" s="187"/>
      <c r="P524" s="187"/>
      <c r="Q524" s="94">
        <v>0.9</v>
      </c>
      <c r="R524" s="68">
        <f t="shared" si="76"/>
        <v>3</v>
      </c>
      <c r="S524" s="276">
        <f>_xlfn.XLOOKUP($K524,Inputs!$G$6:$G$23,Inputs!J$6:J$23)*$R524</f>
        <v>153.60000000000002</v>
      </c>
      <c r="T524" s="276">
        <f>_xlfn.XLOOKUP($K524,Inputs!$G$6:$G$23,Inputs!K$6:K$23)*$R524</f>
        <v>169.96721311475409</v>
      </c>
      <c r="U524" s="96" t="s">
        <v>3444</v>
      </c>
      <c r="V524" s="22" t="s">
        <v>2212</v>
      </c>
      <c r="W524" s="96" t="s">
        <v>3443</v>
      </c>
      <c r="X524" s="22" t="s">
        <v>3247</v>
      </c>
      <c r="Y524" s="11" t="s">
        <v>3331</v>
      </c>
      <c r="Z524" s="79"/>
      <c r="AA524" s="187">
        <v>520</v>
      </c>
    </row>
    <row r="525" spans="2:27" s="184" customFormat="1" ht="20" x14ac:dyDescent="0.2">
      <c r="B525" s="11" t="s">
        <v>1283</v>
      </c>
      <c r="C525" s="165" t="s">
        <v>4235</v>
      </c>
      <c r="D525" s="22" t="s">
        <v>2379</v>
      </c>
      <c r="E525" s="34">
        <v>1</v>
      </c>
      <c r="F525" s="22" t="s">
        <v>2223</v>
      </c>
      <c r="G525" s="88">
        <v>12</v>
      </c>
      <c r="H525" s="235">
        <f t="shared" si="74"/>
        <v>7.4074074074074066</v>
      </c>
      <c r="I525" s="88">
        <v>16.8</v>
      </c>
      <c r="J525" s="235">
        <f t="shared" si="75"/>
        <v>10.37037037037037</v>
      </c>
      <c r="K525" s="201">
        <v>144</v>
      </c>
      <c r="L525" s="252">
        <f>_xlfn.XLOOKUP($K525,Inputs!$C$6:$C$23,Inputs!$D$6:$D$23)*$I525</f>
        <v>7.3560000000000008</v>
      </c>
      <c r="M525" s="68"/>
      <c r="N525" s="68"/>
      <c r="O525" s="187"/>
      <c r="P525" s="187"/>
      <c r="Q525" s="94">
        <v>0.9</v>
      </c>
      <c r="R525" s="68">
        <f t="shared" si="76"/>
        <v>3</v>
      </c>
      <c r="S525" s="276">
        <f>_xlfn.XLOOKUP($K525,Inputs!$G$6:$G$23,Inputs!J$6:J$23)*$R525</f>
        <v>153.60000000000002</v>
      </c>
      <c r="T525" s="276">
        <f>_xlfn.XLOOKUP($K525,Inputs!$G$6:$G$23,Inputs!K$6:K$23)*$R525</f>
        <v>169.96721311475409</v>
      </c>
      <c r="U525" s="96" t="s">
        <v>3754</v>
      </c>
      <c r="V525" s="22" t="s">
        <v>3012</v>
      </c>
      <c r="W525" s="96" t="s">
        <v>3957</v>
      </c>
      <c r="X525" s="22" t="s">
        <v>2128</v>
      </c>
      <c r="Y525" s="11" t="s">
        <v>3331</v>
      </c>
      <c r="Z525" s="79"/>
      <c r="AA525" s="187">
        <v>521</v>
      </c>
    </row>
    <row r="526" spans="2:27" s="184" customFormat="1" ht="20" x14ac:dyDescent="0.2">
      <c r="B526" s="11" t="s">
        <v>1283</v>
      </c>
      <c r="C526" s="165" t="s">
        <v>4235</v>
      </c>
      <c r="D526" s="22" t="s">
        <v>2379</v>
      </c>
      <c r="E526" s="34">
        <v>1</v>
      </c>
      <c r="F526" s="22" t="s">
        <v>2223</v>
      </c>
      <c r="G526" s="88">
        <v>4.8000000000000007</v>
      </c>
      <c r="H526" s="235">
        <f t="shared" si="74"/>
        <v>2.9629629629629632</v>
      </c>
      <c r="I526" s="88">
        <v>16.8</v>
      </c>
      <c r="J526" s="235">
        <f t="shared" si="75"/>
        <v>10.37037037037037</v>
      </c>
      <c r="K526" s="201">
        <v>144</v>
      </c>
      <c r="L526" s="252">
        <f>_xlfn.XLOOKUP($K526,Inputs!$C$6:$C$23,Inputs!$D$6:$D$23)*$I526</f>
        <v>7.3560000000000008</v>
      </c>
      <c r="M526" s="68"/>
      <c r="N526" s="68"/>
      <c r="O526" s="187"/>
      <c r="P526" s="187"/>
      <c r="Q526" s="94">
        <v>0.9</v>
      </c>
      <c r="R526" s="68">
        <f t="shared" si="76"/>
        <v>3</v>
      </c>
      <c r="S526" s="276">
        <f>_xlfn.XLOOKUP($K526,Inputs!$G$6:$G$23,Inputs!J$6:J$23)*$R526</f>
        <v>153.60000000000002</v>
      </c>
      <c r="T526" s="276">
        <f>_xlfn.XLOOKUP($K526,Inputs!$G$6:$G$23,Inputs!K$6:K$23)*$R526</f>
        <v>169.96721311475409</v>
      </c>
      <c r="U526" s="96" t="s">
        <v>3957</v>
      </c>
      <c r="V526" s="22" t="s">
        <v>2128</v>
      </c>
      <c r="W526" s="96" t="s">
        <v>3750</v>
      </c>
      <c r="X526" s="22" t="s">
        <v>3008</v>
      </c>
      <c r="Y526" s="11" t="s">
        <v>3331</v>
      </c>
      <c r="Z526" s="79"/>
      <c r="AA526" s="187">
        <v>522</v>
      </c>
    </row>
    <row r="527" spans="2:27" s="184" customFormat="1" ht="20" x14ac:dyDescent="0.2">
      <c r="B527" s="11" t="s">
        <v>2060</v>
      </c>
      <c r="C527" s="165" t="s">
        <v>4235</v>
      </c>
      <c r="D527" s="22" t="s">
        <v>2379</v>
      </c>
      <c r="E527" s="34">
        <v>1</v>
      </c>
      <c r="F527" s="22" t="s">
        <v>2223</v>
      </c>
      <c r="G527" s="88">
        <v>12</v>
      </c>
      <c r="H527" s="235">
        <f t="shared" si="74"/>
        <v>7.4074074074074066</v>
      </c>
      <c r="I527" s="88">
        <v>12</v>
      </c>
      <c r="J527" s="235">
        <f t="shared" si="75"/>
        <v>7.4074074074074066</v>
      </c>
      <c r="K527" s="216">
        <v>138</v>
      </c>
      <c r="L527" s="252">
        <f>_xlfn.XLOOKUP($K527,Inputs!$C$6:$C$23,Inputs!$D$6:$D$23)*$I527</f>
        <v>5.2028571428571428</v>
      </c>
      <c r="M527" s="68"/>
      <c r="N527" s="68"/>
      <c r="O527" s="216">
        <v>119</v>
      </c>
      <c r="P527" s="216">
        <v>146</v>
      </c>
      <c r="Q527" s="94">
        <v>0.9</v>
      </c>
      <c r="R527" s="68" t="s">
        <v>115</v>
      </c>
      <c r="S527" s="182">
        <f>O527*Q527</f>
        <v>107.10000000000001</v>
      </c>
      <c r="T527" s="182">
        <f>P527*Q527</f>
        <v>131.4</v>
      </c>
      <c r="U527" s="96" t="s">
        <v>3661</v>
      </c>
      <c r="V527" s="22" t="s">
        <v>2933</v>
      </c>
      <c r="W527" s="96" t="s">
        <v>3606</v>
      </c>
      <c r="X527" s="22" t="s">
        <v>2606</v>
      </c>
      <c r="Y527" s="11" t="s">
        <v>3291</v>
      </c>
      <c r="Z527" s="79"/>
      <c r="AA527" s="187">
        <v>523</v>
      </c>
    </row>
    <row r="528" spans="2:27" s="184" customFormat="1" ht="20" x14ac:dyDescent="0.2">
      <c r="B528" s="11" t="s">
        <v>1487</v>
      </c>
      <c r="C528" s="165" t="s">
        <v>4235</v>
      </c>
      <c r="D528" s="22" t="s">
        <v>2379</v>
      </c>
      <c r="E528" s="34">
        <v>1</v>
      </c>
      <c r="F528" s="22" t="s">
        <v>2223</v>
      </c>
      <c r="G528" s="88">
        <v>6</v>
      </c>
      <c r="H528" s="235">
        <f t="shared" si="74"/>
        <v>3.7037037037037033</v>
      </c>
      <c r="I528" s="88">
        <v>18</v>
      </c>
      <c r="J528" s="235">
        <f t="shared" si="75"/>
        <v>11.111111111111111</v>
      </c>
      <c r="K528" s="215">
        <v>138</v>
      </c>
      <c r="L528" s="252">
        <f>_xlfn.XLOOKUP($K528,Inputs!$C$6:$C$23,Inputs!$D$6:$D$23)*$I528</f>
        <v>7.8042857142857152</v>
      </c>
      <c r="M528" s="68"/>
      <c r="N528" s="68"/>
      <c r="O528" s="215">
        <v>121</v>
      </c>
      <c r="P528" s="215">
        <v>149</v>
      </c>
      <c r="Q528" s="94">
        <v>0.9</v>
      </c>
      <c r="R528" s="68" t="s">
        <v>115</v>
      </c>
      <c r="S528" s="182">
        <f>O528*Q528</f>
        <v>108.9</v>
      </c>
      <c r="T528" s="182">
        <f>P528*Q528</f>
        <v>134.1</v>
      </c>
      <c r="U528" s="96" t="s">
        <v>3718</v>
      </c>
      <c r="V528" s="22" t="s">
        <v>2982</v>
      </c>
      <c r="W528" s="96" t="s">
        <v>3962</v>
      </c>
      <c r="X528" s="22" t="s">
        <v>2144</v>
      </c>
      <c r="Y528" s="11" t="s">
        <v>3309</v>
      </c>
      <c r="Z528" s="79"/>
      <c r="AA528" s="187">
        <v>524</v>
      </c>
    </row>
    <row r="529" spans="2:27" s="184" customFormat="1" ht="20" x14ac:dyDescent="0.2">
      <c r="B529" s="11" t="s">
        <v>1487</v>
      </c>
      <c r="C529" s="165" t="s">
        <v>4235</v>
      </c>
      <c r="D529" s="22" t="s">
        <v>2379</v>
      </c>
      <c r="E529" s="34">
        <v>1</v>
      </c>
      <c r="F529" s="22" t="s">
        <v>2223</v>
      </c>
      <c r="G529" s="88">
        <v>12</v>
      </c>
      <c r="H529" s="235">
        <f t="shared" si="74"/>
        <v>7.4074074074074066</v>
      </c>
      <c r="I529" s="88">
        <v>18</v>
      </c>
      <c r="J529" s="235">
        <f t="shared" si="75"/>
        <v>11.111111111111111</v>
      </c>
      <c r="K529" s="215">
        <v>138</v>
      </c>
      <c r="L529" s="252">
        <f>_xlfn.XLOOKUP($K529,Inputs!$C$6:$C$23,Inputs!$D$6:$D$23)*$I529</f>
        <v>7.8042857142857152</v>
      </c>
      <c r="M529" s="68"/>
      <c r="N529" s="68"/>
      <c r="O529" s="215">
        <v>88</v>
      </c>
      <c r="P529" s="215">
        <v>96</v>
      </c>
      <c r="Q529" s="94">
        <v>0.9</v>
      </c>
      <c r="R529" s="68" t="s">
        <v>115</v>
      </c>
      <c r="S529" s="182">
        <f>O529*Q529</f>
        <v>79.2</v>
      </c>
      <c r="T529" s="182">
        <f>P529*Q529</f>
        <v>86.4</v>
      </c>
      <c r="U529" s="96" t="s">
        <v>3962</v>
      </c>
      <c r="V529" s="22" t="s">
        <v>2144</v>
      </c>
      <c r="W529" s="96" t="s">
        <v>3530</v>
      </c>
      <c r="X529" s="22" t="s">
        <v>2840</v>
      </c>
      <c r="Y529" s="11" t="s">
        <v>3309</v>
      </c>
      <c r="Z529" s="79"/>
      <c r="AA529" s="187">
        <v>525</v>
      </c>
    </row>
    <row r="530" spans="2:27" s="184" customFormat="1" ht="20" x14ac:dyDescent="0.2">
      <c r="B530" s="11" t="s">
        <v>1488</v>
      </c>
      <c r="C530" s="165" t="s">
        <v>4235</v>
      </c>
      <c r="D530" s="22" t="s">
        <v>2379</v>
      </c>
      <c r="E530" s="34">
        <v>1</v>
      </c>
      <c r="F530" s="22" t="s">
        <v>2223</v>
      </c>
      <c r="G530" s="88">
        <v>18</v>
      </c>
      <c r="H530" s="235">
        <f t="shared" si="74"/>
        <v>11.111111111111111</v>
      </c>
      <c r="I530" s="88">
        <v>18</v>
      </c>
      <c r="J530" s="235">
        <f t="shared" si="75"/>
        <v>11.111111111111111</v>
      </c>
      <c r="K530" s="215">
        <v>138</v>
      </c>
      <c r="L530" s="252">
        <f>_xlfn.XLOOKUP($K530,Inputs!$C$6:$C$23,Inputs!$D$6:$D$23)*$I530</f>
        <v>7.8042857142857152</v>
      </c>
      <c r="M530" s="68"/>
      <c r="N530" s="68"/>
      <c r="O530" s="215">
        <v>121</v>
      </c>
      <c r="P530" s="215">
        <v>148</v>
      </c>
      <c r="Q530" s="94">
        <v>0.9</v>
      </c>
      <c r="R530" s="68" t="s">
        <v>115</v>
      </c>
      <c r="S530" s="182">
        <f>O530*Q530</f>
        <v>108.9</v>
      </c>
      <c r="T530" s="182">
        <f>P530*Q530</f>
        <v>133.20000000000002</v>
      </c>
      <c r="U530" s="96" t="s">
        <v>3962</v>
      </c>
      <c r="V530" s="22" t="s">
        <v>2144</v>
      </c>
      <c r="W530" s="96" t="s">
        <v>3661</v>
      </c>
      <c r="X530" s="22" t="s">
        <v>2933</v>
      </c>
      <c r="Y530" s="11" t="s">
        <v>3317</v>
      </c>
      <c r="Z530" s="79"/>
      <c r="AA530" s="187">
        <v>526</v>
      </c>
    </row>
    <row r="531" spans="2:27" s="184" customFormat="1" ht="20" x14ac:dyDescent="0.2">
      <c r="B531" s="11" t="s">
        <v>777</v>
      </c>
      <c r="C531" s="165" t="s">
        <v>4240</v>
      </c>
      <c r="D531" s="22" t="s">
        <v>2379</v>
      </c>
      <c r="E531" s="34">
        <v>1</v>
      </c>
      <c r="F531" s="22" t="s">
        <v>2223</v>
      </c>
      <c r="G531" s="235">
        <v>5</v>
      </c>
      <c r="H531" s="235">
        <f t="shared" si="74"/>
        <v>3.0864197530864197</v>
      </c>
      <c r="I531" s="235">
        <v>5</v>
      </c>
      <c r="J531" s="235">
        <f t="shared" si="75"/>
        <v>3.0864197530864197</v>
      </c>
      <c r="K531" s="201">
        <v>240</v>
      </c>
      <c r="L531" s="252">
        <f>_xlfn.XLOOKUP($K531,Inputs!$C$6:$C$23,Inputs!$D$6:$D$23)*$I531</f>
        <v>2.3842592592592595</v>
      </c>
      <c r="M531" s="68"/>
      <c r="N531" s="68"/>
      <c r="O531" s="187"/>
      <c r="P531" s="187"/>
      <c r="Q531" s="94">
        <v>0.9</v>
      </c>
      <c r="R531" s="68">
        <f>IF((42.4*(J531)^(-0.6595))&gt;=3,3,(IF(42.4*(J531)^(-0.6595)&lt;=0.5,0.5,(42.4*(J531)^(-0.6595)))))</f>
        <v>3</v>
      </c>
      <c r="S531" s="276">
        <f>_xlfn.XLOOKUP($K531,Inputs!$G$6:$G$23,Inputs!J$6:J$23)*$R531</f>
        <v>438.57868020304568</v>
      </c>
      <c r="T531" s="276">
        <f>_xlfn.XLOOKUP($K531,Inputs!$G$6:$G$23,Inputs!K$6:K$23)*$R531</f>
        <v>476.03305785123973</v>
      </c>
      <c r="U531" s="96" t="s">
        <v>3620</v>
      </c>
      <c r="V531" s="22" t="s">
        <v>2679</v>
      </c>
      <c r="W531" s="96" t="s">
        <v>3619</v>
      </c>
      <c r="X531" s="22" t="s">
        <v>3257</v>
      </c>
      <c r="Y531" s="11" t="s">
        <v>3331</v>
      </c>
      <c r="Z531" s="79"/>
      <c r="AA531" s="187">
        <v>527</v>
      </c>
    </row>
    <row r="532" spans="2:27" s="184" customFormat="1" ht="20" x14ac:dyDescent="0.2">
      <c r="B532" s="11" t="s">
        <v>779</v>
      </c>
      <c r="C532" s="165" t="s">
        <v>4240</v>
      </c>
      <c r="D532" s="22" t="s">
        <v>2379</v>
      </c>
      <c r="E532" s="34">
        <v>1</v>
      </c>
      <c r="F532" s="22" t="s">
        <v>2223</v>
      </c>
      <c r="G532" s="235">
        <v>5</v>
      </c>
      <c r="H532" s="235">
        <f t="shared" si="74"/>
        <v>3.0864197530864197</v>
      </c>
      <c r="I532" s="235">
        <v>5</v>
      </c>
      <c r="J532" s="235">
        <f t="shared" si="75"/>
        <v>3.0864197530864197</v>
      </c>
      <c r="K532" s="201">
        <v>240</v>
      </c>
      <c r="L532" s="252">
        <f>_xlfn.XLOOKUP($K532,Inputs!$C$6:$C$23,Inputs!$D$6:$D$23)*$I532</f>
        <v>2.3842592592592595</v>
      </c>
      <c r="M532" s="68"/>
      <c r="N532" s="68"/>
      <c r="O532" s="187"/>
      <c r="P532" s="187"/>
      <c r="Q532" s="94">
        <v>0.9</v>
      </c>
      <c r="R532" s="68">
        <f>IF((42.4*(J532)^(-0.6595))&gt;=3,3,(IF(42.4*(J532)^(-0.6595)&lt;=0.5,0.5,(42.4*(J532)^(-0.6595)))))</f>
        <v>3</v>
      </c>
      <c r="S532" s="276">
        <f>_xlfn.XLOOKUP($K532,Inputs!$G$6:$G$23,Inputs!J$6:J$23)*$R532</f>
        <v>438.57868020304568</v>
      </c>
      <c r="T532" s="276">
        <f>_xlfn.XLOOKUP($K532,Inputs!$G$6:$G$23,Inputs!K$6:K$23)*$R532</f>
        <v>476.03305785123973</v>
      </c>
      <c r="U532" s="96" t="s">
        <v>3620</v>
      </c>
      <c r="V532" s="22" t="s">
        <v>2679</v>
      </c>
      <c r="W532" s="96" t="s">
        <v>3619</v>
      </c>
      <c r="X532" s="22" t="s">
        <v>3257</v>
      </c>
      <c r="Y532" s="11" t="s">
        <v>3331</v>
      </c>
      <c r="Z532" s="79"/>
      <c r="AA532" s="187">
        <v>528</v>
      </c>
    </row>
    <row r="533" spans="2:27" s="184" customFormat="1" ht="20" x14ac:dyDescent="0.2">
      <c r="B533" s="11" t="s">
        <v>2061</v>
      </c>
      <c r="C533" s="165" t="s">
        <v>4240</v>
      </c>
      <c r="D533" s="22" t="s">
        <v>2379</v>
      </c>
      <c r="E533" s="34">
        <v>1</v>
      </c>
      <c r="F533" s="22" t="s">
        <v>2223</v>
      </c>
      <c r="G533" s="235">
        <v>10</v>
      </c>
      <c r="H533" s="235">
        <f t="shared" si="74"/>
        <v>6.1728395061728394</v>
      </c>
      <c r="I533" s="235">
        <v>10</v>
      </c>
      <c r="J533" s="235">
        <f t="shared" si="75"/>
        <v>6.1728395061728394</v>
      </c>
      <c r="K533" s="221">
        <v>240</v>
      </c>
      <c r="L533" s="252">
        <f>_xlfn.XLOOKUP($K533,Inputs!$C$6:$C$23,Inputs!$D$6:$D$23)*$I533</f>
        <v>4.768518518518519</v>
      </c>
      <c r="M533" s="68"/>
      <c r="N533" s="68"/>
      <c r="O533" s="206"/>
      <c r="P533" s="206"/>
      <c r="Q533" s="94">
        <v>0.9</v>
      </c>
      <c r="R533" s="68">
        <f>IF((42.4*(J533)^(-0.6595))&gt;=3,3,(IF(42.4*(J533)^(-0.6595)&lt;=0.5,0.5,(42.4*(J533)^(-0.6595)))))</f>
        <v>3</v>
      </c>
      <c r="S533" s="276">
        <f>_xlfn.XLOOKUP($K533,Inputs!$G$6:$G$23,Inputs!J$6:J$23)*$R533</f>
        <v>438.57868020304568</v>
      </c>
      <c r="T533" s="276">
        <f>_xlfn.XLOOKUP($K533,Inputs!$G$6:$G$23,Inputs!K$6:K$23)*$R533</f>
        <v>476.03305785123973</v>
      </c>
      <c r="U533" s="96" t="s">
        <v>3646</v>
      </c>
      <c r="V533" s="22" t="s">
        <v>2923</v>
      </c>
      <c r="W533" s="96" t="s">
        <v>3619</v>
      </c>
      <c r="X533" s="22" t="s">
        <v>3257</v>
      </c>
      <c r="Y533" s="11" t="s">
        <v>3331</v>
      </c>
      <c r="Z533" s="79"/>
      <c r="AA533" s="187">
        <v>529</v>
      </c>
    </row>
    <row r="534" spans="2:27" s="184" customFormat="1" ht="20" x14ac:dyDescent="0.2">
      <c r="B534" s="11" t="s">
        <v>2062</v>
      </c>
      <c r="C534" s="165" t="s">
        <v>4240</v>
      </c>
      <c r="D534" s="22" t="s">
        <v>2379</v>
      </c>
      <c r="E534" s="34">
        <v>1</v>
      </c>
      <c r="F534" s="22" t="s">
        <v>2223</v>
      </c>
      <c r="G534" s="235">
        <v>10</v>
      </c>
      <c r="H534" s="235">
        <f t="shared" si="74"/>
        <v>6.1728395061728394</v>
      </c>
      <c r="I534" s="235">
        <v>10</v>
      </c>
      <c r="J534" s="235">
        <f t="shared" si="75"/>
        <v>6.1728395061728394</v>
      </c>
      <c r="K534" s="201">
        <v>240</v>
      </c>
      <c r="L534" s="252">
        <f>_xlfn.XLOOKUP($K534,Inputs!$C$6:$C$23,Inputs!$D$6:$D$23)*$I534</f>
        <v>4.768518518518519</v>
      </c>
      <c r="M534" s="68"/>
      <c r="N534" s="68"/>
      <c r="O534" s="187"/>
      <c r="P534" s="187"/>
      <c r="Q534" s="94">
        <v>0.9</v>
      </c>
      <c r="R534" s="68">
        <f>IF((42.4*(J534)^(-0.6595))&gt;=3,3,(IF(42.4*(J534)^(-0.6595)&lt;=0.5,0.5,(42.4*(J534)^(-0.6595)))))</f>
        <v>3</v>
      </c>
      <c r="S534" s="276">
        <f>_xlfn.XLOOKUP($K534,Inputs!$G$6:$G$23,Inputs!J$6:J$23)*$R534</f>
        <v>438.57868020304568</v>
      </c>
      <c r="T534" s="276">
        <f>_xlfn.XLOOKUP($K534,Inputs!$G$6:$G$23,Inputs!K$6:K$23)*$R534</f>
        <v>476.03305785123973</v>
      </c>
      <c r="U534" s="96" t="s">
        <v>3646</v>
      </c>
      <c r="V534" s="22" t="s">
        <v>2923</v>
      </c>
      <c r="W534" s="96" t="s">
        <v>3619</v>
      </c>
      <c r="X534" s="22" t="s">
        <v>3257</v>
      </c>
      <c r="Y534" s="11" t="s">
        <v>3331</v>
      </c>
      <c r="Z534" s="79"/>
      <c r="AA534" s="187">
        <v>530</v>
      </c>
    </row>
    <row r="535" spans="2:27" s="188" customFormat="1" ht="20" x14ac:dyDescent="0.2">
      <c r="B535" s="11" t="s">
        <v>1716</v>
      </c>
      <c r="C535" s="165" t="s">
        <v>4235</v>
      </c>
      <c r="D535" s="22" t="s">
        <v>2379</v>
      </c>
      <c r="E535" s="34">
        <v>1</v>
      </c>
      <c r="F535" s="22" t="s">
        <v>2223</v>
      </c>
      <c r="G535" s="88">
        <v>20.399999999999999</v>
      </c>
      <c r="H535" s="235">
        <f t="shared" si="74"/>
        <v>12.592592592592592</v>
      </c>
      <c r="I535" s="88">
        <v>23.799999999999997</v>
      </c>
      <c r="J535" s="235">
        <f t="shared" si="75"/>
        <v>14.691358024691356</v>
      </c>
      <c r="K535" s="215">
        <v>138</v>
      </c>
      <c r="L535" s="252">
        <f>_xlfn.XLOOKUP($K535,Inputs!$C$6:$C$23,Inputs!$D$6:$D$23)*$I535</f>
        <v>10.318999999999999</v>
      </c>
      <c r="M535" s="68"/>
      <c r="N535" s="68"/>
      <c r="O535" s="215">
        <v>119</v>
      </c>
      <c r="P535" s="215">
        <v>136</v>
      </c>
      <c r="Q535" s="94">
        <v>0.9</v>
      </c>
      <c r="R535" s="68" t="s">
        <v>115</v>
      </c>
      <c r="S535" s="182">
        <f t="shared" ref="S535:S541" si="77">O535*Q535</f>
        <v>107.10000000000001</v>
      </c>
      <c r="T535" s="182">
        <f t="shared" ref="T535:T541" si="78">P535*Q535</f>
        <v>122.4</v>
      </c>
      <c r="U535" s="96" t="s">
        <v>3522</v>
      </c>
      <c r="V535" s="22" t="s">
        <v>2836</v>
      </c>
      <c r="W535" s="96" t="s">
        <v>3999</v>
      </c>
      <c r="X535" s="22" t="s">
        <v>2145</v>
      </c>
      <c r="Y535" s="11" t="s">
        <v>3320</v>
      </c>
      <c r="Z535" s="79"/>
      <c r="AA535" s="187">
        <v>531</v>
      </c>
    </row>
    <row r="536" spans="2:27" s="188" customFormat="1" ht="20" x14ac:dyDescent="0.2">
      <c r="B536" s="11" t="s">
        <v>1716</v>
      </c>
      <c r="C536" s="165" t="s">
        <v>4235</v>
      </c>
      <c r="D536" s="22" t="s">
        <v>2379</v>
      </c>
      <c r="E536" s="34">
        <v>1</v>
      </c>
      <c r="F536" s="22" t="s">
        <v>2223</v>
      </c>
      <c r="G536" s="88">
        <v>3.4</v>
      </c>
      <c r="H536" s="235">
        <f t="shared" si="74"/>
        <v>2.0987654320987654</v>
      </c>
      <c r="I536" s="88">
        <v>23.799999999999997</v>
      </c>
      <c r="J536" s="235">
        <f t="shared" si="75"/>
        <v>14.691358024691356</v>
      </c>
      <c r="K536" s="215">
        <v>138</v>
      </c>
      <c r="L536" s="252">
        <f>_xlfn.XLOOKUP($K536,Inputs!$C$6:$C$23,Inputs!$D$6:$D$23)*$I536</f>
        <v>10.318999999999999</v>
      </c>
      <c r="M536" s="68"/>
      <c r="N536" s="68"/>
      <c r="O536" s="215">
        <v>121</v>
      </c>
      <c r="P536" s="215">
        <v>142</v>
      </c>
      <c r="Q536" s="94">
        <v>0.9</v>
      </c>
      <c r="R536" s="68" t="s">
        <v>115</v>
      </c>
      <c r="S536" s="182">
        <f t="shared" si="77"/>
        <v>108.9</v>
      </c>
      <c r="T536" s="182">
        <f t="shared" si="78"/>
        <v>127.8</v>
      </c>
      <c r="U536" s="96" t="s">
        <v>3999</v>
      </c>
      <c r="V536" s="22" t="s">
        <v>2145</v>
      </c>
      <c r="W536" s="96" t="s">
        <v>3860</v>
      </c>
      <c r="X536" s="22" t="s">
        <v>2616</v>
      </c>
      <c r="Y536" s="11" t="s">
        <v>3320</v>
      </c>
      <c r="Z536" s="79"/>
      <c r="AA536" s="187">
        <v>532</v>
      </c>
    </row>
    <row r="537" spans="2:27" s="184" customFormat="1" ht="20" x14ac:dyDescent="0.2">
      <c r="B537" s="11" t="s">
        <v>1717</v>
      </c>
      <c r="C537" s="165" t="s">
        <v>4235</v>
      </c>
      <c r="D537" s="22" t="s">
        <v>2379</v>
      </c>
      <c r="E537" s="34">
        <v>1</v>
      </c>
      <c r="F537" s="22" t="s">
        <v>2223</v>
      </c>
      <c r="G537" s="88">
        <v>3.4</v>
      </c>
      <c r="H537" s="235">
        <f t="shared" si="74"/>
        <v>2.0987654320987654</v>
      </c>
      <c r="I537" s="88">
        <v>3.4</v>
      </c>
      <c r="J537" s="235">
        <f t="shared" si="75"/>
        <v>2.0987654320987654</v>
      </c>
      <c r="K537" s="215">
        <v>138</v>
      </c>
      <c r="L537" s="252">
        <f>_xlfn.XLOOKUP($K537,Inputs!$C$6:$C$23,Inputs!$D$6:$D$23)*$I537</f>
        <v>1.4741428571428572</v>
      </c>
      <c r="M537" s="68"/>
      <c r="N537" s="68"/>
      <c r="O537" s="215">
        <v>118</v>
      </c>
      <c r="P537" s="215">
        <v>145</v>
      </c>
      <c r="Q537" s="94">
        <v>0.9</v>
      </c>
      <c r="R537" s="68" t="s">
        <v>115</v>
      </c>
      <c r="S537" s="182">
        <f t="shared" si="77"/>
        <v>106.2</v>
      </c>
      <c r="T537" s="182">
        <f t="shared" si="78"/>
        <v>130.5</v>
      </c>
      <c r="U537" s="96" t="s">
        <v>3999</v>
      </c>
      <c r="V537" s="22" t="s">
        <v>2145</v>
      </c>
      <c r="W537" s="96" t="s">
        <v>3920</v>
      </c>
      <c r="X537" s="22" t="s">
        <v>3181</v>
      </c>
      <c r="Y537" s="11" t="s">
        <v>3320</v>
      </c>
      <c r="Z537" s="79"/>
      <c r="AA537" s="187">
        <v>533</v>
      </c>
    </row>
    <row r="538" spans="2:27" s="184" customFormat="1" ht="20" x14ac:dyDescent="0.2">
      <c r="B538" s="11" t="s">
        <v>1854</v>
      </c>
      <c r="C538" s="165" t="s">
        <v>4235</v>
      </c>
      <c r="D538" s="22" t="s">
        <v>2379</v>
      </c>
      <c r="E538" s="34">
        <v>1</v>
      </c>
      <c r="F538" s="22" t="s">
        <v>2223</v>
      </c>
      <c r="G538" s="235">
        <v>20</v>
      </c>
      <c r="H538" s="235">
        <f t="shared" si="74"/>
        <v>12.345679012345679</v>
      </c>
      <c r="I538" s="235">
        <v>20</v>
      </c>
      <c r="J538" s="235">
        <f t="shared" si="75"/>
        <v>12.345679012345679</v>
      </c>
      <c r="K538" s="215">
        <v>138</v>
      </c>
      <c r="L538" s="252">
        <f>_xlfn.XLOOKUP($K538,Inputs!$C$6:$C$23,Inputs!$D$6:$D$23)*$I538</f>
        <v>8.6714285714285726</v>
      </c>
      <c r="M538" s="68"/>
      <c r="N538" s="68"/>
      <c r="O538" s="215">
        <v>121</v>
      </c>
      <c r="P538" s="215">
        <v>143</v>
      </c>
      <c r="Q538" s="94">
        <v>0.9</v>
      </c>
      <c r="R538" s="68" t="s">
        <v>115</v>
      </c>
      <c r="S538" s="182">
        <f t="shared" si="77"/>
        <v>108.9</v>
      </c>
      <c r="T538" s="182">
        <f t="shared" si="78"/>
        <v>128.70000000000002</v>
      </c>
      <c r="U538" s="96" t="s">
        <v>3403</v>
      </c>
      <c r="V538" s="22" t="s">
        <v>2760</v>
      </c>
      <c r="W538" s="96" t="s">
        <v>3615</v>
      </c>
      <c r="X538" s="22" t="s">
        <v>2903</v>
      </c>
      <c r="Y538" s="11" t="s">
        <v>3285</v>
      </c>
      <c r="Z538" s="79"/>
      <c r="AA538" s="187">
        <v>534</v>
      </c>
    </row>
    <row r="539" spans="2:27" s="184" customFormat="1" ht="20" x14ac:dyDescent="0.2">
      <c r="B539" s="11" t="s">
        <v>1683</v>
      </c>
      <c r="C539" s="165" t="s">
        <v>4235</v>
      </c>
      <c r="D539" s="22" t="s">
        <v>2379</v>
      </c>
      <c r="E539" s="34">
        <v>1</v>
      </c>
      <c r="F539" s="22" t="s">
        <v>2223</v>
      </c>
      <c r="G539" s="88">
        <v>14</v>
      </c>
      <c r="H539" s="235">
        <f t="shared" si="74"/>
        <v>8.6419753086419746</v>
      </c>
      <c r="I539" s="88">
        <v>28</v>
      </c>
      <c r="J539" s="235">
        <f t="shared" si="75"/>
        <v>17.283950617283949</v>
      </c>
      <c r="K539" s="215">
        <v>138</v>
      </c>
      <c r="L539" s="252">
        <f>_xlfn.XLOOKUP($K539,Inputs!$C$6:$C$23,Inputs!$D$6:$D$23)*$I539</f>
        <v>12.14</v>
      </c>
      <c r="M539" s="68"/>
      <c r="N539" s="68"/>
      <c r="O539" s="215">
        <v>112</v>
      </c>
      <c r="P539" s="215">
        <v>120</v>
      </c>
      <c r="Q539" s="94">
        <v>0.9</v>
      </c>
      <c r="R539" s="68" t="s">
        <v>115</v>
      </c>
      <c r="S539" s="182">
        <f t="shared" si="77"/>
        <v>100.8</v>
      </c>
      <c r="T539" s="182">
        <f t="shared" si="78"/>
        <v>108</v>
      </c>
      <c r="U539" s="96" t="s">
        <v>3827</v>
      </c>
      <c r="V539" s="22" t="s">
        <v>3071</v>
      </c>
      <c r="W539" s="96" t="s">
        <v>3552</v>
      </c>
      <c r="X539" s="22" t="s">
        <v>2140</v>
      </c>
      <c r="Y539" s="11" t="s">
        <v>3296</v>
      </c>
      <c r="Z539" s="79"/>
      <c r="AA539" s="187">
        <v>535</v>
      </c>
    </row>
    <row r="540" spans="2:27" s="184" customFormat="1" ht="20" x14ac:dyDescent="0.2">
      <c r="B540" s="11" t="s">
        <v>1683</v>
      </c>
      <c r="C540" s="165" t="s">
        <v>4235</v>
      </c>
      <c r="D540" s="22" t="s">
        <v>2379</v>
      </c>
      <c r="E540" s="34">
        <v>1</v>
      </c>
      <c r="F540" s="22" t="s">
        <v>2223</v>
      </c>
      <c r="G540" s="88">
        <v>5.6000000000000005</v>
      </c>
      <c r="H540" s="235">
        <f t="shared" si="74"/>
        <v>3.4567901234567904</v>
      </c>
      <c r="I540" s="88">
        <v>28</v>
      </c>
      <c r="J540" s="235">
        <f t="shared" si="75"/>
        <v>17.283950617283949</v>
      </c>
      <c r="K540" s="215">
        <v>138</v>
      </c>
      <c r="L540" s="252">
        <f>_xlfn.XLOOKUP($K540,Inputs!$C$6:$C$23,Inputs!$D$6:$D$23)*$I540</f>
        <v>12.14</v>
      </c>
      <c r="M540" s="68"/>
      <c r="N540" s="68"/>
      <c r="O540" s="215">
        <v>153</v>
      </c>
      <c r="P540" s="215">
        <v>189</v>
      </c>
      <c r="Q540" s="94">
        <v>0.9</v>
      </c>
      <c r="R540" s="68" t="s">
        <v>115</v>
      </c>
      <c r="S540" s="182">
        <f t="shared" si="77"/>
        <v>137.70000000000002</v>
      </c>
      <c r="T540" s="182">
        <f t="shared" si="78"/>
        <v>170.1</v>
      </c>
      <c r="U540" s="96" t="s">
        <v>3552</v>
      </c>
      <c r="V540" s="22" t="s">
        <v>2140</v>
      </c>
      <c r="W540" s="96" t="s">
        <v>3376</v>
      </c>
      <c r="X540" s="22" t="s">
        <v>2743</v>
      </c>
      <c r="Y540" s="11" t="s">
        <v>3296</v>
      </c>
      <c r="Z540" s="79"/>
      <c r="AA540" s="187">
        <v>536</v>
      </c>
    </row>
    <row r="541" spans="2:27" s="184" customFormat="1" ht="20" x14ac:dyDescent="0.2">
      <c r="B541" s="11" t="s">
        <v>1683</v>
      </c>
      <c r="C541" s="165" t="s">
        <v>4235</v>
      </c>
      <c r="D541" s="22" t="s">
        <v>2379</v>
      </c>
      <c r="E541" s="34">
        <v>1</v>
      </c>
      <c r="F541" s="22" t="s">
        <v>2223</v>
      </c>
      <c r="G541" s="88">
        <v>8.4</v>
      </c>
      <c r="H541" s="235">
        <f t="shared" si="74"/>
        <v>5.1851851851851851</v>
      </c>
      <c r="I541" s="88">
        <v>28</v>
      </c>
      <c r="J541" s="235">
        <f t="shared" si="75"/>
        <v>17.283950617283949</v>
      </c>
      <c r="K541" s="215">
        <v>138</v>
      </c>
      <c r="L541" s="252">
        <f>_xlfn.XLOOKUP($K541,Inputs!$C$6:$C$23,Inputs!$D$6:$D$23)*$I541</f>
        <v>12.14</v>
      </c>
      <c r="M541" s="68"/>
      <c r="N541" s="68"/>
      <c r="O541" s="215">
        <v>94</v>
      </c>
      <c r="P541" s="215">
        <v>135</v>
      </c>
      <c r="Q541" s="94">
        <v>0.9</v>
      </c>
      <c r="R541" s="68" t="s">
        <v>115</v>
      </c>
      <c r="S541" s="182">
        <f t="shared" si="77"/>
        <v>84.600000000000009</v>
      </c>
      <c r="T541" s="182">
        <f t="shared" si="78"/>
        <v>121.5</v>
      </c>
      <c r="U541" s="96" t="s">
        <v>3376</v>
      </c>
      <c r="V541" s="22" t="s">
        <v>2743</v>
      </c>
      <c r="W541" s="96" t="s">
        <v>3446</v>
      </c>
      <c r="X541" s="22" t="s">
        <v>2786</v>
      </c>
      <c r="Y541" s="11" t="s">
        <v>3296</v>
      </c>
      <c r="Z541" s="79"/>
      <c r="AA541" s="187">
        <v>537</v>
      </c>
    </row>
    <row r="542" spans="2:27" s="184" customFormat="1" ht="20" x14ac:dyDescent="0.2">
      <c r="B542" s="11" t="s">
        <v>1617</v>
      </c>
      <c r="C542" s="165" t="s">
        <v>4235</v>
      </c>
      <c r="D542" s="22" t="s">
        <v>2379</v>
      </c>
      <c r="E542" s="34">
        <v>1</v>
      </c>
      <c r="F542" s="22" t="s">
        <v>2223</v>
      </c>
      <c r="G542" s="88">
        <v>27.5</v>
      </c>
      <c r="H542" s="235">
        <f t="shared" si="74"/>
        <v>16.975308641975307</v>
      </c>
      <c r="I542" s="88">
        <v>52.5</v>
      </c>
      <c r="J542" s="235">
        <f t="shared" si="75"/>
        <v>32.407407407407405</v>
      </c>
      <c r="K542" s="201">
        <v>144</v>
      </c>
      <c r="L542" s="252">
        <f>_xlfn.XLOOKUP($K542,Inputs!$C$6:$C$23,Inputs!$D$6:$D$23)*$I542</f>
        <v>22.987500000000001</v>
      </c>
      <c r="M542" s="68"/>
      <c r="N542" s="68"/>
      <c r="O542" s="187"/>
      <c r="P542" s="187"/>
      <c r="Q542" s="94">
        <v>0.9</v>
      </c>
      <c r="R542" s="68">
        <f t="shared" ref="R542:R548" si="79">IF((42.4*(J542)^(-0.6595))&gt;=3,3,(IF(42.4*(J542)^(-0.6595)&lt;=0.5,0.5,(42.4*(J542)^(-0.6595)))))</f>
        <v>3</v>
      </c>
      <c r="S542" s="276">
        <f>_xlfn.XLOOKUP($K542,Inputs!$G$6:$G$23,Inputs!J$6:J$23)*$R542</f>
        <v>153.60000000000002</v>
      </c>
      <c r="T542" s="276">
        <f>_xlfn.XLOOKUP($K542,Inputs!$G$6:$G$23,Inputs!K$6:K$23)*$R542</f>
        <v>169.96721311475409</v>
      </c>
      <c r="U542" s="96" t="s">
        <v>3643</v>
      </c>
      <c r="V542" s="205" t="s">
        <v>2684</v>
      </c>
      <c r="W542" s="96" t="s">
        <v>3778</v>
      </c>
      <c r="X542" s="22" t="s">
        <v>3031</v>
      </c>
      <c r="Y542" s="11" t="s">
        <v>3331</v>
      </c>
      <c r="Z542" s="79"/>
      <c r="AA542" s="187">
        <v>538</v>
      </c>
    </row>
    <row r="543" spans="2:27" s="184" customFormat="1" ht="20" x14ac:dyDescent="0.2">
      <c r="B543" s="11" t="s">
        <v>1617</v>
      </c>
      <c r="C543" s="165" t="s">
        <v>4235</v>
      </c>
      <c r="D543" s="22" t="s">
        <v>2379</v>
      </c>
      <c r="E543" s="34">
        <v>1</v>
      </c>
      <c r="F543" s="22" t="s">
        <v>2223</v>
      </c>
      <c r="G543" s="88">
        <v>25</v>
      </c>
      <c r="H543" s="235">
        <f t="shared" si="74"/>
        <v>15.432098765432098</v>
      </c>
      <c r="I543" s="88">
        <v>52.5</v>
      </c>
      <c r="J543" s="235">
        <f t="shared" si="75"/>
        <v>32.407407407407405</v>
      </c>
      <c r="K543" s="201">
        <v>144</v>
      </c>
      <c r="L543" s="252">
        <f>_xlfn.XLOOKUP($K543,Inputs!$C$6:$C$23,Inputs!$D$6:$D$23)*$I543</f>
        <v>22.987500000000001</v>
      </c>
      <c r="M543" s="68"/>
      <c r="N543" s="68"/>
      <c r="O543" s="187"/>
      <c r="P543" s="187"/>
      <c r="Q543" s="94">
        <v>0.9</v>
      </c>
      <c r="R543" s="68">
        <f t="shared" si="79"/>
        <v>3</v>
      </c>
      <c r="S543" s="276">
        <f>_xlfn.XLOOKUP($K543,Inputs!$G$6:$G$23,Inputs!J$6:J$23)*$R543</f>
        <v>153.60000000000002</v>
      </c>
      <c r="T543" s="276">
        <f>_xlfn.XLOOKUP($K543,Inputs!$G$6:$G$23,Inputs!K$6:K$23)*$R543</f>
        <v>169.96721311475409</v>
      </c>
      <c r="U543" s="96" t="s">
        <v>3778</v>
      </c>
      <c r="V543" s="22" t="s">
        <v>3031</v>
      </c>
      <c r="W543" s="96" t="s">
        <v>3793</v>
      </c>
      <c r="X543" s="22" t="s">
        <v>2618</v>
      </c>
      <c r="Y543" s="11" t="s">
        <v>3331</v>
      </c>
      <c r="Z543" s="79"/>
      <c r="AA543" s="187">
        <v>539</v>
      </c>
    </row>
    <row r="544" spans="2:27" s="184" customFormat="1" ht="20" x14ac:dyDescent="0.2">
      <c r="B544" s="11" t="s">
        <v>1620</v>
      </c>
      <c r="C544" s="165" t="s">
        <v>4235</v>
      </c>
      <c r="D544" s="22" t="s">
        <v>2379</v>
      </c>
      <c r="E544" s="34">
        <v>1</v>
      </c>
      <c r="F544" s="22" t="s">
        <v>2223</v>
      </c>
      <c r="G544" s="88">
        <v>22.5</v>
      </c>
      <c r="H544" s="235">
        <f t="shared" si="74"/>
        <v>13.888888888888888</v>
      </c>
      <c r="I544" s="88">
        <v>22.5</v>
      </c>
      <c r="J544" s="235">
        <f t="shared" si="75"/>
        <v>13.888888888888888</v>
      </c>
      <c r="K544" s="201">
        <v>144</v>
      </c>
      <c r="L544" s="252">
        <f>_xlfn.XLOOKUP($K544,Inputs!$C$6:$C$23,Inputs!$D$6:$D$23)*$I544</f>
        <v>9.8517857142857146</v>
      </c>
      <c r="M544" s="68"/>
      <c r="N544" s="68"/>
      <c r="O544" s="187"/>
      <c r="P544" s="187"/>
      <c r="Q544" s="94">
        <v>0.9</v>
      </c>
      <c r="R544" s="68">
        <f t="shared" si="79"/>
        <v>3</v>
      </c>
      <c r="S544" s="276">
        <f>_xlfn.XLOOKUP($K544,Inputs!$G$6:$G$23,Inputs!J$6:J$23)*$R544</f>
        <v>153.60000000000002</v>
      </c>
      <c r="T544" s="276">
        <f>_xlfn.XLOOKUP($K544,Inputs!$G$6:$G$23,Inputs!K$6:K$23)*$R544</f>
        <v>169.96721311475409</v>
      </c>
      <c r="U544" s="96" t="s">
        <v>3643</v>
      </c>
      <c r="V544" s="22" t="s">
        <v>2684</v>
      </c>
      <c r="W544" s="96" t="s">
        <v>3574</v>
      </c>
      <c r="X544" s="22" t="s">
        <v>2869</v>
      </c>
      <c r="Y544" s="11" t="s">
        <v>3331</v>
      </c>
      <c r="Z544" s="79"/>
      <c r="AA544" s="187">
        <v>540</v>
      </c>
    </row>
    <row r="545" spans="2:27" s="184" customFormat="1" ht="20" x14ac:dyDescent="0.2">
      <c r="B545" s="11" t="s">
        <v>1601</v>
      </c>
      <c r="C545" s="165" t="s">
        <v>4235</v>
      </c>
      <c r="D545" s="22" t="s">
        <v>2379</v>
      </c>
      <c r="E545" s="34">
        <v>1</v>
      </c>
      <c r="F545" s="22" t="s">
        <v>2223</v>
      </c>
      <c r="G545" s="88">
        <v>15</v>
      </c>
      <c r="H545" s="235">
        <f t="shared" si="74"/>
        <v>9.2592592592592595</v>
      </c>
      <c r="I545" s="88">
        <v>37.5</v>
      </c>
      <c r="J545" s="235">
        <f t="shared" si="75"/>
        <v>23.148148148148145</v>
      </c>
      <c r="K545" s="201">
        <v>144</v>
      </c>
      <c r="L545" s="252">
        <f>_xlfn.XLOOKUP($K545,Inputs!$C$6:$C$23,Inputs!$D$6:$D$23)*$I545</f>
        <v>16.419642857142858</v>
      </c>
      <c r="M545" s="68"/>
      <c r="N545" s="68"/>
      <c r="O545" s="187"/>
      <c r="P545" s="187"/>
      <c r="Q545" s="94">
        <v>0.9</v>
      </c>
      <c r="R545" s="68">
        <f t="shared" si="79"/>
        <v>3</v>
      </c>
      <c r="S545" s="276">
        <f>_xlfn.XLOOKUP($K545,Inputs!$G$6:$G$23,Inputs!J$6:J$23)*$R545</f>
        <v>153.60000000000002</v>
      </c>
      <c r="T545" s="276">
        <f>_xlfn.XLOOKUP($K545,Inputs!$G$6:$G$23,Inputs!K$6:K$23)*$R545</f>
        <v>169.96721311475409</v>
      </c>
      <c r="U545" s="96" t="s">
        <v>3798</v>
      </c>
      <c r="V545" s="205" t="s">
        <v>3048</v>
      </c>
      <c r="W545" s="96" t="s">
        <v>3529</v>
      </c>
      <c r="X545" s="22" t="s">
        <v>2146</v>
      </c>
      <c r="Y545" s="11" t="s">
        <v>3331</v>
      </c>
      <c r="Z545" s="79"/>
      <c r="AA545" s="187">
        <v>541</v>
      </c>
    </row>
    <row r="546" spans="2:27" s="184" customFormat="1" ht="20" x14ac:dyDescent="0.2">
      <c r="B546" s="11" t="s">
        <v>1601</v>
      </c>
      <c r="C546" s="165" t="s">
        <v>4235</v>
      </c>
      <c r="D546" s="22" t="s">
        <v>2379</v>
      </c>
      <c r="E546" s="34">
        <v>1</v>
      </c>
      <c r="F546" s="22" t="s">
        <v>2223</v>
      </c>
      <c r="G546" s="88">
        <v>22.5</v>
      </c>
      <c r="H546" s="235">
        <f t="shared" si="74"/>
        <v>13.888888888888888</v>
      </c>
      <c r="I546" s="88">
        <v>37.5</v>
      </c>
      <c r="J546" s="235">
        <f t="shared" si="75"/>
        <v>23.148148148148145</v>
      </c>
      <c r="K546" s="201">
        <v>144</v>
      </c>
      <c r="L546" s="252">
        <f>_xlfn.XLOOKUP($K546,Inputs!$C$6:$C$23,Inputs!$D$6:$D$23)*$I546</f>
        <v>16.419642857142858</v>
      </c>
      <c r="M546" s="68"/>
      <c r="N546" s="68"/>
      <c r="O546" s="187"/>
      <c r="P546" s="187"/>
      <c r="Q546" s="94">
        <v>0.9</v>
      </c>
      <c r="R546" s="68">
        <f t="shared" si="79"/>
        <v>3</v>
      </c>
      <c r="S546" s="276">
        <f>_xlfn.XLOOKUP($K546,Inputs!$G$6:$G$23,Inputs!J$6:J$23)*$R546</f>
        <v>153.60000000000002</v>
      </c>
      <c r="T546" s="276">
        <f>_xlfn.XLOOKUP($K546,Inputs!$G$6:$G$23,Inputs!K$6:K$23)*$R546</f>
        <v>169.96721311475409</v>
      </c>
      <c r="U546" s="96" t="s">
        <v>3529</v>
      </c>
      <c r="V546" s="205" t="s">
        <v>2146</v>
      </c>
      <c r="W546" s="96" t="s">
        <v>3383</v>
      </c>
      <c r="X546" s="22" t="s">
        <v>2747</v>
      </c>
      <c r="Y546" s="11" t="s">
        <v>3331</v>
      </c>
      <c r="Z546" s="79"/>
      <c r="AA546" s="187">
        <v>542</v>
      </c>
    </row>
    <row r="547" spans="2:27" s="184" customFormat="1" ht="20" x14ac:dyDescent="0.2">
      <c r="B547" s="11" t="s">
        <v>1604</v>
      </c>
      <c r="C547" s="165" t="s">
        <v>4235</v>
      </c>
      <c r="D547" s="22" t="s">
        <v>2379</v>
      </c>
      <c r="E547" s="34">
        <v>1</v>
      </c>
      <c r="F547" s="22" t="s">
        <v>2223</v>
      </c>
      <c r="G547" s="88">
        <v>15</v>
      </c>
      <c r="H547" s="235">
        <f t="shared" si="74"/>
        <v>9.2592592592592595</v>
      </c>
      <c r="I547" s="88">
        <v>15</v>
      </c>
      <c r="J547" s="235">
        <f t="shared" si="75"/>
        <v>9.2592592592592595</v>
      </c>
      <c r="K547" s="201">
        <v>144</v>
      </c>
      <c r="L547" s="252">
        <f>_xlfn.XLOOKUP($K547,Inputs!$C$6:$C$23,Inputs!$D$6:$D$23)*$I547</f>
        <v>6.5678571428571431</v>
      </c>
      <c r="M547" s="68"/>
      <c r="N547" s="68"/>
      <c r="O547" s="187"/>
      <c r="P547" s="187"/>
      <c r="Q547" s="94">
        <v>0.9</v>
      </c>
      <c r="R547" s="68">
        <f t="shared" si="79"/>
        <v>3</v>
      </c>
      <c r="S547" s="276">
        <f>_xlfn.XLOOKUP($K547,Inputs!$G$6:$G$23,Inputs!J$6:J$23)*$R547</f>
        <v>153.60000000000002</v>
      </c>
      <c r="T547" s="276">
        <f>_xlfn.XLOOKUP($K547,Inputs!$G$6:$G$23,Inputs!K$6:K$23)*$R547</f>
        <v>169.96721311475409</v>
      </c>
      <c r="U547" s="96" t="s">
        <v>3529</v>
      </c>
      <c r="V547" s="22" t="s">
        <v>2146</v>
      </c>
      <c r="W547" s="96" t="s">
        <v>3528</v>
      </c>
      <c r="X547" s="22" t="s">
        <v>2839</v>
      </c>
      <c r="Y547" s="11" t="s">
        <v>3331</v>
      </c>
      <c r="Z547" s="79"/>
      <c r="AA547" s="187">
        <v>543</v>
      </c>
    </row>
    <row r="548" spans="2:27" s="184" customFormat="1" ht="20" x14ac:dyDescent="0.2">
      <c r="B548" s="11" t="s">
        <v>1631</v>
      </c>
      <c r="C548" s="165" t="s">
        <v>4235</v>
      </c>
      <c r="D548" s="22" t="s">
        <v>2379</v>
      </c>
      <c r="E548" s="34">
        <v>1</v>
      </c>
      <c r="F548" s="22" t="s">
        <v>2223</v>
      </c>
      <c r="G548" s="88">
        <v>27.5</v>
      </c>
      <c r="H548" s="235">
        <f t="shared" si="74"/>
        <v>16.975308641975307</v>
      </c>
      <c r="I548" s="88">
        <v>27.5</v>
      </c>
      <c r="J548" s="235">
        <f t="shared" si="75"/>
        <v>16.975308641975307</v>
      </c>
      <c r="K548" s="201">
        <v>144</v>
      </c>
      <c r="L548" s="252">
        <f>_xlfn.XLOOKUP($K548,Inputs!$C$6:$C$23,Inputs!$D$6:$D$23)*$I548</f>
        <v>12.04107142857143</v>
      </c>
      <c r="M548" s="68"/>
      <c r="N548" s="68"/>
      <c r="O548" s="187"/>
      <c r="P548" s="187"/>
      <c r="Q548" s="94">
        <v>0.9</v>
      </c>
      <c r="R548" s="68">
        <f t="shared" si="79"/>
        <v>3</v>
      </c>
      <c r="S548" s="276">
        <f>_xlfn.XLOOKUP($K548,Inputs!$G$6:$G$23,Inputs!J$6:J$23)*$R548</f>
        <v>153.60000000000002</v>
      </c>
      <c r="T548" s="276">
        <f>_xlfn.XLOOKUP($K548,Inputs!$G$6:$G$23,Inputs!K$6:K$23)*$R548</f>
        <v>169.96721311475409</v>
      </c>
      <c r="U548" s="96" t="s">
        <v>3793</v>
      </c>
      <c r="V548" s="22" t="s">
        <v>2618</v>
      </c>
      <c r="W548" s="96" t="s">
        <v>3888</v>
      </c>
      <c r="X548" s="22" t="s">
        <v>3269</v>
      </c>
      <c r="Y548" s="11" t="s">
        <v>3331</v>
      </c>
      <c r="Z548" s="79"/>
      <c r="AA548" s="187">
        <v>544</v>
      </c>
    </row>
    <row r="549" spans="2:27" s="184" customFormat="1" ht="20" x14ac:dyDescent="0.2">
      <c r="B549" s="11" t="s">
        <v>1996</v>
      </c>
      <c r="C549" s="165" t="s">
        <v>4235</v>
      </c>
      <c r="D549" s="22" t="s">
        <v>2379</v>
      </c>
      <c r="E549" s="34">
        <v>1</v>
      </c>
      <c r="F549" s="22" t="s">
        <v>2223</v>
      </c>
      <c r="G549" s="88">
        <v>10.5</v>
      </c>
      <c r="H549" s="235">
        <f t="shared" si="74"/>
        <v>6.481481481481481</v>
      </c>
      <c r="I549" s="88">
        <v>38.5</v>
      </c>
      <c r="J549" s="235">
        <f t="shared" si="75"/>
        <v>23.76543209876543</v>
      </c>
      <c r="K549" s="215">
        <v>138</v>
      </c>
      <c r="L549" s="252">
        <f>_xlfn.XLOOKUP($K549,Inputs!$C$6:$C$23,Inputs!$D$6:$D$23)*$I549</f>
        <v>16.692500000000003</v>
      </c>
      <c r="M549" s="68"/>
      <c r="N549" s="68"/>
      <c r="O549" s="215">
        <v>120</v>
      </c>
      <c r="P549" s="215">
        <v>148</v>
      </c>
      <c r="Q549" s="94">
        <v>0.9</v>
      </c>
      <c r="R549" s="68" t="s">
        <v>115</v>
      </c>
      <c r="S549" s="182">
        <f>O549*Q549</f>
        <v>108</v>
      </c>
      <c r="T549" s="182">
        <f>P549*Q549</f>
        <v>133.20000000000002</v>
      </c>
      <c r="U549" s="96" t="s">
        <v>3538</v>
      </c>
      <c r="V549" s="22" t="s">
        <v>2845</v>
      </c>
      <c r="W549" s="96" t="s">
        <v>3356</v>
      </c>
      <c r="X549" s="22" t="s">
        <v>3204</v>
      </c>
      <c r="Y549" s="11" t="s">
        <v>3284</v>
      </c>
      <c r="Z549" s="79"/>
      <c r="AA549" s="187">
        <v>545</v>
      </c>
    </row>
    <row r="550" spans="2:27" s="184" customFormat="1" ht="20" x14ac:dyDescent="0.2">
      <c r="B550" s="11" t="s">
        <v>1996</v>
      </c>
      <c r="C550" s="165" t="s">
        <v>4235</v>
      </c>
      <c r="D550" s="22" t="s">
        <v>2379</v>
      </c>
      <c r="E550" s="34">
        <v>1</v>
      </c>
      <c r="F550" s="22" t="s">
        <v>2223</v>
      </c>
      <c r="G550" s="88">
        <v>17.5</v>
      </c>
      <c r="H550" s="235">
        <f t="shared" si="74"/>
        <v>10.802469135802468</v>
      </c>
      <c r="I550" s="88">
        <v>38.5</v>
      </c>
      <c r="J550" s="235">
        <f t="shared" si="75"/>
        <v>23.76543209876543</v>
      </c>
      <c r="K550" s="201">
        <v>144</v>
      </c>
      <c r="L550" s="252">
        <f>_xlfn.XLOOKUP($K550,Inputs!$C$6:$C$23,Inputs!$D$6:$D$23)*$I550</f>
        <v>16.857500000000002</v>
      </c>
      <c r="M550" s="68"/>
      <c r="N550" s="68"/>
      <c r="O550" s="187"/>
      <c r="P550" s="187"/>
      <c r="Q550" s="94">
        <v>0.9</v>
      </c>
      <c r="R550" s="68">
        <f>IF((42.4*(J550)^(-0.6595))&gt;=3,3,(IF(42.4*(J550)^(-0.6595)&lt;=0.5,0.5,(42.4*(J550)^(-0.6595)))))</f>
        <v>3</v>
      </c>
      <c r="S550" s="276">
        <f>_xlfn.XLOOKUP($K550,Inputs!$G$6:$G$23,Inputs!J$6:J$23)*$R550</f>
        <v>153.60000000000002</v>
      </c>
      <c r="T550" s="276">
        <f>_xlfn.XLOOKUP($K550,Inputs!$G$6:$G$23,Inputs!K$6:K$23)*$R550</f>
        <v>169.96721311475409</v>
      </c>
      <c r="U550" s="96" t="s">
        <v>3356</v>
      </c>
      <c r="V550" s="22" t="s">
        <v>3204</v>
      </c>
      <c r="W550" s="96" t="s">
        <v>3540</v>
      </c>
      <c r="X550" s="22" t="s">
        <v>2147</v>
      </c>
      <c r="Y550" s="11" t="s">
        <v>3331</v>
      </c>
      <c r="Z550" s="79"/>
      <c r="AA550" s="187">
        <v>546</v>
      </c>
    </row>
    <row r="551" spans="2:27" s="184" customFormat="1" ht="20" x14ac:dyDescent="0.2">
      <c r="B551" s="11" t="s">
        <v>1996</v>
      </c>
      <c r="C551" s="165" t="s">
        <v>4235</v>
      </c>
      <c r="D551" s="22" t="s">
        <v>2379</v>
      </c>
      <c r="E551" s="34">
        <v>1</v>
      </c>
      <c r="F551" s="22" t="s">
        <v>2223</v>
      </c>
      <c r="G551" s="88">
        <v>10.5</v>
      </c>
      <c r="H551" s="235">
        <f t="shared" si="74"/>
        <v>6.481481481481481</v>
      </c>
      <c r="I551" s="88">
        <v>38.5</v>
      </c>
      <c r="J551" s="235">
        <f t="shared" si="75"/>
        <v>23.76543209876543</v>
      </c>
      <c r="K551" s="201">
        <v>144</v>
      </c>
      <c r="L551" s="252">
        <f>_xlfn.XLOOKUP($K551,Inputs!$C$6:$C$23,Inputs!$D$6:$D$23)*$I551</f>
        <v>16.857500000000002</v>
      </c>
      <c r="M551" s="68"/>
      <c r="N551" s="68"/>
      <c r="O551" s="187"/>
      <c r="P551" s="187"/>
      <c r="Q551" s="94">
        <v>0.9</v>
      </c>
      <c r="R551" s="68">
        <f>IF((42.4*(J551)^(-0.6595))&gt;=3,3,(IF(42.4*(J551)^(-0.6595)&lt;=0.5,0.5,(42.4*(J551)^(-0.6595)))))</f>
        <v>3</v>
      </c>
      <c r="S551" s="276">
        <f>_xlfn.XLOOKUP($K551,Inputs!$G$6:$G$23,Inputs!J$6:J$23)*$R551</f>
        <v>153.60000000000002</v>
      </c>
      <c r="T551" s="276">
        <f>_xlfn.XLOOKUP($K551,Inputs!$G$6:$G$23,Inputs!K$6:K$23)*$R551</f>
        <v>169.96721311475409</v>
      </c>
      <c r="U551" s="96" t="s">
        <v>3540</v>
      </c>
      <c r="V551" s="22" t="s">
        <v>2147</v>
      </c>
      <c r="W551" s="96" t="s">
        <v>3396</v>
      </c>
      <c r="X551" s="22" t="s">
        <v>2177</v>
      </c>
      <c r="Y551" s="11" t="s">
        <v>3331</v>
      </c>
      <c r="Z551" s="79"/>
      <c r="AA551" s="187">
        <v>547</v>
      </c>
    </row>
    <row r="552" spans="2:27" s="184" customFormat="1" ht="20" x14ac:dyDescent="0.2">
      <c r="B552" s="11" t="s">
        <v>2003</v>
      </c>
      <c r="C552" s="165" t="s">
        <v>4235</v>
      </c>
      <c r="D552" s="22" t="s">
        <v>2379</v>
      </c>
      <c r="E552" s="34">
        <v>1</v>
      </c>
      <c r="F552" s="22" t="s">
        <v>2223</v>
      </c>
      <c r="G552" s="88">
        <v>17.5</v>
      </c>
      <c r="H552" s="235">
        <f t="shared" si="74"/>
        <v>10.802469135802468</v>
      </c>
      <c r="I552" s="88">
        <v>17.5</v>
      </c>
      <c r="J552" s="235">
        <f t="shared" si="75"/>
        <v>10.802469135802468</v>
      </c>
      <c r="K552" s="201">
        <v>144</v>
      </c>
      <c r="L552" s="252">
        <f>_xlfn.XLOOKUP($K552,Inputs!$C$6:$C$23,Inputs!$D$6:$D$23)*$I552</f>
        <v>7.6625000000000005</v>
      </c>
      <c r="M552" s="68"/>
      <c r="N552" s="68"/>
      <c r="O552" s="187"/>
      <c r="P552" s="187"/>
      <c r="Q552" s="94">
        <v>0.9</v>
      </c>
      <c r="R552" s="68">
        <f>IF((42.4*(J552)^(-0.6595))&gt;=3,3,(IF(42.4*(J552)^(-0.6595)&lt;=0.5,0.5,(42.4*(J552)^(-0.6595)))))</f>
        <v>3</v>
      </c>
      <c r="S552" s="276">
        <f>_xlfn.XLOOKUP($K552,Inputs!$G$6:$G$23,Inputs!J$6:J$23)*$R552</f>
        <v>153.60000000000002</v>
      </c>
      <c r="T552" s="276">
        <f>_xlfn.XLOOKUP($K552,Inputs!$G$6:$G$23,Inputs!K$6:K$23)*$R552</f>
        <v>169.96721311475409</v>
      </c>
      <c r="U552" s="96" t="s">
        <v>3540</v>
      </c>
      <c r="V552" s="22" t="s">
        <v>2147</v>
      </c>
      <c r="W552" s="96" t="s">
        <v>3539</v>
      </c>
      <c r="X552" s="22" t="s">
        <v>3253</v>
      </c>
      <c r="Y552" s="11" t="s">
        <v>3331</v>
      </c>
      <c r="Z552" s="79"/>
      <c r="AA552" s="187">
        <v>548</v>
      </c>
    </row>
    <row r="553" spans="2:27" s="184" customFormat="1" ht="20" x14ac:dyDescent="0.2">
      <c r="B553" s="11" t="s">
        <v>780</v>
      </c>
      <c r="C553" s="165" t="s">
        <v>4235</v>
      </c>
      <c r="D553" s="22" t="s">
        <v>2379</v>
      </c>
      <c r="E553" s="34">
        <v>1</v>
      </c>
      <c r="F553" s="22" t="s">
        <v>2223</v>
      </c>
      <c r="G553" s="235">
        <v>30</v>
      </c>
      <c r="H553" s="235">
        <f t="shared" si="74"/>
        <v>18.518518518518519</v>
      </c>
      <c r="I553" s="235">
        <v>30</v>
      </c>
      <c r="J553" s="235">
        <f t="shared" si="75"/>
        <v>18.518518518518519</v>
      </c>
      <c r="K553" s="215">
        <v>138</v>
      </c>
      <c r="L553" s="252">
        <f>_xlfn.XLOOKUP($K553,Inputs!$C$6:$C$23,Inputs!$D$6:$D$23)*$I553</f>
        <v>13.007142857142858</v>
      </c>
      <c r="M553" s="68"/>
      <c r="N553" s="68"/>
      <c r="O553" s="215">
        <v>98</v>
      </c>
      <c r="P553" s="215">
        <v>132</v>
      </c>
      <c r="Q553" s="94">
        <v>0.9</v>
      </c>
      <c r="R553" s="68" t="s">
        <v>115</v>
      </c>
      <c r="S553" s="182">
        <f>O553*Q553</f>
        <v>88.2</v>
      </c>
      <c r="T553" s="182">
        <f>P553*Q553</f>
        <v>118.8</v>
      </c>
      <c r="U553" s="96" t="s">
        <v>3674</v>
      </c>
      <c r="V553" s="22" t="s">
        <v>2947</v>
      </c>
      <c r="W553" s="96" t="s">
        <v>3524</v>
      </c>
      <c r="X553" s="205" t="s">
        <v>2837</v>
      </c>
      <c r="Y553" s="11" t="s">
        <v>3289</v>
      </c>
      <c r="Z553" s="79"/>
      <c r="AA553" s="187">
        <v>549</v>
      </c>
    </row>
    <row r="554" spans="2:27" s="184" customFormat="1" ht="20" x14ac:dyDescent="0.2">
      <c r="B554" s="11" t="s">
        <v>1589</v>
      </c>
      <c r="C554" s="165" t="s">
        <v>4235</v>
      </c>
      <c r="D554" s="22" t="s">
        <v>2379</v>
      </c>
      <c r="E554" s="34">
        <v>1</v>
      </c>
      <c r="F554" s="22" t="s">
        <v>2223</v>
      </c>
      <c r="G554" s="235">
        <v>40</v>
      </c>
      <c r="H554" s="235">
        <f t="shared" si="74"/>
        <v>24.691358024691358</v>
      </c>
      <c r="I554" s="235">
        <v>40</v>
      </c>
      <c r="J554" s="235">
        <f t="shared" si="75"/>
        <v>24.691358024691358</v>
      </c>
      <c r="K554" s="201">
        <v>144</v>
      </c>
      <c r="L554" s="252">
        <f>_xlfn.XLOOKUP($K554,Inputs!$C$6:$C$23,Inputs!$D$6:$D$23)*$I554</f>
        <v>17.514285714285716</v>
      </c>
      <c r="M554" s="68"/>
      <c r="N554" s="68"/>
      <c r="O554" s="187"/>
      <c r="P554" s="187"/>
      <c r="Q554" s="94">
        <v>0.9</v>
      </c>
      <c r="R554" s="68">
        <f>IF((42.4*(J554)^(-0.6595))&gt;=3,3,(IF(42.4*(J554)^(-0.6595)&lt;=0.5,0.5,(42.4*(J554)^(-0.6595)))))</f>
        <v>3</v>
      </c>
      <c r="S554" s="276">
        <f>_xlfn.XLOOKUP($K554,Inputs!$G$6:$G$23,Inputs!J$6:J$23)*$R554</f>
        <v>153.60000000000002</v>
      </c>
      <c r="T554" s="276">
        <f>_xlfn.XLOOKUP($K554,Inputs!$G$6:$G$23,Inputs!K$6:K$23)*$R554</f>
        <v>169.96721311475409</v>
      </c>
      <c r="U554" s="96" t="s">
        <v>3478</v>
      </c>
      <c r="V554" s="22" t="s">
        <v>2139</v>
      </c>
      <c r="W554" s="96" t="s">
        <v>3464</v>
      </c>
      <c r="X554" s="22" t="s">
        <v>2797</v>
      </c>
      <c r="Y554" s="11" t="s">
        <v>3331</v>
      </c>
      <c r="Z554" s="79"/>
      <c r="AA554" s="187">
        <v>550</v>
      </c>
    </row>
    <row r="555" spans="2:27" s="184" customFormat="1" ht="20" x14ac:dyDescent="0.2">
      <c r="B555" s="11" t="s">
        <v>1960</v>
      </c>
      <c r="C555" s="165" t="s">
        <v>4235</v>
      </c>
      <c r="D555" s="22" t="s">
        <v>2379</v>
      </c>
      <c r="E555" s="34">
        <v>1</v>
      </c>
      <c r="F555" s="22" t="s">
        <v>2223</v>
      </c>
      <c r="G555" s="88">
        <v>14</v>
      </c>
      <c r="H555" s="235">
        <f t="shared" si="74"/>
        <v>8.6419753086419746</v>
      </c>
      <c r="I555" s="88">
        <v>52.5</v>
      </c>
      <c r="J555" s="235">
        <f t="shared" si="75"/>
        <v>32.407407407407405</v>
      </c>
      <c r="K555" s="215">
        <v>138</v>
      </c>
      <c r="L555" s="252">
        <f>_xlfn.XLOOKUP($K555,Inputs!$C$6:$C$23,Inputs!$D$6:$D$23)*$I555</f>
        <v>22.762500000000003</v>
      </c>
      <c r="M555" s="68"/>
      <c r="N555" s="68"/>
      <c r="O555" s="215">
        <v>120</v>
      </c>
      <c r="P555" s="215">
        <v>148</v>
      </c>
      <c r="Q555" s="94">
        <v>0.9</v>
      </c>
      <c r="R555" s="68" t="s">
        <v>115</v>
      </c>
      <c r="S555" s="182">
        <f>O555*Q555</f>
        <v>108</v>
      </c>
      <c r="T555" s="182">
        <f>P555*Q555</f>
        <v>133.20000000000002</v>
      </c>
      <c r="U555" s="96" t="s">
        <v>3627</v>
      </c>
      <c r="V555" s="22" t="s">
        <v>2636</v>
      </c>
      <c r="W555" s="96" t="s">
        <v>3892</v>
      </c>
      <c r="X555" s="22" t="s">
        <v>2637</v>
      </c>
      <c r="Y555" s="11" t="s">
        <v>3293</v>
      </c>
      <c r="Z555" s="79"/>
      <c r="AA555" s="187">
        <v>551</v>
      </c>
    </row>
    <row r="556" spans="2:27" s="188" customFormat="1" ht="20" x14ac:dyDescent="0.2">
      <c r="B556" s="11" t="s">
        <v>1960</v>
      </c>
      <c r="C556" s="165" t="s">
        <v>4235</v>
      </c>
      <c r="D556" s="22" t="s">
        <v>2379</v>
      </c>
      <c r="E556" s="34">
        <v>1</v>
      </c>
      <c r="F556" s="22" t="s">
        <v>2223</v>
      </c>
      <c r="G556" s="88">
        <v>10.5</v>
      </c>
      <c r="H556" s="235">
        <f t="shared" si="74"/>
        <v>6.481481481481481</v>
      </c>
      <c r="I556" s="88">
        <v>52.5</v>
      </c>
      <c r="J556" s="235">
        <f t="shared" si="75"/>
        <v>32.407407407407405</v>
      </c>
      <c r="K556" s="216">
        <v>138</v>
      </c>
      <c r="L556" s="252">
        <f>_xlfn.XLOOKUP($K556,Inputs!$C$6:$C$23,Inputs!$D$6:$D$23)*$I556</f>
        <v>22.762500000000003</v>
      </c>
      <c r="M556" s="68"/>
      <c r="N556" s="68"/>
      <c r="O556" s="216">
        <v>120</v>
      </c>
      <c r="P556" s="216">
        <v>148</v>
      </c>
      <c r="Q556" s="94">
        <v>0.9</v>
      </c>
      <c r="R556" s="68" t="s">
        <v>115</v>
      </c>
      <c r="S556" s="182">
        <f>O556*Q556</f>
        <v>108</v>
      </c>
      <c r="T556" s="182">
        <f>P556*Q556</f>
        <v>133.20000000000002</v>
      </c>
      <c r="U556" s="96" t="s">
        <v>3892</v>
      </c>
      <c r="V556" s="22" t="s">
        <v>2637</v>
      </c>
      <c r="W556" s="96" t="s">
        <v>3542</v>
      </c>
      <c r="X556" s="22" t="s">
        <v>2148</v>
      </c>
      <c r="Y556" s="11" t="s">
        <v>3293</v>
      </c>
      <c r="Z556" s="79"/>
      <c r="AA556" s="187">
        <v>552</v>
      </c>
    </row>
    <row r="557" spans="2:27" s="184" customFormat="1" ht="20" x14ac:dyDescent="0.2">
      <c r="B557" s="11" t="s">
        <v>1960</v>
      </c>
      <c r="C557" s="165" t="s">
        <v>4235</v>
      </c>
      <c r="D557" s="22" t="s">
        <v>2379</v>
      </c>
      <c r="E557" s="34">
        <v>1</v>
      </c>
      <c r="F557" s="22" t="s">
        <v>2223</v>
      </c>
      <c r="G557" s="88">
        <v>28</v>
      </c>
      <c r="H557" s="235">
        <f t="shared" si="74"/>
        <v>17.283950617283949</v>
      </c>
      <c r="I557" s="88">
        <v>52.5</v>
      </c>
      <c r="J557" s="235">
        <f t="shared" si="75"/>
        <v>32.407407407407405</v>
      </c>
      <c r="K557" s="215">
        <v>138</v>
      </c>
      <c r="L557" s="252">
        <f>_xlfn.XLOOKUP($K557,Inputs!$C$6:$C$23,Inputs!$D$6:$D$23)*$I557</f>
        <v>22.762500000000003</v>
      </c>
      <c r="M557" s="68"/>
      <c r="N557" s="68"/>
      <c r="O557" s="215">
        <v>120</v>
      </c>
      <c r="P557" s="215">
        <v>148</v>
      </c>
      <c r="Q557" s="94">
        <v>0.9</v>
      </c>
      <c r="R557" s="68" t="s">
        <v>115</v>
      </c>
      <c r="S557" s="182">
        <f>O557*Q557</f>
        <v>108</v>
      </c>
      <c r="T557" s="182">
        <f>P557*Q557</f>
        <v>133.20000000000002</v>
      </c>
      <c r="U557" s="96" t="s">
        <v>3542</v>
      </c>
      <c r="V557" s="22" t="s">
        <v>2148</v>
      </c>
      <c r="W557" s="96" t="s">
        <v>3918</v>
      </c>
      <c r="X557" s="22" t="s">
        <v>3179</v>
      </c>
      <c r="Y557" s="11" t="s">
        <v>3293</v>
      </c>
      <c r="Z557" s="79"/>
      <c r="AA557" s="187">
        <v>553</v>
      </c>
    </row>
    <row r="558" spans="2:27" s="184" customFormat="1" ht="20" x14ac:dyDescent="0.2">
      <c r="B558" s="11" t="s">
        <v>1961</v>
      </c>
      <c r="C558" s="165" t="s">
        <v>4235</v>
      </c>
      <c r="D558" s="22" t="s">
        <v>2379</v>
      </c>
      <c r="E558" s="34">
        <v>1</v>
      </c>
      <c r="F558" s="22" t="s">
        <v>2223</v>
      </c>
      <c r="G558" s="88">
        <v>14</v>
      </c>
      <c r="H558" s="235">
        <f t="shared" si="74"/>
        <v>8.6419753086419746</v>
      </c>
      <c r="I558" s="88">
        <v>14</v>
      </c>
      <c r="J558" s="235">
        <f t="shared" si="75"/>
        <v>8.6419753086419746</v>
      </c>
      <c r="K558" s="215">
        <v>138</v>
      </c>
      <c r="L558" s="252">
        <f>_xlfn.XLOOKUP($K558,Inputs!$C$6:$C$23,Inputs!$D$6:$D$23)*$I558</f>
        <v>6.07</v>
      </c>
      <c r="M558" s="68"/>
      <c r="N558" s="68"/>
      <c r="O558" s="215">
        <v>96</v>
      </c>
      <c r="P558" s="93">
        <f>O558*1.3</f>
        <v>124.80000000000001</v>
      </c>
      <c r="Q558" s="94">
        <v>0.9</v>
      </c>
      <c r="R558" s="68" t="s">
        <v>115</v>
      </c>
      <c r="S558" s="182">
        <f>O558*Q558</f>
        <v>86.4</v>
      </c>
      <c r="T558" s="182">
        <f>P558*Q558</f>
        <v>112.32000000000001</v>
      </c>
      <c r="U558" s="96" t="s">
        <v>3542</v>
      </c>
      <c r="V558" s="22" t="s">
        <v>2148</v>
      </c>
      <c r="W558" s="96" t="s">
        <v>3541</v>
      </c>
      <c r="X558" s="22" t="s">
        <v>2846</v>
      </c>
      <c r="Y558" s="11" t="s">
        <v>3276</v>
      </c>
      <c r="Z558" s="79"/>
      <c r="AA558" s="187">
        <v>554</v>
      </c>
    </row>
    <row r="559" spans="2:27" s="184" customFormat="1" ht="20" x14ac:dyDescent="0.2">
      <c r="B559" s="11" t="s">
        <v>1665</v>
      </c>
      <c r="C559" s="165" t="s">
        <v>4235</v>
      </c>
      <c r="D559" s="22" t="s">
        <v>2379</v>
      </c>
      <c r="E559" s="34">
        <v>1</v>
      </c>
      <c r="F559" s="22" t="s">
        <v>2223</v>
      </c>
      <c r="G559" s="88">
        <v>12</v>
      </c>
      <c r="H559" s="235">
        <f t="shared" si="74"/>
        <v>7.4074074074074066</v>
      </c>
      <c r="I559" s="88">
        <v>12</v>
      </c>
      <c r="J559" s="235">
        <f t="shared" si="75"/>
        <v>7.4074074074074066</v>
      </c>
      <c r="K559" s="201">
        <v>144</v>
      </c>
      <c r="L559" s="252">
        <f>_xlfn.XLOOKUP($K559,Inputs!$C$6:$C$23,Inputs!$D$6:$D$23)*$I559</f>
        <v>5.2542857142857144</v>
      </c>
      <c r="M559" s="68"/>
      <c r="N559" s="68"/>
      <c r="O559" s="187"/>
      <c r="P559" s="187"/>
      <c r="Q559" s="94">
        <v>0.9</v>
      </c>
      <c r="R559" s="68">
        <f>IF((42.4*(J559)^(-0.6595))&gt;=3,3,(IF(42.4*(J559)^(-0.6595)&lt;=0.5,0.5,(42.4*(J559)^(-0.6595)))))</f>
        <v>3</v>
      </c>
      <c r="S559" s="276">
        <f>_xlfn.XLOOKUP($K559,Inputs!$G$6:$G$23,Inputs!J$6:J$23)*$R559</f>
        <v>153.60000000000002</v>
      </c>
      <c r="T559" s="276">
        <f>_xlfn.XLOOKUP($K559,Inputs!$G$6:$G$23,Inputs!K$6:K$23)*$R559</f>
        <v>169.96721311475409</v>
      </c>
      <c r="U559" s="96" t="s">
        <v>3681</v>
      </c>
      <c r="V559" s="22" t="s">
        <v>2954</v>
      </c>
      <c r="W559" s="96" t="s">
        <v>3797</v>
      </c>
      <c r="X559" s="22" t="s">
        <v>3047</v>
      </c>
      <c r="Y559" s="11" t="s">
        <v>3331</v>
      </c>
      <c r="Z559" s="79"/>
      <c r="AA559" s="187">
        <v>555</v>
      </c>
    </row>
    <row r="560" spans="2:27" s="184" customFormat="1" ht="20" x14ac:dyDescent="0.2">
      <c r="B560" s="11" t="s">
        <v>1796</v>
      </c>
      <c r="C560" s="165" t="s">
        <v>4235</v>
      </c>
      <c r="D560" s="22" t="s">
        <v>2379</v>
      </c>
      <c r="E560" s="34">
        <v>1</v>
      </c>
      <c r="F560" s="22" t="s">
        <v>2223</v>
      </c>
      <c r="G560" s="88">
        <v>4.25</v>
      </c>
      <c r="H560" s="235">
        <f t="shared" si="74"/>
        <v>2.6234567901234565</v>
      </c>
      <c r="I560" s="88">
        <v>4.25</v>
      </c>
      <c r="J560" s="235">
        <f t="shared" si="75"/>
        <v>2.6234567901234565</v>
      </c>
      <c r="K560" s="215">
        <v>138</v>
      </c>
      <c r="L560" s="252">
        <f>_xlfn.XLOOKUP($K560,Inputs!$C$6:$C$23,Inputs!$D$6:$D$23)*$I560</f>
        <v>1.8426785714285716</v>
      </c>
      <c r="M560" s="68"/>
      <c r="N560" s="68"/>
      <c r="O560" s="215">
        <v>85</v>
      </c>
      <c r="P560" s="215">
        <v>90</v>
      </c>
      <c r="Q560" s="94">
        <v>0.9</v>
      </c>
      <c r="R560" s="68" t="s">
        <v>115</v>
      </c>
      <c r="S560" s="182">
        <f>O560*Q560</f>
        <v>76.5</v>
      </c>
      <c r="T560" s="182">
        <f>P560*Q560</f>
        <v>81</v>
      </c>
      <c r="U560" s="96" t="s">
        <v>3851</v>
      </c>
      <c r="V560" s="22" t="s">
        <v>2720</v>
      </c>
      <c r="W560" s="96" t="s">
        <v>3463</v>
      </c>
      <c r="X560" s="22" t="s">
        <v>2796</v>
      </c>
      <c r="Y560" s="11" t="s">
        <v>3315</v>
      </c>
      <c r="Z560" s="79"/>
      <c r="AA560" s="187">
        <v>556</v>
      </c>
    </row>
    <row r="561" spans="1:27" s="184" customFormat="1" ht="20" x14ac:dyDescent="0.2">
      <c r="B561" s="11" t="s">
        <v>1221</v>
      </c>
      <c r="C561" s="165" t="s">
        <v>4235</v>
      </c>
      <c r="D561" s="22" t="s">
        <v>2379</v>
      </c>
      <c r="E561" s="34">
        <v>1</v>
      </c>
      <c r="F561" s="22" t="s">
        <v>2223</v>
      </c>
      <c r="G561" s="88">
        <v>24</v>
      </c>
      <c r="H561" s="235">
        <f t="shared" si="74"/>
        <v>14.814814814814813</v>
      </c>
      <c r="I561" s="88">
        <v>87</v>
      </c>
      <c r="J561" s="235">
        <f t="shared" si="75"/>
        <v>53.703703703703702</v>
      </c>
      <c r="K561" s="215">
        <v>138</v>
      </c>
      <c r="L561" s="252">
        <f>_xlfn.XLOOKUP($K561,Inputs!$C$6:$C$23,Inputs!$D$6:$D$23)*$I561</f>
        <v>37.720714285714287</v>
      </c>
      <c r="M561" s="68"/>
      <c r="N561" s="68"/>
      <c r="O561" s="215">
        <v>121</v>
      </c>
      <c r="P561" s="215">
        <v>143</v>
      </c>
      <c r="Q561" s="94">
        <v>0.9</v>
      </c>
      <c r="R561" s="68" t="s">
        <v>115</v>
      </c>
      <c r="S561" s="182">
        <f>O561*Q561</f>
        <v>108.9</v>
      </c>
      <c r="T561" s="182">
        <f>P561*Q561</f>
        <v>128.70000000000002</v>
      </c>
      <c r="U561" s="96" t="s">
        <v>3861</v>
      </c>
      <c r="V561" s="22" t="s">
        <v>2723</v>
      </c>
      <c r="W561" s="96" t="s">
        <v>3970</v>
      </c>
      <c r="X561" s="22" t="s">
        <v>2149</v>
      </c>
      <c r="Y561" s="11" t="s">
        <v>3280</v>
      </c>
      <c r="Z561" s="79"/>
      <c r="AA561" s="187">
        <v>557</v>
      </c>
    </row>
    <row r="562" spans="1:27" s="184" customFormat="1" ht="20" x14ac:dyDescent="0.2">
      <c r="B562" s="11" t="s">
        <v>1221</v>
      </c>
      <c r="C562" s="165" t="s">
        <v>4235</v>
      </c>
      <c r="D562" s="22" t="s">
        <v>2379</v>
      </c>
      <c r="E562" s="34">
        <v>1</v>
      </c>
      <c r="F562" s="22" t="s">
        <v>2223</v>
      </c>
      <c r="G562" s="88">
        <v>42</v>
      </c>
      <c r="H562" s="235">
        <f t="shared" si="74"/>
        <v>25.925925925925924</v>
      </c>
      <c r="I562" s="88">
        <v>87</v>
      </c>
      <c r="J562" s="235">
        <f t="shared" si="75"/>
        <v>53.703703703703702</v>
      </c>
      <c r="K562" s="215">
        <v>138</v>
      </c>
      <c r="L562" s="252">
        <f>_xlfn.XLOOKUP($K562,Inputs!$C$6:$C$23,Inputs!$D$6:$D$23)*$I562</f>
        <v>37.720714285714287</v>
      </c>
      <c r="M562" s="68"/>
      <c r="N562" s="68"/>
      <c r="O562" s="215">
        <v>121</v>
      </c>
      <c r="P562" s="215">
        <v>148</v>
      </c>
      <c r="Q562" s="94">
        <v>0.9</v>
      </c>
      <c r="R562" s="68" t="s">
        <v>115</v>
      </c>
      <c r="S562" s="182">
        <f>O562*Q562</f>
        <v>108.9</v>
      </c>
      <c r="T562" s="182">
        <f>P562*Q562</f>
        <v>133.20000000000002</v>
      </c>
      <c r="U562" s="96" t="s">
        <v>3970</v>
      </c>
      <c r="V562" s="22" t="s">
        <v>2149</v>
      </c>
      <c r="W562" s="96" t="s">
        <v>3981</v>
      </c>
      <c r="X562" s="22" t="s">
        <v>2150</v>
      </c>
      <c r="Y562" s="11" t="s">
        <v>3280</v>
      </c>
      <c r="Z562" s="79"/>
      <c r="AA562" s="187">
        <v>558</v>
      </c>
    </row>
    <row r="563" spans="1:27" s="188" customFormat="1" ht="20" x14ac:dyDescent="0.2">
      <c r="B563" s="11" t="s">
        <v>1221</v>
      </c>
      <c r="C563" s="165" t="s">
        <v>4235</v>
      </c>
      <c r="D563" s="22" t="s">
        <v>2379</v>
      </c>
      <c r="E563" s="34">
        <v>1</v>
      </c>
      <c r="F563" s="22" t="s">
        <v>2223</v>
      </c>
      <c r="G563" s="88">
        <v>21</v>
      </c>
      <c r="H563" s="235">
        <f t="shared" si="74"/>
        <v>12.962962962962962</v>
      </c>
      <c r="I563" s="88">
        <v>87</v>
      </c>
      <c r="J563" s="235">
        <f t="shared" si="75"/>
        <v>53.703703703703702</v>
      </c>
      <c r="K563" s="215">
        <v>138</v>
      </c>
      <c r="L563" s="252">
        <f>_xlfn.XLOOKUP($K563,Inputs!$C$6:$C$23,Inputs!$D$6:$D$23)*$I563</f>
        <v>37.720714285714287</v>
      </c>
      <c r="M563" s="68"/>
      <c r="N563" s="68"/>
      <c r="O563" s="215">
        <v>121</v>
      </c>
      <c r="P563" s="215">
        <v>148</v>
      </c>
      <c r="Q563" s="94">
        <v>0.9</v>
      </c>
      <c r="R563" s="68" t="s">
        <v>115</v>
      </c>
      <c r="S563" s="182">
        <f>O563*Q563</f>
        <v>108.9</v>
      </c>
      <c r="T563" s="182">
        <f>P563*Q563</f>
        <v>133.20000000000002</v>
      </c>
      <c r="U563" s="96" t="s">
        <v>3981</v>
      </c>
      <c r="V563" s="22" t="s">
        <v>2150</v>
      </c>
      <c r="W563" s="96" t="s">
        <v>3654</v>
      </c>
      <c r="X563" s="22" t="s">
        <v>2688</v>
      </c>
      <c r="Y563" s="11" t="s">
        <v>3280</v>
      </c>
      <c r="Z563" s="79"/>
      <c r="AA563" s="187">
        <v>559</v>
      </c>
    </row>
    <row r="564" spans="1:27" s="188" customFormat="1" ht="20" x14ac:dyDescent="0.2">
      <c r="B564" s="11" t="s">
        <v>2063</v>
      </c>
      <c r="C564" s="165" t="s">
        <v>4235</v>
      </c>
      <c r="D564" s="22" t="s">
        <v>2379</v>
      </c>
      <c r="E564" s="34">
        <v>1</v>
      </c>
      <c r="F564" s="22" t="s">
        <v>2223</v>
      </c>
      <c r="G564" s="88">
        <v>10.8</v>
      </c>
      <c r="H564" s="235">
        <f t="shared" si="74"/>
        <v>6.666666666666667</v>
      </c>
      <c r="I564" s="88">
        <v>10.8</v>
      </c>
      <c r="J564" s="235">
        <f t="shared" si="75"/>
        <v>6.666666666666667</v>
      </c>
      <c r="K564" s="215">
        <v>138</v>
      </c>
      <c r="L564" s="252">
        <f>_xlfn.XLOOKUP($K564,Inputs!$C$6:$C$23,Inputs!$D$6:$D$23)*$I564</f>
        <v>4.6825714285714293</v>
      </c>
      <c r="M564" s="68"/>
      <c r="N564" s="68"/>
      <c r="O564" s="215">
        <v>85</v>
      </c>
      <c r="P564" s="215">
        <v>90</v>
      </c>
      <c r="Q564" s="94">
        <v>0.9</v>
      </c>
      <c r="R564" s="68" t="s">
        <v>115</v>
      </c>
      <c r="S564" s="182">
        <f>O564*Q564</f>
        <v>76.5</v>
      </c>
      <c r="T564" s="182">
        <f>P564*Q564</f>
        <v>81</v>
      </c>
      <c r="U564" s="96" t="s">
        <v>3970</v>
      </c>
      <c r="V564" s="22" t="s">
        <v>2149</v>
      </c>
      <c r="W564" s="96" t="s">
        <v>3705</v>
      </c>
      <c r="X564" s="22" t="s">
        <v>2971</v>
      </c>
      <c r="Y564" s="11" t="s">
        <v>3280</v>
      </c>
      <c r="Z564" s="79"/>
      <c r="AA564" s="187">
        <v>560</v>
      </c>
    </row>
    <row r="565" spans="1:27" s="184" customFormat="1" ht="20" x14ac:dyDescent="0.2">
      <c r="B565" s="11" t="s">
        <v>2064</v>
      </c>
      <c r="C565" s="165" t="s">
        <v>4235</v>
      </c>
      <c r="D565" s="22" t="s">
        <v>2379</v>
      </c>
      <c r="E565" s="34">
        <v>1</v>
      </c>
      <c r="F565" s="22" t="s">
        <v>2223</v>
      </c>
      <c r="G565" s="88">
        <v>7.1999999999999993</v>
      </c>
      <c r="H565" s="235">
        <f t="shared" si="74"/>
        <v>4.4444444444444438</v>
      </c>
      <c r="I565" s="88">
        <v>7.1999999999999993</v>
      </c>
      <c r="J565" s="235">
        <f t="shared" si="75"/>
        <v>4.4444444444444438</v>
      </c>
      <c r="K565" s="201">
        <v>144</v>
      </c>
      <c r="L565" s="252">
        <f>_xlfn.XLOOKUP($K565,Inputs!$C$6:$C$23,Inputs!$D$6:$D$23)*$I565</f>
        <v>3.1525714285714286</v>
      </c>
      <c r="M565" s="68"/>
      <c r="N565" s="68"/>
      <c r="O565" s="187"/>
      <c r="P565" s="187"/>
      <c r="Q565" s="94">
        <v>0.9</v>
      </c>
      <c r="R565" s="68">
        <f>IF((42.4*(J565)^(-0.6595))&gt;=3,3,(IF(42.4*(J565)^(-0.6595)&lt;=0.5,0.5,(42.4*(J565)^(-0.6595)))))</f>
        <v>3</v>
      </c>
      <c r="S565" s="276">
        <f>_xlfn.XLOOKUP($K565,Inputs!$G$6:$G$23,Inputs!J$6:J$23)*$R565</f>
        <v>153.60000000000002</v>
      </c>
      <c r="T565" s="276">
        <f>_xlfn.XLOOKUP($K565,Inputs!$G$6:$G$23,Inputs!K$6:K$23)*$R565</f>
        <v>169.96721311475409</v>
      </c>
      <c r="U565" s="96" t="s">
        <v>3981</v>
      </c>
      <c r="V565" s="22" t="s">
        <v>2150</v>
      </c>
      <c r="W565" s="96" t="s">
        <v>3742</v>
      </c>
      <c r="X565" s="22" t="s">
        <v>3000</v>
      </c>
      <c r="Y565" s="11" t="s">
        <v>3331</v>
      </c>
      <c r="Z565" s="79"/>
      <c r="AA565" s="187">
        <v>561</v>
      </c>
    </row>
    <row r="566" spans="1:27" s="184" customFormat="1" ht="20" x14ac:dyDescent="0.2">
      <c r="A566" s="298"/>
      <c r="B566" s="11" t="s">
        <v>4358</v>
      </c>
      <c r="C566" s="165" t="s">
        <v>4235</v>
      </c>
      <c r="D566" s="22" t="s">
        <v>2379</v>
      </c>
      <c r="E566" s="34">
        <v>1</v>
      </c>
      <c r="F566" s="22" t="s">
        <v>2223</v>
      </c>
      <c r="G566" s="88">
        <v>5.5</v>
      </c>
      <c r="H566" s="235">
        <f t="shared" si="74"/>
        <v>3.3950617283950617</v>
      </c>
      <c r="I566" s="88">
        <v>5.5</v>
      </c>
      <c r="J566" s="235">
        <f t="shared" si="75"/>
        <v>3.3950617283950617</v>
      </c>
      <c r="K566" s="201">
        <v>144</v>
      </c>
      <c r="L566" s="252">
        <f>_xlfn.XLOOKUP($K566,Inputs!$C$6:$C$23,Inputs!$D$6:$D$23)*$I566</f>
        <v>2.4082142857142861</v>
      </c>
      <c r="M566" s="68"/>
      <c r="N566" s="68"/>
      <c r="O566" s="187"/>
      <c r="P566" s="187"/>
      <c r="Q566" s="94">
        <v>0.9</v>
      </c>
      <c r="R566" s="68">
        <f>IF((42.4*(J566)^(-0.6595))&gt;=3,3,(IF(42.4*(J566)^(-0.6595)&lt;=0.5,0.5,(42.4*(J566)^(-0.6595)))))</f>
        <v>3</v>
      </c>
      <c r="S566" s="276">
        <f>_xlfn.XLOOKUP($K566,Inputs!$G$6:$G$23,Inputs!J$6:J$23)*$R566</f>
        <v>153.60000000000002</v>
      </c>
      <c r="T566" s="276">
        <f>_xlfn.XLOOKUP($K566,Inputs!$G$6:$G$23,Inputs!K$6:K$23)*$R566</f>
        <v>169.96721311475409</v>
      </c>
      <c r="U566" s="96" t="s">
        <v>3574</v>
      </c>
      <c r="V566" s="22" t="s">
        <v>2869</v>
      </c>
      <c r="W566" s="96" t="s">
        <v>3753</v>
      </c>
      <c r="X566" s="22" t="s">
        <v>3011</v>
      </c>
      <c r="Y566" s="11" t="s">
        <v>3331</v>
      </c>
      <c r="Z566" s="79"/>
      <c r="AA566" s="187">
        <v>555</v>
      </c>
    </row>
    <row r="567" spans="1:27" s="188" customFormat="1" ht="20" x14ac:dyDescent="0.2">
      <c r="A567" s="297"/>
      <c r="B567" s="11" t="s">
        <v>1468</v>
      </c>
      <c r="C567" s="165" t="s">
        <v>4235</v>
      </c>
      <c r="D567" s="22" t="s">
        <v>2379</v>
      </c>
      <c r="E567" s="34">
        <v>1</v>
      </c>
      <c r="F567" s="22" t="s">
        <v>2223</v>
      </c>
      <c r="G567" s="88">
        <v>12</v>
      </c>
      <c r="H567" s="235">
        <f t="shared" si="74"/>
        <v>7.4074074074074066</v>
      </c>
      <c r="I567" s="88">
        <v>22</v>
      </c>
      <c r="J567" s="235">
        <f t="shared" si="75"/>
        <v>13.580246913580247</v>
      </c>
      <c r="K567" s="215">
        <v>138</v>
      </c>
      <c r="L567" s="252">
        <f>_xlfn.XLOOKUP($K567,Inputs!$C$6:$C$23,Inputs!$D$6:$D$23)*$I567</f>
        <v>9.53857142857143</v>
      </c>
      <c r="M567" s="68"/>
      <c r="N567" s="68"/>
      <c r="O567" s="215">
        <v>86</v>
      </c>
      <c r="P567" s="215">
        <v>115</v>
      </c>
      <c r="Q567" s="94">
        <v>0.9</v>
      </c>
      <c r="R567" s="68" t="s">
        <v>115</v>
      </c>
      <c r="S567" s="182">
        <f>O567*Q567</f>
        <v>77.400000000000006</v>
      </c>
      <c r="T567" s="182">
        <f>P567*Q567</f>
        <v>103.5</v>
      </c>
      <c r="U567" s="96" t="s">
        <v>3600</v>
      </c>
      <c r="V567" s="22" t="s">
        <v>2890</v>
      </c>
      <c r="W567" s="96" t="s">
        <v>3805</v>
      </c>
      <c r="X567" s="22" t="s">
        <v>4350</v>
      </c>
      <c r="Y567" s="11" t="s">
        <v>3316</v>
      </c>
      <c r="Z567" s="79"/>
      <c r="AA567" s="187">
        <v>562</v>
      </c>
    </row>
    <row r="568" spans="1:27" s="188" customFormat="1" ht="20" x14ac:dyDescent="0.2">
      <c r="A568" s="297"/>
      <c r="B568" s="79" t="s">
        <v>1468</v>
      </c>
      <c r="C568" s="165" t="s">
        <v>4235</v>
      </c>
      <c r="D568" s="22" t="s">
        <v>2379</v>
      </c>
      <c r="E568" s="34">
        <v>1</v>
      </c>
      <c r="F568" s="22" t="s">
        <v>2223</v>
      </c>
      <c r="G568" s="88">
        <v>9</v>
      </c>
      <c r="H568" s="235">
        <f t="shared" si="74"/>
        <v>5.5555555555555554</v>
      </c>
      <c r="I568" s="88">
        <v>22</v>
      </c>
      <c r="J568" s="235">
        <f t="shared" si="75"/>
        <v>13.580246913580247</v>
      </c>
      <c r="K568" s="215">
        <v>138</v>
      </c>
      <c r="L568" s="252">
        <f>_xlfn.XLOOKUP($K568,Inputs!$C$6:$C$23,Inputs!$D$6:$D$23)*$I568</f>
        <v>9.53857142857143</v>
      </c>
      <c r="M568" s="68"/>
      <c r="N568" s="68"/>
      <c r="O568" s="215">
        <v>86</v>
      </c>
      <c r="P568" s="215">
        <v>115</v>
      </c>
      <c r="Q568" s="94">
        <v>0.9</v>
      </c>
      <c r="R568" s="68" t="s">
        <v>115</v>
      </c>
      <c r="S568" s="182">
        <f>O568*Q568</f>
        <v>77.400000000000006</v>
      </c>
      <c r="T568" s="182">
        <f>P568*Q568</f>
        <v>103.5</v>
      </c>
      <c r="U568" s="96" t="s">
        <v>3805</v>
      </c>
      <c r="V568" s="22" t="s">
        <v>4350</v>
      </c>
      <c r="W568" s="96" t="s">
        <v>3474</v>
      </c>
      <c r="X568" s="22" t="s">
        <v>4349</v>
      </c>
      <c r="Y568" s="11" t="s">
        <v>3316</v>
      </c>
      <c r="Z568" s="79"/>
      <c r="AA568" s="187">
        <v>563</v>
      </c>
    </row>
    <row r="569" spans="1:27" s="188" customFormat="1" ht="20" x14ac:dyDescent="0.2">
      <c r="A569" s="297"/>
      <c r="B569" s="79" t="s">
        <v>1468</v>
      </c>
      <c r="C569" s="165" t="s">
        <v>4235</v>
      </c>
      <c r="D569" s="22" t="s">
        <v>2379</v>
      </c>
      <c r="E569" s="34">
        <v>1</v>
      </c>
      <c r="F569" s="22" t="s">
        <v>2223</v>
      </c>
      <c r="G569" s="88">
        <v>1</v>
      </c>
      <c r="H569" s="235">
        <f t="shared" si="74"/>
        <v>0.61728395061728392</v>
      </c>
      <c r="I569" s="88">
        <v>22</v>
      </c>
      <c r="J569" s="235">
        <f t="shared" si="75"/>
        <v>13.580246913580247</v>
      </c>
      <c r="K569" s="215">
        <v>138</v>
      </c>
      <c r="L569" s="252">
        <f>_xlfn.XLOOKUP($K569,Inputs!$C$6:$C$23,Inputs!$D$6:$D$23)*$I569</f>
        <v>9.53857142857143</v>
      </c>
      <c r="M569" s="68"/>
      <c r="N569" s="68"/>
      <c r="O569" s="215">
        <v>86</v>
      </c>
      <c r="P569" s="215">
        <v>115</v>
      </c>
      <c r="Q569" s="94">
        <v>0.9</v>
      </c>
      <c r="R569" s="68" t="s">
        <v>115</v>
      </c>
      <c r="S569" s="182">
        <f>O569*Q569</f>
        <v>77.400000000000006</v>
      </c>
      <c r="T569" s="182">
        <f>P569*Q569</f>
        <v>103.5</v>
      </c>
      <c r="U569" s="96" t="s">
        <v>3474</v>
      </c>
      <c r="V569" s="22" t="s">
        <v>4349</v>
      </c>
      <c r="W569" s="96" t="s">
        <v>4348</v>
      </c>
      <c r="X569" s="22" t="s">
        <v>4346</v>
      </c>
      <c r="Y569" s="11" t="s">
        <v>4347</v>
      </c>
      <c r="Z569" s="79"/>
      <c r="AA569" s="187">
        <v>563</v>
      </c>
    </row>
    <row r="570" spans="1:27" s="184" customFormat="1" ht="20" x14ac:dyDescent="0.2">
      <c r="B570" s="79" t="s">
        <v>1702</v>
      </c>
      <c r="C570" s="165" t="s">
        <v>4235</v>
      </c>
      <c r="D570" s="22" t="s">
        <v>2379</v>
      </c>
      <c r="E570" s="34">
        <v>1</v>
      </c>
      <c r="F570" s="22" t="s">
        <v>2223</v>
      </c>
      <c r="G570" s="88">
        <v>28</v>
      </c>
      <c r="H570" s="235">
        <f t="shared" si="74"/>
        <v>17.283950617283949</v>
      </c>
      <c r="I570" s="88">
        <v>28</v>
      </c>
      <c r="J570" s="235">
        <f t="shared" si="75"/>
        <v>17.283950617283949</v>
      </c>
      <c r="K570" s="215">
        <v>138</v>
      </c>
      <c r="L570" s="252">
        <f>_xlfn.XLOOKUP($K570,Inputs!$C$6:$C$23,Inputs!$D$6:$D$23)*$I570</f>
        <v>12.14</v>
      </c>
      <c r="M570" s="68"/>
      <c r="N570" s="68"/>
      <c r="O570" s="215">
        <v>113</v>
      </c>
      <c r="P570" s="215">
        <v>120</v>
      </c>
      <c r="Q570" s="94">
        <v>0.9</v>
      </c>
      <c r="R570" s="68" t="s">
        <v>115</v>
      </c>
      <c r="S570" s="182">
        <f>O570*Q570</f>
        <v>101.7</v>
      </c>
      <c r="T570" s="182">
        <f>P570*Q570</f>
        <v>108</v>
      </c>
      <c r="U570" s="96" t="s">
        <v>3731</v>
      </c>
      <c r="V570" s="22" t="s">
        <v>2992</v>
      </c>
      <c r="W570" s="96" t="s">
        <v>3840</v>
      </c>
      <c r="X570" s="22" t="s">
        <v>2716</v>
      </c>
      <c r="Y570" s="11" t="s">
        <v>3296</v>
      </c>
      <c r="Z570" s="79"/>
      <c r="AA570" s="187">
        <v>564</v>
      </c>
    </row>
    <row r="571" spans="1:27" s="184" customFormat="1" ht="20" x14ac:dyDescent="0.2">
      <c r="A571" s="200"/>
      <c r="B571" s="11" t="s">
        <v>1918</v>
      </c>
      <c r="C571" s="165" t="s">
        <v>4235</v>
      </c>
      <c r="D571" s="22" t="s">
        <v>2379</v>
      </c>
      <c r="E571" s="34">
        <v>1</v>
      </c>
      <c r="F571" s="22" t="s">
        <v>2223</v>
      </c>
      <c r="G571" s="235">
        <v>20</v>
      </c>
      <c r="H571" s="235">
        <f t="shared" si="74"/>
        <v>12.345679012345679</v>
      </c>
      <c r="I571" s="235">
        <v>20</v>
      </c>
      <c r="J571" s="235">
        <f t="shared" si="75"/>
        <v>12.345679012345679</v>
      </c>
      <c r="K571" s="215">
        <v>138</v>
      </c>
      <c r="L571" s="252">
        <f>_xlfn.XLOOKUP($K571,Inputs!$C$6:$C$23,Inputs!$D$6:$D$23)*$I571</f>
        <v>8.6714285714285726</v>
      </c>
      <c r="M571" s="68"/>
      <c r="N571" s="68"/>
      <c r="O571" s="215">
        <v>120</v>
      </c>
      <c r="P571" s="215">
        <v>148</v>
      </c>
      <c r="Q571" s="94">
        <v>0.9</v>
      </c>
      <c r="R571" s="68" t="s">
        <v>115</v>
      </c>
      <c r="S571" s="182">
        <f>O571*Q571</f>
        <v>108</v>
      </c>
      <c r="T571" s="182">
        <f>P571*Q571</f>
        <v>133.20000000000002</v>
      </c>
      <c r="U571" s="96" t="s">
        <v>3752</v>
      </c>
      <c r="V571" s="22" t="s">
        <v>3010</v>
      </c>
      <c r="W571" s="96" t="s">
        <v>3480</v>
      </c>
      <c r="X571" s="22" t="s">
        <v>2670</v>
      </c>
      <c r="Y571" s="11" t="s">
        <v>3303</v>
      </c>
      <c r="Z571" s="79"/>
      <c r="AA571" s="187">
        <v>565</v>
      </c>
    </row>
    <row r="572" spans="1:27" s="184" customFormat="1" ht="20" x14ac:dyDescent="0.2">
      <c r="A572" s="200"/>
      <c r="B572" s="11" t="s">
        <v>1730</v>
      </c>
      <c r="C572" s="165" t="s">
        <v>4235</v>
      </c>
      <c r="D572" s="22" t="s">
        <v>2379</v>
      </c>
      <c r="E572" s="34">
        <v>1</v>
      </c>
      <c r="F572" s="22" t="s">
        <v>2223</v>
      </c>
      <c r="G572" s="88">
        <v>9.35</v>
      </c>
      <c r="H572" s="235">
        <f t="shared" si="74"/>
        <v>5.7716049382716044</v>
      </c>
      <c r="I572" s="88">
        <v>9.35</v>
      </c>
      <c r="J572" s="235">
        <f t="shared" si="75"/>
        <v>5.7716049382716044</v>
      </c>
      <c r="K572" s="201">
        <v>144</v>
      </c>
      <c r="L572" s="252">
        <f>_xlfn.XLOOKUP($K572,Inputs!$C$6:$C$23,Inputs!$D$6:$D$23)*$I572</f>
        <v>4.0939642857142857</v>
      </c>
      <c r="M572" s="68"/>
      <c r="N572" s="68"/>
      <c r="O572" s="187"/>
      <c r="P572" s="187"/>
      <c r="Q572" s="94">
        <v>0.9</v>
      </c>
      <c r="R572" s="68">
        <f>IF((42.4*(J572)^(-0.6595))&gt;=3,3,(IF(42.4*(J572)^(-0.6595)&lt;=0.5,0.5,(42.4*(J572)^(-0.6595)))))</f>
        <v>3</v>
      </c>
      <c r="S572" s="276">
        <f>_xlfn.XLOOKUP($K572,Inputs!$G$6:$G$23,Inputs!J$6:J$23)*$R572</f>
        <v>153.60000000000002</v>
      </c>
      <c r="T572" s="276">
        <f>_xlfn.XLOOKUP($K572,Inputs!$G$6:$G$23,Inputs!K$6:K$23)*$R572</f>
        <v>169.96721311475409</v>
      </c>
      <c r="U572" s="96" t="s">
        <v>4248</v>
      </c>
      <c r="V572" s="22" t="s">
        <v>4249</v>
      </c>
      <c r="W572" s="96" t="s">
        <v>1731</v>
      </c>
      <c r="X572" s="22" t="s">
        <v>3109</v>
      </c>
      <c r="Y572" s="11" t="s">
        <v>3331</v>
      </c>
      <c r="Z572" s="79"/>
      <c r="AA572" s="187">
        <v>566</v>
      </c>
    </row>
    <row r="573" spans="1:27" s="184" customFormat="1" ht="20" x14ac:dyDescent="0.2">
      <c r="B573" s="11" t="s">
        <v>781</v>
      </c>
      <c r="C573" s="165" t="s">
        <v>4235</v>
      </c>
      <c r="D573" s="22" t="s">
        <v>2379</v>
      </c>
      <c r="E573" s="34">
        <v>1</v>
      </c>
      <c r="F573" s="22" t="s">
        <v>2223</v>
      </c>
      <c r="G573" s="88">
        <v>25.200000000000003</v>
      </c>
      <c r="H573" s="235">
        <f t="shared" si="74"/>
        <v>15.555555555555557</v>
      </c>
      <c r="I573" s="88">
        <v>25.200000000000003</v>
      </c>
      <c r="J573" s="235">
        <f t="shared" si="75"/>
        <v>15.555555555555557</v>
      </c>
      <c r="K573" s="215">
        <v>138</v>
      </c>
      <c r="L573" s="252">
        <f>_xlfn.XLOOKUP($K573,Inputs!$C$6:$C$23,Inputs!$D$6:$D$23)*$I573</f>
        <v>10.926000000000002</v>
      </c>
      <c r="M573" s="68"/>
      <c r="N573" s="68"/>
      <c r="O573" s="215">
        <v>121</v>
      </c>
      <c r="P573" s="215">
        <v>127</v>
      </c>
      <c r="Q573" s="94">
        <v>0.9</v>
      </c>
      <c r="R573" s="68" t="s">
        <v>115</v>
      </c>
      <c r="S573" s="182">
        <f>O573*Q573</f>
        <v>108.9</v>
      </c>
      <c r="T573" s="182">
        <f>P573*Q573</f>
        <v>114.3</v>
      </c>
      <c r="U573" s="96" t="s">
        <v>3351</v>
      </c>
      <c r="V573" s="22" t="s">
        <v>3202</v>
      </c>
      <c r="W573" s="96" t="s">
        <v>3430</v>
      </c>
      <c r="X573" s="22" t="s">
        <v>2778</v>
      </c>
      <c r="Y573" s="11" t="s">
        <v>3300</v>
      </c>
      <c r="Z573" s="79"/>
      <c r="AA573" s="187">
        <v>567</v>
      </c>
    </row>
    <row r="574" spans="1:27" s="188" customFormat="1" ht="20" x14ac:dyDescent="0.2">
      <c r="B574" s="11" t="s">
        <v>1626</v>
      </c>
      <c r="C574" s="165" t="s">
        <v>4235</v>
      </c>
      <c r="D574" s="22" t="s">
        <v>2379</v>
      </c>
      <c r="E574" s="34">
        <v>1</v>
      </c>
      <c r="F574" s="22" t="s">
        <v>2223</v>
      </c>
      <c r="G574" s="88">
        <v>7.5</v>
      </c>
      <c r="H574" s="235">
        <f t="shared" si="74"/>
        <v>4.6296296296296298</v>
      </c>
      <c r="I574" s="88">
        <v>7.5</v>
      </c>
      <c r="J574" s="235">
        <f t="shared" si="75"/>
        <v>4.6296296296296298</v>
      </c>
      <c r="K574" s="221">
        <v>144</v>
      </c>
      <c r="L574" s="252">
        <f>_xlfn.XLOOKUP($K574,Inputs!$C$6:$C$23,Inputs!$D$6:$D$23)*$I574</f>
        <v>3.2839285714285715</v>
      </c>
      <c r="M574" s="68"/>
      <c r="N574" s="68"/>
      <c r="O574" s="206"/>
      <c r="P574" s="206"/>
      <c r="Q574" s="94">
        <v>0.9</v>
      </c>
      <c r="R574" s="68">
        <f>IF((42.4*(J574)^(-0.6595))&gt;=3,3,(IF(42.4*(J574)^(-0.6595)&lt;=0.5,0.5,(42.4*(J574)^(-0.6595)))))</f>
        <v>3</v>
      </c>
      <c r="S574" s="276">
        <f>_xlfn.XLOOKUP($K574,Inputs!$G$6:$G$23,Inputs!J$6:J$23)*$R574</f>
        <v>153.60000000000002</v>
      </c>
      <c r="T574" s="276">
        <f>_xlfn.XLOOKUP($K574,Inputs!$G$6:$G$23,Inputs!K$6:K$23)*$R574</f>
        <v>169.96721311475409</v>
      </c>
      <c r="U574" s="96" t="s">
        <v>3888</v>
      </c>
      <c r="V574" s="22" t="s">
        <v>3269</v>
      </c>
      <c r="W574" s="96" t="s">
        <v>3536</v>
      </c>
      <c r="X574" s="22" t="s">
        <v>2844</v>
      </c>
      <c r="Y574" s="11" t="s">
        <v>3331</v>
      </c>
      <c r="Z574" s="79"/>
      <c r="AA574" s="187">
        <v>568</v>
      </c>
    </row>
    <row r="575" spans="1:27" s="184" customFormat="1" ht="20" x14ac:dyDescent="0.2">
      <c r="B575" s="11" t="s">
        <v>1624</v>
      </c>
      <c r="C575" s="165" t="s">
        <v>4235</v>
      </c>
      <c r="D575" s="22" t="s">
        <v>2379</v>
      </c>
      <c r="E575" s="34">
        <v>1</v>
      </c>
      <c r="F575" s="22" t="s">
        <v>2223</v>
      </c>
      <c r="G575" s="88">
        <v>25</v>
      </c>
      <c r="H575" s="235">
        <f t="shared" si="74"/>
        <v>15.432098765432098</v>
      </c>
      <c r="I575" s="88">
        <v>25</v>
      </c>
      <c r="J575" s="235">
        <f t="shared" si="75"/>
        <v>15.432098765432098</v>
      </c>
      <c r="K575" s="201">
        <v>144</v>
      </c>
      <c r="L575" s="252">
        <f>_xlfn.XLOOKUP($K575,Inputs!$C$6:$C$23,Inputs!$D$6:$D$23)*$I575</f>
        <v>10.946428571428573</v>
      </c>
      <c r="M575" s="68"/>
      <c r="N575" s="68"/>
      <c r="O575" s="187"/>
      <c r="P575" s="187"/>
      <c r="Q575" s="94">
        <v>0.9</v>
      </c>
      <c r="R575" s="68">
        <f>IF((42.4*(J575)^(-0.6595))&gt;=3,3,(IF(42.4*(J575)^(-0.6595)&lt;=0.5,0.5,(42.4*(J575)^(-0.6595)))))</f>
        <v>3</v>
      </c>
      <c r="S575" s="276">
        <f>_xlfn.XLOOKUP($K575,Inputs!$G$6:$G$23,Inputs!J$6:J$23)*$R575</f>
        <v>153.60000000000002</v>
      </c>
      <c r="T575" s="276">
        <f>_xlfn.XLOOKUP($K575,Inputs!$G$6:$G$23,Inputs!K$6:K$23)*$R575</f>
        <v>169.96721311475409</v>
      </c>
      <c r="U575" s="96" t="s">
        <v>3643</v>
      </c>
      <c r="V575" s="22" t="s">
        <v>2684</v>
      </c>
      <c r="W575" s="96" t="s">
        <v>3888</v>
      </c>
      <c r="X575" s="22" t="s">
        <v>3269</v>
      </c>
      <c r="Y575" s="11" t="s">
        <v>3331</v>
      </c>
      <c r="Z575" s="79"/>
      <c r="AA575" s="187">
        <v>569</v>
      </c>
    </row>
    <row r="576" spans="1:27" s="184" customFormat="1" ht="20" x14ac:dyDescent="0.2">
      <c r="B576" s="11" t="s">
        <v>784</v>
      </c>
      <c r="C576" s="165" t="s">
        <v>4235</v>
      </c>
      <c r="D576" s="22" t="s">
        <v>2379</v>
      </c>
      <c r="E576" s="34">
        <v>1</v>
      </c>
      <c r="F576" s="22" t="s">
        <v>2223</v>
      </c>
      <c r="G576" s="235">
        <v>15</v>
      </c>
      <c r="H576" s="235">
        <f t="shared" si="74"/>
        <v>9.2592592592592595</v>
      </c>
      <c r="I576" s="235">
        <v>15</v>
      </c>
      <c r="J576" s="235">
        <f t="shared" si="75"/>
        <v>9.2592592592592595</v>
      </c>
      <c r="K576" s="216">
        <v>138</v>
      </c>
      <c r="L576" s="252">
        <f>_xlfn.XLOOKUP($K576,Inputs!$C$6:$C$23,Inputs!$D$6:$D$23)*$I576</f>
        <v>6.503571428571429</v>
      </c>
      <c r="M576" s="68"/>
      <c r="N576" s="68"/>
      <c r="O576" s="216">
        <v>140</v>
      </c>
      <c r="P576" s="216">
        <v>140</v>
      </c>
      <c r="Q576" s="94">
        <v>0.9</v>
      </c>
      <c r="R576" s="68" t="s">
        <v>115</v>
      </c>
      <c r="S576" s="182">
        <f>O576*Q576</f>
        <v>126</v>
      </c>
      <c r="T576" s="182">
        <f>P576*Q576</f>
        <v>126</v>
      </c>
      <c r="U576" s="96" t="s">
        <v>3351</v>
      </c>
      <c r="V576" s="22" t="s">
        <v>3202</v>
      </c>
      <c r="W576" s="96" t="s">
        <v>3645</v>
      </c>
      <c r="X576" s="22" t="s">
        <v>2922</v>
      </c>
      <c r="Y576" s="11" t="s">
        <v>3300</v>
      </c>
      <c r="Z576" s="79"/>
      <c r="AA576" s="187">
        <v>570</v>
      </c>
    </row>
    <row r="577" spans="1:27" s="188" customFormat="1" ht="20" x14ac:dyDescent="0.2">
      <c r="B577" s="11" t="s">
        <v>1710</v>
      </c>
      <c r="C577" s="165" t="s">
        <v>4235</v>
      </c>
      <c r="D577" s="22" t="s">
        <v>2379</v>
      </c>
      <c r="E577" s="34">
        <v>1</v>
      </c>
      <c r="F577" s="22" t="s">
        <v>2223</v>
      </c>
      <c r="G577" s="235">
        <v>56</v>
      </c>
      <c r="H577" s="235">
        <f t="shared" si="74"/>
        <v>34.567901234567898</v>
      </c>
      <c r="I577" s="235">
        <v>66.5</v>
      </c>
      <c r="J577" s="235">
        <f t="shared" si="75"/>
        <v>41.049382716049379</v>
      </c>
      <c r="K577" s="215">
        <v>138</v>
      </c>
      <c r="L577" s="252">
        <f>_xlfn.XLOOKUP($K577,Inputs!$C$6:$C$23,Inputs!$D$6:$D$23)*$I577</f>
        <v>28.832500000000003</v>
      </c>
      <c r="M577" s="68"/>
      <c r="N577" s="68"/>
      <c r="O577" s="215">
        <v>96</v>
      </c>
      <c r="P577" s="215">
        <v>115</v>
      </c>
      <c r="Q577" s="94">
        <v>0.9</v>
      </c>
      <c r="R577" s="68" t="s">
        <v>115</v>
      </c>
      <c r="S577" s="182">
        <f>O577*Q577</f>
        <v>86.4</v>
      </c>
      <c r="T577" s="182">
        <f>P577*Q577</f>
        <v>103.5</v>
      </c>
      <c r="U577" s="96" t="s">
        <v>3827</v>
      </c>
      <c r="V577" s="22" t="s">
        <v>3071</v>
      </c>
      <c r="W577" s="96" t="s">
        <v>3780</v>
      </c>
      <c r="X577" s="22" t="s">
        <v>2702</v>
      </c>
      <c r="Y577" s="11" t="s">
        <v>3296</v>
      </c>
      <c r="Z577" s="79"/>
      <c r="AA577" s="187">
        <v>571</v>
      </c>
    </row>
    <row r="578" spans="1:27" s="184" customFormat="1" ht="20" x14ac:dyDescent="0.2">
      <c r="B578" s="11" t="s">
        <v>1710</v>
      </c>
      <c r="C578" s="165" t="s">
        <v>4235</v>
      </c>
      <c r="D578" s="22" t="s">
        <v>2379</v>
      </c>
      <c r="E578" s="34">
        <v>1</v>
      </c>
      <c r="F578" s="22" t="s">
        <v>2223</v>
      </c>
      <c r="G578" s="88">
        <v>10.5</v>
      </c>
      <c r="H578" s="235">
        <f t="shared" si="74"/>
        <v>6.481481481481481</v>
      </c>
      <c r="I578" s="88">
        <v>66.5</v>
      </c>
      <c r="J578" s="235">
        <f t="shared" si="75"/>
        <v>41.049382716049379</v>
      </c>
      <c r="K578" s="201">
        <v>144</v>
      </c>
      <c r="L578" s="252">
        <f>_xlfn.XLOOKUP($K578,Inputs!$C$6:$C$23,Inputs!$D$6:$D$23)*$I578</f>
        <v>29.117500000000003</v>
      </c>
      <c r="M578" s="68"/>
      <c r="N578" s="68"/>
      <c r="O578" s="187"/>
      <c r="P578" s="187"/>
      <c r="Q578" s="94">
        <v>0.9</v>
      </c>
      <c r="R578" s="68">
        <f>IF((42.4*(J578)^(-0.6595))&gt;=3,3,(IF(42.4*(J578)^(-0.6595)&lt;=0.5,0.5,(42.4*(J578)^(-0.6595)))))</f>
        <v>3</v>
      </c>
      <c r="S578" s="276">
        <f>_xlfn.XLOOKUP($K578,Inputs!$G$6:$G$23,Inputs!J$6:J$23)*$R578</f>
        <v>153.60000000000002</v>
      </c>
      <c r="T578" s="276">
        <f>_xlfn.XLOOKUP($K578,Inputs!$G$6:$G$23,Inputs!K$6:K$23)*$R578</f>
        <v>169.96721311475409</v>
      </c>
      <c r="U578" s="96" t="s">
        <v>3780</v>
      </c>
      <c r="V578" s="205" t="s">
        <v>2702</v>
      </c>
      <c r="W578" s="96" t="s">
        <v>3633</v>
      </c>
      <c r="X578" s="22" t="s">
        <v>2682</v>
      </c>
      <c r="Y578" s="11" t="s">
        <v>3331</v>
      </c>
      <c r="Z578" s="79" t="s">
        <v>2596</v>
      </c>
      <c r="AA578" s="187">
        <v>572</v>
      </c>
    </row>
    <row r="579" spans="1:27" s="184" customFormat="1" ht="20" x14ac:dyDescent="0.2">
      <c r="A579" s="298"/>
      <c r="B579" s="11" t="s">
        <v>4359</v>
      </c>
      <c r="C579" s="165" t="s">
        <v>4235</v>
      </c>
      <c r="D579" s="22" t="s">
        <v>2379</v>
      </c>
      <c r="E579" s="34">
        <v>1</v>
      </c>
      <c r="F579" s="22" t="s">
        <v>2223</v>
      </c>
      <c r="G579" s="88">
        <v>1.5</v>
      </c>
      <c r="H579" s="235">
        <f t="shared" si="74"/>
        <v>0.92592592592592582</v>
      </c>
      <c r="I579" s="88">
        <v>5.5</v>
      </c>
      <c r="J579" s="235">
        <f t="shared" si="75"/>
        <v>3.3950617283950617</v>
      </c>
      <c r="K579" s="201">
        <v>144</v>
      </c>
      <c r="L579" s="252">
        <f>_xlfn.XLOOKUP($K579,Inputs!$C$6:$C$23,Inputs!$D$6:$D$23)*$I579</f>
        <v>2.4082142857142861</v>
      </c>
      <c r="M579" s="68"/>
      <c r="N579" s="68"/>
      <c r="O579" s="187"/>
      <c r="P579" s="187"/>
      <c r="Q579" s="94">
        <v>0.9</v>
      </c>
      <c r="R579" s="68">
        <f>IF((42.4*(J579)^(-0.6595))&gt;=3,3,(IF(42.4*(J579)^(-0.6595)&lt;=0.5,0.5,(42.4*(J579)^(-0.6595)))))</f>
        <v>3</v>
      </c>
      <c r="S579" s="276">
        <f>_xlfn.XLOOKUP($K579,Inputs!$G$6:$G$23,Inputs!J$6:J$23)*$R579</f>
        <v>153.60000000000002</v>
      </c>
      <c r="T579" s="276">
        <f>_xlfn.XLOOKUP($K579,Inputs!$G$6:$G$23,Inputs!K$6:K$23)*$R579</f>
        <v>169.96721311475409</v>
      </c>
      <c r="U579" s="96" t="s">
        <v>3574</v>
      </c>
      <c r="V579" s="22" t="s">
        <v>2869</v>
      </c>
      <c r="W579" s="96" t="s">
        <v>4362</v>
      </c>
      <c r="X579" s="22" t="s">
        <v>4363</v>
      </c>
      <c r="Y579" s="11" t="s">
        <v>3331</v>
      </c>
      <c r="Z579" s="79"/>
      <c r="AA579" s="187">
        <v>555</v>
      </c>
    </row>
    <row r="580" spans="1:27" s="184" customFormat="1" ht="20" x14ac:dyDescent="0.2">
      <c r="A580" s="298"/>
      <c r="B580" s="11" t="s">
        <v>4359</v>
      </c>
      <c r="C580" s="165" t="s">
        <v>4235</v>
      </c>
      <c r="D580" s="22" t="s">
        <v>2379</v>
      </c>
      <c r="E580" s="34">
        <v>1</v>
      </c>
      <c r="F580" s="22" t="s">
        <v>2223</v>
      </c>
      <c r="G580" s="88">
        <v>4</v>
      </c>
      <c r="H580" s="235">
        <f t="shared" si="74"/>
        <v>2.4691358024691357</v>
      </c>
      <c r="I580" s="88">
        <v>5.5</v>
      </c>
      <c r="J580" s="235">
        <f t="shared" si="75"/>
        <v>3.3950617283950617</v>
      </c>
      <c r="K580" s="201">
        <v>144</v>
      </c>
      <c r="L580" s="252">
        <f>_xlfn.XLOOKUP($K580,Inputs!$C$6:$C$23,Inputs!$D$6:$D$23)*$I580</f>
        <v>2.4082142857142861</v>
      </c>
      <c r="M580" s="68"/>
      <c r="N580" s="68"/>
      <c r="O580" s="187"/>
      <c r="P580" s="187"/>
      <c r="Q580" s="94">
        <v>0.9</v>
      </c>
      <c r="R580" s="68">
        <f>IF((42.4*(J580)^(-0.6595))&gt;=3,3,(IF(42.4*(J580)^(-0.6595)&lt;=0.5,0.5,(42.4*(J580)^(-0.6595)))))</f>
        <v>3</v>
      </c>
      <c r="S580" s="276">
        <f>_xlfn.XLOOKUP($K580,Inputs!$G$6:$G$23,Inputs!J$6:J$23)*$R580</f>
        <v>153.60000000000002</v>
      </c>
      <c r="T580" s="276">
        <f>_xlfn.XLOOKUP($K580,Inputs!$G$6:$G$23,Inputs!K$6:K$23)*$R580</f>
        <v>169.96721311475409</v>
      </c>
      <c r="U580" s="96" t="s">
        <v>4362</v>
      </c>
      <c r="V580" s="22" t="s">
        <v>4363</v>
      </c>
      <c r="W580" s="96" t="s">
        <v>3753</v>
      </c>
      <c r="X580" s="22" t="s">
        <v>3011</v>
      </c>
      <c r="Y580" s="11" t="s">
        <v>3331</v>
      </c>
      <c r="Z580" s="79"/>
      <c r="AA580" s="187">
        <v>555</v>
      </c>
    </row>
    <row r="581" spans="1:27" s="184" customFormat="1" ht="20" x14ac:dyDescent="0.2">
      <c r="B581" s="11" t="s">
        <v>1300</v>
      </c>
      <c r="C581" s="165" t="s">
        <v>4235</v>
      </c>
      <c r="D581" s="22" t="s">
        <v>2379</v>
      </c>
      <c r="E581" s="34">
        <v>1</v>
      </c>
      <c r="F581" s="22" t="s">
        <v>2223</v>
      </c>
      <c r="G581" s="88">
        <v>12.649999999999999</v>
      </c>
      <c r="H581" s="235">
        <f t="shared" ref="H581:H645" si="80">G581/1.62</f>
        <v>7.8086419753086407</v>
      </c>
      <c r="I581" s="88">
        <v>12.649999999999999</v>
      </c>
      <c r="J581" s="235">
        <f t="shared" ref="J581:J645" si="81">I581/1.62</f>
        <v>7.8086419753086407</v>
      </c>
      <c r="K581" s="209">
        <v>138</v>
      </c>
      <c r="L581" s="252">
        <f>_xlfn.XLOOKUP($K581,Inputs!$C$6:$C$23,Inputs!$D$6:$D$23)*$I581</f>
        <v>5.4846785714285708</v>
      </c>
      <c r="M581" s="68"/>
      <c r="N581" s="68"/>
      <c r="O581" s="209">
        <v>98</v>
      </c>
      <c r="P581" s="209">
        <v>132</v>
      </c>
      <c r="Q581" s="94">
        <v>0.9</v>
      </c>
      <c r="R581" s="68" t="s">
        <v>115</v>
      </c>
      <c r="S581" s="182">
        <f>O581*Q581</f>
        <v>88.2</v>
      </c>
      <c r="T581" s="182">
        <f>P581*Q581</f>
        <v>118.8</v>
      </c>
      <c r="U581" s="96" t="s">
        <v>3524</v>
      </c>
      <c r="V581" s="22" t="s">
        <v>2837</v>
      </c>
      <c r="W581" s="96" t="s">
        <v>3488</v>
      </c>
      <c r="X581" s="22" t="s">
        <v>2809</v>
      </c>
      <c r="Y581" s="11" t="s">
        <v>3304</v>
      </c>
      <c r="Z581" s="79"/>
      <c r="AA581" s="187">
        <v>573</v>
      </c>
    </row>
    <row r="582" spans="1:27" s="188" customFormat="1" ht="20" x14ac:dyDescent="0.2">
      <c r="B582" s="11" t="s">
        <v>785</v>
      </c>
      <c r="C582" s="165" t="s">
        <v>4235</v>
      </c>
      <c r="D582" s="22" t="s">
        <v>2379</v>
      </c>
      <c r="E582" s="34">
        <v>1</v>
      </c>
      <c r="F582" s="22" t="s">
        <v>2223</v>
      </c>
      <c r="G582" s="235">
        <v>10</v>
      </c>
      <c r="H582" s="235">
        <f t="shared" si="80"/>
        <v>6.1728395061728394</v>
      </c>
      <c r="I582" s="235">
        <v>10</v>
      </c>
      <c r="J582" s="235">
        <f t="shared" si="81"/>
        <v>6.1728395061728394</v>
      </c>
      <c r="K582" s="215">
        <v>138</v>
      </c>
      <c r="L582" s="252">
        <f>_xlfn.XLOOKUP($K582,Inputs!$C$6:$C$23,Inputs!$D$6:$D$23)*$I582</f>
        <v>4.3357142857142863</v>
      </c>
      <c r="M582" s="68"/>
      <c r="N582" s="68"/>
      <c r="O582" s="215">
        <v>143</v>
      </c>
      <c r="P582" s="215">
        <v>172</v>
      </c>
      <c r="Q582" s="94">
        <v>0.9</v>
      </c>
      <c r="R582" s="68" t="s">
        <v>115</v>
      </c>
      <c r="S582" s="182">
        <f>O582*Q582</f>
        <v>128.70000000000002</v>
      </c>
      <c r="T582" s="182">
        <f>P582*Q582</f>
        <v>154.80000000000001</v>
      </c>
      <c r="U582" s="96" t="s">
        <v>3674</v>
      </c>
      <c r="V582" s="22" t="s">
        <v>2947</v>
      </c>
      <c r="W582" s="96" t="s">
        <v>3832</v>
      </c>
      <c r="X582" s="22" t="s">
        <v>2714</v>
      </c>
      <c r="Y582" s="11" t="s">
        <v>3289</v>
      </c>
      <c r="Z582" s="79"/>
      <c r="AA582" s="187">
        <v>574</v>
      </c>
    </row>
    <row r="583" spans="1:27" s="184" customFormat="1" ht="20" x14ac:dyDescent="0.2">
      <c r="B583" s="11" t="s">
        <v>4370</v>
      </c>
      <c r="C583" s="165" t="s">
        <v>4235</v>
      </c>
      <c r="D583" s="22" t="s">
        <v>2379</v>
      </c>
      <c r="E583" s="34">
        <v>1</v>
      </c>
      <c r="F583" s="22" t="s">
        <v>2223</v>
      </c>
      <c r="G583" s="88">
        <v>0.5</v>
      </c>
      <c r="H583" s="235">
        <f t="shared" si="80"/>
        <v>0.30864197530864196</v>
      </c>
      <c r="I583" s="88">
        <v>0.5</v>
      </c>
      <c r="J583" s="235">
        <f t="shared" si="81"/>
        <v>0.30864197530864196</v>
      </c>
      <c r="K583" s="215">
        <v>138</v>
      </c>
      <c r="L583" s="252">
        <f>_xlfn.XLOOKUP($K583,Inputs!$C$6:$C$23,Inputs!$D$6:$D$23)*$I583</f>
        <v>0.2167857142857143</v>
      </c>
      <c r="M583" s="68"/>
      <c r="N583" s="68"/>
      <c r="O583" s="215">
        <v>89</v>
      </c>
      <c r="P583" s="215">
        <v>109</v>
      </c>
      <c r="Q583" s="94">
        <v>0.9</v>
      </c>
      <c r="R583" s="68" t="s">
        <v>115</v>
      </c>
      <c r="S583" s="182">
        <f>O583*Q583</f>
        <v>80.100000000000009</v>
      </c>
      <c r="T583" s="182">
        <f>P583*Q583</f>
        <v>98.100000000000009</v>
      </c>
      <c r="U583" s="96" t="s">
        <v>3450</v>
      </c>
      <c r="V583" s="22" t="s">
        <v>4374</v>
      </c>
      <c r="W583" s="96" t="s">
        <v>4371</v>
      </c>
      <c r="X583" s="22" t="s">
        <v>4372</v>
      </c>
      <c r="Y583" s="11" t="s">
        <v>4373</v>
      </c>
      <c r="Z583" s="79"/>
      <c r="AA583" s="187">
        <v>871</v>
      </c>
    </row>
    <row r="584" spans="1:27" s="188" customFormat="1" ht="20" x14ac:dyDescent="0.2">
      <c r="B584" s="11" t="s">
        <v>1628</v>
      </c>
      <c r="C584" s="165" t="s">
        <v>4235</v>
      </c>
      <c r="D584" s="22" t="s">
        <v>2379</v>
      </c>
      <c r="E584" s="34">
        <v>1</v>
      </c>
      <c r="F584" s="22" t="s">
        <v>2223</v>
      </c>
      <c r="G584" s="88">
        <v>15</v>
      </c>
      <c r="H584" s="235">
        <f t="shared" si="80"/>
        <v>9.2592592592592595</v>
      </c>
      <c r="I584" s="88">
        <v>32.5</v>
      </c>
      <c r="J584" s="235">
        <f t="shared" si="81"/>
        <v>20.061728395061728</v>
      </c>
      <c r="K584" s="201">
        <v>144</v>
      </c>
      <c r="L584" s="252">
        <f>_xlfn.XLOOKUP($K584,Inputs!$C$6:$C$23,Inputs!$D$6:$D$23)*$I584</f>
        <v>14.230357142857144</v>
      </c>
      <c r="M584" s="68"/>
      <c r="N584" s="68"/>
      <c r="O584" s="187"/>
      <c r="P584" s="187"/>
      <c r="Q584" s="94">
        <v>0.9</v>
      </c>
      <c r="R584" s="68">
        <f>IF((42.4*(J584)^(-0.6595))&gt;=3,3,(IF(42.4*(J584)^(-0.6595)&lt;=0.5,0.5,(42.4*(J584)^(-0.6595)))))</f>
        <v>3</v>
      </c>
      <c r="S584" s="276">
        <f>_xlfn.XLOOKUP($K584,Inputs!$G$6:$G$23,Inputs!J$6:J$23)*$R584</f>
        <v>153.60000000000002</v>
      </c>
      <c r="T584" s="276">
        <f>_xlfn.XLOOKUP($K584,Inputs!$G$6:$G$23,Inputs!K$6:K$23)*$R584</f>
        <v>169.96721311475409</v>
      </c>
      <c r="U584" s="96" t="s">
        <v>3536</v>
      </c>
      <c r="V584" s="22" t="s">
        <v>2844</v>
      </c>
      <c r="W584" s="96" t="s">
        <v>3953</v>
      </c>
      <c r="X584" s="22" t="s">
        <v>2151</v>
      </c>
      <c r="Y584" s="11" t="s">
        <v>3331</v>
      </c>
      <c r="Z584" s="79"/>
      <c r="AA584" s="187">
        <v>575</v>
      </c>
    </row>
    <row r="585" spans="1:27" s="184" customFormat="1" ht="20" x14ac:dyDescent="0.2">
      <c r="B585" s="11" t="s">
        <v>1628</v>
      </c>
      <c r="C585" s="165" t="s">
        <v>4235</v>
      </c>
      <c r="D585" s="22" t="s">
        <v>2379</v>
      </c>
      <c r="E585" s="34">
        <v>1</v>
      </c>
      <c r="F585" s="22" t="s">
        <v>2223</v>
      </c>
      <c r="G585" s="88">
        <v>17.5</v>
      </c>
      <c r="H585" s="235">
        <f t="shared" si="80"/>
        <v>10.802469135802468</v>
      </c>
      <c r="I585" s="88">
        <v>32.5</v>
      </c>
      <c r="J585" s="235">
        <f t="shared" si="81"/>
        <v>20.061728395061728</v>
      </c>
      <c r="K585" s="201">
        <v>144</v>
      </c>
      <c r="L585" s="252">
        <f>_xlfn.XLOOKUP($K585,Inputs!$C$6:$C$23,Inputs!$D$6:$D$23)*$I585</f>
        <v>14.230357142857144</v>
      </c>
      <c r="M585" s="68"/>
      <c r="N585" s="68"/>
      <c r="O585" s="187"/>
      <c r="P585" s="187"/>
      <c r="Q585" s="94">
        <v>0.9</v>
      </c>
      <c r="R585" s="68">
        <f>IF((42.4*(J585)^(-0.6595))&gt;=3,3,(IF(42.4*(J585)^(-0.6595)&lt;=0.5,0.5,(42.4*(J585)^(-0.6595)))))</f>
        <v>3</v>
      </c>
      <c r="S585" s="276">
        <f>_xlfn.XLOOKUP($K585,Inputs!$G$6:$G$23,Inputs!J$6:J$23)*$R585</f>
        <v>153.60000000000002</v>
      </c>
      <c r="T585" s="276">
        <f>_xlfn.XLOOKUP($K585,Inputs!$G$6:$G$23,Inputs!K$6:K$23)*$R585</f>
        <v>169.96721311475409</v>
      </c>
      <c r="U585" s="96" t="s">
        <v>3953</v>
      </c>
      <c r="V585" s="22" t="s">
        <v>2151</v>
      </c>
      <c r="W585" s="96" t="s">
        <v>3643</v>
      </c>
      <c r="X585" s="22" t="s">
        <v>2684</v>
      </c>
      <c r="Y585" s="11" t="s">
        <v>3331</v>
      </c>
      <c r="Z585" s="79"/>
      <c r="AA585" s="187">
        <v>576</v>
      </c>
    </row>
    <row r="586" spans="1:27" s="184" customFormat="1" ht="20" x14ac:dyDescent="0.2">
      <c r="B586" s="11" t="s">
        <v>1629</v>
      </c>
      <c r="C586" s="165" t="s">
        <v>4235</v>
      </c>
      <c r="D586" s="22" t="s">
        <v>2379</v>
      </c>
      <c r="E586" s="34">
        <v>1</v>
      </c>
      <c r="F586" s="22" t="s">
        <v>2223</v>
      </c>
      <c r="G586" s="88">
        <v>5</v>
      </c>
      <c r="H586" s="235">
        <f t="shared" si="80"/>
        <v>3.0864197530864197</v>
      </c>
      <c r="I586" s="88">
        <v>5</v>
      </c>
      <c r="J586" s="235">
        <f t="shared" si="81"/>
        <v>3.0864197530864197</v>
      </c>
      <c r="K586" s="201">
        <v>144</v>
      </c>
      <c r="L586" s="252">
        <f>_xlfn.XLOOKUP($K586,Inputs!$C$6:$C$23,Inputs!$D$6:$D$23)*$I586</f>
        <v>2.1892857142857145</v>
      </c>
      <c r="M586" s="68"/>
      <c r="N586" s="68"/>
      <c r="O586" s="187"/>
      <c r="P586" s="187"/>
      <c r="Q586" s="94">
        <v>0.9</v>
      </c>
      <c r="R586" s="68">
        <f>IF((42.4*(J586)^(-0.6595))&gt;=3,3,(IF(42.4*(J586)^(-0.6595)&lt;=0.5,0.5,(42.4*(J586)^(-0.6595)))))</f>
        <v>3</v>
      </c>
      <c r="S586" s="276">
        <f>_xlfn.XLOOKUP($K586,Inputs!$G$6:$G$23,Inputs!J$6:J$23)*$R586</f>
        <v>153.60000000000002</v>
      </c>
      <c r="T586" s="276">
        <f>_xlfn.XLOOKUP($K586,Inputs!$G$6:$G$23,Inputs!K$6:K$23)*$R586</f>
        <v>169.96721311475409</v>
      </c>
      <c r="U586" s="96" t="s">
        <v>3953</v>
      </c>
      <c r="V586" s="22" t="s">
        <v>2151</v>
      </c>
      <c r="W586" s="96" t="s">
        <v>3604</v>
      </c>
      <c r="X586" s="22" t="s">
        <v>4356</v>
      </c>
      <c r="Y586" s="11" t="s">
        <v>3331</v>
      </c>
      <c r="Z586" s="79"/>
      <c r="AA586" s="187">
        <v>577</v>
      </c>
    </row>
    <row r="587" spans="1:27" s="184" customFormat="1" ht="20" x14ac:dyDescent="0.2">
      <c r="B587" s="11" t="s">
        <v>1859</v>
      </c>
      <c r="C587" s="165" t="s">
        <v>4235</v>
      </c>
      <c r="D587" s="22" t="s">
        <v>2379</v>
      </c>
      <c r="E587" s="34">
        <v>1</v>
      </c>
      <c r="F587" s="22" t="s">
        <v>2223</v>
      </c>
      <c r="G587" s="88">
        <v>14</v>
      </c>
      <c r="H587" s="235">
        <f t="shared" si="80"/>
        <v>8.6419753086419746</v>
      </c>
      <c r="I587" s="88">
        <v>14</v>
      </c>
      <c r="J587" s="235">
        <f t="shared" si="81"/>
        <v>8.6419753086419746</v>
      </c>
      <c r="K587" s="215">
        <v>138</v>
      </c>
      <c r="L587" s="252">
        <f>_xlfn.XLOOKUP($K587,Inputs!$C$6:$C$23,Inputs!$D$6:$D$23)*$I587</f>
        <v>6.07</v>
      </c>
      <c r="M587" s="68"/>
      <c r="N587" s="68"/>
      <c r="O587" s="215">
        <v>99</v>
      </c>
      <c r="P587" s="215">
        <v>132</v>
      </c>
      <c r="Q587" s="94">
        <v>0.9</v>
      </c>
      <c r="R587" s="68" t="s">
        <v>115</v>
      </c>
      <c r="S587" s="182">
        <f>O587*Q587</f>
        <v>89.100000000000009</v>
      </c>
      <c r="T587" s="182">
        <f>P587*Q587</f>
        <v>118.8</v>
      </c>
      <c r="U587" s="96" t="s">
        <v>3484</v>
      </c>
      <c r="V587" s="22" t="s">
        <v>2807</v>
      </c>
      <c r="W587" s="96" t="s">
        <v>3338</v>
      </c>
      <c r="X587" s="22" t="s">
        <v>2200</v>
      </c>
      <c r="Y587" s="11" t="s">
        <v>3303</v>
      </c>
      <c r="Z587" s="79"/>
      <c r="AA587" s="187">
        <v>578</v>
      </c>
    </row>
    <row r="588" spans="1:27" s="184" customFormat="1" ht="20" x14ac:dyDescent="0.2">
      <c r="B588" s="11" t="s">
        <v>1279</v>
      </c>
      <c r="C588" s="165" t="s">
        <v>4235</v>
      </c>
      <c r="D588" s="22" t="s">
        <v>2379</v>
      </c>
      <c r="E588" s="34">
        <v>1</v>
      </c>
      <c r="F588" s="22" t="s">
        <v>2223</v>
      </c>
      <c r="G588" s="235">
        <v>5</v>
      </c>
      <c r="H588" s="235">
        <f t="shared" si="80"/>
        <v>3.0864197530864197</v>
      </c>
      <c r="I588" s="235">
        <v>10</v>
      </c>
      <c r="J588" s="235">
        <f t="shared" si="81"/>
        <v>6.1728395061728394</v>
      </c>
      <c r="K588" s="201">
        <v>144</v>
      </c>
      <c r="L588" s="252">
        <f>_xlfn.XLOOKUP($K588,Inputs!$C$6:$C$23,Inputs!$D$6:$D$23)*$I588</f>
        <v>4.378571428571429</v>
      </c>
      <c r="M588" s="68"/>
      <c r="N588" s="68"/>
      <c r="O588" s="187"/>
      <c r="P588" s="187"/>
      <c r="Q588" s="94">
        <v>0.9</v>
      </c>
      <c r="R588" s="68">
        <f>IF((42.4*(J588)^(-0.6595))&gt;=3,3,(IF(42.4*(J588)^(-0.6595)&lt;=0.5,0.5,(42.4*(J588)^(-0.6595)))))</f>
        <v>3</v>
      </c>
      <c r="S588" s="276">
        <f>_xlfn.XLOOKUP($K588,Inputs!$G$6:$G$23,Inputs!J$6:J$23)*$R588</f>
        <v>153.60000000000002</v>
      </c>
      <c r="T588" s="276">
        <f>_xlfn.XLOOKUP($K588,Inputs!$G$6:$G$23,Inputs!K$6:K$23)*$R588</f>
        <v>169.96721311475409</v>
      </c>
      <c r="U588" s="96" t="s">
        <v>3674</v>
      </c>
      <c r="V588" s="22" t="s">
        <v>2947</v>
      </c>
      <c r="W588" s="96" t="s">
        <v>3991</v>
      </c>
      <c r="X588" s="22" t="s">
        <v>2152</v>
      </c>
      <c r="Y588" s="11" t="s">
        <v>3331</v>
      </c>
      <c r="Z588" s="79"/>
      <c r="AA588" s="187">
        <v>579</v>
      </c>
    </row>
    <row r="589" spans="1:27" s="188" customFormat="1" ht="20" x14ac:dyDescent="0.2">
      <c r="B589" s="11" t="s">
        <v>1279</v>
      </c>
      <c r="C589" s="165" t="s">
        <v>4235</v>
      </c>
      <c r="D589" s="22" t="s">
        <v>2379</v>
      </c>
      <c r="E589" s="34">
        <v>1</v>
      </c>
      <c r="F589" s="22" t="s">
        <v>2223</v>
      </c>
      <c r="G589" s="235">
        <v>5</v>
      </c>
      <c r="H589" s="235">
        <f t="shared" si="80"/>
        <v>3.0864197530864197</v>
      </c>
      <c r="I589" s="235">
        <v>10</v>
      </c>
      <c r="J589" s="235">
        <f t="shared" si="81"/>
        <v>6.1728395061728394</v>
      </c>
      <c r="K589" s="201">
        <v>144</v>
      </c>
      <c r="L589" s="252">
        <f>_xlfn.XLOOKUP($K589,Inputs!$C$6:$C$23,Inputs!$D$6:$D$23)*$I589</f>
        <v>4.378571428571429</v>
      </c>
      <c r="M589" s="68"/>
      <c r="N589" s="68"/>
      <c r="O589" s="187"/>
      <c r="P589" s="187"/>
      <c r="Q589" s="94">
        <v>0.9</v>
      </c>
      <c r="R589" s="68">
        <f>IF((42.4*(J589)^(-0.6595))&gt;=3,3,(IF(42.4*(J589)^(-0.6595)&lt;=0.5,0.5,(42.4*(J589)^(-0.6595)))))</f>
        <v>3</v>
      </c>
      <c r="S589" s="276">
        <f>_xlfn.XLOOKUP($K589,Inputs!$G$6:$G$23,Inputs!J$6:J$23)*$R589</f>
        <v>153.60000000000002</v>
      </c>
      <c r="T589" s="276">
        <f>_xlfn.XLOOKUP($K589,Inputs!$G$6:$G$23,Inputs!K$6:K$23)*$R589</f>
        <v>169.96721311475409</v>
      </c>
      <c r="U589" s="96" t="s">
        <v>3991</v>
      </c>
      <c r="V589" s="22" t="s">
        <v>2152</v>
      </c>
      <c r="W589" s="96" t="s">
        <v>3513</v>
      </c>
      <c r="X589" s="22" t="s">
        <v>3251</v>
      </c>
      <c r="Y589" s="11" t="s">
        <v>3331</v>
      </c>
      <c r="Z589" s="79"/>
      <c r="AA589" s="187">
        <v>580</v>
      </c>
    </row>
    <row r="590" spans="1:27" s="188" customFormat="1" ht="20" x14ac:dyDescent="0.2">
      <c r="B590" s="11" t="s">
        <v>1280</v>
      </c>
      <c r="C590" s="165" t="s">
        <v>4235</v>
      </c>
      <c r="D590" s="22" t="s">
        <v>2379</v>
      </c>
      <c r="E590" s="34">
        <v>1</v>
      </c>
      <c r="F590" s="22" t="s">
        <v>2223</v>
      </c>
      <c r="G590" s="235">
        <v>2</v>
      </c>
      <c r="H590" s="235">
        <f t="shared" si="80"/>
        <v>1.2345679012345678</v>
      </c>
      <c r="I590" s="235">
        <v>2</v>
      </c>
      <c r="J590" s="235">
        <f t="shared" si="81"/>
        <v>1.2345679012345678</v>
      </c>
      <c r="K590" s="201">
        <v>144</v>
      </c>
      <c r="L590" s="252">
        <f>_xlfn.XLOOKUP($K590,Inputs!$C$6:$C$23,Inputs!$D$6:$D$23)*$I590</f>
        <v>0.87571428571428578</v>
      </c>
      <c r="M590" s="68"/>
      <c r="N590" s="68"/>
      <c r="O590" s="187"/>
      <c r="P590" s="187"/>
      <c r="Q590" s="94">
        <v>0.9</v>
      </c>
      <c r="R590" s="68">
        <f>IF((42.4*(J590)^(-0.6595))&gt;=3,3,(IF(42.4*(J590)^(-0.6595)&lt;=0.5,0.5,(42.4*(J590)^(-0.6595)))))</f>
        <v>3</v>
      </c>
      <c r="S590" s="276">
        <f>_xlfn.XLOOKUP($K590,Inputs!$G$6:$G$23,Inputs!J$6:J$23)*$R590</f>
        <v>153.60000000000002</v>
      </c>
      <c r="T590" s="276">
        <f>_xlfn.XLOOKUP($K590,Inputs!$G$6:$G$23,Inputs!K$6:K$23)*$R590</f>
        <v>169.96721311475409</v>
      </c>
      <c r="U590" s="96" t="s">
        <v>3991</v>
      </c>
      <c r="V590" s="22" t="s">
        <v>2152</v>
      </c>
      <c r="W590" s="96" t="s">
        <v>3803</v>
      </c>
      <c r="X590" s="22" t="s">
        <v>3052</v>
      </c>
      <c r="Y590" s="11" t="s">
        <v>3331</v>
      </c>
      <c r="Z590" s="79"/>
      <c r="AA590" s="187">
        <v>581</v>
      </c>
    </row>
    <row r="591" spans="1:27" s="188" customFormat="1" ht="20" x14ac:dyDescent="0.2">
      <c r="B591" s="11" t="s">
        <v>2020</v>
      </c>
      <c r="C591" s="165" t="s">
        <v>4235</v>
      </c>
      <c r="D591" s="22" t="s">
        <v>2379</v>
      </c>
      <c r="E591" s="34">
        <v>1</v>
      </c>
      <c r="F591" s="22" t="s">
        <v>2223</v>
      </c>
      <c r="G591" s="235">
        <v>25.200000000000003</v>
      </c>
      <c r="H591" s="235">
        <f t="shared" si="80"/>
        <v>15.555555555555557</v>
      </c>
      <c r="I591" s="235">
        <v>42</v>
      </c>
      <c r="J591" s="235">
        <f t="shared" si="81"/>
        <v>25.925925925925924</v>
      </c>
      <c r="K591" s="215">
        <v>138</v>
      </c>
      <c r="L591" s="252">
        <f>_xlfn.XLOOKUP($K591,Inputs!$C$6:$C$23,Inputs!$D$6:$D$23)*$I591</f>
        <v>18.21</v>
      </c>
      <c r="M591" s="68"/>
      <c r="N591" s="68"/>
      <c r="O591" s="215">
        <v>119</v>
      </c>
      <c r="P591" s="215">
        <v>146</v>
      </c>
      <c r="Q591" s="94">
        <v>0.9</v>
      </c>
      <c r="R591" s="68" t="s">
        <v>115</v>
      </c>
      <c r="S591" s="182">
        <f>O591*Q591</f>
        <v>107.10000000000001</v>
      </c>
      <c r="T591" s="182">
        <f>P591*Q591</f>
        <v>131.4</v>
      </c>
      <c r="U591" s="96" t="s">
        <v>3608</v>
      </c>
      <c r="V591" s="22" t="s">
        <v>2896</v>
      </c>
      <c r="W591" s="96" t="s">
        <v>4005</v>
      </c>
      <c r="X591" s="22" t="s">
        <v>2153</v>
      </c>
      <c r="Y591" s="11" t="s">
        <v>3294</v>
      </c>
      <c r="Z591" s="79"/>
      <c r="AA591" s="187">
        <v>582</v>
      </c>
    </row>
    <row r="592" spans="1:27" s="188" customFormat="1" ht="20" x14ac:dyDescent="0.2">
      <c r="B592" s="11" t="s">
        <v>2020</v>
      </c>
      <c r="C592" s="165" t="s">
        <v>4235</v>
      </c>
      <c r="D592" s="22" t="s">
        <v>2379</v>
      </c>
      <c r="E592" s="34">
        <v>1</v>
      </c>
      <c r="F592" s="22" t="s">
        <v>2223</v>
      </c>
      <c r="G592" s="88">
        <v>16.8</v>
      </c>
      <c r="H592" s="235">
        <f t="shared" si="80"/>
        <v>10.37037037037037</v>
      </c>
      <c r="I592" s="88">
        <v>42</v>
      </c>
      <c r="J592" s="235">
        <f t="shared" si="81"/>
        <v>25.925925925925924</v>
      </c>
      <c r="K592" s="215">
        <v>138</v>
      </c>
      <c r="L592" s="252">
        <f>_xlfn.XLOOKUP($K592,Inputs!$C$6:$C$23,Inputs!$D$6:$D$23)*$I592</f>
        <v>18.21</v>
      </c>
      <c r="M592" s="68"/>
      <c r="N592" s="68"/>
      <c r="O592" s="215">
        <v>119</v>
      </c>
      <c r="P592" s="215">
        <v>146</v>
      </c>
      <c r="Q592" s="94">
        <v>0.9</v>
      </c>
      <c r="R592" s="68" t="s">
        <v>115</v>
      </c>
      <c r="S592" s="182">
        <f>O592*Q592</f>
        <v>107.10000000000001</v>
      </c>
      <c r="T592" s="182">
        <f>P592*Q592</f>
        <v>131.4</v>
      </c>
      <c r="U592" s="96" t="s">
        <v>4005</v>
      </c>
      <c r="V592" s="22" t="s">
        <v>2153</v>
      </c>
      <c r="W592" s="96" t="s">
        <v>3669</v>
      </c>
      <c r="X592" s="22" t="s">
        <v>2941</v>
      </c>
      <c r="Y592" s="11" t="s">
        <v>3294</v>
      </c>
      <c r="Z592" s="79"/>
      <c r="AA592" s="187">
        <v>583</v>
      </c>
    </row>
    <row r="593" spans="1:27" s="188" customFormat="1" ht="20" x14ac:dyDescent="0.2">
      <c r="B593" s="11" t="s">
        <v>1274</v>
      </c>
      <c r="C593" s="165" t="s">
        <v>4235</v>
      </c>
      <c r="D593" s="22" t="s">
        <v>2379</v>
      </c>
      <c r="E593" s="34">
        <v>1</v>
      </c>
      <c r="F593" s="22" t="s">
        <v>2223</v>
      </c>
      <c r="G593" s="88">
        <v>8.4</v>
      </c>
      <c r="H593" s="235">
        <f t="shared" si="80"/>
        <v>5.1851851851851851</v>
      </c>
      <c r="I593" s="88">
        <v>8.4</v>
      </c>
      <c r="J593" s="235">
        <f t="shared" si="81"/>
        <v>5.1851851851851851</v>
      </c>
      <c r="K593" s="201">
        <v>144</v>
      </c>
      <c r="L593" s="252">
        <f>_xlfn.XLOOKUP($K593,Inputs!$C$6:$C$23,Inputs!$D$6:$D$23)*$I593</f>
        <v>3.6780000000000004</v>
      </c>
      <c r="M593" s="68"/>
      <c r="N593" s="68"/>
      <c r="O593" s="187"/>
      <c r="P593" s="187"/>
      <c r="Q593" s="94">
        <v>0.9</v>
      </c>
      <c r="R593" s="68">
        <f>IF((42.4*(J593)^(-0.6595))&gt;=3,3,(IF(42.4*(J593)^(-0.6595)&lt;=0.5,0.5,(42.4*(J593)^(-0.6595)))))</f>
        <v>3</v>
      </c>
      <c r="S593" s="276">
        <f>_xlfn.XLOOKUP($K593,Inputs!$G$6:$G$23,Inputs!J$6:J$23)*$R593</f>
        <v>153.60000000000002</v>
      </c>
      <c r="T593" s="276">
        <f>_xlfn.XLOOKUP($K593,Inputs!$G$6:$G$23,Inputs!K$6:K$23)*$R593</f>
        <v>169.96721311475409</v>
      </c>
      <c r="U593" s="96" t="s">
        <v>4005</v>
      </c>
      <c r="V593" s="22" t="s">
        <v>2153</v>
      </c>
      <c r="W593" s="96" t="s">
        <v>3875</v>
      </c>
      <c r="X593" s="22" t="s">
        <v>3142</v>
      </c>
      <c r="Y593" s="11" t="s">
        <v>3331</v>
      </c>
      <c r="Z593" s="79"/>
      <c r="AA593" s="187">
        <v>584</v>
      </c>
    </row>
    <row r="594" spans="1:27" s="188" customFormat="1" ht="20" x14ac:dyDescent="0.2">
      <c r="A594" s="297"/>
      <c r="B594" s="11" t="s">
        <v>1273</v>
      </c>
      <c r="C594" s="165" t="s">
        <v>4235</v>
      </c>
      <c r="D594" s="22" t="s">
        <v>2379</v>
      </c>
      <c r="E594" s="34">
        <v>1</v>
      </c>
      <c r="F594" s="22" t="s">
        <v>2223</v>
      </c>
      <c r="G594" s="235">
        <v>60</v>
      </c>
      <c r="H594" s="235">
        <f t="shared" si="80"/>
        <v>37.037037037037038</v>
      </c>
      <c r="I594" s="235">
        <v>80</v>
      </c>
      <c r="J594" s="235">
        <f t="shared" si="81"/>
        <v>49.382716049382715</v>
      </c>
      <c r="K594" s="216">
        <v>138</v>
      </c>
      <c r="L594" s="252">
        <f>_xlfn.XLOOKUP($K594,Inputs!$C$6:$C$23,Inputs!$D$6:$D$23)*$I594</f>
        <v>34.68571428571429</v>
      </c>
      <c r="M594" s="68"/>
      <c r="N594" s="68"/>
      <c r="O594" s="216">
        <v>86</v>
      </c>
      <c r="P594" s="216">
        <v>91</v>
      </c>
      <c r="Q594" s="94">
        <v>0.9</v>
      </c>
      <c r="R594" s="68" t="s">
        <v>115</v>
      </c>
      <c r="S594" s="182">
        <f t="shared" ref="S594:S601" si="82">O594*Q594</f>
        <v>77.400000000000006</v>
      </c>
      <c r="T594" s="182">
        <f t="shared" ref="T594:T601" si="83">P594*Q594</f>
        <v>81.900000000000006</v>
      </c>
      <c r="U594" s="96" t="s">
        <v>3608</v>
      </c>
      <c r="V594" s="22" t="s">
        <v>2896</v>
      </c>
      <c r="W594" s="96" t="s">
        <v>4392</v>
      </c>
      <c r="X594" s="22" t="s">
        <v>4393</v>
      </c>
      <c r="Y594" s="11" t="s">
        <v>3294</v>
      </c>
      <c r="Z594" s="79"/>
      <c r="AA594" s="187">
        <v>585</v>
      </c>
    </row>
    <row r="595" spans="1:27" s="188" customFormat="1" ht="20" x14ac:dyDescent="0.2">
      <c r="A595" s="297"/>
      <c r="B595" s="11" t="s">
        <v>1273</v>
      </c>
      <c r="C595" s="165" t="s">
        <v>4235</v>
      </c>
      <c r="D595" s="22" t="s">
        <v>2379</v>
      </c>
      <c r="E595" s="34">
        <v>1</v>
      </c>
      <c r="F595" s="22" t="s">
        <v>2223</v>
      </c>
      <c r="G595" s="235">
        <v>20</v>
      </c>
      <c r="H595" s="235">
        <f t="shared" si="80"/>
        <v>12.345679012345679</v>
      </c>
      <c r="I595" s="235">
        <v>80</v>
      </c>
      <c r="J595" s="235">
        <f t="shared" si="81"/>
        <v>49.382716049382715</v>
      </c>
      <c r="K595" s="216">
        <v>138</v>
      </c>
      <c r="L595" s="252">
        <f>_xlfn.XLOOKUP($K595,Inputs!$C$6:$C$23,Inputs!$D$6:$D$23)*$I595</f>
        <v>34.68571428571429</v>
      </c>
      <c r="M595" s="68"/>
      <c r="N595" s="68"/>
      <c r="O595" s="216">
        <v>86</v>
      </c>
      <c r="P595" s="216">
        <v>91</v>
      </c>
      <c r="Q595" s="94">
        <v>0.9</v>
      </c>
      <c r="R595" s="68" t="s">
        <v>115</v>
      </c>
      <c r="S595" s="182">
        <f t="shared" ref="S595" si="84">O595*Q595</f>
        <v>77.400000000000006</v>
      </c>
      <c r="T595" s="182">
        <f t="shared" ref="T595" si="85">P595*Q595</f>
        <v>81.900000000000006</v>
      </c>
      <c r="U595" s="96" t="s">
        <v>4392</v>
      </c>
      <c r="V595" s="22" t="s">
        <v>4393</v>
      </c>
      <c r="W595" s="96" t="s">
        <v>3939</v>
      </c>
      <c r="X595" s="22" t="s">
        <v>3191</v>
      </c>
      <c r="Y595" s="11" t="s">
        <v>3294</v>
      </c>
      <c r="Z595" s="79"/>
      <c r="AA595" s="187">
        <v>585</v>
      </c>
    </row>
    <row r="596" spans="1:27" s="188" customFormat="1" ht="20" x14ac:dyDescent="0.2">
      <c r="A596" s="297"/>
      <c r="B596" s="11" t="s">
        <v>4394</v>
      </c>
      <c r="C596" s="165" t="s">
        <v>4235</v>
      </c>
      <c r="D596" s="22" t="s">
        <v>2379</v>
      </c>
      <c r="E596" s="34">
        <v>1</v>
      </c>
      <c r="F596" s="22" t="s">
        <v>2223</v>
      </c>
      <c r="G596" s="235">
        <v>20</v>
      </c>
      <c r="H596" s="235">
        <f t="shared" si="80"/>
        <v>12.345679012345679</v>
      </c>
      <c r="I596" s="235">
        <v>20</v>
      </c>
      <c r="J596" s="235">
        <f t="shared" si="81"/>
        <v>12.345679012345679</v>
      </c>
      <c r="K596" s="216">
        <v>138</v>
      </c>
      <c r="L596" s="252">
        <f>_xlfn.XLOOKUP($K596,Inputs!$C$6:$C$23,Inputs!$D$6:$D$23)*$I596</f>
        <v>8.6714285714285726</v>
      </c>
      <c r="M596" s="68"/>
      <c r="N596" s="68"/>
      <c r="O596" s="216">
        <v>86</v>
      </c>
      <c r="P596" s="216">
        <v>91</v>
      </c>
      <c r="Q596" s="94">
        <v>0.9</v>
      </c>
      <c r="R596" s="68" t="s">
        <v>115</v>
      </c>
      <c r="S596" s="182">
        <f t="shared" ref="S596" si="86">O596*Q596</f>
        <v>77.400000000000006</v>
      </c>
      <c r="T596" s="182">
        <f t="shared" ref="T596" si="87">P596*Q596</f>
        <v>81.900000000000006</v>
      </c>
      <c r="U596" s="96" t="s">
        <v>4392</v>
      </c>
      <c r="V596" s="22" t="s">
        <v>4393</v>
      </c>
      <c r="W596" s="96" t="s">
        <v>4390</v>
      </c>
      <c r="X596" s="22" t="s">
        <v>4391</v>
      </c>
      <c r="Y596" s="11" t="s">
        <v>3294</v>
      </c>
      <c r="Z596" s="79"/>
      <c r="AA596" s="187">
        <v>585</v>
      </c>
    </row>
    <row r="597" spans="1:27" s="184" customFormat="1" ht="20" x14ac:dyDescent="0.2">
      <c r="B597" s="11" t="s">
        <v>1295</v>
      </c>
      <c r="C597" s="165" t="s">
        <v>4235</v>
      </c>
      <c r="D597" s="22" t="s">
        <v>2379</v>
      </c>
      <c r="E597" s="34">
        <v>1</v>
      </c>
      <c r="F597" s="22" t="s">
        <v>2223</v>
      </c>
      <c r="G597" s="88">
        <v>15</v>
      </c>
      <c r="H597" s="235">
        <f t="shared" si="80"/>
        <v>9.2592592592592595</v>
      </c>
      <c r="I597" s="88">
        <v>30</v>
      </c>
      <c r="J597" s="235">
        <f t="shared" si="81"/>
        <v>18.518518518518519</v>
      </c>
      <c r="K597" s="215">
        <v>138</v>
      </c>
      <c r="L597" s="252">
        <f>_xlfn.XLOOKUP($K597,Inputs!$C$6:$C$23,Inputs!$D$6:$D$23)*$I597</f>
        <v>13.007142857142858</v>
      </c>
      <c r="M597" s="68"/>
      <c r="N597" s="68"/>
      <c r="O597" s="215">
        <v>120</v>
      </c>
      <c r="P597" s="215">
        <v>143</v>
      </c>
      <c r="Q597" s="94">
        <v>0.9</v>
      </c>
      <c r="R597" s="68" t="s">
        <v>115</v>
      </c>
      <c r="S597" s="182">
        <f t="shared" si="82"/>
        <v>108</v>
      </c>
      <c r="T597" s="182">
        <f t="shared" si="83"/>
        <v>128.70000000000002</v>
      </c>
      <c r="U597" s="96" t="s">
        <v>3849</v>
      </c>
      <c r="V597" s="22" t="s">
        <v>3121</v>
      </c>
      <c r="W597" s="96" t="s">
        <v>3394</v>
      </c>
      <c r="X597" s="22" t="s">
        <v>2154</v>
      </c>
      <c r="Y597" s="11" t="s">
        <v>3280</v>
      </c>
      <c r="Z597" s="79"/>
      <c r="AA597" s="187">
        <v>586</v>
      </c>
    </row>
    <row r="598" spans="1:27" s="184" customFormat="1" ht="20" x14ac:dyDescent="0.2">
      <c r="B598" s="11" t="s">
        <v>1295</v>
      </c>
      <c r="C598" s="165" t="s">
        <v>4235</v>
      </c>
      <c r="D598" s="22" t="s">
        <v>2379</v>
      </c>
      <c r="E598" s="34">
        <v>1</v>
      </c>
      <c r="F598" s="22" t="s">
        <v>2223</v>
      </c>
      <c r="G598" s="88">
        <v>15</v>
      </c>
      <c r="H598" s="235">
        <f t="shared" si="80"/>
        <v>9.2592592592592595</v>
      </c>
      <c r="I598" s="88">
        <v>30</v>
      </c>
      <c r="J598" s="235">
        <f t="shared" si="81"/>
        <v>18.518518518518519</v>
      </c>
      <c r="K598" s="215">
        <v>138</v>
      </c>
      <c r="L598" s="252">
        <f>_xlfn.XLOOKUP($K598,Inputs!$C$6:$C$23,Inputs!$D$6:$D$23)*$I598</f>
        <v>13.007142857142858</v>
      </c>
      <c r="M598" s="68"/>
      <c r="N598" s="68"/>
      <c r="O598" s="215">
        <v>120</v>
      </c>
      <c r="P598" s="215">
        <v>148</v>
      </c>
      <c r="Q598" s="94">
        <v>0.9</v>
      </c>
      <c r="R598" s="68" t="s">
        <v>115</v>
      </c>
      <c r="S598" s="182">
        <f t="shared" si="82"/>
        <v>108</v>
      </c>
      <c r="T598" s="182">
        <f t="shared" si="83"/>
        <v>133.20000000000002</v>
      </c>
      <c r="U598" s="96" t="s">
        <v>3394</v>
      </c>
      <c r="V598" s="205" t="s">
        <v>2154</v>
      </c>
      <c r="W598" s="96" t="s">
        <v>3451</v>
      </c>
      <c r="X598" s="22" t="s">
        <v>2788</v>
      </c>
      <c r="Y598" s="11" t="s">
        <v>3280</v>
      </c>
      <c r="Z598" s="79"/>
      <c r="AA598" s="187">
        <v>587</v>
      </c>
    </row>
    <row r="599" spans="1:27" s="184" customFormat="1" ht="20" x14ac:dyDescent="0.2">
      <c r="B599" s="11" t="s">
        <v>1296</v>
      </c>
      <c r="C599" s="165" t="s">
        <v>4235</v>
      </c>
      <c r="D599" s="22" t="s">
        <v>2379</v>
      </c>
      <c r="E599" s="34">
        <v>1</v>
      </c>
      <c r="F599" s="22" t="s">
        <v>2223</v>
      </c>
      <c r="G599" s="88">
        <v>6</v>
      </c>
      <c r="H599" s="235">
        <f t="shared" si="80"/>
        <v>3.7037037037037033</v>
      </c>
      <c r="I599" s="88">
        <v>6</v>
      </c>
      <c r="J599" s="235">
        <f t="shared" si="81"/>
        <v>3.7037037037037033</v>
      </c>
      <c r="K599" s="215">
        <v>138</v>
      </c>
      <c r="L599" s="252">
        <f>_xlfn.XLOOKUP($K599,Inputs!$C$6:$C$23,Inputs!$D$6:$D$23)*$I599</f>
        <v>2.6014285714285714</v>
      </c>
      <c r="M599" s="68"/>
      <c r="N599" s="68"/>
      <c r="O599" s="215">
        <v>123</v>
      </c>
      <c r="P599" s="215">
        <v>151</v>
      </c>
      <c r="Q599" s="94">
        <v>0.9</v>
      </c>
      <c r="R599" s="68" t="s">
        <v>115</v>
      </c>
      <c r="S599" s="182">
        <f t="shared" si="82"/>
        <v>110.7</v>
      </c>
      <c r="T599" s="182">
        <f t="shared" si="83"/>
        <v>135.9</v>
      </c>
      <c r="U599" s="96" t="s">
        <v>3394</v>
      </c>
      <c r="V599" s="22" t="s">
        <v>2154</v>
      </c>
      <c r="W599" s="96" t="s">
        <v>3393</v>
      </c>
      <c r="X599" s="22" t="s">
        <v>2755</v>
      </c>
      <c r="Y599" s="11" t="s">
        <v>3280</v>
      </c>
      <c r="Z599" s="79"/>
      <c r="AA599" s="187">
        <v>588</v>
      </c>
    </row>
    <row r="600" spans="1:27" s="184" customFormat="1" ht="20" x14ac:dyDescent="0.2">
      <c r="B600" s="11" t="s">
        <v>788</v>
      </c>
      <c r="C600" s="165" t="s">
        <v>4235</v>
      </c>
      <c r="D600" s="22" t="s">
        <v>2379</v>
      </c>
      <c r="E600" s="34">
        <v>1</v>
      </c>
      <c r="F600" s="22" t="s">
        <v>2223</v>
      </c>
      <c r="G600" s="235">
        <v>40</v>
      </c>
      <c r="H600" s="235">
        <f t="shared" si="80"/>
        <v>24.691358024691358</v>
      </c>
      <c r="I600" s="235">
        <v>55</v>
      </c>
      <c r="J600" s="235">
        <f t="shared" si="81"/>
        <v>33.950617283950614</v>
      </c>
      <c r="K600" s="215">
        <v>138</v>
      </c>
      <c r="L600" s="252">
        <f>_xlfn.XLOOKUP($K600,Inputs!$C$6:$C$23,Inputs!$D$6:$D$23)*$I600</f>
        <v>23.846428571428575</v>
      </c>
      <c r="M600" s="68"/>
      <c r="N600" s="68"/>
      <c r="O600" s="215">
        <v>85</v>
      </c>
      <c r="P600" s="215">
        <v>90</v>
      </c>
      <c r="Q600" s="94">
        <v>0.9</v>
      </c>
      <c r="R600" s="68" t="s">
        <v>115</v>
      </c>
      <c r="S600" s="182">
        <f t="shared" si="82"/>
        <v>76.5</v>
      </c>
      <c r="T600" s="182">
        <f t="shared" si="83"/>
        <v>81</v>
      </c>
      <c r="U600" s="96" t="s">
        <v>3476</v>
      </c>
      <c r="V600" s="22" t="s">
        <v>2802</v>
      </c>
      <c r="W600" s="96" t="s">
        <v>3735</v>
      </c>
      <c r="X600" s="22" t="s">
        <v>2995</v>
      </c>
      <c r="Y600" s="11" t="s">
        <v>3286</v>
      </c>
      <c r="Z600" s="79"/>
      <c r="AA600" s="187">
        <v>589</v>
      </c>
    </row>
    <row r="601" spans="1:27" s="188" customFormat="1" ht="20" x14ac:dyDescent="0.2">
      <c r="B601" s="11" t="s">
        <v>788</v>
      </c>
      <c r="C601" s="165" t="s">
        <v>4235</v>
      </c>
      <c r="D601" s="22" t="s">
        <v>2379</v>
      </c>
      <c r="E601" s="34">
        <v>1</v>
      </c>
      <c r="F601" s="22" t="s">
        <v>2223</v>
      </c>
      <c r="G601" s="88">
        <v>15</v>
      </c>
      <c r="H601" s="235">
        <f t="shared" si="80"/>
        <v>9.2592592592592595</v>
      </c>
      <c r="I601" s="88">
        <v>55</v>
      </c>
      <c r="J601" s="235">
        <f t="shared" si="81"/>
        <v>33.950617283950614</v>
      </c>
      <c r="K601" s="215">
        <v>138</v>
      </c>
      <c r="L601" s="252">
        <f>_xlfn.XLOOKUP($K601,Inputs!$C$6:$C$23,Inputs!$D$6:$D$23)*$I601</f>
        <v>23.846428571428575</v>
      </c>
      <c r="M601" s="68"/>
      <c r="N601" s="68"/>
      <c r="O601" s="215">
        <v>85</v>
      </c>
      <c r="P601" s="215">
        <v>90</v>
      </c>
      <c r="Q601" s="94">
        <v>0.9</v>
      </c>
      <c r="R601" s="68" t="s">
        <v>115</v>
      </c>
      <c r="S601" s="182">
        <f t="shared" si="82"/>
        <v>76.5</v>
      </c>
      <c r="T601" s="182">
        <f t="shared" si="83"/>
        <v>81</v>
      </c>
      <c r="U601" s="96" t="s">
        <v>3735</v>
      </c>
      <c r="V601" s="22" t="s">
        <v>2995</v>
      </c>
      <c r="W601" s="96" t="s">
        <v>3899</v>
      </c>
      <c r="X601" s="22" t="s">
        <v>3160</v>
      </c>
      <c r="Y601" s="11" t="s">
        <v>3286</v>
      </c>
      <c r="Z601" s="79"/>
      <c r="AA601" s="187">
        <v>590</v>
      </c>
    </row>
    <row r="602" spans="1:27" s="188" customFormat="1" ht="20" x14ac:dyDescent="0.2">
      <c r="B602" s="11" t="s">
        <v>1621</v>
      </c>
      <c r="C602" s="165" t="s">
        <v>4235</v>
      </c>
      <c r="D602" s="22" t="s">
        <v>2379</v>
      </c>
      <c r="E602" s="34">
        <v>1</v>
      </c>
      <c r="F602" s="22" t="s">
        <v>2223</v>
      </c>
      <c r="G602" s="88">
        <v>22.5</v>
      </c>
      <c r="H602" s="235">
        <f t="shared" si="80"/>
        <v>13.888888888888888</v>
      </c>
      <c r="I602" s="88">
        <v>22.5</v>
      </c>
      <c r="J602" s="235">
        <f t="shared" si="81"/>
        <v>13.888888888888888</v>
      </c>
      <c r="K602" s="201">
        <v>144</v>
      </c>
      <c r="L602" s="252">
        <f>_xlfn.XLOOKUP($K602,Inputs!$C$6:$C$23,Inputs!$D$6:$D$23)*$I602</f>
        <v>9.8517857142857146</v>
      </c>
      <c r="M602" s="68"/>
      <c r="N602" s="68"/>
      <c r="O602" s="187"/>
      <c r="P602" s="187"/>
      <c r="Q602" s="94">
        <v>0.9</v>
      </c>
      <c r="R602" s="68">
        <f>IF((42.4*(J602)^(-0.6595))&gt;=3,3,(IF(42.4*(J602)^(-0.6595)&lt;=0.5,0.5,(42.4*(J602)^(-0.6595)))))</f>
        <v>3</v>
      </c>
      <c r="S602" s="276">
        <f>_xlfn.XLOOKUP($K602,Inputs!$G$6:$G$23,Inputs!J$6:J$23)*$R602</f>
        <v>153.60000000000002</v>
      </c>
      <c r="T602" s="276">
        <f>_xlfn.XLOOKUP($K602,Inputs!$G$6:$G$23,Inputs!K$6:K$23)*$R602</f>
        <v>169.96721311475409</v>
      </c>
      <c r="U602" s="96" t="s">
        <v>3643</v>
      </c>
      <c r="V602" s="22" t="s">
        <v>2684</v>
      </c>
      <c r="W602" s="96" t="s">
        <v>3574</v>
      </c>
      <c r="X602" s="22" t="s">
        <v>2869</v>
      </c>
      <c r="Y602" s="11" t="s">
        <v>3331</v>
      </c>
      <c r="Z602" s="79"/>
      <c r="AA602" s="187">
        <v>591</v>
      </c>
    </row>
    <row r="603" spans="1:27" s="184" customFormat="1" ht="20" x14ac:dyDescent="0.2">
      <c r="B603" s="11" t="s">
        <v>789</v>
      </c>
      <c r="C603" s="165" t="s">
        <v>4235</v>
      </c>
      <c r="D603" s="22" t="s">
        <v>2379</v>
      </c>
      <c r="E603" s="34">
        <v>1</v>
      </c>
      <c r="F603" s="22" t="s">
        <v>2223</v>
      </c>
      <c r="G603" s="235">
        <v>80</v>
      </c>
      <c r="H603" s="235">
        <f t="shared" si="80"/>
        <v>49.382716049382715</v>
      </c>
      <c r="I603" s="235">
        <v>80</v>
      </c>
      <c r="J603" s="235">
        <f t="shared" si="81"/>
        <v>49.382716049382715</v>
      </c>
      <c r="K603" s="215">
        <v>138</v>
      </c>
      <c r="L603" s="252">
        <f>_xlfn.XLOOKUP($K603,Inputs!$C$6:$C$23,Inputs!$D$6:$D$23)*$I603</f>
        <v>34.68571428571429</v>
      </c>
      <c r="M603" s="68"/>
      <c r="N603" s="68"/>
      <c r="O603" s="215">
        <v>85</v>
      </c>
      <c r="P603" s="215">
        <v>90</v>
      </c>
      <c r="Q603" s="94">
        <v>0.9</v>
      </c>
      <c r="R603" s="68" t="s">
        <v>115</v>
      </c>
      <c r="S603" s="182">
        <f>O603*Q603</f>
        <v>76.5</v>
      </c>
      <c r="T603" s="182">
        <f>P603*Q603</f>
        <v>81</v>
      </c>
      <c r="U603" s="96" t="s">
        <v>3669</v>
      </c>
      <c r="V603" s="22" t="s">
        <v>2941</v>
      </c>
      <c r="W603" s="96" t="s">
        <v>3929</v>
      </c>
      <c r="X603" s="22" t="s">
        <v>3187</v>
      </c>
      <c r="Y603" s="11" t="s">
        <v>3286</v>
      </c>
      <c r="Z603" s="79"/>
      <c r="AA603" s="187">
        <v>592</v>
      </c>
    </row>
    <row r="604" spans="1:27" s="188" customFormat="1" ht="20" x14ac:dyDescent="0.2">
      <c r="B604" s="11" t="s">
        <v>1956</v>
      </c>
      <c r="C604" s="165" t="s">
        <v>4235</v>
      </c>
      <c r="D604" s="22" t="s">
        <v>2379</v>
      </c>
      <c r="E604" s="34">
        <v>1</v>
      </c>
      <c r="F604" s="22" t="s">
        <v>2223</v>
      </c>
      <c r="G604" s="235">
        <v>60</v>
      </c>
      <c r="H604" s="235">
        <f t="shared" si="80"/>
        <v>37.037037037037038</v>
      </c>
      <c r="I604" s="235">
        <v>60</v>
      </c>
      <c r="J604" s="235">
        <f t="shared" si="81"/>
        <v>37.037037037037038</v>
      </c>
      <c r="K604" s="215">
        <v>138</v>
      </c>
      <c r="L604" s="252">
        <f>_xlfn.XLOOKUP($K604,Inputs!$C$6:$C$23,Inputs!$D$6:$D$23)*$I604</f>
        <v>26.014285714285716</v>
      </c>
      <c r="M604" s="68"/>
      <c r="N604" s="68"/>
      <c r="O604" s="215">
        <v>96</v>
      </c>
      <c r="P604" s="93">
        <f>O604*1.3</f>
        <v>124.80000000000001</v>
      </c>
      <c r="Q604" s="94">
        <v>0.9</v>
      </c>
      <c r="R604" s="68" t="s">
        <v>115</v>
      </c>
      <c r="S604" s="182">
        <f>O604*Q604</f>
        <v>86.4</v>
      </c>
      <c r="T604" s="182">
        <f>P604*Q604</f>
        <v>112.32000000000001</v>
      </c>
      <c r="U604" s="96" t="s">
        <v>3429</v>
      </c>
      <c r="V604" s="22" t="s">
        <v>2660</v>
      </c>
      <c r="W604" s="96" t="s">
        <v>3605</v>
      </c>
      <c r="X604" s="22" t="s">
        <v>2678</v>
      </c>
      <c r="Y604" s="11" t="s">
        <v>3276</v>
      </c>
      <c r="Z604" s="79"/>
      <c r="AA604" s="187">
        <v>593</v>
      </c>
    </row>
    <row r="605" spans="1:27" s="184" customFormat="1" ht="20" x14ac:dyDescent="0.2">
      <c r="B605" s="11" t="s">
        <v>2021</v>
      </c>
      <c r="C605" s="165" t="s">
        <v>4235</v>
      </c>
      <c r="D605" s="22" t="s">
        <v>2379</v>
      </c>
      <c r="E605" s="34">
        <v>1</v>
      </c>
      <c r="F605" s="22" t="s">
        <v>2223</v>
      </c>
      <c r="G605" s="88">
        <v>25.200000000000003</v>
      </c>
      <c r="H605" s="235">
        <f t="shared" si="80"/>
        <v>15.555555555555557</v>
      </c>
      <c r="I605" s="88">
        <v>63.000000000000007</v>
      </c>
      <c r="J605" s="235">
        <f t="shared" si="81"/>
        <v>38.888888888888893</v>
      </c>
      <c r="K605" s="201">
        <v>144</v>
      </c>
      <c r="L605" s="252">
        <f>_xlfn.XLOOKUP($K605,Inputs!$C$6:$C$23,Inputs!$D$6:$D$23)*$I605</f>
        <v>27.585000000000004</v>
      </c>
      <c r="M605" s="68"/>
      <c r="N605" s="68"/>
      <c r="O605" s="187"/>
      <c r="P605" s="187"/>
      <c r="Q605" s="94">
        <v>0.9</v>
      </c>
      <c r="R605" s="68">
        <f>IF((42.4*(J605)^(-0.6595))&gt;=3,3,(IF(42.4*(J605)^(-0.6595)&lt;=0.5,0.5,(42.4*(J605)^(-0.6595)))))</f>
        <v>3</v>
      </c>
      <c r="S605" s="276">
        <f>_xlfn.XLOOKUP($K605,Inputs!$G$6:$G$23,Inputs!J$6:J$23)*$R605</f>
        <v>153.60000000000002</v>
      </c>
      <c r="T605" s="276">
        <f>_xlfn.XLOOKUP($K605,Inputs!$G$6:$G$23,Inputs!K$6:K$23)*$R605</f>
        <v>169.96721311475409</v>
      </c>
      <c r="U605" s="96" t="s">
        <v>3915</v>
      </c>
      <c r="V605" s="22" t="s">
        <v>3176</v>
      </c>
      <c r="W605" s="96" t="s">
        <v>3559</v>
      </c>
      <c r="X605" s="22" t="s">
        <v>2155</v>
      </c>
      <c r="Y605" s="11" t="s">
        <v>3331</v>
      </c>
      <c r="Z605" s="79"/>
      <c r="AA605" s="187">
        <v>594</v>
      </c>
    </row>
    <row r="606" spans="1:27" s="188" customFormat="1" ht="20" x14ac:dyDescent="0.2">
      <c r="B606" s="11" t="s">
        <v>2021</v>
      </c>
      <c r="C606" s="165" t="s">
        <v>4235</v>
      </c>
      <c r="D606" s="22" t="s">
        <v>2379</v>
      </c>
      <c r="E606" s="34">
        <v>1</v>
      </c>
      <c r="F606" s="22" t="s">
        <v>2223</v>
      </c>
      <c r="G606" s="88">
        <v>37.800000000000004</v>
      </c>
      <c r="H606" s="235">
        <f t="shared" si="80"/>
        <v>23.333333333333336</v>
      </c>
      <c r="I606" s="88">
        <v>63.000000000000007</v>
      </c>
      <c r="J606" s="235">
        <f t="shared" si="81"/>
        <v>38.888888888888893</v>
      </c>
      <c r="K606" s="201">
        <v>144</v>
      </c>
      <c r="L606" s="252">
        <f>_xlfn.XLOOKUP($K606,Inputs!$C$6:$C$23,Inputs!$D$6:$D$23)*$I606</f>
        <v>27.585000000000004</v>
      </c>
      <c r="M606" s="68"/>
      <c r="N606" s="68"/>
      <c r="O606" s="187"/>
      <c r="P606" s="187"/>
      <c r="Q606" s="94">
        <v>0.9</v>
      </c>
      <c r="R606" s="68">
        <f>IF((42.4*(J606)^(-0.6595))&gt;=3,3,(IF(42.4*(J606)^(-0.6595)&lt;=0.5,0.5,(42.4*(J606)^(-0.6595)))))</f>
        <v>3</v>
      </c>
      <c r="S606" s="276">
        <f>_xlfn.XLOOKUP($K606,Inputs!$G$6:$G$23,Inputs!J$6:J$23)*$R606</f>
        <v>153.60000000000002</v>
      </c>
      <c r="T606" s="276">
        <f>_xlfn.XLOOKUP($K606,Inputs!$G$6:$G$23,Inputs!K$6:K$23)*$R606</f>
        <v>169.96721311475409</v>
      </c>
      <c r="U606" s="96" t="s">
        <v>3559</v>
      </c>
      <c r="V606" s="22" t="s">
        <v>2155</v>
      </c>
      <c r="W606" s="96" t="s">
        <v>3588</v>
      </c>
      <c r="X606" s="22" t="s">
        <v>2879</v>
      </c>
      <c r="Y606" s="11" t="s">
        <v>3331</v>
      </c>
      <c r="Z606" s="79"/>
      <c r="AA606" s="187">
        <v>595</v>
      </c>
    </row>
    <row r="607" spans="1:27" s="188" customFormat="1" ht="20" x14ac:dyDescent="0.2">
      <c r="B607" s="11" t="s">
        <v>1275</v>
      </c>
      <c r="C607" s="165" t="s">
        <v>4235</v>
      </c>
      <c r="D607" s="22" t="s">
        <v>2379</v>
      </c>
      <c r="E607" s="34">
        <v>1</v>
      </c>
      <c r="F607" s="22" t="s">
        <v>2223</v>
      </c>
      <c r="G607" s="88">
        <v>12.600000000000001</v>
      </c>
      <c r="H607" s="235">
        <f t="shared" si="80"/>
        <v>7.7777777777777786</v>
      </c>
      <c r="I607" s="88">
        <v>12.600000000000001</v>
      </c>
      <c r="J607" s="235">
        <f t="shared" si="81"/>
        <v>7.7777777777777786</v>
      </c>
      <c r="K607" s="201">
        <v>144</v>
      </c>
      <c r="L607" s="252">
        <f>_xlfn.XLOOKUP($K607,Inputs!$C$6:$C$23,Inputs!$D$6:$D$23)*$I607</f>
        <v>5.5170000000000012</v>
      </c>
      <c r="M607" s="68"/>
      <c r="N607" s="68"/>
      <c r="O607" s="187"/>
      <c r="P607" s="187"/>
      <c r="Q607" s="94">
        <v>0.9</v>
      </c>
      <c r="R607" s="68">
        <f>IF((42.4*(J607)^(-0.6595))&gt;=3,3,(IF(42.4*(J607)^(-0.6595)&lt;=0.5,0.5,(42.4*(J607)^(-0.6595)))))</f>
        <v>3</v>
      </c>
      <c r="S607" s="276">
        <f>_xlfn.XLOOKUP($K607,Inputs!$G$6:$G$23,Inputs!J$6:J$23)*$R607</f>
        <v>153.60000000000002</v>
      </c>
      <c r="T607" s="276">
        <f>_xlfn.XLOOKUP($K607,Inputs!$G$6:$G$23,Inputs!K$6:K$23)*$R607</f>
        <v>169.96721311475409</v>
      </c>
      <c r="U607" s="96" t="s">
        <v>3559</v>
      </c>
      <c r="V607" s="22" t="s">
        <v>2155</v>
      </c>
      <c r="W607" s="96" t="s">
        <v>3558</v>
      </c>
      <c r="X607" s="22" t="s">
        <v>2859</v>
      </c>
      <c r="Y607" s="11" t="s">
        <v>3331</v>
      </c>
      <c r="Z607" s="79"/>
      <c r="AA607" s="187">
        <v>596</v>
      </c>
    </row>
    <row r="608" spans="1:27" s="188" customFormat="1" ht="20" x14ac:dyDescent="0.2">
      <c r="B608" s="11" t="s">
        <v>792</v>
      </c>
      <c r="C608" s="165" t="s">
        <v>4235</v>
      </c>
      <c r="D608" s="22" t="s">
        <v>2379</v>
      </c>
      <c r="E608" s="34">
        <v>1</v>
      </c>
      <c r="F608" s="22" t="s">
        <v>2223</v>
      </c>
      <c r="G608" s="88">
        <v>30</v>
      </c>
      <c r="H608" s="235">
        <f t="shared" si="80"/>
        <v>18.518518518518519</v>
      </c>
      <c r="I608" s="88">
        <v>30</v>
      </c>
      <c r="J608" s="235">
        <f t="shared" si="81"/>
        <v>18.518518518518519</v>
      </c>
      <c r="K608" s="201">
        <v>144</v>
      </c>
      <c r="L608" s="252">
        <f>_xlfn.XLOOKUP($K608,Inputs!$C$6:$C$23,Inputs!$D$6:$D$23)*$I608</f>
        <v>13.135714285714286</v>
      </c>
      <c r="M608" s="68"/>
      <c r="N608" s="68"/>
      <c r="O608" s="187"/>
      <c r="P608" s="187"/>
      <c r="Q608" s="94">
        <v>0.9</v>
      </c>
      <c r="R608" s="68">
        <f>IF((42.4*(J608)^(-0.6595))&gt;=3,3,(IF(42.4*(J608)^(-0.6595)&lt;=0.5,0.5,(42.4*(J608)^(-0.6595)))))</f>
        <v>3</v>
      </c>
      <c r="S608" s="276">
        <f>_xlfn.XLOOKUP($K608,Inputs!$G$6:$G$23,Inputs!J$6:J$23)*$R608</f>
        <v>153.60000000000002</v>
      </c>
      <c r="T608" s="276">
        <f>_xlfn.XLOOKUP($K608,Inputs!$G$6:$G$23,Inputs!K$6:K$23)*$R608</f>
        <v>169.96721311475409</v>
      </c>
      <c r="U608" s="96" t="s">
        <v>3930</v>
      </c>
      <c r="V608" s="22" t="s">
        <v>2609</v>
      </c>
      <c r="W608" s="96" t="s">
        <v>3931</v>
      </c>
      <c r="X608" s="22" t="s">
        <v>3270</v>
      </c>
      <c r="Y608" s="11" t="s">
        <v>3331</v>
      </c>
      <c r="Z608" s="79"/>
      <c r="AA608" s="187">
        <v>597</v>
      </c>
    </row>
    <row r="609" spans="2:27" s="188" customFormat="1" ht="20" x14ac:dyDescent="0.2">
      <c r="B609" s="11" t="s">
        <v>1208</v>
      </c>
      <c r="C609" s="165" t="s">
        <v>4235</v>
      </c>
      <c r="D609" s="22" t="s">
        <v>2379</v>
      </c>
      <c r="E609" s="34">
        <v>1</v>
      </c>
      <c r="F609" s="22" t="s">
        <v>2223</v>
      </c>
      <c r="G609" s="88">
        <v>30</v>
      </c>
      <c r="H609" s="235">
        <f t="shared" si="80"/>
        <v>18.518518518518519</v>
      </c>
      <c r="I609" s="88">
        <v>30</v>
      </c>
      <c r="J609" s="235">
        <f t="shared" si="81"/>
        <v>18.518518518518519</v>
      </c>
      <c r="K609" s="221">
        <v>144</v>
      </c>
      <c r="L609" s="252">
        <f>_xlfn.XLOOKUP($K609,Inputs!$C$6:$C$23,Inputs!$D$6:$D$23)*$I609</f>
        <v>13.135714285714286</v>
      </c>
      <c r="M609" s="68"/>
      <c r="N609" s="68"/>
      <c r="O609" s="206"/>
      <c r="P609" s="206"/>
      <c r="Q609" s="94">
        <v>0.9</v>
      </c>
      <c r="R609" s="68">
        <f>IF((42.4*(J609)^(-0.6595))&gt;=3,3,(IF(42.4*(J609)^(-0.6595)&lt;=0.5,0.5,(42.4*(J609)^(-0.6595)))))</f>
        <v>3</v>
      </c>
      <c r="S609" s="276">
        <f>_xlfn.XLOOKUP($K609,Inputs!$G$6:$G$23,Inputs!J$6:J$23)*$R609</f>
        <v>153.60000000000002</v>
      </c>
      <c r="T609" s="276">
        <f>_xlfn.XLOOKUP($K609,Inputs!$G$6:$G$23,Inputs!K$6:K$23)*$R609</f>
        <v>169.96721311475409</v>
      </c>
      <c r="U609" s="96" t="s">
        <v>3931</v>
      </c>
      <c r="V609" s="22" t="s">
        <v>3270</v>
      </c>
      <c r="W609" s="96" t="s">
        <v>3813</v>
      </c>
      <c r="X609" s="22" t="s">
        <v>3059</v>
      </c>
      <c r="Y609" s="11" t="s">
        <v>3331</v>
      </c>
      <c r="Z609" s="79"/>
      <c r="AA609" s="187">
        <v>598</v>
      </c>
    </row>
    <row r="610" spans="2:27" s="188" customFormat="1" ht="20" x14ac:dyDescent="0.2">
      <c r="B610" s="11" t="s">
        <v>2022</v>
      </c>
      <c r="C610" s="165" t="s">
        <v>4235</v>
      </c>
      <c r="D610" s="22" t="s">
        <v>2379</v>
      </c>
      <c r="E610" s="34">
        <v>1</v>
      </c>
      <c r="F610" s="22" t="s">
        <v>2223</v>
      </c>
      <c r="G610" s="235">
        <v>40</v>
      </c>
      <c r="H610" s="235">
        <f t="shared" si="80"/>
        <v>24.691358024691358</v>
      </c>
      <c r="I610" s="235">
        <v>85</v>
      </c>
      <c r="J610" s="235">
        <f t="shared" si="81"/>
        <v>52.469135802469133</v>
      </c>
      <c r="K610" s="215">
        <v>138</v>
      </c>
      <c r="L610" s="252">
        <f>_xlfn.XLOOKUP($K610,Inputs!$C$6:$C$23,Inputs!$D$6:$D$23)*$I610</f>
        <v>36.853571428571435</v>
      </c>
      <c r="M610" s="68"/>
      <c r="N610" s="68"/>
      <c r="O610" s="215">
        <v>85</v>
      </c>
      <c r="P610" s="215">
        <v>90</v>
      </c>
      <c r="Q610" s="94">
        <v>0.9</v>
      </c>
      <c r="R610" s="68" t="s">
        <v>115</v>
      </c>
      <c r="S610" s="182">
        <f>O610*Q610</f>
        <v>76.5</v>
      </c>
      <c r="T610" s="182">
        <f>P610*Q610</f>
        <v>81</v>
      </c>
      <c r="U610" s="96" t="s">
        <v>3544</v>
      </c>
      <c r="V610" s="22" t="s">
        <v>2848</v>
      </c>
      <c r="W610" s="96" t="s">
        <v>3838</v>
      </c>
      <c r="X610" s="22" t="s">
        <v>3077</v>
      </c>
      <c r="Y610" s="11" t="s">
        <v>3280</v>
      </c>
      <c r="Z610" s="79"/>
      <c r="AA610" s="187">
        <v>599</v>
      </c>
    </row>
    <row r="611" spans="2:27" s="188" customFormat="1" ht="20" x14ac:dyDescent="0.2">
      <c r="B611" s="11" t="s">
        <v>2022</v>
      </c>
      <c r="C611" s="165" t="s">
        <v>4235</v>
      </c>
      <c r="D611" s="22" t="s">
        <v>2379</v>
      </c>
      <c r="E611" s="34">
        <v>1</v>
      </c>
      <c r="F611" s="22" t="s">
        <v>2223</v>
      </c>
      <c r="G611" s="235">
        <v>45</v>
      </c>
      <c r="H611" s="235">
        <f t="shared" si="80"/>
        <v>27.777777777777775</v>
      </c>
      <c r="I611" s="235">
        <v>85</v>
      </c>
      <c r="J611" s="235">
        <f t="shared" si="81"/>
        <v>52.469135802469133</v>
      </c>
      <c r="K611" s="215">
        <v>138</v>
      </c>
      <c r="L611" s="252">
        <f>_xlfn.XLOOKUP($K611,Inputs!$C$6:$C$23,Inputs!$D$6:$D$23)*$I611</f>
        <v>36.853571428571435</v>
      </c>
      <c r="M611" s="68"/>
      <c r="N611" s="68"/>
      <c r="O611" s="215">
        <v>85</v>
      </c>
      <c r="P611" s="215">
        <v>90</v>
      </c>
      <c r="Q611" s="94">
        <v>0.9</v>
      </c>
      <c r="R611" s="68" t="s">
        <v>115</v>
      </c>
      <c r="S611" s="182">
        <f>O611*Q611</f>
        <v>76.5</v>
      </c>
      <c r="T611" s="182">
        <f>P611*Q611</f>
        <v>81</v>
      </c>
      <c r="U611" s="96" t="s">
        <v>3838</v>
      </c>
      <c r="V611" s="22" t="s">
        <v>3077</v>
      </c>
      <c r="W611" s="96" t="s">
        <v>3813</v>
      </c>
      <c r="X611" s="22" t="s">
        <v>3059</v>
      </c>
      <c r="Y611" s="11" t="s">
        <v>3280</v>
      </c>
      <c r="Z611" s="79"/>
      <c r="AA611" s="187">
        <v>600</v>
      </c>
    </row>
    <row r="612" spans="2:27" s="188" customFormat="1" ht="20" x14ac:dyDescent="0.2">
      <c r="B612" s="11" t="s">
        <v>795</v>
      </c>
      <c r="C612" s="165" t="s">
        <v>4237</v>
      </c>
      <c r="D612" s="22" t="s">
        <v>2379</v>
      </c>
      <c r="E612" s="34">
        <v>1</v>
      </c>
      <c r="F612" s="22" t="s">
        <v>2223</v>
      </c>
      <c r="G612" s="88">
        <v>18</v>
      </c>
      <c r="H612" s="235">
        <f t="shared" si="80"/>
        <v>11.111111111111111</v>
      </c>
      <c r="I612" s="88">
        <v>18</v>
      </c>
      <c r="J612" s="235">
        <f t="shared" si="81"/>
        <v>11.111111111111111</v>
      </c>
      <c r="K612" s="221">
        <v>144</v>
      </c>
      <c r="L612" s="252">
        <f>_xlfn.XLOOKUP($K612,Inputs!$C$6:$C$23,Inputs!$D$6:$D$23)*$I612</f>
        <v>7.8814285714285717</v>
      </c>
      <c r="M612" s="68"/>
      <c r="N612" s="68"/>
      <c r="O612" s="206"/>
      <c r="P612" s="206"/>
      <c r="Q612" s="94">
        <v>0.9</v>
      </c>
      <c r="R612" s="68">
        <f>IF((42.4*(J612)^(-0.6595))&gt;=3,3,(IF(42.4*(J612)^(-0.6595)&lt;=0.5,0.5,(42.4*(J612)^(-0.6595)))))</f>
        <v>3</v>
      </c>
      <c r="S612" s="276">
        <f>_xlfn.XLOOKUP($K612,Inputs!$G$6:$G$23,Inputs!J$6:J$23)*$R612</f>
        <v>153.60000000000002</v>
      </c>
      <c r="T612" s="276">
        <f>_xlfn.XLOOKUP($K612,Inputs!$G$6:$G$23,Inputs!K$6:K$23)*$R612</f>
        <v>169.96721311475409</v>
      </c>
      <c r="U612" s="96" t="s">
        <v>3683</v>
      </c>
      <c r="V612" s="22" t="s">
        <v>2645</v>
      </c>
      <c r="W612" s="96" t="s">
        <v>3853</v>
      </c>
      <c r="X612" s="22" t="s">
        <v>3124</v>
      </c>
      <c r="Y612" s="11" t="s">
        <v>3331</v>
      </c>
      <c r="Z612" s="79"/>
      <c r="AA612" s="187">
        <v>601</v>
      </c>
    </row>
    <row r="613" spans="2:27" s="188" customFormat="1" ht="20" x14ac:dyDescent="0.2">
      <c r="B613" s="11" t="s">
        <v>798</v>
      </c>
      <c r="C613" s="165" t="s">
        <v>4237</v>
      </c>
      <c r="D613" s="22" t="s">
        <v>2379</v>
      </c>
      <c r="E613" s="34">
        <v>1</v>
      </c>
      <c r="F613" s="22" t="s">
        <v>2223</v>
      </c>
      <c r="G613" s="88">
        <v>12.600000000000001</v>
      </c>
      <c r="H613" s="235">
        <f t="shared" si="80"/>
        <v>7.7777777777777786</v>
      </c>
      <c r="I613" s="88">
        <v>12.600000000000001</v>
      </c>
      <c r="J613" s="235">
        <f t="shared" si="81"/>
        <v>7.7777777777777786</v>
      </c>
      <c r="K613" s="201">
        <v>144</v>
      </c>
      <c r="L613" s="252">
        <f>_xlfn.XLOOKUP($K613,Inputs!$C$6:$C$23,Inputs!$D$6:$D$23)*$I613</f>
        <v>5.5170000000000012</v>
      </c>
      <c r="M613" s="68"/>
      <c r="N613" s="68"/>
      <c r="O613" s="187"/>
      <c r="P613" s="187"/>
      <c r="Q613" s="94">
        <v>0.9</v>
      </c>
      <c r="R613" s="68">
        <f>IF((42.4*(J613)^(-0.6595))&gt;=3,3,(IF(42.4*(J613)^(-0.6595)&lt;=0.5,0.5,(42.4*(J613)^(-0.6595)))))</f>
        <v>3</v>
      </c>
      <c r="S613" s="276">
        <f>_xlfn.XLOOKUP($K613,Inputs!$G$6:$G$23,Inputs!J$6:J$23)*$R613</f>
        <v>153.60000000000002</v>
      </c>
      <c r="T613" s="276">
        <f>_xlfn.XLOOKUP($K613,Inputs!$G$6:$G$23,Inputs!K$6:K$23)*$R613</f>
        <v>169.96721311475409</v>
      </c>
      <c r="U613" s="96" t="s">
        <v>3497</v>
      </c>
      <c r="V613" s="22" t="s">
        <v>2816</v>
      </c>
      <c r="W613" s="96" t="s">
        <v>3710</v>
      </c>
      <c r="X613" s="22" t="s">
        <v>2975</v>
      </c>
      <c r="Y613" s="11" t="s">
        <v>3331</v>
      </c>
      <c r="Z613" s="79"/>
      <c r="AA613" s="187">
        <v>602</v>
      </c>
    </row>
    <row r="614" spans="2:27" s="188" customFormat="1" ht="20" x14ac:dyDescent="0.2">
      <c r="B614" s="11" t="s">
        <v>1173</v>
      </c>
      <c r="C614" s="165" t="s">
        <v>4237</v>
      </c>
      <c r="D614" s="22" t="s">
        <v>2379</v>
      </c>
      <c r="E614" s="34">
        <v>1</v>
      </c>
      <c r="F614" s="22" t="s">
        <v>2223</v>
      </c>
      <c r="G614" s="88">
        <v>15</v>
      </c>
      <c r="H614" s="235">
        <f t="shared" si="80"/>
        <v>9.2592592592592595</v>
      </c>
      <c r="I614" s="88">
        <v>40</v>
      </c>
      <c r="J614" s="235">
        <f t="shared" si="81"/>
        <v>24.691358024691358</v>
      </c>
      <c r="K614" s="201">
        <v>144</v>
      </c>
      <c r="L614" s="252">
        <f>_xlfn.XLOOKUP($K614,Inputs!$C$6:$C$23,Inputs!$D$6:$D$23)*$I614</f>
        <v>17.514285714285716</v>
      </c>
      <c r="M614" s="68"/>
      <c r="N614" s="68"/>
      <c r="O614" s="215">
        <v>109.3</v>
      </c>
      <c r="P614" s="215">
        <v>139</v>
      </c>
      <c r="Q614" s="94">
        <v>0.9</v>
      </c>
      <c r="R614" s="68" t="s">
        <v>115</v>
      </c>
      <c r="S614" s="182">
        <f>O614*Q614</f>
        <v>98.37</v>
      </c>
      <c r="T614" s="182">
        <f>P614*Q614</f>
        <v>125.10000000000001</v>
      </c>
      <c r="U614" s="96" t="s">
        <v>3537</v>
      </c>
      <c r="V614" s="22" t="s">
        <v>2617</v>
      </c>
      <c r="W614" s="96" t="s">
        <v>4009</v>
      </c>
      <c r="X614" s="22" t="s">
        <v>2156</v>
      </c>
      <c r="Y614" s="11" t="s">
        <v>3314</v>
      </c>
      <c r="Z614" s="79"/>
      <c r="AA614" s="187">
        <v>603</v>
      </c>
    </row>
    <row r="615" spans="2:27" s="188" customFormat="1" ht="20" x14ac:dyDescent="0.2">
      <c r="B615" s="11" t="s">
        <v>1173</v>
      </c>
      <c r="C615" s="165" t="s">
        <v>4237</v>
      </c>
      <c r="D615" s="22" t="s">
        <v>2379</v>
      </c>
      <c r="E615" s="34">
        <v>1</v>
      </c>
      <c r="F615" s="22" t="s">
        <v>2223</v>
      </c>
      <c r="G615" s="88">
        <v>25</v>
      </c>
      <c r="H615" s="235">
        <f t="shared" si="80"/>
        <v>15.432098765432098</v>
      </c>
      <c r="I615" s="88">
        <v>40</v>
      </c>
      <c r="J615" s="235">
        <f t="shared" si="81"/>
        <v>24.691358024691358</v>
      </c>
      <c r="K615" s="201">
        <v>144</v>
      </c>
      <c r="L615" s="252">
        <f>_xlfn.XLOOKUP($K615,Inputs!$C$6:$C$23,Inputs!$D$6:$D$23)*$I615</f>
        <v>17.514285714285716</v>
      </c>
      <c r="M615" s="68"/>
      <c r="N615" s="68"/>
      <c r="O615" s="215">
        <v>109.3</v>
      </c>
      <c r="P615" s="215">
        <v>139</v>
      </c>
      <c r="Q615" s="94">
        <v>0.9</v>
      </c>
      <c r="R615" s="68" t="s">
        <v>115</v>
      </c>
      <c r="S615" s="182">
        <f>O615*Q615</f>
        <v>98.37</v>
      </c>
      <c r="T615" s="182">
        <f>P615*Q615</f>
        <v>125.10000000000001</v>
      </c>
      <c r="U615" s="96" t="s">
        <v>4009</v>
      </c>
      <c r="V615" s="22" t="s">
        <v>2156</v>
      </c>
      <c r="W615" s="96" t="s">
        <v>3562</v>
      </c>
      <c r="X615" s="22" t="s">
        <v>2861</v>
      </c>
      <c r="Y615" s="11" t="s">
        <v>3314</v>
      </c>
      <c r="Z615" s="79"/>
      <c r="AA615" s="187">
        <v>604</v>
      </c>
    </row>
    <row r="616" spans="2:27" s="188" customFormat="1" ht="20" x14ac:dyDescent="0.2">
      <c r="B616" s="11" t="s">
        <v>804</v>
      </c>
      <c r="C616" s="165" t="s">
        <v>4237</v>
      </c>
      <c r="D616" s="22" t="s">
        <v>2379</v>
      </c>
      <c r="E616" s="34">
        <v>1</v>
      </c>
      <c r="F616" s="22" t="s">
        <v>2223</v>
      </c>
      <c r="G616" s="88">
        <v>15</v>
      </c>
      <c r="H616" s="235">
        <f t="shared" si="80"/>
        <v>9.2592592592592595</v>
      </c>
      <c r="I616" s="88">
        <v>15</v>
      </c>
      <c r="J616" s="235">
        <f t="shared" si="81"/>
        <v>9.2592592592592595</v>
      </c>
      <c r="K616" s="201">
        <v>144</v>
      </c>
      <c r="L616" s="252">
        <f>_xlfn.XLOOKUP($K616,Inputs!$C$6:$C$23,Inputs!$D$6:$D$23)*$I616</f>
        <v>6.5678571428571431</v>
      </c>
      <c r="M616" s="68"/>
      <c r="N616" s="68"/>
      <c r="O616" s="187"/>
      <c r="P616" s="187"/>
      <c r="Q616" s="94">
        <v>0.9</v>
      </c>
      <c r="R616" s="68">
        <f>IF((42.4*(J616)^(-0.6595))&gt;=3,3,(IF(42.4*(J616)^(-0.6595)&lt;=0.5,0.5,(42.4*(J616)^(-0.6595)))))</f>
        <v>3</v>
      </c>
      <c r="S616" s="276">
        <f>_xlfn.XLOOKUP($K616,Inputs!$G$6:$G$23,Inputs!J$6:J$23)*$R616</f>
        <v>153.60000000000002</v>
      </c>
      <c r="T616" s="276">
        <f>_xlfn.XLOOKUP($K616,Inputs!$G$6:$G$23,Inputs!K$6:K$23)*$R616</f>
        <v>169.96721311475409</v>
      </c>
      <c r="U616" s="96" t="s">
        <v>3925</v>
      </c>
      <c r="V616" s="22" t="s">
        <v>3184</v>
      </c>
      <c r="W616" s="96" t="s">
        <v>3502</v>
      </c>
      <c r="X616" s="22" t="s">
        <v>2671</v>
      </c>
      <c r="Y616" s="11" t="s">
        <v>3331</v>
      </c>
      <c r="Z616" s="79"/>
      <c r="AA616" s="187">
        <v>605</v>
      </c>
    </row>
    <row r="617" spans="2:27" s="188" customFormat="1" ht="20" x14ac:dyDescent="0.2">
      <c r="B617" s="11" t="s">
        <v>807</v>
      </c>
      <c r="C617" s="165" t="s">
        <v>4237</v>
      </c>
      <c r="D617" s="22" t="s">
        <v>2379</v>
      </c>
      <c r="E617" s="34">
        <v>1</v>
      </c>
      <c r="F617" s="22" t="s">
        <v>2223</v>
      </c>
      <c r="G617" s="88">
        <v>21</v>
      </c>
      <c r="H617" s="235">
        <f t="shared" si="80"/>
        <v>12.962962962962962</v>
      </c>
      <c r="I617" s="88">
        <v>21</v>
      </c>
      <c r="J617" s="235">
        <f t="shared" si="81"/>
        <v>12.962962962962962</v>
      </c>
      <c r="K617" s="201">
        <v>144</v>
      </c>
      <c r="L617" s="252">
        <f>_xlfn.XLOOKUP($K617,Inputs!$C$6:$C$23,Inputs!$D$6:$D$23)*$I617</f>
        <v>9.1950000000000003</v>
      </c>
      <c r="M617" s="68"/>
      <c r="N617" s="68"/>
      <c r="O617" s="187"/>
      <c r="P617" s="187"/>
      <c r="Q617" s="94">
        <v>0.9</v>
      </c>
      <c r="R617" s="68">
        <f>IF((42.4*(J617)^(-0.6595))&gt;=3,3,(IF(42.4*(J617)^(-0.6595)&lt;=0.5,0.5,(42.4*(J617)^(-0.6595)))))</f>
        <v>3</v>
      </c>
      <c r="S617" s="276">
        <f>_xlfn.XLOOKUP($K617,Inputs!$G$6:$G$23,Inputs!J$6:J$23)*$R617</f>
        <v>153.60000000000002</v>
      </c>
      <c r="T617" s="276">
        <f>_xlfn.XLOOKUP($K617,Inputs!$G$6:$G$23,Inputs!K$6:K$23)*$R617</f>
        <v>169.96721311475409</v>
      </c>
      <c r="U617" s="96" t="s">
        <v>3658</v>
      </c>
      <c r="V617" s="22" t="s">
        <v>2930</v>
      </c>
      <c r="W617" s="96" t="s">
        <v>3411</v>
      </c>
      <c r="X617" s="22" t="s">
        <v>2764</v>
      </c>
      <c r="Y617" s="11" t="s">
        <v>3331</v>
      </c>
      <c r="Z617" s="79"/>
      <c r="AA617" s="187">
        <v>606</v>
      </c>
    </row>
    <row r="618" spans="2:27" s="188" customFormat="1" ht="20" x14ac:dyDescent="0.2">
      <c r="B618" s="11" t="s">
        <v>2015</v>
      </c>
      <c r="C618" s="165" t="s">
        <v>4237</v>
      </c>
      <c r="D618" s="22" t="s">
        <v>2379</v>
      </c>
      <c r="E618" s="34">
        <v>1</v>
      </c>
      <c r="F618" s="22" t="s">
        <v>2223</v>
      </c>
      <c r="G618" s="235">
        <v>50</v>
      </c>
      <c r="H618" s="235">
        <f t="shared" si="80"/>
        <v>30.864197530864196</v>
      </c>
      <c r="I618" s="235">
        <v>90</v>
      </c>
      <c r="J618" s="235">
        <f t="shared" si="81"/>
        <v>55.55555555555555</v>
      </c>
      <c r="K618" s="201">
        <v>144</v>
      </c>
      <c r="L618" s="252">
        <f>_xlfn.XLOOKUP($K618,Inputs!$C$6:$C$23,Inputs!$D$6:$D$23)*$I618</f>
        <v>39.407142857142858</v>
      </c>
      <c r="M618" s="68"/>
      <c r="N618" s="68"/>
      <c r="O618" s="215">
        <v>114</v>
      </c>
      <c r="P618" s="215">
        <v>146</v>
      </c>
      <c r="Q618" s="94">
        <v>0.9</v>
      </c>
      <c r="R618" s="68" t="s">
        <v>115</v>
      </c>
      <c r="S618" s="182">
        <f>O618*Q618</f>
        <v>102.60000000000001</v>
      </c>
      <c r="T618" s="182">
        <f>P618*Q618</f>
        <v>131.4</v>
      </c>
      <c r="U618" s="96" t="s">
        <v>3614</v>
      </c>
      <c r="V618" s="22" t="s">
        <v>2902</v>
      </c>
      <c r="W618" s="96" t="s">
        <v>3511</v>
      </c>
      <c r="X618" s="22" t="s">
        <v>2828</v>
      </c>
      <c r="Y618" s="11" t="s">
        <v>3273</v>
      </c>
      <c r="Z618" s="79"/>
      <c r="AA618" s="187">
        <v>607</v>
      </c>
    </row>
    <row r="619" spans="2:27" s="188" customFormat="1" ht="20" x14ac:dyDescent="0.2">
      <c r="B619" s="11" t="s">
        <v>2015</v>
      </c>
      <c r="C619" s="165" t="s">
        <v>4237</v>
      </c>
      <c r="D619" s="22" t="s">
        <v>2379</v>
      </c>
      <c r="E619" s="34">
        <v>1</v>
      </c>
      <c r="F619" s="22" t="s">
        <v>2223</v>
      </c>
      <c r="G619" s="88">
        <v>40</v>
      </c>
      <c r="H619" s="235">
        <f t="shared" si="80"/>
        <v>24.691358024691358</v>
      </c>
      <c r="I619" s="88">
        <v>90</v>
      </c>
      <c r="J619" s="235">
        <f t="shared" si="81"/>
        <v>55.55555555555555</v>
      </c>
      <c r="K619" s="201">
        <v>144</v>
      </c>
      <c r="L619" s="252">
        <f>_xlfn.XLOOKUP($K619,Inputs!$C$6:$C$23,Inputs!$D$6:$D$23)*$I619</f>
        <v>39.407142857142858</v>
      </c>
      <c r="M619" s="68"/>
      <c r="N619" s="68"/>
      <c r="O619" s="215">
        <v>114</v>
      </c>
      <c r="P619" s="215">
        <v>146</v>
      </c>
      <c r="Q619" s="94">
        <v>0.9</v>
      </c>
      <c r="R619" s="68" t="s">
        <v>115</v>
      </c>
      <c r="S619" s="182">
        <f>O619*Q619</f>
        <v>102.60000000000001</v>
      </c>
      <c r="T619" s="182">
        <f>P619*Q619</f>
        <v>131.4</v>
      </c>
      <c r="U619" s="96" t="s">
        <v>3511</v>
      </c>
      <c r="V619" s="22" t="s">
        <v>2828</v>
      </c>
      <c r="W619" s="96" t="s">
        <v>3925</v>
      </c>
      <c r="X619" s="22" t="s">
        <v>3184</v>
      </c>
      <c r="Y619" s="11" t="s">
        <v>3273</v>
      </c>
      <c r="Z619" s="79"/>
      <c r="AA619" s="187">
        <v>608</v>
      </c>
    </row>
    <row r="620" spans="2:27" s="188" customFormat="1" ht="20" x14ac:dyDescent="0.2">
      <c r="B620" s="11" t="s">
        <v>812</v>
      </c>
      <c r="C620" s="165" t="s">
        <v>4237</v>
      </c>
      <c r="D620" s="22" t="s">
        <v>2379</v>
      </c>
      <c r="E620" s="34">
        <v>1</v>
      </c>
      <c r="F620" s="22" t="s">
        <v>2223</v>
      </c>
      <c r="G620" s="88">
        <v>15</v>
      </c>
      <c r="H620" s="235">
        <f t="shared" si="80"/>
        <v>9.2592592592592595</v>
      </c>
      <c r="I620" s="88">
        <v>15</v>
      </c>
      <c r="J620" s="235">
        <f t="shared" si="81"/>
        <v>9.2592592592592595</v>
      </c>
      <c r="K620" s="201">
        <v>144</v>
      </c>
      <c r="L620" s="252">
        <f>_xlfn.XLOOKUP($K620,Inputs!$C$6:$C$23,Inputs!$D$6:$D$23)*$I620</f>
        <v>6.5678571428571431</v>
      </c>
      <c r="M620" s="68"/>
      <c r="N620" s="68"/>
      <c r="O620" s="215">
        <v>109.3</v>
      </c>
      <c r="P620" s="215">
        <v>139.9</v>
      </c>
      <c r="Q620" s="94">
        <v>0.9</v>
      </c>
      <c r="R620" s="68" t="s">
        <v>115</v>
      </c>
      <c r="S620" s="182">
        <f>O620*Q620</f>
        <v>98.37</v>
      </c>
      <c r="T620" s="182">
        <f>P620*Q620</f>
        <v>125.91000000000001</v>
      </c>
      <c r="U620" s="96" t="s">
        <v>3583</v>
      </c>
      <c r="V620" s="22" t="s">
        <v>2875</v>
      </c>
      <c r="W620" s="96" t="s">
        <v>3782</v>
      </c>
      <c r="X620" s="22" t="s">
        <v>2703</v>
      </c>
      <c r="Y620" s="11" t="s">
        <v>3314</v>
      </c>
      <c r="Z620" s="79"/>
      <c r="AA620" s="187">
        <v>609</v>
      </c>
    </row>
    <row r="621" spans="2:27" s="188" customFormat="1" ht="20" x14ac:dyDescent="0.2">
      <c r="B621" s="79" t="s">
        <v>815</v>
      </c>
      <c r="C621" s="165" t="s">
        <v>4237</v>
      </c>
      <c r="D621" s="22" t="s">
        <v>2379</v>
      </c>
      <c r="E621" s="34">
        <v>1</v>
      </c>
      <c r="F621" s="22" t="s">
        <v>2223</v>
      </c>
      <c r="G621" s="88">
        <v>25</v>
      </c>
      <c r="H621" s="235">
        <f t="shared" si="80"/>
        <v>15.432098765432098</v>
      </c>
      <c r="I621" s="88">
        <v>25</v>
      </c>
      <c r="J621" s="235">
        <f t="shared" si="81"/>
        <v>15.432098765432098</v>
      </c>
      <c r="K621" s="201">
        <v>144</v>
      </c>
      <c r="L621" s="252">
        <f>_xlfn.XLOOKUP($K621,Inputs!$C$6:$C$23,Inputs!$D$6:$D$23)*$I621</f>
        <v>10.946428571428573</v>
      </c>
      <c r="M621" s="68"/>
      <c r="N621" s="68"/>
      <c r="O621" s="187"/>
      <c r="P621" s="187"/>
      <c r="Q621" s="94">
        <v>0.9</v>
      </c>
      <c r="R621" s="68">
        <f>IF((42.4*(J621)^(-0.6595))&gt;=3,3,(IF(42.4*(J621)^(-0.6595)&lt;=0.5,0.5,(42.4*(J621)^(-0.6595)))))</f>
        <v>3</v>
      </c>
      <c r="S621" s="276">
        <f>_xlfn.XLOOKUP($K621,Inputs!$G$6:$G$23,Inputs!J$6:J$23)*$R621</f>
        <v>153.60000000000002</v>
      </c>
      <c r="T621" s="276">
        <f>_xlfn.XLOOKUP($K621,Inputs!$G$6:$G$23,Inputs!K$6:K$23)*$R621</f>
        <v>169.96721311475409</v>
      </c>
      <c r="U621" s="96" t="s">
        <v>3448</v>
      </c>
      <c r="V621" s="205" t="s">
        <v>2648</v>
      </c>
      <c r="W621" s="96" t="s">
        <v>3917</v>
      </c>
      <c r="X621" s="22" t="s">
        <v>3178</v>
      </c>
      <c r="Y621" s="11" t="s">
        <v>3331</v>
      </c>
      <c r="Z621" s="79"/>
      <c r="AA621" s="187">
        <v>610</v>
      </c>
    </row>
    <row r="622" spans="2:27" s="188" customFormat="1" ht="20" x14ac:dyDescent="0.2">
      <c r="B622" s="79" t="s">
        <v>1174</v>
      </c>
      <c r="C622" s="165" t="s">
        <v>4237</v>
      </c>
      <c r="D622" s="22" t="s">
        <v>2379</v>
      </c>
      <c r="E622" s="34">
        <v>1</v>
      </c>
      <c r="F622" s="22" t="s">
        <v>2223</v>
      </c>
      <c r="G622" s="88">
        <v>20</v>
      </c>
      <c r="H622" s="235">
        <f t="shared" si="80"/>
        <v>12.345679012345679</v>
      </c>
      <c r="I622" s="88">
        <v>20</v>
      </c>
      <c r="J622" s="235">
        <f t="shared" si="81"/>
        <v>12.345679012345679</v>
      </c>
      <c r="K622" s="201">
        <v>144</v>
      </c>
      <c r="L622" s="252">
        <f>_xlfn.XLOOKUP($K622,Inputs!$C$6:$C$23,Inputs!$D$6:$D$23)*$I622</f>
        <v>8.757142857142858</v>
      </c>
      <c r="M622" s="68"/>
      <c r="N622" s="68"/>
      <c r="O622" s="187"/>
      <c r="P622" s="187"/>
      <c r="Q622" s="94">
        <v>0.9</v>
      </c>
      <c r="R622" s="68">
        <f>IF((42.4*(J622)^(-0.6595))&gt;=3,3,(IF(42.4*(J622)^(-0.6595)&lt;=0.5,0.5,(42.4*(J622)^(-0.6595)))))</f>
        <v>3</v>
      </c>
      <c r="S622" s="276">
        <f>_xlfn.XLOOKUP($K622,Inputs!$G$6:$G$23,Inputs!J$6:J$23)*$R622</f>
        <v>153.60000000000002</v>
      </c>
      <c r="T622" s="276">
        <f>_xlfn.XLOOKUP($K622,Inputs!$G$6:$G$23,Inputs!K$6:K$23)*$R622</f>
        <v>169.96721311475409</v>
      </c>
      <c r="U622" s="96" t="s">
        <v>4009</v>
      </c>
      <c r="V622" s="22" t="s">
        <v>2156</v>
      </c>
      <c r="W622" s="96" t="s">
        <v>3908</v>
      </c>
      <c r="X622" s="22" t="s">
        <v>3169</v>
      </c>
      <c r="Y622" s="11" t="s">
        <v>3331</v>
      </c>
      <c r="Z622" s="79"/>
      <c r="AA622" s="187">
        <v>611</v>
      </c>
    </row>
    <row r="623" spans="2:27" s="188" customFormat="1" ht="20" x14ac:dyDescent="0.2">
      <c r="B623" s="79" t="s">
        <v>818</v>
      </c>
      <c r="C623" s="165" t="s">
        <v>4237</v>
      </c>
      <c r="D623" s="22" t="s">
        <v>2379</v>
      </c>
      <c r="E623" s="34">
        <v>1</v>
      </c>
      <c r="F623" s="22" t="s">
        <v>2223</v>
      </c>
      <c r="G623" s="88">
        <v>8</v>
      </c>
      <c r="H623" s="235">
        <f t="shared" si="80"/>
        <v>4.9382716049382713</v>
      </c>
      <c r="I623" s="88">
        <v>16</v>
      </c>
      <c r="J623" s="235">
        <f t="shared" si="81"/>
        <v>9.8765432098765427</v>
      </c>
      <c r="K623" s="201">
        <v>144</v>
      </c>
      <c r="L623" s="252">
        <f>_xlfn.XLOOKUP($K623,Inputs!$C$6:$C$23,Inputs!$D$6:$D$23)*$I623</f>
        <v>7.0057142857142862</v>
      </c>
      <c r="M623" s="68"/>
      <c r="N623" s="68"/>
      <c r="O623" s="215">
        <v>85</v>
      </c>
      <c r="P623" s="215">
        <v>134</v>
      </c>
      <c r="Q623" s="94">
        <v>0.9</v>
      </c>
      <c r="R623" s="68" t="s">
        <v>115</v>
      </c>
      <c r="S623" s="182">
        <f>O623*Q623</f>
        <v>76.5</v>
      </c>
      <c r="T623" s="182">
        <f>P623*Q623</f>
        <v>120.60000000000001</v>
      </c>
      <c r="U623" s="96" t="s">
        <v>3811</v>
      </c>
      <c r="V623" s="22" t="s">
        <v>3058</v>
      </c>
      <c r="W623" s="96" t="s">
        <v>3979</v>
      </c>
      <c r="X623" s="22" t="s">
        <v>2157</v>
      </c>
      <c r="Y623" s="11" t="s">
        <v>3295</v>
      </c>
      <c r="Z623" s="79"/>
      <c r="AA623" s="187">
        <v>612</v>
      </c>
    </row>
    <row r="624" spans="2:27" s="188" customFormat="1" ht="20" x14ac:dyDescent="0.2">
      <c r="B624" s="79" t="s">
        <v>818</v>
      </c>
      <c r="C624" s="165" t="s">
        <v>4237</v>
      </c>
      <c r="D624" s="22" t="s">
        <v>2379</v>
      </c>
      <c r="E624" s="34">
        <v>1</v>
      </c>
      <c r="F624" s="22" t="s">
        <v>2223</v>
      </c>
      <c r="G624" s="88">
        <v>8</v>
      </c>
      <c r="H624" s="235">
        <f t="shared" si="80"/>
        <v>4.9382716049382713</v>
      </c>
      <c r="I624" s="88">
        <v>16</v>
      </c>
      <c r="J624" s="235">
        <f t="shared" si="81"/>
        <v>9.8765432098765427</v>
      </c>
      <c r="K624" s="221">
        <v>144</v>
      </c>
      <c r="L624" s="252">
        <f>_xlfn.XLOOKUP($K624,Inputs!$C$6:$C$23,Inputs!$D$6:$D$23)*$I624</f>
        <v>7.0057142857142862</v>
      </c>
      <c r="M624" s="68"/>
      <c r="N624" s="68"/>
      <c r="O624" s="216">
        <v>49</v>
      </c>
      <c r="P624" s="216">
        <v>49</v>
      </c>
      <c r="Q624" s="94">
        <v>0.9</v>
      </c>
      <c r="R624" s="68" t="s">
        <v>115</v>
      </c>
      <c r="S624" s="182">
        <f>O624*Q624</f>
        <v>44.1</v>
      </c>
      <c r="T624" s="182">
        <f>P624*Q624</f>
        <v>44.1</v>
      </c>
      <c r="U624" s="96" t="s">
        <v>3979</v>
      </c>
      <c r="V624" s="22" t="s">
        <v>2157</v>
      </c>
      <c r="W624" s="96" t="s">
        <v>3668</v>
      </c>
      <c r="X624" s="22" t="s">
        <v>2940</v>
      </c>
      <c r="Y624" s="11" t="s">
        <v>3295</v>
      </c>
      <c r="Z624" s="79"/>
      <c r="AA624" s="187">
        <v>613</v>
      </c>
    </row>
    <row r="625" spans="2:27" s="188" customFormat="1" ht="20" x14ac:dyDescent="0.2">
      <c r="B625" s="79" t="s">
        <v>958</v>
      </c>
      <c r="C625" s="165" t="s">
        <v>4237</v>
      </c>
      <c r="D625" s="22" t="s">
        <v>2379</v>
      </c>
      <c r="E625" s="34">
        <v>1</v>
      </c>
      <c r="F625" s="22" t="s">
        <v>2223</v>
      </c>
      <c r="G625" s="88">
        <v>5</v>
      </c>
      <c r="H625" s="235">
        <f t="shared" si="80"/>
        <v>3.0864197530864197</v>
      </c>
      <c r="I625" s="88">
        <v>5</v>
      </c>
      <c r="J625" s="235">
        <f t="shared" si="81"/>
        <v>3.0864197530864197</v>
      </c>
      <c r="K625" s="201">
        <v>144</v>
      </c>
      <c r="L625" s="252">
        <f>_xlfn.XLOOKUP($K625,Inputs!$C$6:$C$23,Inputs!$D$6:$D$23)*$I625</f>
        <v>2.1892857142857145</v>
      </c>
      <c r="M625" s="68"/>
      <c r="N625" s="68"/>
      <c r="O625" s="215">
        <v>49</v>
      </c>
      <c r="P625" s="215">
        <v>49</v>
      </c>
      <c r="Q625" s="94">
        <v>0.9</v>
      </c>
      <c r="R625" s="68" t="s">
        <v>115</v>
      </c>
      <c r="S625" s="182">
        <f>O625*Q625</f>
        <v>44.1</v>
      </c>
      <c r="T625" s="182">
        <f>P625*Q625</f>
        <v>44.1</v>
      </c>
      <c r="U625" s="96" t="s">
        <v>3979</v>
      </c>
      <c r="V625" s="22" t="s">
        <v>2157</v>
      </c>
      <c r="W625" s="96" t="s">
        <v>3730</v>
      </c>
      <c r="X625" s="22" t="s">
        <v>2991</v>
      </c>
      <c r="Y625" s="11" t="s">
        <v>3273</v>
      </c>
      <c r="Z625" s="79"/>
      <c r="AA625" s="187">
        <v>614</v>
      </c>
    </row>
    <row r="626" spans="2:27" s="184" customFormat="1" ht="20" x14ac:dyDescent="0.2">
      <c r="B626" s="11" t="s">
        <v>821</v>
      </c>
      <c r="C626" s="165" t="s">
        <v>4237</v>
      </c>
      <c r="D626" s="22" t="s">
        <v>2379</v>
      </c>
      <c r="E626" s="34">
        <v>1</v>
      </c>
      <c r="F626" s="22" t="s">
        <v>2223</v>
      </c>
      <c r="G626" s="88">
        <v>12</v>
      </c>
      <c r="H626" s="235">
        <f t="shared" si="80"/>
        <v>7.4074074074074066</v>
      </c>
      <c r="I626" s="88">
        <v>12</v>
      </c>
      <c r="J626" s="235">
        <f t="shared" si="81"/>
        <v>7.4074074074074066</v>
      </c>
      <c r="K626" s="201">
        <v>144</v>
      </c>
      <c r="L626" s="252">
        <f>_xlfn.XLOOKUP($K626,Inputs!$C$6:$C$23,Inputs!$D$6:$D$23)*$I626</f>
        <v>5.2542857142857144</v>
      </c>
      <c r="M626" s="68"/>
      <c r="N626" s="68"/>
      <c r="O626" s="215">
        <v>109.3</v>
      </c>
      <c r="P626" s="215">
        <v>139.9</v>
      </c>
      <c r="Q626" s="94">
        <v>0.9</v>
      </c>
      <c r="R626" s="68" t="s">
        <v>115</v>
      </c>
      <c r="S626" s="182">
        <f>O626*Q626</f>
        <v>98.37</v>
      </c>
      <c r="T626" s="182">
        <f>P626*Q626</f>
        <v>125.91000000000001</v>
      </c>
      <c r="U626" s="96" t="s">
        <v>3690</v>
      </c>
      <c r="V626" s="22" t="s">
        <v>2632</v>
      </c>
      <c r="W626" s="96" t="s">
        <v>3782</v>
      </c>
      <c r="X626" s="22" t="s">
        <v>2703</v>
      </c>
      <c r="Y626" s="11" t="s">
        <v>3314</v>
      </c>
      <c r="Z626" s="79"/>
      <c r="AA626" s="187">
        <v>615</v>
      </c>
    </row>
    <row r="627" spans="2:27" s="188" customFormat="1" ht="20" x14ac:dyDescent="0.2">
      <c r="B627" s="11" t="s">
        <v>823</v>
      </c>
      <c r="C627" s="165" t="s">
        <v>4237</v>
      </c>
      <c r="D627" s="22" t="s">
        <v>2379</v>
      </c>
      <c r="E627" s="34">
        <v>1</v>
      </c>
      <c r="F627" s="22" t="s">
        <v>2223</v>
      </c>
      <c r="G627" s="235">
        <v>25</v>
      </c>
      <c r="H627" s="235">
        <f t="shared" si="80"/>
        <v>15.432098765432098</v>
      </c>
      <c r="I627" s="235">
        <v>25</v>
      </c>
      <c r="J627" s="235">
        <f t="shared" si="81"/>
        <v>15.432098765432098</v>
      </c>
      <c r="K627" s="201">
        <v>144</v>
      </c>
      <c r="L627" s="252">
        <f>_xlfn.XLOOKUP($K627,Inputs!$C$6:$C$23,Inputs!$D$6:$D$23)*$I627</f>
        <v>10.946428571428573</v>
      </c>
      <c r="M627" s="68"/>
      <c r="N627" s="68"/>
      <c r="O627" s="206"/>
      <c r="P627" s="206"/>
      <c r="Q627" s="94">
        <v>0.9</v>
      </c>
      <c r="R627" s="68">
        <f>IF((42.4*(J627)^(-0.6595))&gt;=3,3,(IF(42.4*(J627)^(-0.6595)&lt;=0.5,0.5,(42.4*(J627)^(-0.6595)))))</f>
        <v>3</v>
      </c>
      <c r="S627" s="276">
        <f>_xlfn.XLOOKUP($K627,Inputs!$G$6:$G$23,Inputs!J$6:J$23)*$R627</f>
        <v>153.60000000000002</v>
      </c>
      <c r="T627" s="276">
        <f>_xlfn.XLOOKUP($K627,Inputs!$G$6:$G$23,Inputs!K$6:K$23)*$R627</f>
        <v>169.96721311475409</v>
      </c>
      <c r="U627" s="96" t="s">
        <v>3663</v>
      </c>
      <c r="V627" s="22" t="s">
        <v>2935</v>
      </c>
      <c r="W627" s="96" t="s">
        <v>3788</v>
      </c>
      <c r="X627" s="22" t="s">
        <v>3039</v>
      </c>
      <c r="Y627" s="11" t="s">
        <v>3331</v>
      </c>
      <c r="Z627" s="79"/>
      <c r="AA627" s="187">
        <v>616</v>
      </c>
    </row>
    <row r="628" spans="2:27" s="188" customFormat="1" ht="20" x14ac:dyDescent="0.2">
      <c r="B628" s="11" t="s">
        <v>1408</v>
      </c>
      <c r="C628" s="165" t="s">
        <v>4237</v>
      </c>
      <c r="D628" s="22" t="s">
        <v>2379</v>
      </c>
      <c r="E628" s="34">
        <v>1</v>
      </c>
      <c r="F628" s="22" t="s">
        <v>2223</v>
      </c>
      <c r="G628" s="88">
        <v>9</v>
      </c>
      <c r="H628" s="235">
        <f t="shared" si="80"/>
        <v>5.5555555555555554</v>
      </c>
      <c r="I628" s="88">
        <v>9</v>
      </c>
      <c r="J628" s="235">
        <f t="shared" si="81"/>
        <v>5.5555555555555554</v>
      </c>
      <c r="K628" s="201">
        <v>144</v>
      </c>
      <c r="L628" s="252">
        <f>_xlfn.XLOOKUP($K628,Inputs!$C$6:$C$23,Inputs!$D$6:$D$23)*$I628</f>
        <v>3.9407142857142858</v>
      </c>
      <c r="M628" s="68"/>
      <c r="N628" s="68"/>
      <c r="O628" s="215">
        <v>109</v>
      </c>
      <c r="P628" s="215">
        <v>139</v>
      </c>
      <c r="Q628" s="94">
        <v>0.9</v>
      </c>
      <c r="R628" s="68" t="s">
        <v>115</v>
      </c>
      <c r="S628" s="182">
        <f>O628*Q628</f>
        <v>98.100000000000009</v>
      </c>
      <c r="T628" s="182">
        <f>P628*Q628</f>
        <v>125.10000000000001</v>
      </c>
      <c r="U628" s="96" t="s">
        <v>3699</v>
      </c>
      <c r="V628" s="22" t="s">
        <v>2966</v>
      </c>
      <c r="W628" s="96" t="s">
        <v>3701</v>
      </c>
      <c r="X628" s="22" t="s">
        <v>2967</v>
      </c>
      <c r="Y628" s="11" t="s">
        <v>3309</v>
      </c>
      <c r="Z628" s="79"/>
      <c r="AA628" s="187">
        <v>617</v>
      </c>
    </row>
    <row r="629" spans="2:27" s="188" customFormat="1" ht="20" x14ac:dyDescent="0.2">
      <c r="B629" s="11" t="s">
        <v>826</v>
      </c>
      <c r="C629" s="165" t="s">
        <v>4237</v>
      </c>
      <c r="D629" s="22" t="s">
        <v>2379</v>
      </c>
      <c r="E629" s="34">
        <v>1</v>
      </c>
      <c r="F629" s="22" t="s">
        <v>2223</v>
      </c>
      <c r="G629" s="235">
        <v>80</v>
      </c>
      <c r="H629" s="235">
        <f t="shared" si="80"/>
        <v>49.382716049382715</v>
      </c>
      <c r="I629" s="235">
        <v>80</v>
      </c>
      <c r="J629" s="235">
        <f t="shared" si="81"/>
        <v>49.382716049382715</v>
      </c>
      <c r="K629" s="201">
        <v>144</v>
      </c>
      <c r="L629" s="252">
        <f>_xlfn.XLOOKUP($K629,Inputs!$C$6:$C$23,Inputs!$D$6:$D$23)*$I629</f>
        <v>35.028571428571432</v>
      </c>
      <c r="M629" s="68"/>
      <c r="N629" s="68"/>
      <c r="O629" s="215">
        <v>300</v>
      </c>
      <c r="P629" s="215">
        <v>300</v>
      </c>
      <c r="Q629" s="94">
        <v>0.9</v>
      </c>
      <c r="R629" s="68" t="s">
        <v>115</v>
      </c>
      <c r="S629" s="182">
        <f>O629*Q629</f>
        <v>270</v>
      </c>
      <c r="T629" s="182">
        <f>P629*Q629</f>
        <v>270</v>
      </c>
      <c r="U629" s="96" t="s">
        <v>3917</v>
      </c>
      <c r="V629" s="22" t="s">
        <v>3178</v>
      </c>
      <c r="W629" s="96" t="s">
        <v>3715</v>
      </c>
      <c r="X629" s="22" t="s">
        <v>2979</v>
      </c>
      <c r="Y629" s="11" t="s">
        <v>3272</v>
      </c>
      <c r="Z629" s="79"/>
      <c r="AA629" s="187">
        <v>618</v>
      </c>
    </row>
    <row r="630" spans="2:27" s="184" customFormat="1" ht="20" x14ac:dyDescent="0.2">
      <c r="B630" s="11" t="s">
        <v>828</v>
      </c>
      <c r="C630" s="165" t="s">
        <v>4237</v>
      </c>
      <c r="D630" s="22" t="s">
        <v>2379</v>
      </c>
      <c r="E630" s="34">
        <v>1</v>
      </c>
      <c r="F630" s="22" t="s">
        <v>2223</v>
      </c>
      <c r="G630" s="88">
        <v>25</v>
      </c>
      <c r="H630" s="235">
        <f t="shared" si="80"/>
        <v>15.432098765432098</v>
      </c>
      <c r="I630" s="88">
        <v>25</v>
      </c>
      <c r="J630" s="235">
        <f t="shared" si="81"/>
        <v>15.432098765432098</v>
      </c>
      <c r="K630" s="201">
        <v>144</v>
      </c>
      <c r="L630" s="252">
        <f>_xlfn.XLOOKUP($K630,Inputs!$C$6:$C$23,Inputs!$D$6:$D$23)*$I630</f>
        <v>10.946428571428573</v>
      </c>
      <c r="M630" s="68"/>
      <c r="N630" s="68"/>
      <c r="O630" s="215">
        <v>165</v>
      </c>
      <c r="P630" s="215">
        <v>211</v>
      </c>
      <c r="Q630" s="94">
        <v>0.9</v>
      </c>
      <c r="R630" s="68" t="s">
        <v>115</v>
      </c>
      <c r="S630" s="182">
        <f>O630*Q630</f>
        <v>148.5</v>
      </c>
      <c r="T630" s="182">
        <f>P630*Q630</f>
        <v>189.9</v>
      </c>
      <c r="U630" s="96" t="s">
        <v>458</v>
      </c>
      <c r="V630" s="22" t="s">
        <v>2705</v>
      </c>
      <c r="W630" s="96" t="s">
        <v>4292</v>
      </c>
      <c r="X630" s="22" t="s">
        <v>2735</v>
      </c>
      <c r="Y630" s="11" t="s">
        <v>3272</v>
      </c>
      <c r="Z630" s="79"/>
      <c r="AA630" s="187">
        <v>619</v>
      </c>
    </row>
    <row r="631" spans="2:27" s="188" customFormat="1" ht="20" x14ac:dyDescent="0.2">
      <c r="B631" s="11" t="s">
        <v>1502</v>
      </c>
      <c r="C631" s="165" t="s">
        <v>4237</v>
      </c>
      <c r="D631" s="22" t="s">
        <v>2379</v>
      </c>
      <c r="E631" s="34">
        <v>1</v>
      </c>
      <c r="F631" s="22" t="s">
        <v>2223</v>
      </c>
      <c r="G631" s="88">
        <v>9</v>
      </c>
      <c r="H631" s="235">
        <f t="shared" si="80"/>
        <v>5.5555555555555554</v>
      </c>
      <c r="I631" s="88">
        <v>9</v>
      </c>
      <c r="J631" s="235">
        <f t="shared" si="81"/>
        <v>5.5555555555555554</v>
      </c>
      <c r="K631" s="215">
        <v>138</v>
      </c>
      <c r="L631" s="252">
        <f>_xlfn.XLOOKUP($K631,Inputs!$C$6:$C$23,Inputs!$D$6:$D$23)*$I631</f>
        <v>3.9021428571428576</v>
      </c>
      <c r="M631" s="68"/>
      <c r="N631" s="68"/>
      <c r="O631" s="215">
        <v>109.3</v>
      </c>
      <c r="P631" s="215">
        <v>139</v>
      </c>
      <c r="Q631" s="94">
        <v>0.9</v>
      </c>
      <c r="R631" s="68" t="s">
        <v>115</v>
      </c>
      <c r="S631" s="182">
        <f>O631*Q631</f>
        <v>98.37</v>
      </c>
      <c r="T631" s="182">
        <f>P631*Q631</f>
        <v>125.10000000000001</v>
      </c>
      <c r="U631" s="96" t="s">
        <v>3726</v>
      </c>
      <c r="V631" s="22" t="s">
        <v>2988</v>
      </c>
      <c r="W631" s="96" t="s">
        <v>3691</v>
      </c>
      <c r="X631" s="22" t="s">
        <v>2960</v>
      </c>
      <c r="Y631" s="11" t="s">
        <v>3299</v>
      </c>
      <c r="Z631" s="79"/>
      <c r="AA631" s="187">
        <v>620</v>
      </c>
    </row>
    <row r="632" spans="2:27" s="188" customFormat="1" ht="20" x14ac:dyDescent="0.2">
      <c r="B632" s="11" t="s">
        <v>831</v>
      </c>
      <c r="C632" s="165" t="s">
        <v>4237</v>
      </c>
      <c r="D632" s="22" t="s">
        <v>2379</v>
      </c>
      <c r="E632" s="34">
        <v>1</v>
      </c>
      <c r="F632" s="22" t="s">
        <v>2223</v>
      </c>
      <c r="G632" s="88">
        <v>25</v>
      </c>
      <c r="H632" s="235">
        <f t="shared" si="80"/>
        <v>15.432098765432098</v>
      </c>
      <c r="I632" s="88">
        <v>25</v>
      </c>
      <c r="J632" s="235">
        <f t="shared" si="81"/>
        <v>15.432098765432098</v>
      </c>
      <c r="K632" s="221">
        <v>144</v>
      </c>
      <c r="L632" s="252">
        <f>_xlfn.XLOOKUP($K632,Inputs!$C$6:$C$23,Inputs!$D$6:$D$23)*$I632</f>
        <v>10.946428571428573</v>
      </c>
      <c r="M632" s="68"/>
      <c r="N632" s="68"/>
      <c r="O632" s="216">
        <v>114</v>
      </c>
      <c r="P632" s="216">
        <v>145</v>
      </c>
      <c r="Q632" s="94">
        <v>0.9</v>
      </c>
      <c r="R632" s="68" t="s">
        <v>115</v>
      </c>
      <c r="S632" s="182">
        <f>O632*Q632</f>
        <v>102.60000000000001</v>
      </c>
      <c r="T632" s="182">
        <f>P632*Q632</f>
        <v>130.5</v>
      </c>
      <c r="U632" s="96" t="s">
        <v>3799</v>
      </c>
      <c r="V632" s="22" t="s">
        <v>3049</v>
      </c>
      <c r="W632" s="96" t="s">
        <v>4292</v>
      </c>
      <c r="X632" s="22" t="s">
        <v>2735</v>
      </c>
      <c r="Y632" s="11" t="s">
        <v>3272</v>
      </c>
      <c r="Z632" s="79"/>
      <c r="AA632" s="187">
        <v>621</v>
      </c>
    </row>
    <row r="633" spans="2:27" s="188" customFormat="1" ht="20" x14ac:dyDescent="0.2">
      <c r="B633" s="11" t="s">
        <v>833</v>
      </c>
      <c r="C633" s="165" t="s">
        <v>4237</v>
      </c>
      <c r="D633" s="22" t="s">
        <v>2379</v>
      </c>
      <c r="E633" s="34">
        <v>1</v>
      </c>
      <c r="F633" s="22" t="s">
        <v>2223</v>
      </c>
      <c r="G633" s="88">
        <v>18.480000000000004</v>
      </c>
      <c r="H633" s="235">
        <f t="shared" si="80"/>
        <v>11.407407407407408</v>
      </c>
      <c r="I633" s="88">
        <v>36.960000000000008</v>
      </c>
      <c r="J633" s="235">
        <f t="shared" si="81"/>
        <v>22.814814814814817</v>
      </c>
      <c r="K633" s="201">
        <v>144</v>
      </c>
      <c r="L633" s="252">
        <f>_xlfn.XLOOKUP($K633,Inputs!$C$6:$C$23,Inputs!$D$6:$D$23)*$I633</f>
        <v>16.183200000000003</v>
      </c>
      <c r="M633" s="68"/>
      <c r="N633" s="68"/>
      <c r="O633" s="187"/>
      <c r="P633" s="187"/>
      <c r="Q633" s="94">
        <v>0.9</v>
      </c>
      <c r="R633" s="68">
        <f>IF((42.4*(J633)^(-0.6595))&gt;=3,3,(IF(42.4*(J633)^(-0.6595)&lt;=0.5,0.5,(42.4*(J633)^(-0.6595)))))</f>
        <v>3</v>
      </c>
      <c r="S633" s="276">
        <f>_xlfn.XLOOKUP($K633,Inputs!$G$6:$G$23,Inputs!J$6:J$23)*$R633</f>
        <v>153.60000000000002</v>
      </c>
      <c r="T633" s="276">
        <f>_xlfn.XLOOKUP($K633,Inputs!$G$6:$G$23,Inputs!K$6:K$23)*$R633</f>
        <v>169.96721311475409</v>
      </c>
      <c r="U633" s="96" t="s">
        <v>3679</v>
      </c>
      <c r="V633" s="22" t="s">
        <v>2952</v>
      </c>
      <c r="W633" s="96" t="s">
        <v>3461</v>
      </c>
      <c r="X633" s="22" t="s">
        <v>2159</v>
      </c>
      <c r="Y633" s="11" t="s">
        <v>3331</v>
      </c>
      <c r="Z633" s="79"/>
      <c r="AA633" s="187">
        <v>622</v>
      </c>
    </row>
    <row r="634" spans="2:27" s="188" customFormat="1" ht="20" x14ac:dyDescent="0.2">
      <c r="B634" s="11" t="s">
        <v>833</v>
      </c>
      <c r="C634" s="165" t="s">
        <v>4237</v>
      </c>
      <c r="D634" s="22" t="s">
        <v>2379</v>
      </c>
      <c r="E634" s="34">
        <v>1</v>
      </c>
      <c r="F634" s="22" t="s">
        <v>2223</v>
      </c>
      <c r="G634" s="88">
        <v>18.480000000000004</v>
      </c>
      <c r="H634" s="235">
        <f t="shared" si="80"/>
        <v>11.407407407407408</v>
      </c>
      <c r="I634" s="88">
        <v>36.960000000000008</v>
      </c>
      <c r="J634" s="235">
        <f t="shared" si="81"/>
        <v>22.814814814814817</v>
      </c>
      <c r="K634" s="201">
        <v>144</v>
      </c>
      <c r="L634" s="252">
        <f>_xlfn.XLOOKUP($K634,Inputs!$C$6:$C$23,Inputs!$D$6:$D$23)*$I634</f>
        <v>16.183200000000003</v>
      </c>
      <c r="M634" s="68"/>
      <c r="N634" s="68"/>
      <c r="O634" s="187"/>
      <c r="P634" s="187"/>
      <c r="Q634" s="94">
        <v>0.9</v>
      </c>
      <c r="R634" s="68">
        <f>IF((42.4*(J634)^(-0.6595))&gt;=3,3,(IF(42.4*(J634)^(-0.6595)&lt;=0.5,0.5,(42.4*(J634)^(-0.6595)))))</f>
        <v>3</v>
      </c>
      <c r="S634" s="276">
        <f>_xlfn.XLOOKUP($K634,Inputs!$G$6:$G$23,Inputs!J$6:J$23)*$R634</f>
        <v>153.60000000000002</v>
      </c>
      <c r="T634" s="276">
        <f>_xlfn.XLOOKUP($K634,Inputs!$G$6:$G$23,Inputs!K$6:K$23)*$R634</f>
        <v>169.96721311475409</v>
      </c>
      <c r="U634" s="96" t="s">
        <v>3461</v>
      </c>
      <c r="V634" s="22" t="s">
        <v>2159</v>
      </c>
      <c r="W634" s="96" t="s">
        <v>3905</v>
      </c>
      <c r="X634" s="22" t="s">
        <v>3166</v>
      </c>
      <c r="Y634" s="11" t="s">
        <v>3331</v>
      </c>
      <c r="Z634" s="79"/>
      <c r="AA634" s="187">
        <v>623</v>
      </c>
    </row>
    <row r="635" spans="2:27" s="184" customFormat="1" ht="20" x14ac:dyDescent="0.2">
      <c r="B635" s="11" t="s">
        <v>959</v>
      </c>
      <c r="C635" s="165" t="s">
        <v>4237</v>
      </c>
      <c r="D635" s="22" t="s">
        <v>2379</v>
      </c>
      <c r="E635" s="34">
        <v>1</v>
      </c>
      <c r="F635" s="22" t="s">
        <v>2223</v>
      </c>
      <c r="G635" s="88">
        <v>15.120000000000001</v>
      </c>
      <c r="H635" s="235">
        <f t="shared" si="80"/>
        <v>9.3333333333333339</v>
      </c>
      <c r="I635" s="88">
        <v>15.120000000000001</v>
      </c>
      <c r="J635" s="235">
        <f t="shared" si="81"/>
        <v>9.3333333333333339</v>
      </c>
      <c r="K635" s="201">
        <v>144</v>
      </c>
      <c r="L635" s="252">
        <f>_xlfn.XLOOKUP($K635,Inputs!$C$6:$C$23,Inputs!$D$6:$D$23)*$I635</f>
        <v>6.620400000000001</v>
      </c>
      <c r="M635" s="68"/>
      <c r="N635" s="68"/>
      <c r="O635" s="187"/>
      <c r="P635" s="187"/>
      <c r="Q635" s="94">
        <v>0.9</v>
      </c>
      <c r="R635" s="68">
        <f>IF((42.4*(J635)^(-0.6595))&gt;=3,3,(IF(42.4*(J635)^(-0.6595)&lt;=0.5,0.5,(42.4*(J635)^(-0.6595)))))</f>
        <v>3</v>
      </c>
      <c r="S635" s="276">
        <f>_xlfn.XLOOKUP($K635,Inputs!$G$6:$G$23,Inputs!J$6:J$23)*$R635</f>
        <v>153.60000000000002</v>
      </c>
      <c r="T635" s="276">
        <f>_xlfn.XLOOKUP($K635,Inputs!$G$6:$G$23,Inputs!K$6:K$23)*$R635</f>
        <v>169.96721311475409</v>
      </c>
      <c r="U635" s="96" t="s">
        <v>3461</v>
      </c>
      <c r="V635" s="22" t="s">
        <v>2159</v>
      </c>
      <c r="W635" s="96" t="s">
        <v>3460</v>
      </c>
      <c r="X635" s="22" t="s">
        <v>2794</v>
      </c>
      <c r="Y635" s="11" t="s">
        <v>3331</v>
      </c>
      <c r="Z635" s="79"/>
      <c r="AA635" s="187">
        <v>624</v>
      </c>
    </row>
    <row r="636" spans="2:27" s="188" customFormat="1" ht="20" x14ac:dyDescent="0.2">
      <c r="B636" s="11" t="s">
        <v>1511</v>
      </c>
      <c r="C636" s="165" t="s">
        <v>4237</v>
      </c>
      <c r="D636" s="22" t="s">
        <v>2379</v>
      </c>
      <c r="E636" s="34">
        <v>1</v>
      </c>
      <c r="F636" s="22" t="s">
        <v>2223</v>
      </c>
      <c r="G636" s="235">
        <v>8</v>
      </c>
      <c r="H636" s="235">
        <f t="shared" si="80"/>
        <v>4.9382716049382713</v>
      </c>
      <c r="I636" s="235">
        <v>8</v>
      </c>
      <c r="J636" s="235">
        <f t="shared" si="81"/>
        <v>4.9382716049382713</v>
      </c>
      <c r="K636" s="215">
        <v>138</v>
      </c>
      <c r="L636" s="252">
        <f>_xlfn.XLOOKUP($K636,Inputs!$C$6:$C$23,Inputs!$D$6:$D$23)*$I636</f>
        <v>3.4685714285714289</v>
      </c>
      <c r="M636" s="68"/>
      <c r="N636" s="68"/>
      <c r="O636" s="215">
        <v>95</v>
      </c>
      <c r="P636" s="215">
        <v>95</v>
      </c>
      <c r="Q636" s="94">
        <v>0.9</v>
      </c>
      <c r="R636" s="68" t="s">
        <v>115</v>
      </c>
      <c r="S636" s="182">
        <f>O636*Q636</f>
        <v>85.5</v>
      </c>
      <c r="T636" s="182">
        <f>P636*Q636</f>
        <v>85.5</v>
      </c>
      <c r="U636" s="96" t="s">
        <v>3675</v>
      </c>
      <c r="V636" s="22" t="s">
        <v>2948</v>
      </c>
      <c r="W636" s="96" t="s">
        <v>3550</v>
      </c>
      <c r="X636" s="22" t="s">
        <v>2852</v>
      </c>
      <c r="Y636" s="11" t="s">
        <v>3299</v>
      </c>
      <c r="Z636" s="79"/>
      <c r="AA636" s="187">
        <v>625</v>
      </c>
    </row>
    <row r="637" spans="2:27" s="184" customFormat="1" ht="20" x14ac:dyDescent="0.2">
      <c r="B637" s="11" t="s">
        <v>1432</v>
      </c>
      <c r="C637" s="165" t="s">
        <v>4237</v>
      </c>
      <c r="D637" s="22" t="s">
        <v>2379</v>
      </c>
      <c r="E637" s="34">
        <v>1</v>
      </c>
      <c r="F637" s="22" t="s">
        <v>2223</v>
      </c>
      <c r="G637" s="88">
        <v>21</v>
      </c>
      <c r="H637" s="235">
        <f t="shared" si="80"/>
        <v>12.962962962962962</v>
      </c>
      <c r="I637" s="88">
        <v>21</v>
      </c>
      <c r="J637" s="235">
        <f t="shared" si="81"/>
        <v>12.962962962962962</v>
      </c>
      <c r="K637" s="215">
        <v>138</v>
      </c>
      <c r="L637" s="252">
        <f>_xlfn.XLOOKUP($K637,Inputs!$C$6:$C$23,Inputs!$D$6:$D$23)*$I637</f>
        <v>9.1050000000000004</v>
      </c>
      <c r="M637" s="68"/>
      <c r="N637" s="68"/>
      <c r="O637" s="215">
        <v>123.6</v>
      </c>
      <c r="P637" s="215">
        <v>150.4</v>
      </c>
      <c r="Q637" s="94">
        <v>0.9</v>
      </c>
      <c r="R637" s="68" t="s">
        <v>115</v>
      </c>
      <c r="S637" s="182">
        <f>O637*Q637</f>
        <v>111.24</v>
      </c>
      <c r="T637" s="182">
        <f>P637*Q637</f>
        <v>135.36000000000001</v>
      </c>
      <c r="U637" s="96" t="s">
        <v>3635</v>
      </c>
      <c r="V637" s="22" t="s">
        <v>2916</v>
      </c>
      <c r="W637" s="96" t="s">
        <v>3894</v>
      </c>
      <c r="X637" s="22" t="s">
        <v>3154</v>
      </c>
      <c r="Y637" s="11" t="s">
        <v>3291</v>
      </c>
      <c r="Z637" s="79"/>
      <c r="AA637" s="187">
        <v>626</v>
      </c>
    </row>
    <row r="638" spans="2:27" s="188" customFormat="1" ht="20" x14ac:dyDescent="0.2">
      <c r="B638" s="11" t="s">
        <v>1168</v>
      </c>
      <c r="C638" s="165" t="s">
        <v>4237</v>
      </c>
      <c r="D638" s="22" t="s">
        <v>2379</v>
      </c>
      <c r="E638" s="34">
        <v>1</v>
      </c>
      <c r="F638" s="22" t="s">
        <v>2223</v>
      </c>
      <c r="G638" s="88">
        <v>35</v>
      </c>
      <c r="H638" s="235">
        <f t="shared" si="80"/>
        <v>21.604938271604937</v>
      </c>
      <c r="I638" s="88">
        <v>50</v>
      </c>
      <c r="J638" s="235">
        <f t="shared" si="81"/>
        <v>30.864197530864196</v>
      </c>
      <c r="K638" s="201">
        <v>144</v>
      </c>
      <c r="L638" s="252">
        <f>_xlfn.XLOOKUP($K638,Inputs!$C$6:$C$23,Inputs!$D$6:$D$23)*$I638</f>
        <v>21.892857142857146</v>
      </c>
      <c r="M638" s="68"/>
      <c r="N638" s="68"/>
      <c r="O638" s="215">
        <v>114</v>
      </c>
      <c r="P638" s="215">
        <v>145</v>
      </c>
      <c r="Q638" s="94">
        <v>0.9</v>
      </c>
      <c r="R638" s="68" t="s">
        <v>115</v>
      </c>
      <c r="S638" s="182">
        <f>O638*Q638</f>
        <v>102.60000000000001</v>
      </c>
      <c r="T638" s="182">
        <f>P638*Q638</f>
        <v>130.5</v>
      </c>
      <c r="U638" s="96" t="s">
        <v>3917</v>
      </c>
      <c r="V638" s="22" t="s">
        <v>3178</v>
      </c>
      <c r="W638" s="96" t="s">
        <v>3996</v>
      </c>
      <c r="X638" s="22" t="s">
        <v>2160</v>
      </c>
      <c r="Y638" s="11" t="s">
        <v>3272</v>
      </c>
      <c r="Z638" s="79"/>
      <c r="AA638" s="187">
        <v>627</v>
      </c>
    </row>
    <row r="639" spans="2:27" s="184" customFormat="1" ht="20" x14ac:dyDescent="0.2">
      <c r="B639" s="11" t="s">
        <v>1168</v>
      </c>
      <c r="C639" s="165" t="s">
        <v>4237</v>
      </c>
      <c r="D639" s="22" t="s">
        <v>2379</v>
      </c>
      <c r="E639" s="34">
        <v>1</v>
      </c>
      <c r="F639" s="22" t="s">
        <v>2223</v>
      </c>
      <c r="G639" s="88">
        <v>15</v>
      </c>
      <c r="H639" s="235">
        <f t="shared" si="80"/>
        <v>9.2592592592592595</v>
      </c>
      <c r="I639" s="88">
        <v>50</v>
      </c>
      <c r="J639" s="235">
        <f t="shared" si="81"/>
        <v>30.864197530864196</v>
      </c>
      <c r="K639" s="201">
        <v>144</v>
      </c>
      <c r="L639" s="252">
        <f>_xlfn.XLOOKUP($K639,Inputs!$C$6:$C$23,Inputs!$D$6:$D$23)*$I639</f>
        <v>21.892857142857146</v>
      </c>
      <c r="M639" s="68"/>
      <c r="N639" s="68"/>
      <c r="O639" s="215">
        <v>114</v>
      </c>
      <c r="P639" s="215">
        <v>145</v>
      </c>
      <c r="Q639" s="94">
        <v>0.9</v>
      </c>
      <c r="R639" s="68" t="s">
        <v>115</v>
      </c>
      <c r="S639" s="182">
        <f>O639*Q639</f>
        <v>102.60000000000001</v>
      </c>
      <c r="T639" s="182">
        <f>P639*Q639</f>
        <v>130.5</v>
      </c>
      <c r="U639" s="96" t="s">
        <v>3996</v>
      </c>
      <c r="V639" s="22" t="s">
        <v>2160</v>
      </c>
      <c r="W639" s="96" t="s">
        <v>3692</v>
      </c>
      <c r="X639" s="22" t="s">
        <v>2961</v>
      </c>
      <c r="Y639" s="11" t="s">
        <v>3272</v>
      </c>
      <c r="Z639" s="79"/>
      <c r="AA639" s="187">
        <v>628</v>
      </c>
    </row>
    <row r="640" spans="2:27" s="184" customFormat="1" ht="20" x14ac:dyDescent="0.2">
      <c r="B640" s="11" t="s">
        <v>1169</v>
      </c>
      <c r="C640" s="165" t="s">
        <v>4237</v>
      </c>
      <c r="D640" s="22" t="s">
        <v>2379</v>
      </c>
      <c r="E640" s="34">
        <v>1</v>
      </c>
      <c r="F640" s="22" t="s">
        <v>2223</v>
      </c>
      <c r="G640" s="88">
        <v>10</v>
      </c>
      <c r="H640" s="235">
        <f t="shared" si="80"/>
        <v>6.1728395061728394</v>
      </c>
      <c r="I640" s="88">
        <v>10</v>
      </c>
      <c r="J640" s="235">
        <f t="shared" si="81"/>
        <v>6.1728395061728394</v>
      </c>
      <c r="K640" s="201">
        <v>144</v>
      </c>
      <c r="L640" s="252">
        <f>_xlfn.XLOOKUP($K640,Inputs!$C$6:$C$23,Inputs!$D$6:$D$23)*$I640</f>
        <v>4.378571428571429</v>
      </c>
      <c r="M640" s="68"/>
      <c r="N640" s="68"/>
      <c r="O640" s="187"/>
      <c r="P640" s="187"/>
      <c r="Q640" s="94">
        <v>0.9</v>
      </c>
      <c r="R640" s="68">
        <f>IF((42.4*(J640)^(-0.6595))&gt;=3,3,(IF(42.4*(J640)^(-0.6595)&lt;=0.5,0.5,(42.4*(J640)^(-0.6595)))))</f>
        <v>3</v>
      </c>
      <c r="S640" s="276">
        <f>_xlfn.XLOOKUP($K640,Inputs!$G$6:$G$23,Inputs!J$6:J$23)*$R640</f>
        <v>153.60000000000002</v>
      </c>
      <c r="T640" s="276">
        <f>_xlfn.XLOOKUP($K640,Inputs!$G$6:$G$23,Inputs!K$6:K$23)*$R640</f>
        <v>169.96721311475409</v>
      </c>
      <c r="U640" s="96" t="s">
        <v>3996</v>
      </c>
      <c r="V640" s="22" t="s">
        <v>2160</v>
      </c>
      <c r="W640" s="96" t="s">
        <v>3824</v>
      </c>
      <c r="X640" s="205" t="s">
        <v>3069</v>
      </c>
      <c r="Y640" s="11" t="s">
        <v>3331</v>
      </c>
      <c r="Z640" s="79"/>
      <c r="AA640" s="187">
        <v>629</v>
      </c>
    </row>
    <row r="641" spans="1:27" s="188" customFormat="1" ht="20" x14ac:dyDescent="0.2">
      <c r="B641" s="11" t="s">
        <v>838</v>
      </c>
      <c r="C641" s="165" t="s">
        <v>4237</v>
      </c>
      <c r="D641" s="22" t="s">
        <v>2379</v>
      </c>
      <c r="E641" s="34">
        <v>1</v>
      </c>
      <c r="F641" s="22" t="s">
        <v>2223</v>
      </c>
      <c r="G641" s="235">
        <v>30</v>
      </c>
      <c r="H641" s="235">
        <f t="shared" si="80"/>
        <v>18.518518518518519</v>
      </c>
      <c r="I641" s="235">
        <v>30</v>
      </c>
      <c r="J641" s="235">
        <f t="shared" si="81"/>
        <v>18.518518518518519</v>
      </c>
      <c r="K641" s="201">
        <v>144</v>
      </c>
      <c r="L641" s="252">
        <f>_xlfn.XLOOKUP($K641,Inputs!$C$6:$C$23,Inputs!$D$6:$D$23)*$I641</f>
        <v>13.135714285714286</v>
      </c>
      <c r="M641" s="68"/>
      <c r="N641" s="68"/>
      <c r="O641" s="215">
        <v>114</v>
      </c>
      <c r="P641" s="215">
        <v>145</v>
      </c>
      <c r="Q641" s="94">
        <v>0.9</v>
      </c>
      <c r="R641" s="68" t="s">
        <v>115</v>
      </c>
      <c r="S641" s="182">
        <f>O641*Q641</f>
        <v>102.60000000000001</v>
      </c>
      <c r="T641" s="182">
        <f>P641*Q641</f>
        <v>130.5</v>
      </c>
      <c r="U641" s="96" t="s">
        <v>3625</v>
      </c>
      <c r="V641" s="22" t="s">
        <v>2910</v>
      </c>
      <c r="W641" s="96" t="s">
        <v>3715</v>
      </c>
      <c r="X641" s="22" t="s">
        <v>2979</v>
      </c>
      <c r="Y641" s="11" t="s">
        <v>3272</v>
      </c>
      <c r="Z641" s="79"/>
      <c r="AA641" s="187">
        <v>630</v>
      </c>
    </row>
    <row r="642" spans="1:27" s="188" customFormat="1" ht="20" x14ac:dyDescent="0.2">
      <c r="B642" s="11" t="s">
        <v>2023</v>
      </c>
      <c r="C642" s="165" t="s">
        <v>4237</v>
      </c>
      <c r="D642" s="22" t="s">
        <v>2379</v>
      </c>
      <c r="E642" s="34">
        <v>1</v>
      </c>
      <c r="F642" s="22" t="s">
        <v>2223</v>
      </c>
      <c r="G642" s="88">
        <v>16.8</v>
      </c>
      <c r="H642" s="235">
        <f t="shared" si="80"/>
        <v>10.37037037037037</v>
      </c>
      <c r="I642" s="88">
        <v>42</v>
      </c>
      <c r="J642" s="235">
        <f t="shared" si="81"/>
        <v>25.925925925925924</v>
      </c>
      <c r="K642" s="201">
        <v>144</v>
      </c>
      <c r="L642" s="252">
        <f>_xlfn.XLOOKUP($K642,Inputs!$C$6:$C$23,Inputs!$D$6:$D$23)*$I642</f>
        <v>18.39</v>
      </c>
      <c r="M642" s="68"/>
      <c r="N642" s="68"/>
      <c r="O642" s="187"/>
      <c r="P642" s="187"/>
      <c r="Q642" s="94">
        <v>0.9</v>
      </c>
      <c r="R642" s="68">
        <f>IF((42.4*(J642)^(-0.6595))&gt;=3,3,(IF(42.4*(J642)^(-0.6595)&lt;=0.5,0.5,(42.4*(J642)^(-0.6595)))))</f>
        <v>3</v>
      </c>
      <c r="S642" s="276">
        <f>_xlfn.XLOOKUP($K642,Inputs!$G$6:$G$23,Inputs!J$6:J$23)*$R642</f>
        <v>153.60000000000002</v>
      </c>
      <c r="T642" s="276">
        <f>_xlfn.XLOOKUP($K642,Inputs!$G$6:$G$23,Inputs!K$6:K$23)*$R642</f>
        <v>169.96721311475409</v>
      </c>
      <c r="U642" s="96" t="s">
        <v>3622</v>
      </c>
      <c r="V642" s="22" t="s">
        <v>2907</v>
      </c>
      <c r="W642" s="96" t="s">
        <v>3969</v>
      </c>
      <c r="X642" s="22" t="s">
        <v>2161</v>
      </c>
      <c r="Y642" s="11" t="s">
        <v>3331</v>
      </c>
      <c r="Z642" s="79"/>
      <c r="AA642" s="187">
        <v>631</v>
      </c>
    </row>
    <row r="643" spans="1:27" s="188" customFormat="1" ht="20" x14ac:dyDescent="0.2">
      <c r="B643" s="11" t="s">
        <v>2023</v>
      </c>
      <c r="C643" s="165" t="s">
        <v>4237</v>
      </c>
      <c r="D643" s="22" t="s">
        <v>2379</v>
      </c>
      <c r="E643" s="34">
        <v>1</v>
      </c>
      <c r="F643" s="22" t="s">
        <v>2223</v>
      </c>
      <c r="G643" s="88">
        <v>25.200000000000003</v>
      </c>
      <c r="H643" s="235">
        <f t="shared" si="80"/>
        <v>15.555555555555557</v>
      </c>
      <c r="I643" s="88">
        <v>42</v>
      </c>
      <c r="J643" s="235">
        <f t="shared" si="81"/>
        <v>25.925925925925924</v>
      </c>
      <c r="K643" s="201">
        <v>144</v>
      </c>
      <c r="L643" s="252">
        <f>_xlfn.XLOOKUP($K643,Inputs!$C$6:$C$23,Inputs!$D$6:$D$23)*$I643</f>
        <v>18.39</v>
      </c>
      <c r="M643" s="68"/>
      <c r="N643" s="68"/>
      <c r="O643" s="187"/>
      <c r="P643" s="187"/>
      <c r="Q643" s="94">
        <v>0.9</v>
      </c>
      <c r="R643" s="68">
        <f>IF((42.4*(J643)^(-0.6595))&gt;=3,3,(IF(42.4*(J643)^(-0.6595)&lt;=0.5,0.5,(42.4*(J643)^(-0.6595)))))</f>
        <v>3</v>
      </c>
      <c r="S643" s="276">
        <f>_xlfn.XLOOKUP($K643,Inputs!$G$6:$G$23,Inputs!J$6:J$23)*$R643</f>
        <v>153.60000000000002</v>
      </c>
      <c r="T643" s="276">
        <f>_xlfn.XLOOKUP($K643,Inputs!$G$6:$G$23,Inputs!K$6:K$23)*$R643</f>
        <v>169.96721311475409</v>
      </c>
      <c r="U643" s="96" t="s">
        <v>3969</v>
      </c>
      <c r="V643" s="22" t="s">
        <v>2161</v>
      </c>
      <c r="W643" s="96" t="s">
        <v>3497</v>
      </c>
      <c r="X643" s="205" t="s">
        <v>2816</v>
      </c>
      <c r="Y643" s="11" t="s">
        <v>3331</v>
      </c>
      <c r="Z643" s="79"/>
      <c r="AA643" s="187">
        <v>632</v>
      </c>
    </row>
    <row r="644" spans="1:27" s="184" customFormat="1" ht="20" x14ac:dyDescent="0.2">
      <c r="B644" s="11" t="s">
        <v>1269</v>
      </c>
      <c r="C644" s="165" t="s">
        <v>4237</v>
      </c>
      <c r="D644" s="22" t="s">
        <v>2379</v>
      </c>
      <c r="E644" s="34">
        <v>1</v>
      </c>
      <c r="F644" s="22" t="s">
        <v>2223</v>
      </c>
      <c r="G644" s="88">
        <v>21</v>
      </c>
      <c r="H644" s="235">
        <f t="shared" si="80"/>
        <v>12.962962962962962</v>
      </c>
      <c r="I644" s="88">
        <v>21</v>
      </c>
      <c r="J644" s="235">
        <f t="shared" si="81"/>
        <v>12.962962962962962</v>
      </c>
      <c r="K644" s="201">
        <v>144</v>
      </c>
      <c r="L644" s="252">
        <f>_xlfn.XLOOKUP($K644,Inputs!$C$6:$C$23,Inputs!$D$6:$D$23)*$I644</f>
        <v>9.1950000000000003</v>
      </c>
      <c r="M644" s="68"/>
      <c r="N644" s="68"/>
      <c r="O644" s="187"/>
      <c r="P644" s="187"/>
      <c r="Q644" s="94">
        <v>0.9</v>
      </c>
      <c r="R644" s="68">
        <f>IF((42.4*(J644)^(-0.6595))&gt;=3,3,(IF(42.4*(J644)^(-0.6595)&lt;=0.5,0.5,(42.4*(J644)^(-0.6595)))))</f>
        <v>3</v>
      </c>
      <c r="S644" s="276">
        <f>_xlfn.XLOOKUP($K644,Inputs!$G$6:$G$23,Inputs!J$6:J$23)*$R644</f>
        <v>153.60000000000002</v>
      </c>
      <c r="T644" s="276">
        <f>_xlfn.XLOOKUP($K644,Inputs!$G$6:$G$23,Inputs!K$6:K$23)*$R644</f>
        <v>169.96721311475409</v>
      </c>
      <c r="U644" s="96" t="s">
        <v>3969</v>
      </c>
      <c r="V644" s="22" t="s">
        <v>2161</v>
      </c>
      <c r="W644" s="96" t="s">
        <v>3704</v>
      </c>
      <c r="X644" s="22" t="s">
        <v>2970</v>
      </c>
      <c r="Y644" s="11" t="s">
        <v>3331</v>
      </c>
      <c r="Z644" s="79"/>
      <c r="AA644" s="187">
        <v>633</v>
      </c>
    </row>
    <row r="645" spans="1:27" s="188" customFormat="1" ht="20" x14ac:dyDescent="0.2">
      <c r="B645" s="11" t="s">
        <v>842</v>
      </c>
      <c r="C645" s="165" t="s">
        <v>4237</v>
      </c>
      <c r="D645" s="22" t="s">
        <v>2379</v>
      </c>
      <c r="E645" s="34">
        <v>1</v>
      </c>
      <c r="F645" s="22" t="s">
        <v>2223</v>
      </c>
      <c r="G645" s="88">
        <v>25</v>
      </c>
      <c r="H645" s="235">
        <f t="shared" si="80"/>
        <v>15.432098765432098</v>
      </c>
      <c r="I645" s="88">
        <v>25</v>
      </c>
      <c r="J645" s="235">
        <f t="shared" si="81"/>
        <v>15.432098765432098</v>
      </c>
      <c r="K645" s="221">
        <v>144</v>
      </c>
      <c r="L645" s="252">
        <f>_xlfn.XLOOKUP($K645,Inputs!$C$6:$C$23,Inputs!$D$6:$D$23)*$I645</f>
        <v>10.946428571428573</v>
      </c>
      <c r="M645" s="68"/>
      <c r="N645" s="68"/>
      <c r="O645" s="216">
        <v>165</v>
      </c>
      <c r="P645" s="216">
        <v>211</v>
      </c>
      <c r="Q645" s="94">
        <v>0.9</v>
      </c>
      <c r="R645" s="68" t="s">
        <v>115</v>
      </c>
      <c r="S645" s="182">
        <f>O645*Q645</f>
        <v>148.5</v>
      </c>
      <c r="T645" s="182">
        <f>P645*Q645</f>
        <v>189.9</v>
      </c>
      <c r="U645" s="96" t="s">
        <v>458</v>
      </c>
      <c r="V645" s="22" t="s">
        <v>2705</v>
      </c>
      <c r="W645" s="96" t="s">
        <v>4292</v>
      </c>
      <c r="X645" s="22" t="s">
        <v>2735</v>
      </c>
      <c r="Y645" s="11" t="s">
        <v>3272</v>
      </c>
      <c r="Z645" s="79"/>
      <c r="AA645" s="187">
        <v>634</v>
      </c>
    </row>
    <row r="646" spans="1:27" s="188" customFormat="1" ht="20" x14ac:dyDescent="0.2">
      <c r="B646" s="11" t="s">
        <v>1224</v>
      </c>
      <c r="C646" s="165" t="s">
        <v>4237</v>
      </c>
      <c r="D646" s="22" t="s">
        <v>2379</v>
      </c>
      <c r="E646" s="34">
        <v>1</v>
      </c>
      <c r="F646" s="22" t="s">
        <v>2223</v>
      </c>
      <c r="G646" s="88">
        <v>25.200000000000003</v>
      </c>
      <c r="H646" s="235">
        <f t="shared" ref="H646:H709" si="88">G646/1.62</f>
        <v>15.555555555555557</v>
      </c>
      <c r="I646" s="88">
        <v>25.200000000000003</v>
      </c>
      <c r="J646" s="235">
        <f t="shared" ref="J646:J709" si="89">I646/1.62</f>
        <v>15.555555555555557</v>
      </c>
      <c r="K646" s="201">
        <v>144</v>
      </c>
      <c r="L646" s="252">
        <f>_xlfn.XLOOKUP($K646,Inputs!$C$6:$C$23,Inputs!$D$6:$D$23)*$I646</f>
        <v>11.034000000000002</v>
      </c>
      <c r="M646" s="68"/>
      <c r="N646" s="68"/>
      <c r="O646" s="209">
        <v>164</v>
      </c>
      <c r="P646" s="209">
        <v>210</v>
      </c>
      <c r="Q646" s="94">
        <v>0.9</v>
      </c>
      <c r="R646" s="68" t="s">
        <v>115</v>
      </c>
      <c r="S646" s="182">
        <f>O646*Q646</f>
        <v>147.6</v>
      </c>
      <c r="T646" s="182">
        <f>P646*Q646</f>
        <v>189</v>
      </c>
      <c r="U646" s="96" t="s">
        <v>3684</v>
      </c>
      <c r="V646" s="22" t="s">
        <v>2955</v>
      </c>
      <c r="W646" s="96" t="s">
        <v>3578</v>
      </c>
      <c r="X646" s="22" t="s">
        <v>2873</v>
      </c>
      <c r="Y646" s="11" t="s">
        <v>3305</v>
      </c>
      <c r="Z646" s="79"/>
      <c r="AA646" s="187">
        <v>635</v>
      </c>
    </row>
    <row r="647" spans="1:27" s="188" customFormat="1" ht="20" x14ac:dyDescent="0.2">
      <c r="B647" s="11" t="s">
        <v>843</v>
      </c>
      <c r="C647" s="165" t="s">
        <v>4237</v>
      </c>
      <c r="D647" s="22" t="s">
        <v>2379</v>
      </c>
      <c r="E647" s="34">
        <v>1</v>
      </c>
      <c r="F647" s="22" t="s">
        <v>2223</v>
      </c>
      <c r="G647" s="88">
        <v>16.8</v>
      </c>
      <c r="H647" s="235">
        <f t="shared" si="88"/>
        <v>10.37037037037037</v>
      </c>
      <c r="I647" s="88">
        <v>16.8</v>
      </c>
      <c r="J647" s="235">
        <f t="shared" si="89"/>
        <v>10.37037037037037</v>
      </c>
      <c r="K647" s="201">
        <v>144</v>
      </c>
      <c r="L647" s="252">
        <f>_xlfn.XLOOKUP($K647,Inputs!$C$6:$C$23,Inputs!$D$6:$D$23)*$I647</f>
        <v>7.3560000000000008</v>
      </c>
      <c r="M647" s="68"/>
      <c r="N647" s="68"/>
      <c r="O647" s="187"/>
      <c r="P647" s="187"/>
      <c r="Q647" s="94">
        <v>0.9</v>
      </c>
      <c r="R647" s="68">
        <f>IF((42.4*(J647)^(-0.6595))&gt;=3,3,(IF(42.4*(J647)^(-0.6595)&lt;=0.5,0.5,(42.4*(J647)^(-0.6595)))))</f>
        <v>3</v>
      </c>
      <c r="S647" s="276">
        <f>_xlfn.XLOOKUP($K647,Inputs!$G$6:$G$23,Inputs!J$6:J$23)*$R647</f>
        <v>153.60000000000002</v>
      </c>
      <c r="T647" s="276">
        <f>_xlfn.XLOOKUP($K647,Inputs!$G$6:$G$23,Inputs!K$6:K$23)*$R647</f>
        <v>169.96721311475409</v>
      </c>
      <c r="U647" s="96" t="s">
        <v>844</v>
      </c>
      <c r="V647" s="22" t="s">
        <v>3242</v>
      </c>
      <c r="W647" s="96" t="s">
        <v>3936</v>
      </c>
      <c r="X647" s="22" t="s">
        <v>3190</v>
      </c>
      <c r="Y647" s="11" t="s">
        <v>3331</v>
      </c>
      <c r="Z647" s="79"/>
      <c r="AA647" s="187">
        <v>636</v>
      </c>
    </row>
    <row r="648" spans="1:27" s="188" customFormat="1" ht="20" x14ac:dyDescent="0.2">
      <c r="B648" s="11" t="s">
        <v>1504</v>
      </c>
      <c r="C648" s="165" t="s">
        <v>4237</v>
      </c>
      <c r="D648" s="22" t="s">
        <v>2379</v>
      </c>
      <c r="E648" s="34">
        <v>1</v>
      </c>
      <c r="F648" s="22" t="s">
        <v>2223</v>
      </c>
      <c r="G648" s="88">
        <v>9</v>
      </c>
      <c r="H648" s="235">
        <f t="shared" si="88"/>
        <v>5.5555555555555554</v>
      </c>
      <c r="I648" s="88">
        <v>9</v>
      </c>
      <c r="J648" s="235">
        <f t="shared" si="89"/>
        <v>5.5555555555555554</v>
      </c>
      <c r="K648" s="215">
        <v>138</v>
      </c>
      <c r="L648" s="252">
        <f>_xlfn.XLOOKUP($K648,Inputs!$C$6:$C$23,Inputs!$D$6:$D$23)*$I648</f>
        <v>3.9021428571428576</v>
      </c>
      <c r="M648" s="68"/>
      <c r="N648" s="68"/>
      <c r="O648" s="215">
        <v>126.5</v>
      </c>
      <c r="P648" s="215">
        <v>126.5</v>
      </c>
      <c r="Q648" s="94">
        <v>0.9</v>
      </c>
      <c r="R648" s="68" t="s">
        <v>115</v>
      </c>
      <c r="S648" s="182">
        <f t="shared" ref="S648:S653" si="90">O648*Q648</f>
        <v>113.85000000000001</v>
      </c>
      <c r="T648" s="182">
        <f t="shared" ref="T648:T653" si="91">P648*Q648</f>
        <v>113.85000000000001</v>
      </c>
      <c r="U648" s="96" t="s">
        <v>3726</v>
      </c>
      <c r="V648" s="22" t="s">
        <v>2988</v>
      </c>
      <c r="W648" s="96" t="s">
        <v>3770</v>
      </c>
      <c r="X648" s="22" t="s">
        <v>3024</v>
      </c>
      <c r="Y648" s="11" t="s">
        <v>3291</v>
      </c>
      <c r="Z648" s="79"/>
      <c r="AA648" s="187">
        <v>637</v>
      </c>
    </row>
    <row r="649" spans="1:27" s="188" customFormat="1" ht="20" x14ac:dyDescent="0.2">
      <c r="B649" s="11" t="s">
        <v>1547</v>
      </c>
      <c r="C649" s="165" t="s">
        <v>4237</v>
      </c>
      <c r="D649" s="22" t="s">
        <v>2379</v>
      </c>
      <c r="E649" s="34">
        <v>1</v>
      </c>
      <c r="F649" s="22" t="s">
        <v>2223</v>
      </c>
      <c r="G649" s="88">
        <v>27</v>
      </c>
      <c r="H649" s="235">
        <f t="shared" si="88"/>
        <v>16.666666666666664</v>
      </c>
      <c r="I649" s="88">
        <v>27</v>
      </c>
      <c r="J649" s="235">
        <f t="shared" si="89"/>
        <v>16.666666666666664</v>
      </c>
      <c r="K649" s="215">
        <v>138</v>
      </c>
      <c r="L649" s="252">
        <f>_xlfn.XLOOKUP($K649,Inputs!$C$6:$C$23,Inputs!$D$6:$D$23)*$I649</f>
        <v>11.706428571428573</v>
      </c>
      <c r="M649" s="68"/>
      <c r="N649" s="68"/>
      <c r="O649" s="215">
        <v>180.1</v>
      </c>
      <c r="P649" s="215">
        <v>217.5</v>
      </c>
      <c r="Q649" s="94">
        <v>0.9</v>
      </c>
      <c r="R649" s="68" t="s">
        <v>115</v>
      </c>
      <c r="S649" s="182">
        <f t="shared" si="90"/>
        <v>162.09</v>
      </c>
      <c r="T649" s="182">
        <f t="shared" si="91"/>
        <v>195.75</v>
      </c>
      <c r="U649" s="96" t="s">
        <v>3719</v>
      </c>
      <c r="V649" s="22" t="s">
        <v>2619</v>
      </c>
      <c r="W649" s="96" t="s">
        <v>3494</v>
      </c>
      <c r="X649" s="22" t="s">
        <v>2813</v>
      </c>
      <c r="Y649" s="11" t="s">
        <v>3291</v>
      </c>
      <c r="Z649" s="79"/>
      <c r="AA649" s="187">
        <v>638</v>
      </c>
    </row>
    <row r="650" spans="1:27" s="188" customFormat="1" ht="20" x14ac:dyDescent="0.2">
      <c r="B650" s="11" t="s">
        <v>1450</v>
      </c>
      <c r="C650" s="165" t="s">
        <v>4237</v>
      </c>
      <c r="D650" s="22" t="s">
        <v>2379</v>
      </c>
      <c r="E650" s="34">
        <v>1</v>
      </c>
      <c r="F650" s="22" t="s">
        <v>2223</v>
      </c>
      <c r="G650" s="88">
        <v>12</v>
      </c>
      <c r="H650" s="235">
        <f t="shared" si="88"/>
        <v>7.4074074074074066</v>
      </c>
      <c r="I650" s="88">
        <v>24</v>
      </c>
      <c r="J650" s="235">
        <f t="shared" si="89"/>
        <v>14.814814814814813</v>
      </c>
      <c r="K650" s="215">
        <v>138</v>
      </c>
      <c r="L650" s="252">
        <f>_xlfn.XLOOKUP($K650,Inputs!$C$6:$C$23,Inputs!$D$6:$D$23)*$I650</f>
        <v>10.405714285714286</v>
      </c>
      <c r="M650" s="68"/>
      <c r="N650" s="68"/>
      <c r="O650" s="215">
        <v>109.3</v>
      </c>
      <c r="P650" s="215">
        <v>139</v>
      </c>
      <c r="Q650" s="94">
        <v>0.9</v>
      </c>
      <c r="R650" s="68" t="s">
        <v>115</v>
      </c>
      <c r="S650" s="182">
        <f t="shared" si="90"/>
        <v>98.37</v>
      </c>
      <c r="T650" s="182">
        <f t="shared" si="91"/>
        <v>125.10000000000001</v>
      </c>
      <c r="U650" s="96" t="s">
        <v>3894</v>
      </c>
      <c r="V650" s="22" t="s">
        <v>3154</v>
      </c>
      <c r="W650" s="96" t="s">
        <v>3375</v>
      </c>
      <c r="X650" s="22" t="s">
        <v>2162</v>
      </c>
      <c r="Y650" s="11" t="s">
        <v>3318</v>
      </c>
      <c r="Z650" s="79"/>
      <c r="AA650" s="187">
        <v>639</v>
      </c>
    </row>
    <row r="651" spans="1:27" s="188" customFormat="1" ht="20" x14ac:dyDescent="0.2">
      <c r="B651" s="11" t="s">
        <v>1450</v>
      </c>
      <c r="C651" s="165" t="s">
        <v>4237</v>
      </c>
      <c r="D651" s="22" t="s">
        <v>2379</v>
      </c>
      <c r="E651" s="34">
        <v>1</v>
      </c>
      <c r="F651" s="22" t="s">
        <v>2223</v>
      </c>
      <c r="G651" s="88">
        <v>12</v>
      </c>
      <c r="H651" s="235">
        <f t="shared" si="88"/>
        <v>7.4074074074074066</v>
      </c>
      <c r="I651" s="88">
        <v>24</v>
      </c>
      <c r="J651" s="235">
        <f t="shared" si="89"/>
        <v>14.814814814814813</v>
      </c>
      <c r="K651" s="215">
        <v>138</v>
      </c>
      <c r="L651" s="252">
        <f>_xlfn.XLOOKUP($K651,Inputs!$C$6:$C$23,Inputs!$D$6:$D$23)*$I651</f>
        <v>10.405714285714286</v>
      </c>
      <c r="M651" s="68"/>
      <c r="N651" s="68"/>
      <c r="O651" s="215">
        <v>109.3</v>
      </c>
      <c r="P651" s="215">
        <v>139</v>
      </c>
      <c r="Q651" s="94">
        <v>0.9</v>
      </c>
      <c r="R651" s="68" t="s">
        <v>115</v>
      </c>
      <c r="S651" s="182">
        <f t="shared" si="90"/>
        <v>98.37</v>
      </c>
      <c r="T651" s="182">
        <f t="shared" si="91"/>
        <v>125.10000000000001</v>
      </c>
      <c r="U651" s="96" t="s">
        <v>3375</v>
      </c>
      <c r="V651" s="22" t="s">
        <v>2162</v>
      </c>
      <c r="W651" s="96" t="s">
        <v>3434</v>
      </c>
      <c r="X651" s="205" t="s">
        <v>2780</v>
      </c>
      <c r="Y651" s="11" t="s">
        <v>3318</v>
      </c>
      <c r="Z651" s="79"/>
      <c r="AA651" s="187">
        <v>640</v>
      </c>
    </row>
    <row r="652" spans="1:27" s="184" customFormat="1" ht="20" x14ac:dyDescent="0.2">
      <c r="B652" s="11" t="s">
        <v>2066</v>
      </c>
      <c r="C652" s="165" t="s">
        <v>4237</v>
      </c>
      <c r="D652" s="22" t="s">
        <v>2379</v>
      </c>
      <c r="E652" s="34">
        <v>1</v>
      </c>
      <c r="F652" s="22" t="s">
        <v>2223</v>
      </c>
      <c r="G652" s="88">
        <v>6</v>
      </c>
      <c r="H652" s="235">
        <f t="shared" si="88"/>
        <v>3.7037037037037033</v>
      </c>
      <c r="I652" s="88">
        <v>6</v>
      </c>
      <c r="J652" s="235">
        <f t="shared" si="89"/>
        <v>3.7037037037037033</v>
      </c>
      <c r="K652" s="201">
        <v>144</v>
      </c>
      <c r="L652" s="252">
        <f>_xlfn.XLOOKUP($K652,Inputs!$C$6:$C$23,Inputs!$D$6:$D$23)*$I652</f>
        <v>2.6271428571428572</v>
      </c>
      <c r="M652" s="68"/>
      <c r="N652" s="68"/>
      <c r="O652" s="215">
        <v>109</v>
      </c>
      <c r="P652" s="215">
        <v>139</v>
      </c>
      <c r="Q652" s="94">
        <v>0.9</v>
      </c>
      <c r="R652" s="68" t="s">
        <v>115</v>
      </c>
      <c r="S652" s="182">
        <f t="shared" si="90"/>
        <v>98.100000000000009</v>
      </c>
      <c r="T652" s="182">
        <f t="shared" si="91"/>
        <v>125.10000000000001</v>
      </c>
      <c r="U652" s="96" t="s">
        <v>3375</v>
      </c>
      <c r="V652" s="22" t="s">
        <v>2162</v>
      </c>
      <c r="W652" s="96" t="s">
        <v>3374</v>
      </c>
      <c r="X652" s="22" t="s">
        <v>2742</v>
      </c>
      <c r="Y652" s="11" t="s">
        <v>3309</v>
      </c>
      <c r="Z652" s="79"/>
      <c r="AA652" s="187">
        <v>641</v>
      </c>
    </row>
    <row r="653" spans="1:27" s="188" customFormat="1" ht="20" x14ac:dyDescent="0.2">
      <c r="B653" s="11" t="s">
        <v>2005</v>
      </c>
      <c r="C653" s="165" t="s">
        <v>4237</v>
      </c>
      <c r="D653" s="22" t="s">
        <v>2379</v>
      </c>
      <c r="E653" s="34">
        <v>1</v>
      </c>
      <c r="F653" s="22" t="s">
        <v>2223</v>
      </c>
      <c r="G653" s="88">
        <v>18</v>
      </c>
      <c r="H653" s="235">
        <f t="shared" si="88"/>
        <v>11.111111111111111</v>
      </c>
      <c r="I653" s="88">
        <v>48</v>
      </c>
      <c r="J653" s="235">
        <f t="shared" si="89"/>
        <v>29.629629629629626</v>
      </c>
      <c r="K653" s="201">
        <v>144</v>
      </c>
      <c r="L653" s="252">
        <f>_xlfn.XLOOKUP($K653,Inputs!$C$6:$C$23,Inputs!$D$6:$D$23)*$I653</f>
        <v>21.017142857142858</v>
      </c>
      <c r="M653" s="68"/>
      <c r="N653" s="68"/>
      <c r="O653" s="215">
        <v>140.9</v>
      </c>
      <c r="P653" s="215">
        <v>179.2</v>
      </c>
      <c r="Q653" s="94">
        <v>0.9</v>
      </c>
      <c r="R653" s="68" t="s">
        <v>115</v>
      </c>
      <c r="S653" s="182">
        <f t="shared" si="90"/>
        <v>126.81</v>
      </c>
      <c r="T653" s="182">
        <f t="shared" si="91"/>
        <v>161.28</v>
      </c>
      <c r="U653" s="96" t="s">
        <v>3389</v>
      </c>
      <c r="V653" s="22" t="s">
        <v>2752</v>
      </c>
      <c r="W653" s="96" t="s">
        <v>3379</v>
      </c>
      <c r="X653" s="205" t="s">
        <v>2163</v>
      </c>
      <c r="Y653" s="11" t="s">
        <v>3314</v>
      </c>
      <c r="Z653" s="79"/>
      <c r="AA653" s="187">
        <v>642</v>
      </c>
    </row>
    <row r="654" spans="1:27" s="188" customFormat="1" ht="20" x14ac:dyDescent="0.2">
      <c r="B654" s="11" t="s">
        <v>2005</v>
      </c>
      <c r="C654" s="165" t="s">
        <v>4237</v>
      </c>
      <c r="D654" s="22" t="s">
        <v>2379</v>
      </c>
      <c r="E654" s="34">
        <v>1</v>
      </c>
      <c r="F654" s="22" t="s">
        <v>2223</v>
      </c>
      <c r="G654" s="88">
        <v>15</v>
      </c>
      <c r="H654" s="235">
        <f t="shared" si="88"/>
        <v>9.2592592592592595</v>
      </c>
      <c r="I654" s="88">
        <v>48</v>
      </c>
      <c r="J654" s="235">
        <f t="shared" si="89"/>
        <v>29.629629629629626</v>
      </c>
      <c r="K654" s="201">
        <v>144</v>
      </c>
      <c r="L654" s="252">
        <f>_xlfn.XLOOKUP($K654,Inputs!$C$6:$C$23,Inputs!$D$6:$D$23)*$I654</f>
        <v>21.017142857142858</v>
      </c>
      <c r="M654" s="68"/>
      <c r="N654" s="68"/>
      <c r="O654" s="187"/>
      <c r="P654" s="187"/>
      <c r="Q654" s="94">
        <v>0.9</v>
      </c>
      <c r="R654" s="68">
        <f>IF((42.4*(J654)^(-0.6595))&gt;=3,3,(IF(42.4*(J654)^(-0.6595)&lt;=0.5,0.5,(42.4*(J654)^(-0.6595)))))</f>
        <v>3</v>
      </c>
      <c r="S654" s="276">
        <f>_xlfn.XLOOKUP($K654,Inputs!$G$6:$G$23,Inputs!J$6:J$23)*$R654</f>
        <v>153.60000000000002</v>
      </c>
      <c r="T654" s="276">
        <f>_xlfn.XLOOKUP($K654,Inputs!$G$6:$G$23,Inputs!K$6:K$23)*$R654</f>
        <v>169.96721311475409</v>
      </c>
      <c r="U654" s="96" t="s">
        <v>3379</v>
      </c>
      <c r="V654" s="22" t="s">
        <v>2163</v>
      </c>
      <c r="W654" s="96" t="s">
        <v>3353</v>
      </c>
      <c r="X654" s="22" t="s">
        <v>3203</v>
      </c>
      <c r="Y654" s="11" t="s">
        <v>3331</v>
      </c>
      <c r="Z654" s="79"/>
      <c r="AA654" s="187">
        <v>643</v>
      </c>
    </row>
    <row r="655" spans="1:27" s="188" customFormat="1" ht="20" x14ac:dyDescent="0.2">
      <c r="A655" s="297"/>
      <c r="B655" s="11" t="s">
        <v>2005</v>
      </c>
      <c r="C655" s="165" t="s">
        <v>4237</v>
      </c>
      <c r="D655" s="22" t="s">
        <v>2379</v>
      </c>
      <c r="E655" s="34">
        <v>1</v>
      </c>
      <c r="F655" s="22" t="s">
        <v>2223</v>
      </c>
      <c r="G655" s="88">
        <v>15</v>
      </c>
      <c r="H655" s="235">
        <f t="shared" si="88"/>
        <v>9.2592592592592595</v>
      </c>
      <c r="I655" s="88">
        <v>48</v>
      </c>
      <c r="J655" s="235">
        <f t="shared" si="89"/>
        <v>29.629629629629626</v>
      </c>
      <c r="K655" s="201">
        <v>144</v>
      </c>
      <c r="L655" s="252">
        <f>_xlfn.XLOOKUP($K655,Inputs!$C$6:$C$23,Inputs!$D$6:$D$23)*$I655</f>
        <v>21.017142857142858</v>
      </c>
      <c r="M655" s="68"/>
      <c r="N655" s="68"/>
      <c r="O655" s="187"/>
      <c r="P655" s="187"/>
      <c r="Q655" s="94">
        <v>0.9</v>
      </c>
      <c r="R655" s="68">
        <f>IF((42.4*(J655)^(-0.6595))&gt;=3,3,(IF(42.4*(J655)^(-0.6595)&lt;=0.5,0.5,(42.4*(J655)^(-0.6595)))))</f>
        <v>3</v>
      </c>
      <c r="S655" s="276">
        <f>_xlfn.XLOOKUP($K655,Inputs!$G$6:$G$23,Inputs!J$6:J$23)*$R655</f>
        <v>153.60000000000002</v>
      </c>
      <c r="T655" s="276">
        <f>_xlfn.XLOOKUP($K655,Inputs!$G$6:$G$23,Inputs!K$6:K$23)*$R655</f>
        <v>169.96721311475409</v>
      </c>
      <c r="U655" s="96" t="s">
        <v>3353</v>
      </c>
      <c r="V655" s="22" t="s">
        <v>3203</v>
      </c>
      <c r="W655" s="96" t="s">
        <v>4388</v>
      </c>
      <c r="X655" s="22" t="s">
        <v>4389</v>
      </c>
      <c r="Y655" s="11" t="s">
        <v>3331</v>
      </c>
      <c r="Z655" s="79"/>
      <c r="AA655" s="187">
        <v>644</v>
      </c>
    </row>
    <row r="656" spans="1:27" s="188" customFormat="1" ht="20" x14ac:dyDescent="0.2">
      <c r="B656" s="11" t="s">
        <v>1189</v>
      </c>
      <c r="C656" s="165" t="s">
        <v>4237</v>
      </c>
      <c r="D656" s="22" t="s">
        <v>2379</v>
      </c>
      <c r="E656" s="34">
        <v>1</v>
      </c>
      <c r="F656" s="22" t="s">
        <v>2223</v>
      </c>
      <c r="G656" s="88">
        <v>12</v>
      </c>
      <c r="H656" s="235">
        <f t="shared" si="88"/>
        <v>7.4074074074074066</v>
      </c>
      <c r="I656" s="88">
        <v>12</v>
      </c>
      <c r="J656" s="235">
        <f t="shared" si="89"/>
        <v>7.4074074074074066</v>
      </c>
      <c r="K656" s="201">
        <v>144</v>
      </c>
      <c r="L656" s="252">
        <f>_xlfn.XLOOKUP($K656,Inputs!$C$6:$C$23,Inputs!$D$6:$D$23)*$I656</f>
        <v>5.2542857142857144</v>
      </c>
      <c r="M656" s="68"/>
      <c r="N656" s="68"/>
      <c r="O656" s="187"/>
      <c r="P656" s="187"/>
      <c r="Q656" s="94">
        <v>0.9</v>
      </c>
      <c r="R656" s="68">
        <f>IF((42.4*(J656)^(-0.6595))&gt;=3,3,(IF(42.4*(J656)^(-0.6595)&lt;=0.5,0.5,(42.4*(J656)^(-0.6595)))))</f>
        <v>3</v>
      </c>
      <c r="S656" s="276">
        <f>_xlfn.XLOOKUP($K656,Inputs!$G$6:$G$23,Inputs!J$6:J$23)*$R656</f>
        <v>153.60000000000002</v>
      </c>
      <c r="T656" s="276">
        <f>_xlfn.XLOOKUP($K656,Inputs!$G$6:$G$23,Inputs!K$6:K$23)*$R656</f>
        <v>169.96721311475409</v>
      </c>
      <c r="U656" s="96" t="s">
        <v>3379</v>
      </c>
      <c r="V656" s="205" t="s">
        <v>2163</v>
      </c>
      <c r="W656" s="96" t="s">
        <v>3378</v>
      </c>
      <c r="X656" s="22" t="s">
        <v>2600</v>
      </c>
      <c r="Y656" s="11" t="s">
        <v>3331</v>
      </c>
      <c r="Z656" s="79"/>
      <c r="AA656" s="187">
        <v>645</v>
      </c>
    </row>
    <row r="657" spans="2:27" s="188" customFormat="1" ht="20" x14ac:dyDescent="0.2">
      <c r="B657" s="11" t="s">
        <v>1451</v>
      </c>
      <c r="C657" s="165" t="s">
        <v>4237</v>
      </c>
      <c r="D657" s="22" t="s">
        <v>2379</v>
      </c>
      <c r="E657" s="34">
        <v>1</v>
      </c>
      <c r="F657" s="22" t="s">
        <v>2223</v>
      </c>
      <c r="G657" s="235">
        <v>35</v>
      </c>
      <c r="H657" s="235">
        <f t="shared" si="88"/>
        <v>21.604938271604937</v>
      </c>
      <c r="I657" s="235">
        <v>35</v>
      </c>
      <c r="J657" s="235">
        <f t="shared" si="89"/>
        <v>21.604938271604937</v>
      </c>
      <c r="K657" s="215">
        <v>138</v>
      </c>
      <c r="L657" s="252">
        <f>_xlfn.XLOOKUP($K657,Inputs!$C$6:$C$23,Inputs!$D$6:$D$23)*$I657</f>
        <v>15.175000000000001</v>
      </c>
      <c r="M657" s="68"/>
      <c r="N657" s="68"/>
      <c r="O657" s="215">
        <v>71.900000000000006</v>
      </c>
      <c r="P657" s="215">
        <v>86.3</v>
      </c>
      <c r="Q657" s="94">
        <v>0.9</v>
      </c>
      <c r="R657" s="68" t="s">
        <v>115</v>
      </c>
      <c r="S657" s="182">
        <f t="shared" ref="S657:S665" si="92">O657*Q657</f>
        <v>64.710000000000008</v>
      </c>
      <c r="T657" s="182">
        <f t="shared" ref="T657:T665" si="93">P657*Q657</f>
        <v>77.67</v>
      </c>
      <c r="U657" s="96" t="s">
        <v>3894</v>
      </c>
      <c r="V657" s="22" t="s">
        <v>3154</v>
      </c>
      <c r="W657" s="96" t="s">
        <v>3666</v>
      </c>
      <c r="X657" s="22" t="s">
        <v>2938</v>
      </c>
      <c r="Y657" s="11" t="s">
        <v>3291</v>
      </c>
      <c r="Z657" s="79"/>
      <c r="AA657" s="187">
        <v>646</v>
      </c>
    </row>
    <row r="658" spans="2:27" s="188" customFormat="1" ht="20" x14ac:dyDescent="0.2">
      <c r="B658" s="11" t="s">
        <v>849</v>
      </c>
      <c r="C658" s="165" t="s">
        <v>4237</v>
      </c>
      <c r="D658" s="22" t="s">
        <v>2379</v>
      </c>
      <c r="E658" s="34">
        <v>1</v>
      </c>
      <c r="F658" s="22" t="s">
        <v>2223</v>
      </c>
      <c r="G658" s="235">
        <v>80</v>
      </c>
      <c r="H658" s="235">
        <f t="shared" si="88"/>
        <v>49.382716049382715</v>
      </c>
      <c r="I658" s="235">
        <v>80</v>
      </c>
      <c r="J658" s="235">
        <f t="shared" si="89"/>
        <v>49.382716049382715</v>
      </c>
      <c r="K658" s="201">
        <v>144</v>
      </c>
      <c r="L658" s="252">
        <f>_xlfn.XLOOKUP($K658,Inputs!$C$6:$C$23,Inputs!$D$6:$D$23)*$I658</f>
        <v>35.028571428571432</v>
      </c>
      <c r="M658" s="68"/>
      <c r="N658" s="68"/>
      <c r="O658" s="215">
        <v>299</v>
      </c>
      <c r="P658" s="215">
        <v>299</v>
      </c>
      <c r="Q658" s="94">
        <v>0.9</v>
      </c>
      <c r="R658" s="68" t="s">
        <v>115</v>
      </c>
      <c r="S658" s="182">
        <f t="shared" si="92"/>
        <v>269.10000000000002</v>
      </c>
      <c r="T658" s="182">
        <f t="shared" si="93"/>
        <v>269.10000000000002</v>
      </c>
      <c r="U658" s="96" t="s">
        <v>3917</v>
      </c>
      <c r="V658" s="22" t="s">
        <v>3178</v>
      </c>
      <c r="W658" s="96" t="s">
        <v>3715</v>
      </c>
      <c r="X658" s="22" t="s">
        <v>2979</v>
      </c>
      <c r="Y658" s="11" t="s">
        <v>3273</v>
      </c>
      <c r="Z658" s="79"/>
      <c r="AA658" s="187">
        <v>647</v>
      </c>
    </row>
    <row r="659" spans="2:27" s="188" customFormat="1" ht="20" x14ac:dyDescent="0.2">
      <c r="B659" s="11" t="s">
        <v>1513</v>
      </c>
      <c r="C659" s="165" t="s">
        <v>4237</v>
      </c>
      <c r="D659" s="22" t="s">
        <v>2379</v>
      </c>
      <c r="E659" s="34">
        <v>1</v>
      </c>
      <c r="F659" s="22" t="s">
        <v>2223</v>
      </c>
      <c r="G659" s="235">
        <v>15</v>
      </c>
      <c r="H659" s="235">
        <f t="shared" si="88"/>
        <v>9.2592592592592595</v>
      </c>
      <c r="I659" s="235">
        <v>15</v>
      </c>
      <c r="J659" s="235">
        <f t="shared" si="89"/>
        <v>9.2592592592592595</v>
      </c>
      <c r="K659" s="215">
        <v>138</v>
      </c>
      <c r="L659" s="252">
        <f>_xlfn.XLOOKUP($K659,Inputs!$C$6:$C$23,Inputs!$D$6:$D$23)*$I659</f>
        <v>6.503571428571429</v>
      </c>
      <c r="M659" s="68"/>
      <c r="N659" s="68"/>
      <c r="O659" s="215">
        <v>143</v>
      </c>
      <c r="P659" s="215">
        <v>143</v>
      </c>
      <c r="Q659" s="94">
        <v>0.9</v>
      </c>
      <c r="R659" s="68" t="s">
        <v>115</v>
      </c>
      <c r="S659" s="182">
        <f t="shared" si="92"/>
        <v>128.70000000000002</v>
      </c>
      <c r="T659" s="182">
        <f t="shared" si="93"/>
        <v>128.70000000000002</v>
      </c>
      <c r="U659" s="96" t="s">
        <v>3675</v>
      </c>
      <c r="V659" s="22" t="s">
        <v>2948</v>
      </c>
      <c r="W659" s="96" t="s">
        <v>3763</v>
      </c>
      <c r="X659" s="22" t="s">
        <v>2639</v>
      </c>
      <c r="Y659" s="11" t="s">
        <v>3299</v>
      </c>
      <c r="Z659" s="79"/>
      <c r="AA659" s="187">
        <v>648</v>
      </c>
    </row>
    <row r="660" spans="2:27" s="184" customFormat="1" ht="20" x14ac:dyDescent="0.2">
      <c r="B660" s="11" t="s">
        <v>850</v>
      </c>
      <c r="C660" s="165" t="s">
        <v>4237</v>
      </c>
      <c r="D660" s="22" t="s">
        <v>2379</v>
      </c>
      <c r="E660" s="34">
        <v>1</v>
      </c>
      <c r="F660" s="22" t="s">
        <v>2223</v>
      </c>
      <c r="G660" s="235">
        <v>90</v>
      </c>
      <c r="H660" s="235">
        <f t="shared" si="88"/>
        <v>55.55555555555555</v>
      </c>
      <c r="I660" s="235">
        <v>90</v>
      </c>
      <c r="J660" s="235">
        <f t="shared" si="89"/>
        <v>55.55555555555555</v>
      </c>
      <c r="K660" s="201">
        <v>144</v>
      </c>
      <c r="L660" s="252">
        <f>_xlfn.XLOOKUP($K660,Inputs!$C$6:$C$23,Inputs!$D$6:$D$23)*$I660</f>
        <v>39.407142857142858</v>
      </c>
      <c r="M660" s="68"/>
      <c r="N660" s="68"/>
      <c r="O660" s="215">
        <v>114</v>
      </c>
      <c r="P660" s="215">
        <v>145</v>
      </c>
      <c r="Q660" s="94">
        <v>0.9</v>
      </c>
      <c r="R660" s="68" t="s">
        <v>115</v>
      </c>
      <c r="S660" s="182">
        <f t="shared" si="92"/>
        <v>102.60000000000001</v>
      </c>
      <c r="T660" s="182">
        <f t="shared" si="93"/>
        <v>130.5</v>
      </c>
      <c r="U660" s="96" t="s">
        <v>3857</v>
      </c>
      <c r="V660" s="22" t="s">
        <v>3127</v>
      </c>
      <c r="W660" s="96" t="s">
        <v>3613</v>
      </c>
      <c r="X660" s="22" t="s">
        <v>2901</v>
      </c>
      <c r="Y660" s="11" t="s">
        <v>3272</v>
      </c>
      <c r="Z660" s="79"/>
      <c r="AA660" s="187">
        <v>649</v>
      </c>
    </row>
    <row r="661" spans="2:27" s="188" customFormat="1" ht="20" x14ac:dyDescent="0.2">
      <c r="B661" s="11" t="s">
        <v>852</v>
      </c>
      <c r="C661" s="165" t="s">
        <v>4237</v>
      </c>
      <c r="D661" s="22" t="s">
        <v>2379</v>
      </c>
      <c r="E661" s="34">
        <v>1</v>
      </c>
      <c r="F661" s="22" t="s">
        <v>2223</v>
      </c>
      <c r="G661" s="88">
        <v>29.400000000000002</v>
      </c>
      <c r="H661" s="235">
        <f t="shared" si="88"/>
        <v>18.148148148148149</v>
      </c>
      <c r="I661" s="88">
        <v>29.400000000000002</v>
      </c>
      <c r="J661" s="235">
        <f t="shared" si="89"/>
        <v>18.148148148148149</v>
      </c>
      <c r="K661" s="201">
        <v>144</v>
      </c>
      <c r="L661" s="252">
        <f>_xlfn.XLOOKUP($K661,Inputs!$C$6:$C$23,Inputs!$D$6:$D$23)*$I661</f>
        <v>12.873000000000001</v>
      </c>
      <c r="M661" s="68"/>
      <c r="N661" s="68"/>
      <c r="O661" s="209">
        <v>151</v>
      </c>
      <c r="P661" s="209">
        <v>190</v>
      </c>
      <c r="Q661" s="94">
        <v>0.9</v>
      </c>
      <c r="R661" s="68" t="s">
        <v>115</v>
      </c>
      <c r="S661" s="182">
        <f t="shared" si="92"/>
        <v>135.9</v>
      </c>
      <c r="T661" s="182">
        <f t="shared" si="93"/>
        <v>171</v>
      </c>
      <c r="U661" s="96" t="s">
        <v>3597</v>
      </c>
      <c r="V661" s="22" t="s">
        <v>2886</v>
      </c>
      <c r="W661" s="96" t="s">
        <v>3814</v>
      </c>
      <c r="X661" s="205" t="s">
        <v>3060</v>
      </c>
      <c r="Y661" s="11" t="s">
        <v>3305</v>
      </c>
      <c r="Z661" s="79"/>
      <c r="AA661" s="187">
        <v>650</v>
      </c>
    </row>
    <row r="662" spans="2:27" s="184" customFormat="1" ht="20" x14ac:dyDescent="0.2">
      <c r="B662" s="11" t="s">
        <v>1544</v>
      </c>
      <c r="C662" s="165" t="s">
        <v>4237</v>
      </c>
      <c r="D662" s="22" t="s">
        <v>2379</v>
      </c>
      <c r="E662" s="34">
        <v>1</v>
      </c>
      <c r="F662" s="22" t="s">
        <v>2223</v>
      </c>
      <c r="G662" s="88">
        <v>27</v>
      </c>
      <c r="H662" s="235">
        <f t="shared" si="88"/>
        <v>16.666666666666664</v>
      </c>
      <c r="I662" s="88">
        <v>27</v>
      </c>
      <c r="J662" s="235">
        <f t="shared" si="89"/>
        <v>16.666666666666664</v>
      </c>
      <c r="K662" s="215">
        <v>138</v>
      </c>
      <c r="L662" s="252">
        <f>_xlfn.XLOOKUP($K662,Inputs!$C$6:$C$23,Inputs!$D$6:$D$23)*$I662</f>
        <v>11.706428571428573</v>
      </c>
      <c r="M662" s="68"/>
      <c r="N662" s="68"/>
      <c r="O662" s="215">
        <v>109.3</v>
      </c>
      <c r="P662" s="215">
        <v>139</v>
      </c>
      <c r="Q662" s="94">
        <v>0.9</v>
      </c>
      <c r="R662" s="68" t="s">
        <v>115</v>
      </c>
      <c r="S662" s="182">
        <f t="shared" si="92"/>
        <v>98.37</v>
      </c>
      <c r="T662" s="182">
        <f t="shared" si="93"/>
        <v>125.10000000000001</v>
      </c>
      <c r="U662" s="96" t="s">
        <v>3877</v>
      </c>
      <c r="V662" s="22" t="s">
        <v>3144</v>
      </c>
      <c r="W662" s="96" t="s">
        <v>3807</v>
      </c>
      <c r="X662" s="205" t="s">
        <v>3056</v>
      </c>
      <c r="Y662" s="11" t="s">
        <v>3299</v>
      </c>
      <c r="Z662" s="79"/>
      <c r="AA662" s="187">
        <v>651</v>
      </c>
    </row>
    <row r="663" spans="2:27" s="184" customFormat="1" ht="20" x14ac:dyDescent="0.2">
      <c r="B663" s="11" t="s">
        <v>855</v>
      </c>
      <c r="C663" s="165" t="s">
        <v>4237</v>
      </c>
      <c r="D663" s="22" t="s">
        <v>2379</v>
      </c>
      <c r="E663" s="34">
        <v>1</v>
      </c>
      <c r="F663" s="22" t="s">
        <v>2223</v>
      </c>
      <c r="G663" s="235">
        <v>30</v>
      </c>
      <c r="H663" s="235">
        <f t="shared" si="88"/>
        <v>18.518518518518519</v>
      </c>
      <c r="I663" s="235">
        <v>30</v>
      </c>
      <c r="J663" s="235">
        <f t="shared" si="89"/>
        <v>18.518518518518519</v>
      </c>
      <c r="K663" s="201">
        <v>144</v>
      </c>
      <c r="L663" s="252">
        <f>_xlfn.XLOOKUP($K663,Inputs!$C$6:$C$23,Inputs!$D$6:$D$23)*$I663</f>
        <v>13.135714285714286</v>
      </c>
      <c r="M663" s="68"/>
      <c r="N663" s="68"/>
      <c r="O663" s="215">
        <v>114</v>
      </c>
      <c r="P663" s="215">
        <v>145</v>
      </c>
      <c r="Q663" s="94">
        <v>0.9</v>
      </c>
      <c r="R663" s="68" t="s">
        <v>115</v>
      </c>
      <c r="S663" s="182">
        <f t="shared" si="92"/>
        <v>102.60000000000001</v>
      </c>
      <c r="T663" s="182">
        <f t="shared" si="93"/>
        <v>130.5</v>
      </c>
      <c r="U663" s="96" t="s">
        <v>3625</v>
      </c>
      <c r="V663" s="22" t="s">
        <v>2910</v>
      </c>
      <c r="W663" s="96" t="s">
        <v>3715</v>
      </c>
      <c r="X663" s="22" t="s">
        <v>2979</v>
      </c>
      <c r="Y663" s="11" t="s">
        <v>3272</v>
      </c>
      <c r="Z663" s="79"/>
      <c r="AA663" s="187">
        <v>652</v>
      </c>
    </row>
    <row r="664" spans="2:27" s="184" customFormat="1" ht="20" x14ac:dyDescent="0.2">
      <c r="B664" s="11" t="s">
        <v>1434</v>
      </c>
      <c r="C664" s="165" t="s">
        <v>4237</v>
      </c>
      <c r="D664" s="22" t="s">
        <v>2379</v>
      </c>
      <c r="E664" s="34">
        <v>1</v>
      </c>
      <c r="F664" s="22" t="s">
        <v>2223</v>
      </c>
      <c r="G664" s="88">
        <v>24</v>
      </c>
      <c r="H664" s="235">
        <f t="shared" si="88"/>
        <v>14.814814814814813</v>
      </c>
      <c r="I664" s="88">
        <v>54</v>
      </c>
      <c r="J664" s="235">
        <f t="shared" si="89"/>
        <v>33.333333333333329</v>
      </c>
      <c r="K664" s="215">
        <v>138</v>
      </c>
      <c r="L664" s="252">
        <f>_xlfn.XLOOKUP($K664,Inputs!$C$6:$C$23,Inputs!$D$6:$D$23)*$I664</f>
        <v>23.412857142857145</v>
      </c>
      <c r="M664" s="68"/>
      <c r="N664" s="68"/>
      <c r="O664" s="215">
        <v>109.3</v>
      </c>
      <c r="P664" s="215">
        <v>139</v>
      </c>
      <c r="Q664" s="94">
        <v>0.9</v>
      </c>
      <c r="R664" s="68" t="s">
        <v>115</v>
      </c>
      <c r="S664" s="182">
        <f t="shared" si="92"/>
        <v>98.37</v>
      </c>
      <c r="T664" s="182">
        <f t="shared" si="93"/>
        <v>125.10000000000001</v>
      </c>
      <c r="U664" s="96" t="s">
        <v>3844</v>
      </c>
      <c r="V664" s="22" t="s">
        <v>3117</v>
      </c>
      <c r="W664" s="96" t="s">
        <v>3982</v>
      </c>
      <c r="X664" s="22" t="s">
        <v>2164</v>
      </c>
      <c r="Y664" s="11" t="s">
        <v>3299</v>
      </c>
      <c r="Z664" s="79"/>
      <c r="AA664" s="187">
        <v>653</v>
      </c>
    </row>
    <row r="665" spans="2:27" s="184" customFormat="1" ht="20" x14ac:dyDescent="0.2">
      <c r="B665" s="11" t="s">
        <v>1434</v>
      </c>
      <c r="C665" s="165" t="s">
        <v>4237</v>
      </c>
      <c r="D665" s="22" t="s">
        <v>2379</v>
      </c>
      <c r="E665" s="34">
        <v>1</v>
      </c>
      <c r="F665" s="22" t="s">
        <v>2223</v>
      </c>
      <c r="G665" s="88">
        <v>30</v>
      </c>
      <c r="H665" s="235">
        <f t="shared" si="88"/>
        <v>18.518518518518519</v>
      </c>
      <c r="I665" s="88">
        <v>54</v>
      </c>
      <c r="J665" s="235">
        <f t="shared" si="89"/>
        <v>33.333333333333329</v>
      </c>
      <c r="K665" s="215">
        <v>138</v>
      </c>
      <c r="L665" s="252">
        <f>_xlfn.XLOOKUP($K665,Inputs!$C$6:$C$23,Inputs!$D$6:$D$23)*$I665</f>
        <v>23.412857142857145</v>
      </c>
      <c r="M665" s="68"/>
      <c r="N665" s="68"/>
      <c r="O665" s="215">
        <v>109.3</v>
      </c>
      <c r="P665" s="215">
        <v>139</v>
      </c>
      <c r="Q665" s="94">
        <v>0.9</v>
      </c>
      <c r="R665" s="68" t="s">
        <v>115</v>
      </c>
      <c r="S665" s="182">
        <f t="shared" si="92"/>
        <v>98.37</v>
      </c>
      <c r="T665" s="182">
        <f t="shared" si="93"/>
        <v>125.10000000000001</v>
      </c>
      <c r="U665" s="96" t="s">
        <v>3982</v>
      </c>
      <c r="V665" s="22" t="s">
        <v>2164</v>
      </c>
      <c r="W665" s="96" t="s">
        <v>3929</v>
      </c>
      <c r="X665" s="22" t="s">
        <v>3187</v>
      </c>
      <c r="Y665" s="11" t="s">
        <v>3299</v>
      </c>
      <c r="Z665" s="79"/>
      <c r="AA665" s="187">
        <v>654</v>
      </c>
    </row>
    <row r="666" spans="2:27" s="188" customFormat="1" ht="20" x14ac:dyDescent="0.2">
      <c r="B666" s="11" t="s">
        <v>1436</v>
      </c>
      <c r="C666" s="165" t="s">
        <v>4237</v>
      </c>
      <c r="D666" s="22" t="s">
        <v>2379</v>
      </c>
      <c r="E666" s="34">
        <v>1</v>
      </c>
      <c r="F666" s="22" t="s">
        <v>2223</v>
      </c>
      <c r="G666" s="88">
        <v>4.8000000000000007</v>
      </c>
      <c r="H666" s="235">
        <f t="shared" si="88"/>
        <v>2.9629629629629632</v>
      </c>
      <c r="I666" s="88">
        <v>4.8000000000000007</v>
      </c>
      <c r="J666" s="235">
        <f t="shared" si="89"/>
        <v>2.9629629629629632</v>
      </c>
      <c r="K666" s="201">
        <v>144</v>
      </c>
      <c r="L666" s="252">
        <f>_xlfn.XLOOKUP($K666,Inputs!$C$6:$C$23,Inputs!$D$6:$D$23)*$I666</f>
        <v>2.1017142857142863</v>
      </c>
      <c r="M666" s="68"/>
      <c r="N666" s="68"/>
      <c r="O666" s="187"/>
      <c r="P666" s="187"/>
      <c r="Q666" s="94">
        <v>0.9</v>
      </c>
      <c r="R666" s="68">
        <f>IF((42.4*(J666)^(-0.6595))&gt;=3,3,(IF(42.4*(J666)^(-0.6595)&lt;=0.5,0.5,(42.4*(J666)^(-0.6595)))))</f>
        <v>3</v>
      </c>
      <c r="S666" s="276">
        <f>_xlfn.XLOOKUP($K666,Inputs!$G$6:$G$23,Inputs!J$6:J$23)*$R666</f>
        <v>153.60000000000002</v>
      </c>
      <c r="T666" s="276">
        <f>_xlfn.XLOOKUP($K666,Inputs!$G$6:$G$23,Inputs!K$6:K$23)*$R666</f>
        <v>169.96721311475409</v>
      </c>
      <c r="U666" s="96" t="s">
        <v>3982</v>
      </c>
      <c r="V666" s="22" t="s">
        <v>2164</v>
      </c>
      <c r="W666" s="96" t="s">
        <v>3747</v>
      </c>
      <c r="X666" s="22" t="s">
        <v>3005</v>
      </c>
      <c r="Y666" s="11" t="s">
        <v>3331</v>
      </c>
      <c r="Z666" s="79"/>
      <c r="AA666" s="187">
        <v>655</v>
      </c>
    </row>
    <row r="667" spans="2:27" s="188" customFormat="1" ht="20" x14ac:dyDescent="0.2">
      <c r="B667" s="11" t="s">
        <v>1479</v>
      </c>
      <c r="C667" s="165" t="s">
        <v>4237</v>
      </c>
      <c r="D667" s="22" t="s">
        <v>2379</v>
      </c>
      <c r="E667" s="34">
        <v>1</v>
      </c>
      <c r="F667" s="22" t="s">
        <v>2223</v>
      </c>
      <c r="G667" s="88">
        <v>15</v>
      </c>
      <c r="H667" s="235">
        <f t="shared" si="88"/>
        <v>9.2592592592592595</v>
      </c>
      <c r="I667" s="88">
        <v>15</v>
      </c>
      <c r="J667" s="235">
        <f t="shared" si="89"/>
        <v>9.2592592592592595</v>
      </c>
      <c r="K667" s="215">
        <v>138</v>
      </c>
      <c r="L667" s="252">
        <f>_xlfn.XLOOKUP($K667,Inputs!$C$6:$C$23,Inputs!$D$6:$D$23)*$I667</f>
        <v>6.503571428571429</v>
      </c>
      <c r="M667" s="68"/>
      <c r="N667" s="68"/>
      <c r="O667" s="215">
        <v>71.900000000000006</v>
      </c>
      <c r="P667" s="215">
        <v>86.3</v>
      </c>
      <c r="Q667" s="94">
        <v>0.9</v>
      </c>
      <c r="R667" s="68" t="s">
        <v>115</v>
      </c>
      <c r="S667" s="182">
        <f>O667*Q667</f>
        <v>64.710000000000008</v>
      </c>
      <c r="T667" s="182">
        <f>P667*Q667</f>
        <v>77.67</v>
      </c>
      <c r="U667" s="96" t="s">
        <v>3666</v>
      </c>
      <c r="V667" s="22" t="s">
        <v>2938</v>
      </c>
      <c r="W667" s="96" t="s">
        <v>3616</v>
      </c>
      <c r="X667" s="22" t="s">
        <v>2904</v>
      </c>
      <c r="Y667" s="11" t="s">
        <v>3291</v>
      </c>
      <c r="Z667" s="79"/>
      <c r="AA667" s="187">
        <v>656</v>
      </c>
    </row>
    <row r="668" spans="2:27" s="188" customFormat="1" ht="20" x14ac:dyDescent="0.2">
      <c r="B668" s="11" t="s">
        <v>1505</v>
      </c>
      <c r="C668" s="165" t="s">
        <v>4237</v>
      </c>
      <c r="D668" s="22" t="s">
        <v>2379</v>
      </c>
      <c r="E668" s="34">
        <v>1</v>
      </c>
      <c r="F668" s="22" t="s">
        <v>2223</v>
      </c>
      <c r="G668" s="88">
        <v>9</v>
      </c>
      <c r="H668" s="235">
        <f t="shared" si="88"/>
        <v>5.5555555555555554</v>
      </c>
      <c r="I668" s="88">
        <v>9</v>
      </c>
      <c r="J668" s="235">
        <f t="shared" si="89"/>
        <v>5.5555555555555554</v>
      </c>
      <c r="K668" s="201">
        <v>144</v>
      </c>
      <c r="L668" s="252">
        <f>_xlfn.XLOOKUP($K668,Inputs!$C$6:$C$23,Inputs!$D$6:$D$23)*$I668</f>
        <v>3.9407142857142858</v>
      </c>
      <c r="M668" s="68"/>
      <c r="N668" s="68"/>
      <c r="O668" s="187"/>
      <c r="P668" s="187"/>
      <c r="Q668" s="94">
        <v>0.9</v>
      </c>
      <c r="R668" s="68">
        <f>IF((42.4*(J668)^(-0.6595))&gt;=3,3,(IF(42.4*(J668)^(-0.6595)&lt;=0.5,0.5,(42.4*(J668)^(-0.6595)))))</f>
        <v>3</v>
      </c>
      <c r="S668" s="276">
        <f>_xlfn.XLOOKUP($K668,Inputs!$G$6:$G$23,Inputs!J$6:J$23)*$R668</f>
        <v>153.60000000000002</v>
      </c>
      <c r="T668" s="276">
        <f>_xlfn.XLOOKUP($K668,Inputs!$G$6:$G$23,Inputs!K$6:K$23)*$R668</f>
        <v>169.96721311475409</v>
      </c>
      <c r="U668" s="96" t="s">
        <v>3726</v>
      </c>
      <c r="V668" s="22" t="s">
        <v>2988</v>
      </c>
      <c r="W668" s="96" t="s">
        <v>3770</v>
      </c>
      <c r="X668" s="22" t="s">
        <v>3024</v>
      </c>
      <c r="Y668" s="11" t="s">
        <v>3331</v>
      </c>
      <c r="Z668" s="79"/>
      <c r="AA668" s="187">
        <v>657</v>
      </c>
    </row>
    <row r="669" spans="2:27" s="188" customFormat="1" ht="20" x14ac:dyDescent="0.2">
      <c r="B669" s="11" t="s">
        <v>1537</v>
      </c>
      <c r="C669" s="165" t="s">
        <v>4237</v>
      </c>
      <c r="D669" s="22" t="s">
        <v>2379</v>
      </c>
      <c r="E669" s="34">
        <v>1</v>
      </c>
      <c r="F669" s="22" t="s">
        <v>2223</v>
      </c>
      <c r="G669" s="88">
        <v>15</v>
      </c>
      <c r="H669" s="235">
        <f t="shared" si="88"/>
        <v>9.2592592592592595</v>
      </c>
      <c r="I669" s="88">
        <v>15</v>
      </c>
      <c r="J669" s="235">
        <f t="shared" si="89"/>
        <v>9.2592592592592595</v>
      </c>
      <c r="K669" s="215">
        <v>138</v>
      </c>
      <c r="L669" s="252">
        <f>_xlfn.XLOOKUP($K669,Inputs!$C$6:$C$23,Inputs!$D$6:$D$23)*$I669</f>
        <v>6.503571428571429</v>
      </c>
      <c r="M669" s="68"/>
      <c r="N669" s="68"/>
      <c r="O669" s="215">
        <v>95</v>
      </c>
      <c r="P669" s="215">
        <v>95</v>
      </c>
      <c r="Q669" s="94">
        <v>0.9</v>
      </c>
      <c r="R669" s="68" t="s">
        <v>115</v>
      </c>
      <c r="S669" s="182">
        <f>O669*Q669</f>
        <v>85.5</v>
      </c>
      <c r="T669" s="182">
        <f>P669*Q669</f>
        <v>85.5</v>
      </c>
      <c r="U669" s="96" t="s">
        <v>3741</v>
      </c>
      <c r="V669" s="22" t="s">
        <v>2999</v>
      </c>
      <c r="W669" s="96" t="s">
        <v>3847</v>
      </c>
      <c r="X669" s="22" t="s">
        <v>3120</v>
      </c>
      <c r="Y669" s="11" t="s">
        <v>3299</v>
      </c>
      <c r="Z669" s="79"/>
      <c r="AA669" s="187">
        <v>658</v>
      </c>
    </row>
    <row r="670" spans="2:27" s="184" customFormat="1" ht="20" x14ac:dyDescent="0.2">
      <c r="B670" s="11" t="s">
        <v>1425</v>
      </c>
      <c r="C670" s="165" t="s">
        <v>4237</v>
      </c>
      <c r="D670" s="22" t="s">
        <v>2379</v>
      </c>
      <c r="E670" s="34">
        <v>1</v>
      </c>
      <c r="F670" s="22" t="s">
        <v>2223</v>
      </c>
      <c r="G670" s="235">
        <v>60</v>
      </c>
      <c r="H670" s="235">
        <f t="shared" si="88"/>
        <v>37.037037037037038</v>
      </c>
      <c r="I670" s="235">
        <v>60</v>
      </c>
      <c r="J670" s="235">
        <f t="shared" si="89"/>
        <v>37.037037037037038</v>
      </c>
      <c r="K670" s="201">
        <v>144</v>
      </c>
      <c r="L670" s="252">
        <f>_xlfn.XLOOKUP($K670,Inputs!$C$6:$C$23,Inputs!$D$6:$D$23)*$I670</f>
        <v>26.271428571428572</v>
      </c>
      <c r="M670" s="68"/>
      <c r="N670" s="68"/>
      <c r="O670" s="215">
        <v>191</v>
      </c>
      <c r="P670" s="215">
        <v>191</v>
      </c>
      <c r="Q670" s="94">
        <v>0.9</v>
      </c>
      <c r="R670" s="68" t="s">
        <v>115</v>
      </c>
      <c r="S670" s="182">
        <f>O670*Q670</f>
        <v>171.9</v>
      </c>
      <c r="T670" s="182">
        <f>P670*Q670</f>
        <v>171.9</v>
      </c>
      <c r="U670" s="96" t="s">
        <v>3412</v>
      </c>
      <c r="V670" s="22" t="s">
        <v>2765</v>
      </c>
      <c r="W670" s="96" t="s">
        <v>3414</v>
      </c>
      <c r="X670" s="22" t="s">
        <v>2767</v>
      </c>
      <c r="Y670" s="11" t="s">
        <v>3309</v>
      </c>
      <c r="Z670" s="79"/>
      <c r="AA670" s="187">
        <v>659</v>
      </c>
    </row>
    <row r="671" spans="2:27" s="188" customFormat="1" ht="20" x14ac:dyDescent="0.2">
      <c r="B671" s="11" t="s">
        <v>856</v>
      </c>
      <c r="C671" s="165" t="s">
        <v>4237</v>
      </c>
      <c r="D671" s="22" t="s">
        <v>2379</v>
      </c>
      <c r="E671" s="34">
        <v>1</v>
      </c>
      <c r="F671" s="22" t="s">
        <v>2223</v>
      </c>
      <c r="G671" s="235">
        <v>80</v>
      </c>
      <c r="H671" s="235">
        <f t="shared" si="88"/>
        <v>49.382716049382715</v>
      </c>
      <c r="I671" s="235">
        <v>80</v>
      </c>
      <c r="J671" s="235">
        <f t="shared" si="89"/>
        <v>49.382716049382715</v>
      </c>
      <c r="K671" s="201">
        <v>144</v>
      </c>
      <c r="L671" s="252">
        <f>_xlfn.XLOOKUP($K671,Inputs!$C$6:$C$23,Inputs!$D$6:$D$23)*$I671</f>
        <v>35.028571428571432</v>
      </c>
      <c r="M671" s="68"/>
      <c r="N671" s="68"/>
      <c r="O671" s="187"/>
      <c r="P671" s="187"/>
      <c r="Q671" s="94">
        <v>0.9</v>
      </c>
      <c r="R671" s="68">
        <f>IF((42.4*(J671)^(-0.6595))&gt;=3,3,(IF(42.4*(J671)^(-0.6595)&lt;=0.5,0.5,(42.4*(J671)^(-0.6595)))))</f>
        <v>3</v>
      </c>
      <c r="S671" s="276">
        <f>_xlfn.XLOOKUP($K671,Inputs!$G$6:$G$23,Inputs!J$6:J$23)*$R671</f>
        <v>153.60000000000002</v>
      </c>
      <c r="T671" s="276">
        <f>_xlfn.XLOOKUP($K671,Inputs!$G$6:$G$23,Inputs!K$6:K$23)*$R671</f>
        <v>169.96721311475409</v>
      </c>
      <c r="U671" s="96" t="s">
        <v>3505</v>
      </c>
      <c r="V671" s="22" t="s">
        <v>2821</v>
      </c>
      <c r="W671" s="96" t="s">
        <v>3870</v>
      </c>
      <c r="X671" s="22" t="s">
        <v>3138</v>
      </c>
      <c r="Y671" s="11" t="s">
        <v>3331</v>
      </c>
      <c r="Z671" s="79"/>
      <c r="AA671" s="187">
        <v>660</v>
      </c>
    </row>
    <row r="672" spans="2:27" s="184" customFormat="1" ht="20" x14ac:dyDescent="0.2">
      <c r="B672" s="11" t="s">
        <v>859</v>
      </c>
      <c r="C672" s="165" t="s">
        <v>4237</v>
      </c>
      <c r="D672" s="22" t="s">
        <v>2379</v>
      </c>
      <c r="E672" s="34">
        <v>1</v>
      </c>
      <c r="F672" s="22" t="s">
        <v>2223</v>
      </c>
      <c r="G672" s="235">
        <v>15</v>
      </c>
      <c r="H672" s="235">
        <f t="shared" si="88"/>
        <v>9.2592592592592595</v>
      </c>
      <c r="I672" s="235">
        <v>16.68</v>
      </c>
      <c r="J672" s="235">
        <f t="shared" si="89"/>
        <v>10.296296296296296</v>
      </c>
      <c r="K672" s="201">
        <v>144</v>
      </c>
      <c r="L672" s="252">
        <f>_xlfn.XLOOKUP($K672,Inputs!$C$6:$C$23,Inputs!$D$6:$D$23)*$I672</f>
        <v>7.3034571428571429</v>
      </c>
      <c r="M672" s="68"/>
      <c r="N672" s="68"/>
      <c r="O672" s="187"/>
      <c r="P672" s="187"/>
      <c r="Q672" s="94">
        <v>0.9</v>
      </c>
      <c r="R672" s="68">
        <f>IF((42.4*(J672)^(-0.6595))&gt;=3,3,(IF(42.4*(J672)^(-0.6595)&lt;=0.5,0.5,(42.4*(J672)^(-0.6595)))))</f>
        <v>3</v>
      </c>
      <c r="S672" s="276">
        <f>_xlfn.XLOOKUP($K672,Inputs!$G$6:$G$23,Inputs!J$6:J$23)*$R672</f>
        <v>153.60000000000002</v>
      </c>
      <c r="T672" s="276">
        <f>_xlfn.XLOOKUP($K672,Inputs!$G$6:$G$23,Inputs!K$6:K$23)*$R672</f>
        <v>169.96721311475409</v>
      </c>
      <c r="U672" s="96" t="s">
        <v>3663</v>
      </c>
      <c r="V672" s="22" t="s">
        <v>2935</v>
      </c>
      <c r="W672" s="96" t="s">
        <v>3688</v>
      </c>
      <c r="X672" s="22" t="s">
        <v>2700</v>
      </c>
      <c r="Y672" s="11" t="s">
        <v>3331</v>
      </c>
      <c r="Z672" s="79"/>
      <c r="AA672" s="187">
        <v>661</v>
      </c>
    </row>
    <row r="673" spans="2:27" s="188" customFormat="1" ht="20" x14ac:dyDescent="0.2">
      <c r="B673" s="11" t="s">
        <v>859</v>
      </c>
      <c r="C673" s="165" t="s">
        <v>4237</v>
      </c>
      <c r="D673" s="22" t="s">
        <v>2379</v>
      </c>
      <c r="E673" s="34">
        <v>1</v>
      </c>
      <c r="F673" s="22" t="s">
        <v>2223</v>
      </c>
      <c r="G673" s="88">
        <v>1.6800000000000002</v>
      </c>
      <c r="H673" s="235">
        <f t="shared" si="88"/>
        <v>1.037037037037037</v>
      </c>
      <c r="I673" s="88">
        <v>16.68</v>
      </c>
      <c r="J673" s="235">
        <f t="shared" si="89"/>
        <v>10.296296296296296</v>
      </c>
      <c r="K673" s="201">
        <v>144</v>
      </c>
      <c r="L673" s="252">
        <f>_xlfn.XLOOKUP($K673,Inputs!$C$6:$C$23,Inputs!$D$6:$D$23)*$I673</f>
        <v>7.3034571428571429</v>
      </c>
      <c r="M673" s="68"/>
      <c r="N673" s="68"/>
      <c r="O673" s="187"/>
      <c r="P673" s="187"/>
      <c r="Q673" s="94">
        <v>0.9</v>
      </c>
      <c r="R673" s="68">
        <f>IF((42.4*(J673)^(-0.6595))&gt;=3,3,(IF(42.4*(J673)^(-0.6595)&lt;=0.5,0.5,(42.4*(J673)^(-0.6595)))))</f>
        <v>3</v>
      </c>
      <c r="S673" s="276">
        <f>_xlfn.XLOOKUP($K673,Inputs!$G$6:$G$23,Inputs!J$6:J$23)*$R673</f>
        <v>153.60000000000002</v>
      </c>
      <c r="T673" s="276">
        <f>_xlfn.XLOOKUP($K673,Inputs!$G$6:$G$23,Inputs!K$6:K$23)*$R673</f>
        <v>169.96721311475409</v>
      </c>
      <c r="U673" s="96" t="s">
        <v>3688</v>
      </c>
      <c r="V673" s="22" t="s">
        <v>2700</v>
      </c>
      <c r="W673" s="96" t="s">
        <v>3687</v>
      </c>
      <c r="X673" s="22" t="s">
        <v>2958</v>
      </c>
      <c r="Y673" s="11" t="s">
        <v>3331</v>
      </c>
      <c r="Z673" s="79"/>
      <c r="AA673" s="187">
        <v>662</v>
      </c>
    </row>
    <row r="674" spans="2:27" s="188" customFormat="1" ht="20" x14ac:dyDescent="0.2">
      <c r="B674" s="11" t="s">
        <v>1515</v>
      </c>
      <c r="C674" s="165" t="s">
        <v>4237</v>
      </c>
      <c r="D674" s="22" t="s">
        <v>2379</v>
      </c>
      <c r="E674" s="34">
        <v>1</v>
      </c>
      <c r="F674" s="22" t="s">
        <v>2223</v>
      </c>
      <c r="G674" s="235">
        <v>15</v>
      </c>
      <c r="H674" s="235">
        <f t="shared" si="88"/>
        <v>9.2592592592592595</v>
      </c>
      <c r="I674" s="235">
        <v>15</v>
      </c>
      <c r="J674" s="235">
        <f t="shared" si="89"/>
        <v>9.2592592592592595</v>
      </c>
      <c r="K674" s="201">
        <v>144</v>
      </c>
      <c r="L674" s="252">
        <f>_xlfn.XLOOKUP($K674,Inputs!$C$6:$C$23,Inputs!$D$6:$D$23)*$I674</f>
        <v>6.5678571428571431</v>
      </c>
      <c r="M674" s="68"/>
      <c r="N674" s="68"/>
      <c r="O674" s="187"/>
      <c r="P674" s="187"/>
      <c r="Q674" s="94">
        <v>0.9</v>
      </c>
      <c r="R674" s="68">
        <f>IF((42.4*(J674)^(-0.6595))&gt;=3,3,(IF(42.4*(J674)^(-0.6595)&lt;=0.5,0.5,(42.4*(J674)^(-0.6595)))))</f>
        <v>3</v>
      </c>
      <c r="S674" s="276">
        <f>_xlfn.XLOOKUP($K674,Inputs!$G$6:$G$23,Inputs!J$6:J$23)*$R674</f>
        <v>153.60000000000002</v>
      </c>
      <c r="T674" s="276">
        <f>_xlfn.XLOOKUP($K674,Inputs!$G$6:$G$23,Inputs!K$6:K$23)*$R674</f>
        <v>169.96721311475409</v>
      </c>
      <c r="U674" s="96" t="s">
        <v>3675</v>
      </c>
      <c r="V674" s="22" t="s">
        <v>2948</v>
      </c>
      <c r="W674" s="96" t="s">
        <v>3763</v>
      </c>
      <c r="X674" s="22" t="s">
        <v>2639</v>
      </c>
      <c r="Y674" s="11" t="s">
        <v>3331</v>
      </c>
      <c r="Z674" s="79"/>
      <c r="AA674" s="187">
        <v>663</v>
      </c>
    </row>
    <row r="675" spans="2:27" s="188" customFormat="1" ht="20" x14ac:dyDescent="0.2">
      <c r="B675" s="11" t="s">
        <v>1550</v>
      </c>
      <c r="C675" s="165" t="s">
        <v>4237</v>
      </c>
      <c r="D675" s="22" t="s">
        <v>2379</v>
      </c>
      <c r="E675" s="34">
        <v>1</v>
      </c>
      <c r="F675" s="22" t="s">
        <v>2223</v>
      </c>
      <c r="G675" s="88">
        <v>12</v>
      </c>
      <c r="H675" s="235">
        <f t="shared" si="88"/>
        <v>7.4074074074074066</v>
      </c>
      <c r="I675" s="88">
        <v>12</v>
      </c>
      <c r="J675" s="235">
        <f t="shared" si="89"/>
        <v>7.4074074074074066</v>
      </c>
      <c r="K675" s="215">
        <v>138</v>
      </c>
      <c r="L675" s="252">
        <f>_xlfn.XLOOKUP($K675,Inputs!$C$6:$C$23,Inputs!$D$6:$D$23)*$I675</f>
        <v>5.2028571428571428</v>
      </c>
      <c r="M675" s="68"/>
      <c r="N675" s="68"/>
      <c r="O675" s="215">
        <v>143</v>
      </c>
      <c r="P675" s="215">
        <v>143</v>
      </c>
      <c r="Q675" s="94">
        <v>0.9</v>
      </c>
      <c r="R675" s="68" t="s">
        <v>115</v>
      </c>
      <c r="S675" s="182">
        <f>O675*Q675</f>
        <v>128.70000000000002</v>
      </c>
      <c r="T675" s="182">
        <f>P675*Q675</f>
        <v>128.70000000000002</v>
      </c>
      <c r="U675" s="96" t="s">
        <v>3940</v>
      </c>
      <c r="V675" s="22" t="s">
        <v>3192</v>
      </c>
      <c r="W675" s="96" t="s">
        <v>3928</v>
      </c>
      <c r="X675" s="205" t="s">
        <v>2728</v>
      </c>
      <c r="Y675" s="11" t="s">
        <v>3299</v>
      </c>
      <c r="Z675" s="79"/>
      <c r="AA675" s="187">
        <v>664</v>
      </c>
    </row>
    <row r="676" spans="2:27" s="184" customFormat="1" ht="20" x14ac:dyDescent="0.2">
      <c r="B676" s="11" t="s">
        <v>861</v>
      </c>
      <c r="C676" s="165" t="s">
        <v>4237</v>
      </c>
      <c r="D676" s="22" t="s">
        <v>2379</v>
      </c>
      <c r="E676" s="34">
        <v>1</v>
      </c>
      <c r="F676" s="22" t="s">
        <v>2223</v>
      </c>
      <c r="G676" s="235">
        <v>30</v>
      </c>
      <c r="H676" s="235">
        <f t="shared" si="88"/>
        <v>18.518518518518519</v>
      </c>
      <c r="I676" s="235">
        <v>30</v>
      </c>
      <c r="J676" s="235">
        <f t="shared" si="89"/>
        <v>18.518518518518519</v>
      </c>
      <c r="K676" s="201">
        <v>144</v>
      </c>
      <c r="L676" s="252">
        <f>_xlfn.XLOOKUP($K676,Inputs!$C$6:$C$23,Inputs!$D$6:$D$23)*$I676</f>
        <v>13.135714285714286</v>
      </c>
      <c r="M676" s="68"/>
      <c r="N676" s="68"/>
      <c r="O676" s="187"/>
      <c r="P676" s="187"/>
      <c r="Q676" s="94">
        <v>0.9</v>
      </c>
      <c r="R676" s="68">
        <f>IF((42.4*(J676)^(-0.6595))&gt;=3,3,(IF(42.4*(J676)^(-0.6595)&lt;=0.5,0.5,(42.4*(J676)^(-0.6595)))))</f>
        <v>3</v>
      </c>
      <c r="S676" s="276">
        <f>_xlfn.XLOOKUP($K676,Inputs!$G$6:$G$23,Inputs!J$6:J$23)*$R676</f>
        <v>153.60000000000002</v>
      </c>
      <c r="T676" s="276">
        <f>_xlfn.XLOOKUP($K676,Inputs!$G$6:$G$23,Inputs!K$6:K$23)*$R676</f>
        <v>169.96721311475409</v>
      </c>
      <c r="U676" s="96" t="s">
        <v>3590</v>
      </c>
      <c r="V676" s="22" t="s">
        <v>2881</v>
      </c>
      <c r="W676" s="96" t="s">
        <v>3936</v>
      </c>
      <c r="X676" s="22" t="s">
        <v>3190</v>
      </c>
      <c r="Y676" s="11" t="s">
        <v>3331</v>
      </c>
      <c r="Z676" s="79"/>
      <c r="AA676" s="187">
        <v>665</v>
      </c>
    </row>
    <row r="677" spans="2:27" s="188" customFormat="1" ht="20" x14ac:dyDescent="0.2">
      <c r="B677" s="11" t="s">
        <v>1407</v>
      </c>
      <c r="C677" s="165" t="s">
        <v>4237</v>
      </c>
      <c r="D677" s="22" t="s">
        <v>2379</v>
      </c>
      <c r="E677" s="34">
        <v>1</v>
      </c>
      <c r="F677" s="22" t="s">
        <v>2223</v>
      </c>
      <c r="G677" s="88">
        <v>12</v>
      </c>
      <c r="H677" s="235">
        <f t="shared" si="88"/>
        <v>7.4074074074074066</v>
      </c>
      <c r="I677" s="88">
        <v>12</v>
      </c>
      <c r="J677" s="235">
        <f t="shared" si="89"/>
        <v>7.4074074074074066</v>
      </c>
      <c r="K677" s="201">
        <v>144</v>
      </c>
      <c r="L677" s="252">
        <f>_xlfn.XLOOKUP($K677,Inputs!$C$6:$C$23,Inputs!$D$6:$D$23)*$I677</f>
        <v>5.2542857142857144</v>
      </c>
      <c r="M677" s="68"/>
      <c r="N677" s="68"/>
      <c r="O677" s="215">
        <v>180.2</v>
      </c>
      <c r="P677" s="215">
        <v>210.8</v>
      </c>
      <c r="Q677" s="94">
        <v>0.9</v>
      </c>
      <c r="R677" s="68" t="s">
        <v>115</v>
      </c>
      <c r="S677" s="182">
        <f t="shared" ref="S677:S682" si="94">O677*Q677</f>
        <v>162.18</v>
      </c>
      <c r="T677" s="182">
        <f t="shared" ref="T677:T682" si="95">P677*Q677</f>
        <v>189.72000000000003</v>
      </c>
      <c r="U677" s="96" t="s">
        <v>3414</v>
      </c>
      <c r="V677" s="22" t="s">
        <v>2767</v>
      </c>
      <c r="W677" s="96" t="s">
        <v>3699</v>
      </c>
      <c r="X677" s="22" t="s">
        <v>2966</v>
      </c>
      <c r="Y677" s="11" t="s">
        <v>3313</v>
      </c>
      <c r="Z677" s="79"/>
      <c r="AA677" s="187">
        <v>666</v>
      </c>
    </row>
    <row r="678" spans="2:27" s="184" customFormat="1" ht="20" x14ac:dyDescent="0.2">
      <c r="B678" s="11" t="s">
        <v>1540</v>
      </c>
      <c r="C678" s="165" t="s">
        <v>4237</v>
      </c>
      <c r="D678" s="22" t="s">
        <v>2379</v>
      </c>
      <c r="E678" s="34">
        <v>1</v>
      </c>
      <c r="F678" s="22" t="s">
        <v>2223</v>
      </c>
      <c r="G678" s="88">
        <v>15</v>
      </c>
      <c r="H678" s="235">
        <f t="shared" si="88"/>
        <v>9.2592592592592595</v>
      </c>
      <c r="I678" s="88">
        <v>24</v>
      </c>
      <c r="J678" s="235">
        <f t="shared" si="89"/>
        <v>14.814814814814813</v>
      </c>
      <c r="K678" s="215">
        <v>138</v>
      </c>
      <c r="L678" s="252">
        <f>_xlfn.XLOOKUP($K678,Inputs!$C$6:$C$23,Inputs!$D$6:$D$23)*$I678</f>
        <v>10.405714285714286</v>
      </c>
      <c r="M678" s="68"/>
      <c r="N678" s="68"/>
      <c r="O678" s="215">
        <v>109.3</v>
      </c>
      <c r="P678" s="215">
        <v>126.5</v>
      </c>
      <c r="Q678" s="94">
        <v>0.9</v>
      </c>
      <c r="R678" s="68" t="s">
        <v>115</v>
      </c>
      <c r="S678" s="182">
        <f t="shared" si="94"/>
        <v>98.37</v>
      </c>
      <c r="T678" s="182">
        <f t="shared" si="95"/>
        <v>113.85000000000001</v>
      </c>
      <c r="U678" s="96" t="s">
        <v>3610</v>
      </c>
      <c r="V678" s="22" t="s">
        <v>2898</v>
      </c>
      <c r="W678" s="96" t="s">
        <v>3949</v>
      </c>
      <c r="X678" s="22" t="s">
        <v>2165</v>
      </c>
      <c r="Y678" s="11" t="s">
        <v>3299</v>
      </c>
      <c r="Z678" s="79"/>
      <c r="AA678" s="187">
        <v>667</v>
      </c>
    </row>
    <row r="679" spans="2:27" s="184" customFormat="1" ht="20" x14ac:dyDescent="0.2">
      <c r="B679" s="11" t="s">
        <v>1540</v>
      </c>
      <c r="C679" s="165" t="s">
        <v>4237</v>
      </c>
      <c r="D679" s="22" t="s">
        <v>2379</v>
      </c>
      <c r="E679" s="34">
        <v>1</v>
      </c>
      <c r="F679" s="22" t="s">
        <v>2223</v>
      </c>
      <c r="G679" s="88">
        <v>9</v>
      </c>
      <c r="H679" s="235">
        <f t="shared" si="88"/>
        <v>5.5555555555555554</v>
      </c>
      <c r="I679" s="88">
        <v>24</v>
      </c>
      <c r="J679" s="235">
        <f t="shared" si="89"/>
        <v>14.814814814814813</v>
      </c>
      <c r="K679" s="215">
        <v>138</v>
      </c>
      <c r="L679" s="252">
        <f>_xlfn.XLOOKUP($K679,Inputs!$C$6:$C$23,Inputs!$D$6:$D$23)*$I679</f>
        <v>10.405714285714286</v>
      </c>
      <c r="M679" s="68"/>
      <c r="N679" s="68"/>
      <c r="O679" s="215">
        <v>109.3</v>
      </c>
      <c r="P679" s="215">
        <v>126.5</v>
      </c>
      <c r="Q679" s="94">
        <v>0.9</v>
      </c>
      <c r="R679" s="68" t="s">
        <v>115</v>
      </c>
      <c r="S679" s="182">
        <f t="shared" si="94"/>
        <v>98.37</v>
      </c>
      <c r="T679" s="182">
        <f t="shared" si="95"/>
        <v>113.85000000000001</v>
      </c>
      <c r="U679" s="96" t="s">
        <v>3949</v>
      </c>
      <c r="V679" s="22" t="s">
        <v>2165</v>
      </c>
      <c r="W679" s="96" t="s">
        <v>3877</v>
      </c>
      <c r="X679" s="22" t="s">
        <v>3144</v>
      </c>
      <c r="Y679" s="11" t="s">
        <v>3299</v>
      </c>
      <c r="Z679" s="79"/>
      <c r="AA679" s="187">
        <v>668</v>
      </c>
    </row>
    <row r="680" spans="2:27" s="184" customFormat="1" ht="20" x14ac:dyDescent="0.2">
      <c r="B680" s="11" t="s">
        <v>1541</v>
      </c>
      <c r="C680" s="165" t="s">
        <v>4237</v>
      </c>
      <c r="D680" s="22" t="s">
        <v>2379</v>
      </c>
      <c r="E680" s="34">
        <v>1</v>
      </c>
      <c r="F680" s="22" t="s">
        <v>2223</v>
      </c>
      <c r="G680" s="88">
        <v>15</v>
      </c>
      <c r="H680" s="235">
        <f t="shared" si="88"/>
        <v>9.2592592592592595</v>
      </c>
      <c r="I680" s="88">
        <v>15</v>
      </c>
      <c r="J680" s="235">
        <f t="shared" si="89"/>
        <v>9.2592592592592595</v>
      </c>
      <c r="K680" s="215">
        <v>138</v>
      </c>
      <c r="L680" s="252">
        <f>_xlfn.XLOOKUP($K680,Inputs!$C$6:$C$23,Inputs!$D$6:$D$23)*$I680</f>
        <v>6.503571428571429</v>
      </c>
      <c r="M680" s="68"/>
      <c r="N680" s="68"/>
      <c r="O680" s="215">
        <v>109.3</v>
      </c>
      <c r="P680" s="215">
        <v>139</v>
      </c>
      <c r="Q680" s="94">
        <v>0.9</v>
      </c>
      <c r="R680" s="68" t="s">
        <v>115</v>
      </c>
      <c r="S680" s="182">
        <f t="shared" si="94"/>
        <v>98.37</v>
      </c>
      <c r="T680" s="182">
        <f t="shared" si="95"/>
        <v>125.10000000000001</v>
      </c>
      <c r="U680" s="96" t="s">
        <v>3949</v>
      </c>
      <c r="V680" s="22" t="s">
        <v>2165</v>
      </c>
      <c r="W680" s="96" t="s">
        <v>3580</v>
      </c>
      <c r="X680" s="22" t="s">
        <v>2623</v>
      </c>
      <c r="Y680" s="11" t="s">
        <v>3299</v>
      </c>
      <c r="Z680" s="79"/>
      <c r="AA680" s="187">
        <v>669</v>
      </c>
    </row>
    <row r="681" spans="2:27" s="184" customFormat="1" ht="20" x14ac:dyDescent="0.2">
      <c r="B681" s="11" t="s">
        <v>1538</v>
      </c>
      <c r="C681" s="165" t="s">
        <v>4237</v>
      </c>
      <c r="D681" s="22" t="s">
        <v>2379</v>
      </c>
      <c r="E681" s="34">
        <v>1</v>
      </c>
      <c r="F681" s="22" t="s">
        <v>2223</v>
      </c>
      <c r="G681" s="88">
        <v>21</v>
      </c>
      <c r="H681" s="235">
        <f t="shared" si="88"/>
        <v>12.962962962962962</v>
      </c>
      <c r="I681" s="88">
        <v>21</v>
      </c>
      <c r="J681" s="235">
        <f t="shared" si="89"/>
        <v>12.962962962962962</v>
      </c>
      <c r="K681" s="215">
        <v>138</v>
      </c>
      <c r="L681" s="252">
        <f>_xlfn.XLOOKUP($K681,Inputs!$C$6:$C$23,Inputs!$D$6:$D$23)*$I681</f>
        <v>9.1050000000000004</v>
      </c>
      <c r="M681" s="68"/>
      <c r="N681" s="68"/>
      <c r="O681" s="215">
        <v>109.3</v>
      </c>
      <c r="P681" s="215">
        <v>126.5</v>
      </c>
      <c r="Q681" s="94">
        <v>0.9</v>
      </c>
      <c r="R681" s="68" t="s">
        <v>115</v>
      </c>
      <c r="S681" s="182">
        <f t="shared" si="94"/>
        <v>98.37</v>
      </c>
      <c r="T681" s="182">
        <f t="shared" si="95"/>
        <v>113.85000000000001</v>
      </c>
      <c r="U681" s="96" t="s">
        <v>3741</v>
      </c>
      <c r="V681" s="22" t="s">
        <v>2999</v>
      </c>
      <c r="W681" s="96" t="s">
        <v>3610</v>
      </c>
      <c r="X681" s="22" t="s">
        <v>2898</v>
      </c>
      <c r="Y681" s="11" t="s">
        <v>3291</v>
      </c>
      <c r="Z681" s="79"/>
      <c r="AA681" s="187">
        <v>670</v>
      </c>
    </row>
    <row r="682" spans="2:27" s="188" customFormat="1" ht="20" x14ac:dyDescent="0.2">
      <c r="B682" s="11" t="s">
        <v>1405</v>
      </c>
      <c r="C682" s="165" t="s">
        <v>4237</v>
      </c>
      <c r="D682" s="22" t="s">
        <v>2379</v>
      </c>
      <c r="E682" s="34">
        <v>1</v>
      </c>
      <c r="F682" s="22" t="s">
        <v>2223</v>
      </c>
      <c r="G682" s="88">
        <v>12</v>
      </c>
      <c r="H682" s="235">
        <f t="shared" si="88"/>
        <v>7.4074074074074066</v>
      </c>
      <c r="I682" s="88">
        <v>12</v>
      </c>
      <c r="J682" s="235">
        <f t="shared" si="89"/>
        <v>7.4074074074074066</v>
      </c>
      <c r="K682" s="201">
        <v>144</v>
      </c>
      <c r="L682" s="252">
        <f>_xlfn.XLOOKUP($K682,Inputs!$C$6:$C$23,Inputs!$D$6:$D$23)*$I682</f>
        <v>5.2542857142857144</v>
      </c>
      <c r="M682" s="68"/>
      <c r="N682" s="68"/>
      <c r="O682" s="215">
        <v>180.2</v>
      </c>
      <c r="P682" s="215">
        <v>212.8</v>
      </c>
      <c r="Q682" s="94">
        <v>0.9</v>
      </c>
      <c r="R682" s="68" t="s">
        <v>115</v>
      </c>
      <c r="S682" s="182">
        <f t="shared" si="94"/>
        <v>162.18</v>
      </c>
      <c r="T682" s="182">
        <f t="shared" si="95"/>
        <v>191.52</v>
      </c>
      <c r="U682" s="96" t="s">
        <v>3414</v>
      </c>
      <c r="V682" s="22" t="s">
        <v>2767</v>
      </c>
      <c r="W682" s="96" t="s">
        <v>3699</v>
      </c>
      <c r="X682" s="22" t="s">
        <v>2966</v>
      </c>
      <c r="Y682" s="11" t="s">
        <v>3313</v>
      </c>
      <c r="Z682" s="79"/>
      <c r="AA682" s="187">
        <v>671</v>
      </c>
    </row>
    <row r="683" spans="2:27" s="184" customFormat="1" ht="20" x14ac:dyDescent="0.2">
      <c r="B683" s="11" t="s">
        <v>1410</v>
      </c>
      <c r="C683" s="165" t="s">
        <v>4237</v>
      </c>
      <c r="D683" s="22" t="s">
        <v>2379</v>
      </c>
      <c r="E683" s="34">
        <v>1</v>
      </c>
      <c r="F683" s="22" t="s">
        <v>2223</v>
      </c>
      <c r="G683" s="88">
        <v>9</v>
      </c>
      <c r="H683" s="235">
        <f t="shared" si="88"/>
        <v>5.5555555555555554</v>
      </c>
      <c r="I683" s="88">
        <v>9</v>
      </c>
      <c r="J683" s="235">
        <f t="shared" si="89"/>
        <v>5.5555555555555554</v>
      </c>
      <c r="K683" s="201">
        <v>144</v>
      </c>
      <c r="L683" s="252">
        <f>_xlfn.XLOOKUP($K683,Inputs!$C$6:$C$23,Inputs!$D$6:$D$23)*$I683</f>
        <v>3.9407142857142858</v>
      </c>
      <c r="M683" s="68"/>
      <c r="N683" s="68"/>
      <c r="O683" s="187"/>
      <c r="P683" s="187"/>
      <c r="Q683" s="94">
        <v>0.9</v>
      </c>
      <c r="R683" s="68">
        <f>IF((42.4*(J683)^(-0.6595))&gt;=3,3,(IF(42.4*(J683)^(-0.6595)&lt;=0.5,0.5,(42.4*(J683)^(-0.6595)))))</f>
        <v>3</v>
      </c>
      <c r="S683" s="276">
        <f>_xlfn.XLOOKUP($K683,Inputs!$G$6:$G$23,Inputs!J$6:J$23)*$R683</f>
        <v>153.60000000000002</v>
      </c>
      <c r="T683" s="276">
        <f>_xlfn.XLOOKUP($K683,Inputs!$G$6:$G$23,Inputs!K$6:K$23)*$R683</f>
        <v>169.96721311475409</v>
      </c>
      <c r="U683" s="96" t="s">
        <v>3701</v>
      </c>
      <c r="V683" s="22" t="s">
        <v>2967</v>
      </c>
      <c r="W683" s="96" t="s">
        <v>3736</v>
      </c>
      <c r="X683" s="22" t="s">
        <v>2699</v>
      </c>
      <c r="Y683" s="11" t="s">
        <v>3331</v>
      </c>
      <c r="Z683" s="79"/>
      <c r="AA683" s="187">
        <v>672</v>
      </c>
    </row>
    <row r="684" spans="2:27" s="184" customFormat="1" ht="20" x14ac:dyDescent="0.2">
      <c r="B684" s="11" t="s">
        <v>863</v>
      </c>
      <c r="C684" s="165" t="s">
        <v>4237</v>
      </c>
      <c r="D684" s="22" t="s">
        <v>2379</v>
      </c>
      <c r="E684" s="34">
        <v>1</v>
      </c>
      <c r="F684" s="22" t="s">
        <v>2223</v>
      </c>
      <c r="G684" s="88">
        <v>12</v>
      </c>
      <c r="H684" s="235">
        <f t="shared" si="88"/>
        <v>7.4074074074074066</v>
      </c>
      <c r="I684" s="88">
        <v>12</v>
      </c>
      <c r="J684" s="235">
        <f t="shared" si="89"/>
        <v>7.4074074074074066</v>
      </c>
      <c r="K684" s="201">
        <v>144</v>
      </c>
      <c r="L684" s="252">
        <f>_xlfn.XLOOKUP($K684,Inputs!$C$6:$C$23,Inputs!$D$6:$D$23)*$I684</f>
        <v>5.2542857142857144</v>
      </c>
      <c r="M684" s="68"/>
      <c r="N684" s="68"/>
      <c r="O684" s="187"/>
      <c r="P684" s="187"/>
      <c r="Q684" s="94">
        <v>0.9</v>
      </c>
      <c r="R684" s="68">
        <f>IF((42.4*(J684)^(-0.6595))&gt;=3,3,(IF(42.4*(J684)^(-0.6595)&lt;=0.5,0.5,(42.4*(J684)^(-0.6595)))))</f>
        <v>3</v>
      </c>
      <c r="S684" s="276">
        <f>_xlfn.XLOOKUP($K684,Inputs!$G$6:$G$23,Inputs!J$6:J$23)*$R684</f>
        <v>153.60000000000002</v>
      </c>
      <c r="T684" s="276">
        <f>_xlfn.XLOOKUP($K684,Inputs!$G$6:$G$23,Inputs!K$6:K$23)*$R684</f>
        <v>169.96721311475409</v>
      </c>
      <c r="U684" s="96" t="s">
        <v>3723</v>
      </c>
      <c r="V684" s="22" t="s">
        <v>2986</v>
      </c>
      <c r="W684" s="96" t="s">
        <v>3762</v>
      </c>
      <c r="X684" s="22" t="s">
        <v>2640</v>
      </c>
      <c r="Y684" s="11" t="s">
        <v>3331</v>
      </c>
      <c r="Z684" s="79"/>
      <c r="AA684" s="187">
        <v>673</v>
      </c>
    </row>
    <row r="685" spans="2:27" s="188" customFormat="1" ht="20" x14ac:dyDescent="0.2">
      <c r="B685" s="11" t="s">
        <v>865</v>
      </c>
      <c r="C685" s="165" t="s">
        <v>4237</v>
      </c>
      <c r="D685" s="22" t="s">
        <v>2379</v>
      </c>
      <c r="E685" s="34">
        <v>1</v>
      </c>
      <c r="F685" s="22" t="s">
        <v>2223</v>
      </c>
      <c r="G685" s="88">
        <v>29.400000000000002</v>
      </c>
      <c r="H685" s="235">
        <f t="shared" si="88"/>
        <v>18.148148148148149</v>
      </c>
      <c r="I685" s="88">
        <v>29.400000000000002</v>
      </c>
      <c r="J685" s="235">
        <f t="shared" si="89"/>
        <v>18.148148148148149</v>
      </c>
      <c r="K685" s="201">
        <v>144</v>
      </c>
      <c r="L685" s="252">
        <f>_xlfn.XLOOKUP($K685,Inputs!$C$6:$C$23,Inputs!$D$6:$D$23)*$I685</f>
        <v>12.873000000000001</v>
      </c>
      <c r="M685" s="68"/>
      <c r="N685" s="68"/>
      <c r="O685" s="209">
        <v>116</v>
      </c>
      <c r="P685" s="209">
        <v>150</v>
      </c>
      <c r="Q685" s="94">
        <v>0.9</v>
      </c>
      <c r="R685" s="68" t="s">
        <v>115</v>
      </c>
      <c r="S685" s="182">
        <f>O685*Q685</f>
        <v>104.4</v>
      </c>
      <c r="T685" s="182">
        <f>P685*Q685</f>
        <v>135</v>
      </c>
      <c r="U685" s="96" t="s">
        <v>3881</v>
      </c>
      <c r="V685" s="22" t="s">
        <v>3146</v>
      </c>
      <c r="W685" s="96" t="s">
        <v>3766</v>
      </c>
      <c r="X685" s="22" t="s">
        <v>3021</v>
      </c>
      <c r="Y685" s="11" t="s">
        <v>3305</v>
      </c>
      <c r="Z685" s="79"/>
      <c r="AA685" s="187">
        <v>674</v>
      </c>
    </row>
    <row r="686" spans="2:27" s="184" customFormat="1" ht="20" x14ac:dyDescent="0.2">
      <c r="B686" s="11" t="s">
        <v>868</v>
      </c>
      <c r="C686" s="165" t="s">
        <v>4237</v>
      </c>
      <c r="D686" s="22" t="s">
        <v>2379</v>
      </c>
      <c r="E686" s="34">
        <v>1</v>
      </c>
      <c r="F686" s="22" t="s">
        <v>2223</v>
      </c>
      <c r="G686" s="88">
        <v>21</v>
      </c>
      <c r="H686" s="235">
        <f t="shared" si="88"/>
        <v>12.962962962962962</v>
      </c>
      <c r="I686" s="88">
        <v>21</v>
      </c>
      <c r="J686" s="235">
        <f t="shared" si="89"/>
        <v>12.962962962962962</v>
      </c>
      <c r="K686" s="201">
        <v>144</v>
      </c>
      <c r="L686" s="252">
        <f>_xlfn.XLOOKUP($K686,Inputs!$C$6:$C$23,Inputs!$D$6:$D$23)*$I686</f>
        <v>9.1950000000000003</v>
      </c>
      <c r="M686" s="68"/>
      <c r="N686" s="68"/>
      <c r="O686" s="187"/>
      <c r="P686" s="187"/>
      <c r="Q686" s="94">
        <v>0.9</v>
      </c>
      <c r="R686" s="68">
        <f>IF((42.4*(J686)^(-0.6595))&gt;=3,3,(IF(42.4*(J686)^(-0.6595)&lt;=0.5,0.5,(42.4*(J686)^(-0.6595)))))</f>
        <v>3</v>
      </c>
      <c r="S686" s="276">
        <f>_xlfn.XLOOKUP($K686,Inputs!$G$6:$G$23,Inputs!J$6:J$23)*$R686</f>
        <v>153.60000000000002</v>
      </c>
      <c r="T686" s="276">
        <f>_xlfn.XLOOKUP($K686,Inputs!$G$6:$G$23,Inputs!K$6:K$23)*$R686</f>
        <v>169.96721311475409</v>
      </c>
      <c r="U686" s="96" t="s">
        <v>3543</v>
      </c>
      <c r="V686" s="22" t="s">
        <v>2847</v>
      </c>
      <c r="W686" s="96" t="s">
        <v>3788</v>
      </c>
      <c r="X686" s="22" t="s">
        <v>3039</v>
      </c>
      <c r="Y686" s="11" t="s">
        <v>3331</v>
      </c>
      <c r="Z686" s="79"/>
      <c r="AA686" s="187">
        <v>675</v>
      </c>
    </row>
    <row r="687" spans="2:27" s="188" customFormat="1" ht="20" x14ac:dyDescent="0.2">
      <c r="B687" s="11" t="s">
        <v>870</v>
      </c>
      <c r="C687" s="165" t="s">
        <v>4237</v>
      </c>
      <c r="D687" s="22" t="s">
        <v>2379</v>
      </c>
      <c r="E687" s="34">
        <v>1</v>
      </c>
      <c r="F687" s="22" t="s">
        <v>2223</v>
      </c>
      <c r="G687" s="235">
        <v>15</v>
      </c>
      <c r="H687" s="235">
        <f t="shared" si="88"/>
        <v>9.2592592592592595</v>
      </c>
      <c r="I687" s="235">
        <v>15</v>
      </c>
      <c r="J687" s="235">
        <f t="shared" si="89"/>
        <v>9.2592592592592595</v>
      </c>
      <c r="K687" s="201">
        <v>144</v>
      </c>
      <c r="L687" s="252">
        <f>_xlfn.XLOOKUP($K687,Inputs!$C$6:$C$23,Inputs!$D$6:$D$23)*$I687</f>
        <v>6.5678571428571431</v>
      </c>
      <c r="M687" s="68"/>
      <c r="N687" s="68"/>
      <c r="O687" s="187"/>
      <c r="P687" s="187"/>
      <c r="Q687" s="94">
        <v>0.9</v>
      </c>
      <c r="R687" s="68">
        <f>IF((42.4*(J687)^(-0.6595))&gt;=3,3,(IF(42.4*(J687)^(-0.6595)&lt;=0.5,0.5,(42.4*(J687)^(-0.6595)))))</f>
        <v>3</v>
      </c>
      <c r="S687" s="276">
        <f>_xlfn.XLOOKUP($K687,Inputs!$G$6:$G$23,Inputs!J$6:J$23)*$R687</f>
        <v>153.60000000000002</v>
      </c>
      <c r="T687" s="276">
        <f>_xlfn.XLOOKUP($K687,Inputs!$G$6:$G$23,Inputs!K$6:K$23)*$R687</f>
        <v>169.96721311475409</v>
      </c>
      <c r="U687" s="96" t="s">
        <v>3505</v>
      </c>
      <c r="V687" s="22" t="s">
        <v>2821</v>
      </c>
      <c r="W687" s="96" t="s">
        <v>3354</v>
      </c>
      <c r="X687" s="22" t="s">
        <v>2732</v>
      </c>
      <c r="Y687" s="11" t="s">
        <v>3331</v>
      </c>
      <c r="Z687" s="79"/>
      <c r="AA687" s="187">
        <v>676</v>
      </c>
    </row>
    <row r="688" spans="2:27" s="188" customFormat="1" ht="20" x14ac:dyDescent="0.2">
      <c r="B688" s="11" t="s">
        <v>1548</v>
      </c>
      <c r="C688" s="165" t="s">
        <v>4237</v>
      </c>
      <c r="D688" s="22" t="s">
        <v>2379</v>
      </c>
      <c r="E688" s="34">
        <v>1</v>
      </c>
      <c r="F688" s="22" t="s">
        <v>2223</v>
      </c>
      <c r="G688" s="88">
        <v>24</v>
      </c>
      <c r="H688" s="235">
        <f t="shared" si="88"/>
        <v>14.814814814814813</v>
      </c>
      <c r="I688" s="88">
        <v>24</v>
      </c>
      <c r="J688" s="235">
        <f t="shared" si="89"/>
        <v>14.814814814814813</v>
      </c>
      <c r="K688" s="215">
        <v>138</v>
      </c>
      <c r="L688" s="252">
        <f>_xlfn.XLOOKUP($K688,Inputs!$C$6:$C$23,Inputs!$D$6:$D$23)*$I688</f>
        <v>10.405714285714286</v>
      </c>
      <c r="M688" s="68"/>
      <c r="N688" s="68"/>
      <c r="O688" s="215">
        <v>109.3</v>
      </c>
      <c r="P688" s="215">
        <v>139</v>
      </c>
      <c r="Q688" s="94">
        <v>0.9</v>
      </c>
      <c r="R688" s="68" t="s">
        <v>115</v>
      </c>
      <c r="S688" s="182">
        <f>O688*Q688</f>
        <v>98.37</v>
      </c>
      <c r="T688" s="182">
        <f>P688*Q688</f>
        <v>125.10000000000001</v>
      </c>
      <c r="U688" s="96" t="s">
        <v>3719</v>
      </c>
      <c r="V688" s="22" t="s">
        <v>2619</v>
      </c>
      <c r="W688" s="96" t="s">
        <v>3940</v>
      </c>
      <c r="X688" s="22" t="s">
        <v>3192</v>
      </c>
      <c r="Y688" s="11" t="s">
        <v>3299</v>
      </c>
      <c r="Z688" s="79"/>
      <c r="AA688" s="187">
        <v>677</v>
      </c>
    </row>
    <row r="689" spans="2:27" s="188" customFormat="1" ht="20" x14ac:dyDescent="0.2">
      <c r="B689" s="11" t="s">
        <v>872</v>
      </c>
      <c r="C689" s="165" t="s">
        <v>4237</v>
      </c>
      <c r="D689" s="22" t="s">
        <v>2379</v>
      </c>
      <c r="E689" s="34">
        <v>1</v>
      </c>
      <c r="F689" s="22" t="s">
        <v>2223</v>
      </c>
      <c r="G689" s="88">
        <v>25</v>
      </c>
      <c r="H689" s="235">
        <f t="shared" si="88"/>
        <v>15.432098765432098</v>
      </c>
      <c r="I689" s="88">
        <v>25</v>
      </c>
      <c r="J689" s="235">
        <f t="shared" si="89"/>
        <v>15.432098765432098</v>
      </c>
      <c r="K689" s="201">
        <v>144</v>
      </c>
      <c r="L689" s="252">
        <f>_xlfn.XLOOKUP($K689,Inputs!$C$6:$C$23,Inputs!$D$6:$D$23)*$I689</f>
        <v>10.946428571428573</v>
      </c>
      <c r="M689" s="68"/>
      <c r="N689" s="68"/>
      <c r="O689" s="187"/>
      <c r="P689" s="187"/>
      <c r="Q689" s="94">
        <v>0.9</v>
      </c>
      <c r="R689" s="68">
        <f t="shared" ref="R689:R695" si="96">IF((42.4*(J689)^(-0.6595))&gt;=3,3,(IF(42.4*(J689)^(-0.6595)&lt;=0.5,0.5,(42.4*(J689)^(-0.6595)))))</f>
        <v>3</v>
      </c>
      <c r="S689" s="276">
        <f>_xlfn.XLOOKUP($K689,Inputs!$G$6:$G$23,Inputs!J$6:J$23)*$R689</f>
        <v>153.60000000000002</v>
      </c>
      <c r="T689" s="276">
        <f>_xlfn.XLOOKUP($K689,Inputs!$G$6:$G$23,Inputs!K$6:K$23)*$R689</f>
        <v>169.96721311475409</v>
      </c>
      <c r="U689" s="96" t="s">
        <v>3531</v>
      </c>
      <c r="V689" s="22" t="s">
        <v>2841</v>
      </c>
      <c r="W689" s="96" t="s">
        <v>3817</v>
      </c>
      <c r="X689" s="22" t="s">
        <v>3063</v>
      </c>
      <c r="Y689" s="11" t="s">
        <v>3331</v>
      </c>
      <c r="Z689" s="79"/>
      <c r="AA689" s="187">
        <v>678</v>
      </c>
    </row>
    <row r="690" spans="2:27" s="184" customFormat="1" ht="20" x14ac:dyDescent="0.2">
      <c r="B690" s="11" t="s">
        <v>873</v>
      </c>
      <c r="C690" s="165" t="s">
        <v>4237</v>
      </c>
      <c r="D690" s="22" t="s">
        <v>2379</v>
      </c>
      <c r="E690" s="34">
        <v>1</v>
      </c>
      <c r="F690" s="22" t="s">
        <v>2223</v>
      </c>
      <c r="G690" s="88">
        <v>16.8</v>
      </c>
      <c r="H690" s="235">
        <f t="shared" si="88"/>
        <v>10.37037037037037</v>
      </c>
      <c r="I690" s="88">
        <v>16.8</v>
      </c>
      <c r="J690" s="235">
        <f t="shared" si="89"/>
        <v>10.37037037037037</v>
      </c>
      <c r="K690" s="201">
        <v>144</v>
      </c>
      <c r="L690" s="252">
        <f>_xlfn.XLOOKUP($K690,Inputs!$C$6:$C$23,Inputs!$D$6:$D$23)*$I690</f>
        <v>7.3560000000000008</v>
      </c>
      <c r="M690" s="68"/>
      <c r="N690" s="68"/>
      <c r="O690" s="187"/>
      <c r="P690" s="187"/>
      <c r="Q690" s="94">
        <v>0.9</v>
      </c>
      <c r="R690" s="68">
        <f t="shared" si="96"/>
        <v>3</v>
      </c>
      <c r="S690" s="276">
        <f>_xlfn.XLOOKUP($K690,Inputs!$G$6:$G$23,Inputs!J$6:J$23)*$R690</f>
        <v>153.60000000000002</v>
      </c>
      <c r="T690" s="276">
        <f>_xlfn.XLOOKUP($K690,Inputs!$G$6:$G$23,Inputs!K$6:K$23)*$R690</f>
        <v>169.96721311475409</v>
      </c>
      <c r="U690" s="96" t="s">
        <v>844</v>
      </c>
      <c r="V690" s="22" t="s">
        <v>3242</v>
      </c>
      <c r="W690" s="96" t="s">
        <v>3936</v>
      </c>
      <c r="X690" s="22" t="s">
        <v>3190</v>
      </c>
      <c r="Y690" s="11" t="s">
        <v>3331</v>
      </c>
      <c r="Z690" s="79"/>
      <c r="AA690" s="187">
        <v>679</v>
      </c>
    </row>
    <row r="691" spans="2:27" s="188" customFormat="1" ht="20" x14ac:dyDescent="0.2">
      <c r="B691" s="11" t="s">
        <v>874</v>
      </c>
      <c r="C691" s="165" t="s">
        <v>4237</v>
      </c>
      <c r="D691" s="22" t="s">
        <v>2379</v>
      </c>
      <c r="E691" s="34">
        <v>1</v>
      </c>
      <c r="F691" s="22" t="s">
        <v>2223</v>
      </c>
      <c r="G691" s="235">
        <v>10</v>
      </c>
      <c r="H691" s="235">
        <f t="shared" si="88"/>
        <v>6.1728395061728394</v>
      </c>
      <c r="I691" s="235">
        <v>22.6</v>
      </c>
      <c r="J691" s="235">
        <f t="shared" si="89"/>
        <v>13.950617283950617</v>
      </c>
      <c r="K691" s="201">
        <v>144</v>
      </c>
      <c r="L691" s="252">
        <f>_xlfn.XLOOKUP($K691,Inputs!$C$6:$C$23,Inputs!$D$6:$D$23)*$I691</f>
        <v>9.8955714285714294</v>
      </c>
      <c r="M691" s="68"/>
      <c r="N691" s="68"/>
      <c r="O691" s="187"/>
      <c r="P691" s="187"/>
      <c r="Q691" s="94">
        <v>0.9</v>
      </c>
      <c r="R691" s="68">
        <f t="shared" si="96"/>
        <v>3</v>
      </c>
      <c r="S691" s="276">
        <f>_xlfn.XLOOKUP($K691,Inputs!$G$6:$G$23,Inputs!J$6:J$23)*$R691</f>
        <v>153.60000000000002</v>
      </c>
      <c r="T691" s="276">
        <f>_xlfn.XLOOKUP($K691,Inputs!$G$6:$G$23,Inputs!K$6:K$23)*$R691</f>
        <v>169.96721311475409</v>
      </c>
      <c r="U691" s="96" t="s">
        <v>3663</v>
      </c>
      <c r="V691" s="22" t="s">
        <v>2935</v>
      </c>
      <c r="W691" s="96" t="s">
        <v>3973</v>
      </c>
      <c r="X691" s="22" t="s">
        <v>2166</v>
      </c>
      <c r="Y691" s="11" t="s">
        <v>3331</v>
      </c>
      <c r="Z691" s="79"/>
      <c r="AA691" s="187">
        <v>680</v>
      </c>
    </row>
    <row r="692" spans="2:27" s="184" customFormat="1" ht="20" x14ac:dyDescent="0.2">
      <c r="B692" s="11" t="s">
        <v>874</v>
      </c>
      <c r="C692" s="165" t="s">
        <v>4237</v>
      </c>
      <c r="D692" s="22" t="s">
        <v>2379</v>
      </c>
      <c r="E692" s="34">
        <v>1</v>
      </c>
      <c r="F692" s="22" t="s">
        <v>2223</v>
      </c>
      <c r="G692" s="88">
        <v>12.600000000000001</v>
      </c>
      <c r="H692" s="235">
        <f t="shared" si="88"/>
        <v>7.7777777777777786</v>
      </c>
      <c r="I692" s="88">
        <v>22.6</v>
      </c>
      <c r="J692" s="235">
        <f t="shared" si="89"/>
        <v>13.950617283950617</v>
      </c>
      <c r="K692" s="201">
        <v>144</v>
      </c>
      <c r="L692" s="252">
        <f>_xlfn.XLOOKUP($K692,Inputs!$C$6:$C$23,Inputs!$D$6:$D$23)*$I692</f>
        <v>9.8955714285714294</v>
      </c>
      <c r="M692" s="68"/>
      <c r="N692" s="68"/>
      <c r="O692" s="187"/>
      <c r="P692" s="187"/>
      <c r="Q692" s="94">
        <v>0.9</v>
      </c>
      <c r="R692" s="68">
        <f t="shared" si="96"/>
        <v>3</v>
      </c>
      <c r="S692" s="276">
        <f>_xlfn.XLOOKUP($K692,Inputs!$G$6:$G$23,Inputs!J$6:J$23)*$R692</f>
        <v>153.60000000000002</v>
      </c>
      <c r="T692" s="276">
        <f>_xlfn.XLOOKUP($K692,Inputs!$G$6:$G$23,Inputs!K$6:K$23)*$R692</f>
        <v>169.96721311475409</v>
      </c>
      <c r="U692" s="96" t="s">
        <v>3973</v>
      </c>
      <c r="V692" s="22" t="s">
        <v>2166</v>
      </c>
      <c r="W692" s="96" t="s">
        <v>3543</v>
      </c>
      <c r="X692" s="22" t="s">
        <v>2847</v>
      </c>
      <c r="Y692" s="11" t="s">
        <v>3331</v>
      </c>
      <c r="Z692" s="79"/>
      <c r="AA692" s="187">
        <v>681</v>
      </c>
    </row>
    <row r="693" spans="2:27" s="184" customFormat="1" ht="20" x14ac:dyDescent="0.2">
      <c r="B693" s="11" t="s">
        <v>1272</v>
      </c>
      <c r="C693" s="165" t="s">
        <v>4237</v>
      </c>
      <c r="D693" s="22" t="s">
        <v>2379</v>
      </c>
      <c r="E693" s="34">
        <v>1</v>
      </c>
      <c r="F693" s="22" t="s">
        <v>2223</v>
      </c>
      <c r="G693" s="88">
        <v>12.600000000000001</v>
      </c>
      <c r="H693" s="235">
        <f t="shared" si="88"/>
        <v>7.7777777777777786</v>
      </c>
      <c r="I693" s="88">
        <v>12.600000000000001</v>
      </c>
      <c r="J693" s="235">
        <f t="shared" si="89"/>
        <v>7.7777777777777786</v>
      </c>
      <c r="K693" s="201">
        <v>144</v>
      </c>
      <c r="L693" s="252">
        <f>_xlfn.XLOOKUP($K693,Inputs!$C$6:$C$23,Inputs!$D$6:$D$23)*$I693</f>
        <v>5.5170000000000012</v>
      </c>
      <c r="M693" s="68"/>
      <c r="N693" s="68"/>
      <c r="O693" s="187"/>
      <c r="P693" s="187"/>
      <c r="Q693" s="94">
        <v>0.9</v>
      </c>
      <c r="R693" s="68">
        <f t="shared" si="96"/>
        <v>3</v>
      </c>
      <c r="S693" s="276">
        <f>_xlfn.XLOOKUP($K693,Inputs!$G$6:$G$23,Inputs!J$6:J$23)*$R693</f>
        <v>153.60000000000002</v>
      </c>
      <c r="T693" s="276">
        <f>_xlfn.XLOOKUP($K693,Inputs!$G$6:$G$23,Inputs!K$6:K$23)*$R693</f>
        <v>169.96721311475409</v>
      </c>
      <c r="U693" s="96" t="s">
        <v>3973</v>
      </c>
      <c r="V693" s="22" t="s">
        <v>2166</v>
      </c>
      <c r="W693" s="96" t="s">
        <v>3712</v>
      </c>
      <c r="X693" s="22" t="s">
        <v>2977</v>
      </c>
      <c r="Y693" s="11" t="s">
        <v>3331</v>
      </c>
      <c r="Z693" s="79"/>
      <c r="AA693" s="187">
        <v>682</v>
      </c>
    </row>
    <row r="694" spans="2:27" s="184" customFormat="1" ht="20" x14ac:dyDescent="0.2">
      <c r="B694" s="11" t="s">
        <v>875</v>
      </c>
      <c r="C694" s="165" t="s">
        <v>4237</v>
      </c>
      <c r="D694" s="22" t="s">
        <v>2379</v>
      </c>
      <c r="E694" s="34">
        <v>1</v>
      </c>
      <c r="F694" s="22" t="s">
        <v>2223</v>
      </c>
      <c r="G694" s="88">
        <v>18</v>
      </c>
      <c r="H694" s="235">
        <f t="shared" si="88"/>
        <v>11.111111111111111</v>
      </c>
      <c r="I694" s="88">
        <v>18</v>
      </c>
      <c r="J694" s="235">
        <f t="shared" si="89"/>
        <v>11.111111111111111</v>
      </c>
      <c r="K694" s="201">
        <v>144</v>
      </c>
      <c r="L694" s="252">
        <f>_xlfn.XLOOKUP($K694,Inputs!$C$6:$C$23,Inputs!$D$6:$D$23)*$I694</f>
        <v>7.8814285714285717</v>
      </c>
      <c r="M694" s="68"/>
      <c r="N694" s="68"/>
      <c r="O694" s="187"/>
      <c r="P694" s="187"/>
      <c r="Q694" s="94">
        <v>0.9</v>
      </c>
      <c r="R694" s="68">
        <f t="shared" si="96"/>
        <v>3</v>
      </c>
      <c r="S694" s="276">
        <f>_xlfn.XLOOKUP($K694,Inputs!$G$6:$G$23,Inputs!J$6:J$23)*$R694</f>
        <v>153.60000000000002</v>
      </c>
      <c r="T694" s="276">
        <f>_xlfn.XLOOKUP($K694,Inputs!$G$6:$G$23,Inputs!K$6:K$23)*$R694</f>
        <v>169.96721311475409</v>
      </c>
      <c r="U694" s="96" t="s">
        <v>3728</v>
      </c>
      <c r="V694" s="22" t="s">
        <v>2989</v>
      </c>
      <c r="W694" s="96" t="s">
        <v>3689</v>
      </c>
      <c r="X694" s="22" t="s">
        <v>2959</v>
      </c>
      <c r="Y694" s="11" t="s">
        <v>3331</v>
      </c>
      <c r="Z694" s="79"/>
      <c r="AA694" s="187">
        <v>683</v>
      </c>
    </row>
    <row r="695" spans="2:27" s="184" customFormat="1" ht="20" x14ac:dyDescent="0.2">
      <c r="B695" s="11" t="s">
        <v>878</v>
      </c>
      <c r="C695" s="165" t="s">
        <v>4237</v>
      </c>
      <c r="D695" s="22" t="s">
        <v>2379</v>
      </c>
      <c r="E695" s="34">
        <v>1</v>
      </c>
      <c r="F695" s="22" t="s">
        <v>2223</v>
      </c>
      <c r="G695" s="235">
        <v>60</v>
      </c>
      <c r="H695" s="235">
        <f t="shared" si="88"/>
        <v>37.037037037037038</v>
      </c>
      <c r="I695" s="235">
        <v>60</v>
      </c>
      <c r="J695" s="235">
        <f t="shared" si="89"/>
        <v>37.037037037037038</v>
      </c>
      <c r="K695" s="201">
        <v>144</v>
      </c>
      <c r="L695" s="252">
        <f>_xlfn.XLOOKUP($K695,Inputs!$C$6:$C$23,Inputs!$D$6:$D$23)*$I695</f>
        <v>26.271428571428572</v>
      </c>
      <c r="M695" s="68"/>
      <c r="N695" s="68"/>
      <c r="O695" s="187"/>
      <c r="P695" s="187"/>
      <c r="Q695" s="94">
        <v>0.9</v>
      </c>
      <c r="R695" s="68">
        <f t="shared" si="96"/>
        <v>3</v>
      </c>
      <c r="S695" s="276">
        <f>_xlfn.XLOOKUP($K695,Inputs!$G$6:$G$23,Inputs!J$6:J$23)*$R695</f>
        <v>153.60000000000002</v>
      </c>
      <c r="T695" s="276">
        <f>_xlfn.XLOOKUP($K695,Inputs!$G$6:$G$23,Inputs!K$6:K$23)*$R695</f>
        <v>169.96721311475409</v>
      </c>
      <c r="U695" s="96" t="s">
        <v>3505</v>
      </c>
      <c r="V695" s="22" t="s">
        <v>2821</v>
      </c>
      <c r="W695" s="96" t="s">
        <v>3936</v>
      </c>
      <c r="X695" s="22" t="s">
        <v>3190</v>
      </c>
      <c r="Y695" s="11" t="s">
        <v>3331</v>
      </c>
      <c r="Z695" s="79"/>
      <c r="AA695" s="187">
        <v>684</v>
      </c>
    </row>
    <row r="696" spans="2:27" s="184" customFormat="1" ht="20" x14ac:dyDescent="0.2">
      <c r="B696" s="11" t="s">
        <v>1193</v>
      </c>
      <c r="C696" s="165" t="s">
        <v>4237</v>
      </c>
      <c r="D696" s="22" t="s">
        <v>2379</v>
      </c>
      <c r="E696" s="34">
        <v>1</v>
      </c>
      <c r="F696" s="22" t="s">
        <v>2223</v>
      </c>
      <c r="G696" s="88">
        <v>18</v>
      </c>
      <c r="H696" s="235">
        <f t="shared" si="88"/>
        <v>11.111111111111111</v>
      </c>
      <c r="I696" s="88">
        <v>18</v>
      </c>
      <c r="J696" s="235">
        <f t="shared" si="89"/>
        <v>11.111111111111111</v>
      </c>
      <c r="K696" s="201">
        <v>144</v>
      </c>
      <c r="L696" s="252">
        <f>_xlfn.XLOOKUP($K696,Inputs!$C$6:$C$23,Inputs!$D$6:$D$23)*$I696</f>
        <v>7.8814285714285717</v>
      </c>
      <c r="M696" s="68"/>
      <c r="N696" s="68"/>
      <c r="O696" s="215">
        <v>109.2</v>
      </c>
      <c r="P696" s="215">
        <v>138.9</v>
      </c>
      <c r="Q696" s="94">
        <v>0.9</v>
      </c>
      <c r="R696" s="68" t="s">
        <v>115</v>
      </c>
      <c r="S696" s="182">
        <f t="shared" ref="S696:S708" si="97">O696*Q696</f>
        <v>98.28</v>
      </c>
      <c r="T696" s="182">
        <f t="shared" ref="T696:T708" si="98">P696*Q696</f>
        <v>125.01</v>
      </c>
      <c r="U696" s="96" t="s">
        <v>3570</v>
      </c>
      <c r="V696" s="22" t="s">
        <v>2865</v>
      </c>
      <c r="W696" s="96" t="s">
        <v>3571</v>
      </c>
      <c r="X696" s="22" t="s">
        <v>2866</v>
      </c>
      <c r="Y696" s="11" t="s">
        <v>3311</v>
      </c>
      <c r="Z696" s="79"/>
      <c r="AA696" s="187">
        <v>685</v>
      </c>
    </row>
    <row r="697" spans="2:27" s="184" customFormat="1" ht="20" x14ac:dyDescent="0.2">
      <c r="B697" s="11" t="s">
        <v>879</v>
      </c>
      <c r="C697" s="165" t="s">
        <v>4237</v>
      </c>
      <c r="D697" s="22" t="s">
        <v>2379</v>
      </c>
      <c r="E697" s="34">
        <v>1</v>
      </c>
      <c r="F697" s="22" t="s">
        <v>2223</v>
      </c>
      <c r="G697" s="88">
        <v>25</v>
      </c>
      <c r="H697" s="235">
        <f t="shared" si="88"/>
        <v>15.432098765432098</v>
      </c>
      <c r="I697" s="88">
        <v>55</v>
      </c>
      <c r="J697" s="235">
        <f t="shared" si="89"/>
        <v>33.950617283950614</v>
      </c>
      <c r="K697" s="201">
        <v>144</v>
      </c>
      <c r="L697" s="252">
        <f>_xlfn.XLOOKUP($K697,Inputs!$C$6:$C$23,Inputs!$D$6:$D$23)*$I697</f>
        <v>24.082142857142859</v>
      </c>
      <c r="M697" s="68"/>
      <c r="N697" s="68"/>
      <c r="O697" s="215">
        <v>150</v>
      </c>
      <c r="P697" s="215">
        <v>150</v>
      </c>
      <c r="Q697" s="94">
        <v>0.9</v>
      </c>
      <c r="R697" s="68" t="s">
        <v>115</v>
      </c>
      <c r="S697" s="182">
        <f t="shared" si="97"/>
        <v>135</v>
      </c>
      <c r="T697" s="182">
        <f t="shared" si="98"/>
        <v>135</v>
      </c>
      <c r="U697" s="96" t="s">
        <v>3876</v>
      </c>
      <c r="V697" s="22" t="s">
        <v>3143</v>
      </c>
      <c r="W697" s="96" t="s">
        <v>3510</v>
      </c>
      <c r="X697" s="22" t="s">
        <v>2827</v>
      </c>
      <c r="Y697" s="11" t="s">
        <v>3295</v>
      </c>
      <c r="Z697" s="79"/>
      <c r="AA697" s="187">
        <v>686</v>
      </c>
    </row>
    <row r="698" spans="2:27" s="184" customFormat="1" ht="20" x14ac:dyDescent="0.2">
      <c r="B698" s="11" t="s">
        <v>879</v>
      </c>
      <c r="C698" s="165" t="s">
        <v>4237</v>
      </c>
      <c r="D698" s="22" t="s">
        <v>2379</v>
      </c>
      <c r="E698" s="34">
        <v>1</v>
      </c>
      <c r="F698" s="22" t="s">
        <v>2223</v>
      </c>
      <c r="G698" s="88">
        <v>30</v>
      </c>
      <c r="H698" s="235">
        <f t="shared" si="88"/>
        <v>18.518518518518519</v>
      </c>
      <c r="I698" s="88">
        <v>55</v>
      </c>
      <c r="J698" s="235">
        <f t="shared" si="89"/>
        <v>33.950617283950614</v>
      </c>
      <c r="K698" s="201">
        <v>144</v>
      </c>
      <c r="L698" s="252">
        <f>_xlfn.XLOOKUP($K698,Inputs!$C$6:$C$23,Inputs!$D$6:$D$23)*$I698</f>
        <v>24.082142857142859</v>
      </c>
      <c r="M698" s="68"/>
      <c r="N698" s="68"/>
      <c r="O698" s="215">
        <v>150</v>
      </c>
      <c r="P698" s="215">
        <v>150</v>
      </c>
      <c r="Q698" s="94">
        <v>0.9</v>
      </c>
      <c r="R698" s="68" t="s">
        <v>115</v>
      </c>
      <c r="S698" s="182">
        <f t="shared" si="97"/>
        <v>135</v>
      </c>
      <c r="T698" s="182">
        <f t="shared" si="98"/>
        <v>135</v>
      </c>
      <c r="U698" s="96" t="s">
        <v>3510</v>
      </c>
      <c r="V698" s="22" t="s">
        <v>2827</v>
      </c>
      <c r="W698" s="96" t="s">
        <v>3592</v>
      </c>
      <c r="X698" s="22" t="s">
        <v>2680</v>
      </c>
      <c r="Y698" s="11" t="s">
        <v>3295</v>
      </c>
      <c r="Z698" s="79"/>
      <c r="AA698" s="187">
        <v>687</v>
      </c>
    </row>
    <row r="699" spans="2:27" s="184" customFormat="1" ht="20" x14ac:dyDescent="0.2">
      <c r="B699" s="11" t="s">
        <v>1171</v>
      </c>
      <c r="C699" s="165" t="s">
        <v>4237</v>
      </c>
      <c r="D699" s="22" t="s">
        <v>2379</v>
      </c>
      <c r="E699" s="34">
        <v>1</v>
      </c>
      <c r="F699" s="22" t="s">
        <v>2223</v>
      </c>
      <c r="G699" s="88">
        <v>20</v>
      </c>
      <c r="H699" s="235">
        <f t="shared" si="88"/>
        <v>12.345679012345679</v>
      </c>
      <c r="I699" s="88">
        <v>40</v>
      </c>
      <c r="J699" s="235">
        <f t="shared" si="89"/>
        <v>24.691358024691358</v>
      </c>
      <c r="K699" s="221">
        <v>144</v>
      </c>
      <c r="L699" s="252">
        <f>_xlfn.XLOOKUP($K699,Inputs!$C$6:$C$23,Inputs!$D$6:$D$23)*$I699</f>
        <v>17.514285714285716</v>
      </c>
      <c r="M699" s="68"/>
      <c r="N699" s="68"/>
      <c r="O699" s="216">
        <v>114</v>
      </c>
      <c r="P699" s="216">
        <v>145</v>
      </c>
      <c r="Q699" s="94">
        <v>0.9</v>
      </c>
      <c r="R699" s="68" t="s">
        <v>115</v>
      </c>
      <c r="S699" s="182">
        <f t="shared" si="97"/>
        <v>102.60000000000001</v>
      </c>
      <c r="T699" s="182">
        <f t="shared" si="98"/>
        <v>130.5</v>
      </c>
      <c r="U699" s="96" t="s">
        <v>3473</v>
      </c>
      <c r="V699" s="22" t="s">
        <v>2800</v>
      </c>
      <c r="W699" s="96" t="s">
        <v>3994</v>
      </c>
      <c r="X699" s="22" t="s">
        <v>2167</v>
      </c>
      <c r="Y699" s="11" t="s">
        <v>3273</v>
      </c>
      <c r="Z699" s="79"/>
      <c r="AA699" s="187">
        <v>688</v>
      </c>
    </row>
    <row r="700" spans="2:27" s="188" customFormat="1" ht="20" x14ac:dyDescent="0.2">
      <c r="B700" s="11" t="s">
        <v>1171</v>
      </c>
      <c r="C700" s="165" t="s">
        <v>4237</v>
      </c>
      <c r="D700" s="22" t="s">
        <v>2379</v>
      </c>
      <c r="E700" s="34">
        <v>1</v>
      </c>
      <c r="F700" s="22" t="s">
        <v>2223</v>
      </c>
      <c r="G700" s="88">
        <v>20</v>
      </c>
      <c r="H700" s="235">
        <f t="shared" si="88"/>
        <v>12.345679012345679</v>
      </c>
      <c r="I700" s="88">
        <v>40</v>
      </c>
      <c r="J700" s="235">
        <f t="shared" si="89"/>
        <v>24.691358024691358</v>
      </c>
      <c r="K700" s="201">
        <v>144</v>
      </c>
      <c r="L700" s="252">
        <f>_xlfn.XLOOKUP($K700,Inputs!$C$6:$C$23,Inputs!$D$6:$D$23)*$I700</f>
        <v>17.514285714285716</v>
      </c>
      <c r="M700" s="68"/>
      <c r="N700" s="68"/>
      <c r="O700" s="215">
        <v>114</v>
      </c>
      <c r="P700" s="215">
        <v>145</v>
      </c>
      <c r="Q700" s="94">
        <v>0.9</v>
      </c>
      <c r="R700" s="68" t="s">
        <v>115</v>
      </c>
      <c r="S700" s="182">
        <f t="shared" si="97"/>
        <v>102.60000000000001</v>
      </c>
      <c r="T700" s="182">
        <f t="shared" si="98"/>
        <v>130.5</v>
      </c>
      <c r="U700" s="96" t="s">
        <v>3994</v>
      </c>
      <c r="V700" s="22" t="s">
        <v>2167</v>
      </c>
      <c r="W700" s="96" t="s">
        <v>3782</v>
      </c>
      <c r="X700" s="22" t="s">
        <v>2703</v>
      </c>
      <c r="Y700" s="11" t="s">
        <v>3273</v>
      </c>
      <c r="Z700" s="79"/>
      <c r="AA700" s="187">
        <v>689</v>
      </c>
    </row>
    <row r="701" spans="2:27" s="188" customFormat="1" ht="20" x14ac:dyDescent="0.2">
      <c r="B701" s="11" t="s">
        <v>1498</v>
      </c>
      <c r="C701" s="165" t="s">
        <v>4237</v>
      </c>
      <c r="D701" s="22" t="s">
        <v>2379</v>
      </c>
      <c r="E701" s="34">
        <v>1</v>
      </c>
      <c r="F701" s="22" t="s">
        <v>2223</v>
      </c>
      <c r="G701" s="88">
        <v>15</v>
      </c>
      <c r="H701" s="235">
        <f t="shared" si="88"/>
        <v>9.2592592592592595</v>
      </c>
      <c r="I701" s="88">
        <v>15</v>
      </c>
      <c r="J701" s="235">
        <f t="shared" si="89"/>
        <v>9.2592592592592595</v>
      </c>
      <c r="K701" s="215">
        <v>138</v>
      </c>
      <c r="L701" s="252">
        <f>_xlfn.XLOOKUP($K701,Inputs!$C$6:$C$23,Inputs!$D$6:$D$23)*$I701</f>
        <v>6.503571428571429</v>
      </c>
      <c r="M701" s="68"/>
      <c r="N701" s="68"/>
      <c r="O701" s="215">
        <v>109.25</v>
      </c>
      <c r="P701" s="215">
        <v>138.99</v>
      </c>
      <c r="Q701" s="94">
        <v>0.9</v>
      </c>
      <c r="R701" s="68" t="s">
        <v>115</v>
      </c>
      <c r="S701" s="182">
        <f t="shared" si="97"/>
        <v>98.325000000000003</v>
      </c>
      <c r="T701" s="182">
        <f t="shared" si="98"/>
        <v>125.09100000000001</v>
      </c>
      <c r="U701" s="96" t="s">
        <v>3599</v>
      </c>
      <c r="V701" s="22" t="s">
        <v>2888</v>
      </c>
      <c r="W701" s="96" t="s">
        <v>3726</v>
      </c>
      <c r="X701" s="22" t="s">
        <v>2988</v>
      </c>
      <c r="Y701" s="11" t="s">
        <v>3282</v>
      </c>
      <c r="Z701" s="79"/>
      <c r="AA701" s="187">
        <v>690</v>
      </c>
    </row>
    <row r="702" spans="2:27" s="188" customFormat="1" ht="20" x14ac:dyDescent="0.2">
      <c r="B702" s="11" t="s">
        <v>884</v>
      </c>
      <c r="C702" s="165" t="s">
        <v>4237</v>
      </c>
      <c r="D702" s="22" t="s">
        <v>2379</v>
      </c>
      <c r="E702" s="34">
        <v>1</v>
      </c>
      <c r="F702" s="22" t="s">
        <v>2223</v>
      </c>
      <c r="G702" s="88">
        <v>30</v>
      </c>
      <c r="H702" s="235">
        <f t="shared" si="88"/>
        <v>18.518518518518519</v>
      </c>
      <c r="I702" s="88">
        <v>30</v>
      </c>
      <c r="J702" s="235">
        <f t="shared" si="89"/>
        <v>18.518518518518519</v>
      </c>
      <c r="K702" s="201">
        <v>144</v>
      </c>
      <c r="L702" s="252">
        <f>_xlfn.XLOOKUP($K702,Inputs!$C$6:$C$23,Inputs!$D$6:$D$23)*$I702</f>
        <v>13.135714285714286</v>
      </c>
      <c r="M702" s="68"/>
      <c r="N702" s="68"/>
      <c r="O702" s="215">
        <v>150</v>
      </c>
      <c r="P702" s="215">
        <v>150</v>
      </c>
      <c r="Q702" s="94">
        <v>0.9</v>
      </c>
      <c r="R702" s="68" t="s">
        <v>115</v>
      </c>
      <c r="S702" s="182">
        <f t="shared" si="97"/>
        <v>135</v>
      </c>
      <c r="T702" s="182">
        <f t="shared" si="98"/>
        <v>135</v>
      </c>
      <c r="U702" s="96" t="s">
        <v>3389</v>
      </c>
      <c r="V702" s="22" t="s">
        <v>2752</v>
      </c>
      <c r="W702" s="96" t="s">
        <v>3876</v>
      </c>
      <c r="X702" s="22" t="s">
        <v>3143</v>
      </c>
      <c r="Y702" s="11" t="s">
        <v>3295</v>
      </c>
      <c r="Z702" s="79"/>
      <c r="AA702" s="187">
        <v>691</v>
      </c>
    </row>
    <row r="703" spans="2:27" s="188" customFormat="1" ht="20" x14ac:dyDescent="0.2">
      <c r="B703" s="11" t="s">
        <v>2024</v>
      </c>
      <c r="C703" s="165" t="s">
        <v>4237</v>
      </c>
      <c r="D703" s="22" t="s">
        <v>2379</v>
      </c>
      <c r="E703" s="34">
        <v>1</v>
      </c>
      <c r="F703" s="22" t="s">
        <v>2223</v>
      </c>
      <c r="G703" s="88">
        <v>18</v>
      </c>
      <c r="H703" s="235">
        <f t="shared" si="88"/>
        <v>11.111111111111111</v>
      </c>
      <c r="I703" s="88">
        <v>48</v>
      </c>
      <c r="J703" s="235">
        <f t="shared" si="89"/>
        <v>29.629629629629626</v>
      </c>
      <c r="K703" s="201">
        <v>144</v>
      </c>
      <c r="L703" s="252">
        <f>_xlfn.XLOOKUP($K703,Inputs!$C$6:$C$23,Inputs!$D$6:$D$23)*$I703</f>
        <v>21.017142857142858</v>
      </c>
      <c r="M703" s="68"/>
      <c r="N703" s="68"/>
      <c r="O703" s="215">
        <v>114</v>
      </c>
      <c r="P703" s="215">
        <v>145</v>
      </c>
      <c r="Q703" s="94">
        <v>0.9</v>
      </c>
      <c r="R703" s="68" t="s">
        <v>115</v>
      </c>
      <c r="S703" s="182">
        <f t="shared" si="97"/>
        <v>102.60000000000001</v>
      </c>
      <c r="T703" s="182">
        <f t="shared" si="98"/>
        <v>130.5</v>
      </c>
      <c r="U703" s="96" t="s">
        <v>3745</v>
      </c>
      <c r="V703" s="22" t="s">
        <v>3003</v>
      </c>
      <c r="W703" s="96" t="s">
        <v>3739</v>
      </c>
      <c r="X703" s="22" t="s">
        <v>2997</v>
      </c>
      <c r="Y703" s="11" t="s">
        <v>3272</v>
      </c>
      <c r="Z703" s="79"/>
      <c r="AA703" s="187">
        <v>692</v>
      </c>
    </row>
    <row r="704" spans="2:27" s="184" customFormat="1" ht="20" x14ac:dyDescent="0.2">
      <c r="B704" s="11" t="s">
        <v>2024</v>
      </c>
      <c r="C704" s="165" t="s">
        <v>4237</v>
      </c>
      <c r="D704" s="22" t="s">
        <v>2379</v>
      </c>
      <c r="E704" s="34">
        <v>1</v>
      </c>
      <c r="F704" s="22" t="s">
        <v>2223</v>
      </c>
      <c r="G704" s="235">
        <v>30</v>
      </c>
      <c r="H704" s="235">
        <f t="shared" si="88"/>
        <v>18.518518518518519</v>
      </c>
      <c r="I704" s="235">
        <v>48</v>
      </c>
      <c r="J704" s="235">
        <f t="shared" si="89"/>
        <v>29.629629629629626</v>
      </c>
      <c r="K704" s="201">
        <v>144</v>
      </c>
      <c r="L704" s="252">
        <f>_xlfn.XLOOKUP($K704,Inputs!$C$6:$C$23,Inputs!$D$6:$D$23)*$I704</f>
        <v>21.017142857142858</v>
      </c>
      <c r="M704" s="68"/>
      <c r="N704" s="68"/>
      <c r="O704" s="215">
        <v>114</v>
      </c>
      <c r="P704" s="215">
        <v>145</v>
      </c>
      <c r="Q704" s="94">
        <v>0.9</v>
      </c>
      <c r="R704" s="68" t="s">
        <v>115</v>
      </c>
      <c r="S704" s="182">
        <f t="shared" si="97"/>
        <v>102.60000000000001</v>
      </c>
      <c r="T704" s="182">
        <f t="shared" si="98"/>
        <v>130.5</v>
      </c>
      <c r="U704" s="96" t="s">
        <v>3739</v>
      </c>
      <c r="V704" s="22" t="s">
        <v>2997</v>
      </c>
      <c r="W704" s="96" t="s">
        <v>3723</v>
      </c>
      <c r="X704" s="22" t="s">
        <v>2986</v>
      </c>
      <c r="Y704" s="11" t="s">
        <v>3272</v>
      </c>
      <c r="Z704" s="79"/>
      <c r="AA704" s="187">
        <v>693</v>
      </c>
    </row>
    <row r="705" spans="2:27" s="188" customFormat="1" ht="20" x14ac:dyDescent="0.2">
      <c r="B705" s="11" t="s">
        <v>2025</v>
      </c>
      <c r="C705" s="165" t="s">
        <v>4237</v>
      </c>
      <c r="D705" s="22" t="s">
        <v>2379</v>
      </c>
      <c r="E705" s="34">
        <v>1</v>
      </c>
      <c r="F705" s="22" t="s">
        <v>2223</v>
      </c>
      <c r="G705" s="235">
        <v>45</v>
      </c>
      <c r="H705" s="235">
        <f t="shared" si="88"/>
        <v>27.777777777777775</v>
      </c>
      <c r="I705" s="235">
        <v>90</v>
      </c>
      <c r="J705" s="235">
        <f t="shared" si="89"/>
        <v>55.55555555555555</v>
      </c>
      <c r="K705" s="201">
        <v>144</v>
      </c>
      <c r="L705" s="252">
        <f>_xlfn.XLOOKUP($K705,Inputs!$C$6:$C$23,Inputs!$D$6:$D$23)*$I705</f>
        <v>39.407142857142858</v>
      </c>
      <c r="M705" s="68"/>
      <c r="N705" s="68"/>
      <c r="O705" s="215">
        <v>86</v>
      </c>
      <c r="P705" s="215">
        <v>91</v>
      </c>
      <c r="Q705" s="94">
        <v>0.9</v>
      </c>
      <c r="R705" s="68" t="s">
        <v>115</v>
      </c>
      <c r="S705" s="182">
        <f t="shared" si="97"/>
        <v>77.400000000000006</v>
      </c>
      <c r="T705" s="182">
        <f t="shared" si="98"/>
        <v>81.900000000000006</v>
      </c>
      <c r="U705" s="96" t="s">
        <v>3817</v>
      </c>
      <c r="V705" s="22" t="s">
        <v>3063</v>
      </c>
      <c r="W705" s="96" t="s">
        <v>3565</v>
      </c>
      <c r="X705" s="22" t="s">
        <v>2168</v>
      </c>
      <c r="Y705" s="11" t="s">
        <v>3280</v>
      </c>
      <c r="Z705" s="79"/>
      <c r="AA705" s="187">
        <v>694</v>
      </c>
    </row>
    <row r="706" spans="2:27" s="188" customFormat="1" ht="20" x14ac:dyDescent="0.2">
      <c r="B706" s="11" t="s">
        <v>2025</v>
      </c>
      <c r="C706" s="165" t="s">
        <v>4237</v>
      </c>
      <c r="D706" s="22" t="s">
        <v>2379</v>
      </c>
      <c r="E706" s="34">
        <v>1</v>
      </c>
      <c r="F706" s="22" t="s">
        <v>2223</v>
      </c>
      <c r="G706" s="88">
        <v>45</v>
      </c>
      <c r="H706" s="235">
        <f t="shared" si="88"/>
        <v>27.777777777777775</v>
      </c>
      <c r="I706" s="88">
        <v>90</v>
      </c>
      <c r="J706" s="235">
        <f t="shared" si="89"/>
        <v>55.55555555555555</v>
      </c>
      <c r="K706" s="201">
        <v>144</v>
      </c>
      <c r="L706" s="252">
        <f>_xlfn.XLOOKUP($K706,Inputs!$C$6:$C$23,Inputs!$D$6:$D$23)*$I706</f>
        <v>39.407142857142858</v>
      </c>
      <c r="M706" s="68"/>
      <c r="N706" s="68"/>
      <c r="O706" s="215">
        <v>86</v>
      </c>
      <c r="P706" s="215">
        <v>91</v>
      </c>
      <c r="Q706" s="94">
        <v>0.9</v>
      </c>
      <c r="R706" s="68" t="s">
        <v>115</v>
      </c>
      <c r="S706" s="182">
        <f t="shared" si="97"/>
        <v>77.400000000000006</v>
      </c>
      <c r="T706" s="182">
        <f t="shared" si="98"/>
        <v>81.900000000000006</v>
      </c>
      <c r="U706" s="96" t="s">
        <v>3565</v>
      </c>
      <c r="V706" s="22" t="s">
        <v>2168</v>
      </c>
      <c r="W706" s="96" t="s">
        <v>3749</v>
      </c>
      <c r="X706" s="205" t="s">
        <v>3007</v>
      </c>
      <c r="Y706" s="11" t="s">
        <v>3280</v>
      </c>
      <c r="Z706" s="79"/>
      <c r="AA706" s="187">
        <v>695</v>
      </c>
    </row>
    <row r="707" spans="2:27" s="188" customFormat="1" ht="20" x14ac:dyDescent="0.2">
      <c r="B707" s="11" t="s">
        <v>1422</v>
      </c>
      <c r="C707" s="165" t="s">
        <v>4237</v>
      </c>
      <c r="D707" s="22" t="s">
        <v>2379</v>
      </c>
      <c r="E707" s="34">
        <v>1</v>
      </c>
      <c r="F707" s="22" t="s">
        <v>2223</v>
      </c>
      <c r="G707" s="88">
        <v>15</v>
      </c>
      <c r="H707" s="235">
        <f t="shared" si="88"/>
        <v>9.2592592592592595</v>
      </c>
      <c r="I707" s="88">
        <v>45</v>
      </c>
      <c r="J707" s="235">
        <f t="shared" si="89"/>
        <v>27.777777777777775</v>
      </c>
      <c r="K707" s="201">
        <v>144</v>
      </c>
      <c r="L707" s="252">
        <f>_xlfn.XLOOKUP($K707,Inputs!$C$6:$C$23,Inputs!$D$6:$D$23)*$I707</f>
        <v>19.703571428571429</v>
      </c>
      <c r="M707" s="68"/>
      <c r="N707" s="68"/>
      <c r="O707" s="215">
        <v>109</v>
      </c>
      <c r="P707" s="215">
        <v>139</v>
      </c>
      <c r="Q707" s="94">
        <v>0.9</v>
      </c>
      <c r="R707" s="68" t="s">
        <v>115</v>
      </c>
      <c r="S707" s="182">
        <f t="shared" si="97"/>
        <v>98.100000000000009</v>
      </c>
      <c r="T707" s="182">
        <f t="shared" si="98"/>
        <v>125.10000000000001</v>
      </c>
      <c r="U707" s="96" t="s">
        <v>3412</v>
      </c>
      <c r="V707" s="22" t="s">
        <v>2765</v>
      </c>
      <c r="W707" s="96" t="s">
        <v>3382</v>
      </c>
      <c r="X707" s="22" t="s">
        <v>2169</v>
      </c>
      <c r="Y707" s="11" t="s">
        <v>3309</v>
      </c>
      <c r="Z707" s="79"/>
      <c r="AA707" s="187">
        <v>696</v>
      </c>
    </row>
    <row r="708" spans="2:27" s="188" customFormat="1" ht="20" x14ac:dyDescent="0.2">
      <c r="B708" s="11" t="s">
        <v>1422</v>
      </c>
      <c r="C708" s="165" t="s">
        <v>4237</v>
      </c>
      <c r="D708" s="22" t="s">
        <v>2379</v>
      </c>
      <c r="E708" s="34">
        <v>1</v>
      </c>
      <c r="F708" s="22" t="s">
        <v>2223</v>
      </c>
      <c r="G708" s="235">
        <v>30</v>
      </c>
      <c r="H708" s="235">
        <f t="shared" si="88"/>
        <v>18.518518518518519</v>
      </c>
      <c r="I708" s="235">
        <v>45</v>
      </c>
      <c r="J708" s="235">
        <f t="shared" si="89"/>
        <v>27.777777777777775</v>
      </c>
      <c r="K708" s="201">
        <v>144</v>
      </c>
      <c r="L708" s="252">
        <f>_xlfn.XLOOKUP($K708,Inputs!$C$6:$C$23,Inputs!$D$6:$D$23)*$I708</f>
        <v>19.703571428571429</v>
      </c>
      <c r="M708" s="68"/>
      <c r="N708" s="68"/>
      <c r="O708" s="215">
        <v>109</v>
      </c>
      <c r="P708" s="215">
        <v>139</v>
      </c>
      <c r="Q708" s="94">
        <v>0.9</v>
      </c>
      <c r="R708" s="68" t="s">
        <v>115</v>
      </c>
      <c r="S708" s="182">
        <f t="shared" si="97"/>
        <v>98.100000000000009</v>
      </c>
      <c r="T708" s="182">
        <f t="shared" si="98"/>
        <v>125.10000000000001</v>
      </c>
      <c r="U708" s="96" t="s">
        <v>3382</v>
      </c>
      <c r="V708" s="22" t="s">
        <v>2169</v>
      </c>
      <c r="W708" s="96" t="s">
        <v>3586</v>
      </c>
      <c r="X708" s="22" t="s">
        <v>2877</v>
      </c>
      <c r="Y708" s="11" t="s">
        <v>3309</v>
      </c>
      <c r="Z708" s="79"/>
      <c r="AA708" s="187">
        <v>697</v>
      </c>
    </row>
    <row r="709" spans="2:27" s="188" customFormat="1" ht="20" x14ac:dyDescent="0.2">
      <c r="B709" s="11" t="s">
        <v>1423</v>
      </c>
      <c r="C709" s="165" t="s">
        <v>4237</v>
      </c>
      <c r="D709" s="22" t="s">
        <v>2379</v>
      </c>
      <c r="E709" s="34">
        <v>1</v>
      </c>
      <c r="F709" s="22" t="s">
        <v>2223</v>
      </c>
      <c r="G709" s="88">
        <v>6</v>
      </c>
      <c r="H709" s="235">
        <f t="shared" si="88"/>
        <v>3.7037037037037033</v>
      </c>
      <c r="I709" s="88">
        <v>6</v>
      </c>
      <c r="J709" s="235">
        <f t="shared" si="89"/>
        <v>3.7037037037037033</v>
      </c>
      <c r="K709" s="201">
        <v>144</v>
      </c>
      <c r="L709" s="252">
        <f>_xlfn.XLOOKUP($K709,Inputs!$C$6:$C$23,Inputs!$D$6:$D$23)*$I709</f>
        <v>2.6271428571428572</v>
      </c>
      <c r="M709" s="68"/>
      <c r="N709" s="68"/>
      <c r="O709" s="187"/>
      <c r="P709" s="187"/>
      <c r="Q709" s="94">
        <v>0.9</v>
      </c>
      <c r="R709" s="68">
        <f>IF((42.4*(J709)^(-0.6595))&gt;=3,3,(IF(42.4*(J709)^(-0.6595)&lt;=0.5,0.5,(42.4*(J709)^(-0.6595)))))</f>
        <v>3</v>
      </c>
      <c r="S709" s="276">
        <f>_xlfn.XLOOKUP($K709,Inputs!$G$6:$G$23,Inputs!J$6:J$23)*$R709</f>
        <v>153.60000000000002</v>
      </c>
      <c r="T709" s="276">
        <f>_xlfn.XLOOKUP($K709,Inputs!$G$6:$G$23,Inputs!K$6:K$23)*$R709</f>
        <v>169.96721311475409</v>
      </c>
      <c r="U709" s="96" t="s">
        <v>3382</v>
      </c>
      <c r="V709" s="22" t="s">
        <v>2169</v>
      </c>
      <c r="W709" s="96" t="s">
        <v>3381</v>
      </c>
      <c r="X709" s="22" t="s">
        <v>2745</v>
      </c>
      <c r="Y709" s="11" t="s">
        <v>3331</v>
      </c>
      <c r="Z709" s="79"/>
      <c r="AA709" s="187">
        <v>698</v>
      </c>
    </row>
    <row r="710" spans="2:27" s="188" customFormat="1" ht="20" x14ac:dyDescent="0.2">
      <c r="B710" s="11" t="s">
        <v>1546</v>
      </c>
      <c r="C710" s="165" t="s">
        <v>4237</v>
      </c>
      <c r="D710" s="22" t="s">
        <v>2379</v>
      </c>
      <c r="E710" s="34">
        <v>1</v>
      </c>
      <c r="F710" s="22" t="s">
        <v>2223</v>
      </c>
      <c r="G710" s="88">
        <v>12</v>
      </c>
      <c r="H710" s="235">
        <f t="shared" ref="H710:H773" si="99">G710/1.62</f>
        <v>7.4074074074074066</v>
      </c>
      <c r="I710" s="88">
        <v>12</v>
      </c>
      <c r="J710" s="235">
        <f t="shared" ref="J710:J773" si="100">I710/1.62</f>
        <v>7.4074074074074066</v>
      </c>
      <c r="K710" s="215">
        <v>138</v>
      </c>
      <c r="L710" s="252">
        <f>_xlfn.XLOOKUP($K710,Inputs!$C$6:$C$23,Inputs!$D$6:$D$23)*$I710</f>
        <v>5.2028571428571428</v>
      </c>
      <c r="M710" s="68"/>
      <c r="N710" s="68"/>
      <c r="O710" s="215">
        <v>94.9</v>
      </c>
      <c r="P710" s="215">
        <v>94.9</v>
      </c>
      <c r="Q710" s="94">
        <v>0.9</v>
      </c>
      <c r="R710" s="68" t="s">
        <v>115</v>
      </c>
      <c r="S710" s="182">
        <f>O710*Q710</f>
        <v>85.410000000000011</v>
      </c>
      <c r="T710" s="182">
        <f>P710*Q710</f>
        <v>85.410000000000011</v>
      </c>
      <c r="U710" s="96" t="s">
        <v>3807</v>
      </c>
      <c r="V710" s="22" t="s">
        <v>3056</v>
      </c>
      <c r="W710" s="96" t="s">
        <v>3719</v>
      </c>
      <c r="X710" s="22" t="s">
        <v>2619</v>
      </c>
      <c r="Y710" s="11" t="s">
        <v>3291</v>
      </c>
      <c r="Z710" s="79"/>
      <c r="AA710" s="187">
        <v>699</v>
      </c>
    </row>
    <row r="711" spans="2:27" s="188" customFormat="1" ht="20" x14ac:dyDescent="0.2">
      <c r="B711" s="11" t="s">
        <v>888</v>
      </c>
      <c r="C711" s="165" t="s">
        <v>4237</v>
      </c>
      <c r="D711" s="22" t="s">
        <v>2379</v>
      </c>
      <c r="E711" s="34">
        <v>1</v>
      </c>
      <c r="F711" s="22" t="s">
        <v>2223</v>
      </c>
      <c r="G711" s="88">
        <v>25</v>
      </c>
      <c r="H711" s="235">
        <f t="shared" si="99"/>
        <v>15.432098765432098</v>
      </c>
      <c r="I711" s="88">
        <v>25</v>
      </c>
      <c r="J711" s="235">
        <f t="shared" si="100"/>
        <v>15.432098765432098</v>
      </c>
      <c r="K711" s="201">
        <v>144</v>
      </c>
      <c r="L711" s="252">
        <f>_xlfn.XLOOKUP($K711,Inputs!$C$6:$C$23,Inputs!$D$6:$D$23)*$I711</f>
        <v>10.946428571428573</v>
      </c>
      <c r="M711" s="68"/>
      <c r="N711" s="68"/>
      <c r="O711" s="215">
        <v>109.3</v>
      </c>
      <c r="P711" s="215">
        <v>139.9</v>
      </c>
      <c r="Q711" s="94">
        <v>0.9</v>
      </c>
      <c r="R711" s="68" t="s">
        <v>115</v>
      </c>
      <c r="S711" s="182">
        <f>O711*Q711</f>
        <v>98.37</v>
      </c>
      <c r="T711" s="182">
        <f>P711*Q711</f>
        <v>125.91000000000001</v>
      </c>
      <c r="U711" s="96" t="s">
        <v>3925</v>
      </c>
      <c r="V711" s="22" t="s">
        <v>3184</v>
      </c>
      <c r="W711" s="96" t="s">
        <v>3917</v>
      </c>
      <c r="X711" s="22" t="s">
        <v>3178</v>
      </c>
      <c r="Y711" s="11" t="s">
        <v>3314</v>
      </c>
      <c r="Z711" s="79"/>
      <c r="AA711" s="187">
        <v>700</v>
      </c>
    </row>
    <row r="712" spans="2:27" s="188" customFormat="1" ht="20" x14ac:dyDescent="0.2">
      <c r="B712" s="11" t="s">
        <v>1420</v>
      </c>
      <c r="C712" s="165" t="s">
        <v>4237</v>
      </c>
      <c r="D712" s="22" t="s">
        <v>2379</v>
      </c>
      <c r="E712" s="34">
        <v>1</v>
      </c>
      <c r="F712" s="22" t="s">
        <v>2223</v>
      </c>
      <c r="G712" s="88">
        <v>9</v>
      </c>
      <c r="H712" s="235">
        <f t="shared" si="99"/>
        <v>5.5555555555555554</v>
      </c>
      <c r="I712" s="88">
        <v>9</v>
      </c>
      <c r="J712" s="235">
        <f t="shared" si="100"/>
        <v>5.5555555555555554</v>
      </c>
      <c r="K712" s="201">
        <v>144</v>
      </c>
      <c r="L712" s="252">
        <f>_xlfn.XLOOKUP($K712,Inputs!$C$6:$C$23,Inputs!$D$6:$D$23)*$I712</f>
        <v>3.9407142857142858</v>
      </c>
      <c r="M712" s="68"/>
      <c r="N712" s="68"/>
      <c r="O712" s="215">
        <v>109</v>
      </c>
      <c r="P712" s="215">
        <v>139</v>
      </c>
      <c r="Q712" s="94">
        <v>0.9</v>
      </c>
      <c r="R712" s="68" t="s">
        <v>115</v>
      </c>
      <c r="S712" s="182">
        <f>O712*Q712</f>
        <v>98.100000000000009</v>
      </c>
      <c r="T712" s="182">
        <f>P712*Q712</f>
        <v>125.10000000000001</v>
      </c>
      <c r="U712" s="96" t="s">
        <v>3548</v>
      </c>
      <c r="V712" s="22" t="s">
        <v>2850</v>
      </c>
      <c r="W712" s="96" t="s">
        <v>3586</v>
      </c>
      <c r="X712" s="22" t="s">
        <v>2877</v>
      </c>
      <c r="Y712" s="11" t="s">
        <v>3309</v>
      </c>
      <c r="Z712" s="79"/>
      <c r="AA712" s="187">
        <v>701</v>
      </c>
    </row>
    <row r="713" spans="2:27" s="188" customFormat="1" ht="20" x14ac:dyDescent="0.2">
      <c r="B713" s="11" t="s">
        <v>889</v>
      </c>
      <c r="C713" s="165" t="s">
        <v>4237</v>
      </c>
      <c r="D713" s="22" t="s">
        <v>2379</v>
      </c>
      <c r="E713" s="34">
        <v>1</v>
      </c>
      <c r="F713" s="22" t="s">
        <v>2223</v>
      </c>
      <c r="G713" s="88">
        <v>12</v>
      </c>
      <c r="H713" s="235">
        <f t="shared" si="99"/>
        <v>7.4074074074074066</v>
      </c>
      <c r="I713" s="88">
        <v>12</v>
      </c>
      <c r="J713" s="235">
        <f t="shared" si="100"/>
        <v>7.4074074074074066</v>
      </c>
      <c r="K713" s="201">
        <v>144</v>
      </c>
      <c r="L713" s="252">
        <f>_xlfn.XLOOKUP($K713,Inputs!$C$6:$C$23,Inputs!$D$6:$D$23)*$I713</f>
        <v>5.2542857142857144</v>
      </c>
      <c r="M713" s="68"/>
      <c r="N713" s="68"/>
      <c r="O713" s="187"/>
      <c r="P713" s="187"/>
      <c r="Q713" s="94">
        <v>0.9</v>
      </c>
      <c r="R713" s="68">
        <f>IF((42.4*(J713)^(-0.6595))&gt;=3,3,(IF(42.4*(J713)^(-0.6595)&lt;=0.5,0.5,(42.4*(J713)^(-0.6595)))))</f>
        <v>3</v>
      </c>
      <c r="S713" s="276">
        <f>_xlfn.XLOOKUP($K713,Inputs!$G$6:$G$23,Inputs!J$6:J$23)*$R713</f>
        <v>153.60000000000002</v>
      </c>
      <c r="T713" s="276">
        <f>_xlfn.XLOOKUP($K713,Inputs!$G$6:$G$23,Inputs!K$6:K$23)*$R713</f>
        <v>169.96721311475409</v>
      </c>
      <c r="U713" s="96" t="s">
        <v>3789</v>
      </c>
      <c r="V713" s="22" t="s">
        <v>2706</v>
      </c>
      <c r="W713" s="96" t="s">
        <v>458</v>
      </c>
      <c r="X713" s="22" t="s">
        <v>2705</v>
      </c>
      <c r="Y713" s="11" t="s">
        <v>3331</v>
      </c>
      <c r="Z713" s="79"/>
      <c r="AA713" s="187">
        <v>702</v>
      </c>
    </row>
    <row r="714" spans="2:27" s="188" customFormat="1" ht="20" x14ac:dyDescent="0.2">
      <c r="B714" s="11" t="s">
        <v>891</v>
      </c>
      <c r="C714" s="165" t="s">
        <v>4237</v>
      </c>
      <c r="D714" s="22" t="s">
        <v>2379</v>
      </c>
      <c r="E714" s="34">
        <v>1</v>
      </c>
      <c r="F714" s="22" t="s">
        <v>2223</v>
      </c>
      <c r="G714" s="88">
        <v>30</v>
      </c>
      <c r="H714" s="235">
        <f t="shared" si="99"/>
        <v>18.518518518518519</v>
      </c>
      <c r="I714" s="88">
        <v>30</v>
      </c>
      <c r="J714" s="235">
        <f t="shared" si="100"/>
        <v>18.518518518518519</v>
      </c>
      <c r="K714" s="201">
        <v>144</v>
      </c>
      <c r="L714" s="252">
        <f>_xlfn.XLOOKUP($K714,Inputs!$C$6:$C$23,Inputs!$D$6:$D$23)*$I714</f>
        <v>13.135714285714286</v>
      </c>
      <c r="M714" s="68"/>
      <c r="N714" s="68"/>
      <c r="O714" s="187"/>
      <c r="P714" s="187"/>
      <c r="Q714" s="94">
        <v>0.9</v>
      </c>
      <c r="R714" s="68">
        <f>IF((42.4*(J714)^(-0.6595))&gt;=3,3,(IF(42.4*(J714)^(-0.6595)&lt;=0.5,0.5,(42.4*(J714)^(-0.6595)))))</f>
        <v>3</v>
      </c>
      <c r="S714" s="276">
        <f>_xlfn.XLOOKUP($K714,Inputs!$G$6:$G$23,Inputs!J$6:J$23)*$R714</f>
        <v>153.60000000000002</v>
      </c>
      <c r="T714" s="276">
        <f>_xlfn.XLOOKUP($K714,Inputs!$G$6:$G$23,Inputs!K$6:K$23)*$R714</f>
        <v>169.96721311475409</v>
      </c>
      <c r="U714" s="96" t="s">
        <v>3723</v>
      </c>
      <c r="V714" s="22" t="s">
        <v>2986</v>
      </c>
      <c r="W714" s="96" t="s">
        <v>3348</v>
      </c>
      <c r="X714" s="22" t="s">
        <v>3200</v>
      </c>
      <c r="Y714" s="11" t="s">
        <v>3331</v>
      </c>
      <c r="Z714" s="79"/>
      <c r="AA714" s="187">
        <v>703</v>
      </c>
    </row>
    <row r="715" spans="2:27" s="184" customFormat="1" ht="20" x14ac:dyDescent="0.2">
      <c r="B715" s="11" t="s">
        <v>892</v>
      </c>
      <c r="C715" s="165" t="s">
        <v>4237</v>
      </c>
      <c r="D715" s="22" t="s">
        <v>2379</v>
      </c>
      <c r="E715" s="34">
        <v>1</v>
      </c>
      <c r="F715" s="22" t="s">
        <v>2223</v>
      </c>
      <c r="G715" s="88">
        <v>30</v>
      </c>
      <c r="H715" s="235">
        <f t="shared" si="99"/>
        <v>18.518518518518519</v>
      </c>
      <c r="I715" s="88">
        <v>30</v>
      </c>
      <c r="J715" s="235">
        <f t="shared" si="100"/>
        <v>18.518518518518519</v>
      </c>
      <c r="K715" s="201">
        <v>144</v>
      </c>
      <c r="L715" s="252">
        <f>_xlfn.XLOOKUP($K715,Inputs!$C$6:$C$23,Inputs!$D$6:$D$23)*$I715</f>
        <v>13.135714285714286</v>
      </c>
      <c r="M715" s="68"/>
      <c r="N715" s="68"/>
      <c r="O715" s="187"/>
      <c r="P715" s="187"/>
      <c r="Q715" s="94">
        <v>0.9</v>
      </c>
      <c r="R715" s="68">
        <f>IF((42.4*(J715)^(-0.6595))&gt;=3,3,(IF(42.4*(J715)^(-0.6595)&lt;=0.5,0.5,(42.4*(J715)^(-0.6595)))))</f>
        <v>3</v>
      </c>
      <c r="S715" s="276">
        <f>_xlfn.XLOOKUP($K715,Inputs!$G$6:$G$23,Inputs!J$6:J$23)*$R715</f>
        <v>153.60000000000002</v>
      </c>
      <c r="T715" s="276">
        <f>_xlfn.XLOOKUP($K715,Inputs!$G$6:$G$23,Inputs!K$6:K$23)*$R715</f>
        <v>169.96721311475409</v>
      </c>
      <c r="U715" s="96" t="s">
        <v>3723</v>
      </c>
      <c r="V715" s="22" t="s">
        <v>2986</v>
      </c>
      <c r="W715" s="96" t="s">
        <v>3348</v>
      </c>
      <c r="X715" s="22" t="s">
        <v>3200</v>
      </c>
      <c r="Y715" s="11" t="s">
        <v>3331</v>
      </c>
      <c r="Z715" s="79"/>
      <c r="AA715" s="187">
        <v>704</v>
      </c>
    </row>
    <row r="716" spans="2:27" s="188" customFormat="1" ht="20" x14ac:dyDescent="0.2">
      <c r="B716" s="11" t="s">
        <v>2026</v>
      </c>
      <c r="C716" s="165" t="s">
        <v>4237</v>
      </c>
      <c r="D716" s="22" t="s">
        <v>2379</v>
      </c>
      <c r="E716" s="34">
        <v>1</v>
      </c>
      <c r="F716" s="22" t="s">
        <v>2223</v>
      </c>
      <c r="G716" s="88">
        <v>25</v>
      </c>
      <c r="H716" s="235">
        <f t="shared" si="99"/>
        <v>15.432098765432098</v>
      </c>
      <c r="I716" s="88">
        <v>140</v>
      </c>
      <c r="J716" s="235">
        <f t="shared" si="100"/>
        <v>86.419753086419746</v>
      </c>
      <c r="K716" s="201">
        <v>144</v>
      </c>
      <c r="L716" s="252">
        <f>_xlfn.XLOOKUP($K716,Inputs!$C$6:$C$23,Inputs!$D$6:$D$23)*$I716</f>
        <v>61.300000000000004</v>
      </c>
      <c r="M716" s="68"/>
      <c r="N716" s="68"/>
      <c r="O716" s="215">
        <v>114</v>
      </c>
      <c r="P716" s="215">
        <v>146</v>
      </c>
      <c r="Q716" s="94">
        <v>0.9</v>
      </c>
      <c r="R716" s="68" t="s">
        <v>115</v>
      </c>
      <c r="S716" s="182">
        <f t="shared" ref="S716:S721" si="101">O716*Q716</f>
        <v>102.60000000000001</v>
      </c>
      <c r="T716" s="182">
        <f t="shared" ref="T716:T721" si="102">P716*Q716</f>
        <v>131.4</v>
      </c>
      <c r="U716" s="96" t="s">
        <v>3473</v>
      </c>
      <c r="V716" s="22" t="s">
        <v>2800</v>
      </c>
      <c r="W716" s="96" t="s">
        <v>3837</v>
      </c>
      <c r="X716" s="22" t="s">
        <v>3076</v>
      </c>
      <c r="Y716" s="11" t="s">
        <v>3273</v>
      </c>
      <c r="Z716" s="79"/>
      <c r="AA716" s="187">
        <v>705</v>
      </c>
    </row>
    <row r="717" spans="2:27" s="188" customFormat="1" ht="20" x14ac:dyDescent="0.2">
      <c r="B717" s="11" t="s">
        <v>2026</v>
      </c>
      <c r="C717" s="165" t="s">
        <v>4237</v>
      </c>
      <c r="D717" s="22" t="s">
        <v>2379</v>
      </c>
      <c r="E717" s="34">
        <v>1</v>
      </c>
      <c r="F717" s="22" t="s">
        <v>2223</v>
      </c>
      <c r="G717" s="235">
        <v>115</v>
      </c>
      <c r="H717" s="235">
        <f t="shared" si="99"/>
        <v>70.987654320987644</v>
      </c>
      <c r="I717" s="235">
        <v>140</v>
      </c>
      <c r="J717" s="235">
        <f t="shared" si="100"/>
        <v>86.419753086419746</v>
      </c>
      <c r="K717" s="201">
        <v>144</v>
      </c>
      <c r="L717" s="252">
        <f>_xlfn.XLOOKUP($K717,Inputs!$C$6:$C$23,Inputs!$D$6:$D$23)*$I717</f>
        <v>61.300000000000004</v>
      </c>
      <c r="M717" s="68"/>
      <c r="N717" s="68"/>
      <c r="O717" s="215">
        <v>114</v>
      </c>
      <c r="P717" s="215">
        <v>146</v>
      </c>
      <c r="Q717" s="94">
        <v>0.9</v>
      </c>
      <c r="R717" s="68" t="s">
        <v>115</v>
      </c>
      <c r="S717" s="182">
        <f t="shared" si="101"/>
        <v>102.60000000000001</v>
      </c>
      <c r="T717" s="182">
        <f t="shared" si="102"/>
        <v>131.4</v>
      </c>
      <c r="U717" s="96" t="s">
        <v>3837</v>
      </c>
      <c r="V717" s="22" t="s">
        <v>3076</v>
      </c>
      <c r="W717" s="96" t="s">
        <v>3683</v>
      </c>
      <c r="X717" s="22" t="s">
        <v>2645</v>
      </c>
      <c r="Y717" s="11" t="s">
        <v>3273</v>
      </c>
      <c r="Z717" s="79"/>
      <c r="AA717" s="187">
        <v>706</v>
      </c>
    </row>
    <row r="718" spans="2:27" s="188" customFormat="1" ht="20" x14ac:dyDescent="0.2">
      <c r="B718" s="11" t="s">
        <v>2027</v>
      </c>
      <c r="C718" s="165" t="s">
        <v>4237</v>
      </c>
      <c r="D718" s="22" t="s">
        <v>2379</v>
      </c>
      <c r="E718" s="34">
        <v>1</v>
      </c>
      <c r="F718" s="22" t="s">
        <v>2223</v>
      </c>
      <c r="G718" s="88">
        <v>25</v>
      </c>
      <c r="H718" s="235">
        <f t="shared" si="99"/>
        <v>15.432098765432098</v>
      </c>
      <c r="I718" s="88">
        <v>45</v>
      </c>
      <c r="J718" s="235">
        <f t="shared" si="100"/>
        <v>27.777777777777775</v>
      </c>
      <c r="K718" s="201">
        <v>144</v>
      </c>
      <c r="L718" s="252">
        <f>_xlfn.XLOOKUP($K718,Inputs!$C$6:$C$23,Inputs!$D$6:$D$23)*$I718</f>
        <v>19.703571428571429</v>
      </c>
      <c r="M718" s="68"/>
      <c r="N718" s="68"/>
      <c r="O718" s="215">
        <v>147</v>
      </c>
      <c r="P718" s="215">
        <v>187</v>
      </c>
      <c r="Q718" s="94">
        <v>0.9</v>
      </c>
      <c r="R718" s="68" t="s">
        <v>115</v>
      </c>
      <c r="S718" s="182">
        <f t="shared" si="101"/>
        <v>132.30000000000001</v>
      </c>
      <c r="T718" s="182">
        <f t="shared" si="102"/>
        <v>168.3</v>
      </c>
      <c r="U718" s="96" t="s">
        <v>3389</v>
      </c>
      <c r="V718" s="22" t="s">
        <v>2752</v>
      </c>
      <c r="W718" s="96" t="s">
        <v>894</v>
      </c>
      <c r="X718" s="22" t="s">
        <v>2625</v>
      </c>
      <c r="Y718" s="11" t="s">
        <v>3295</v>
      </c>
      <c r="Z718" s="79"/>
      <c r="AA718" s="187">
        <v>707</v>
      </c>
    </row>
    <row r="719" spans="2:27" s="188" customFormat="1" ht="20" x14ac:dyDescent="0.2">
      <c r="B719" s="11" t="s">
        <v>2027</v>
      </c>
      <c r="C719" s="165" t="s">
        <v>4237</v>
      </c>
      <c r="D719" s="22" t="s">
        <v>2379</v>
      </c>
      <c r="E719" s="34">
        <v>1</v>
      </c>
      <c r="F719" s="22" t="s">
        <v>2223</v>
      </c>
      <c r="G719" s="88">
        <v>20</v>
      </c>
      <c r="H719" s="235">
        <f t="shared" si="99"/>
        <v>12.345679012345679</v>
      </c>
      <c r="I719" s="88">
        <v>45</v>
      </c>
      <c r="J719" s="235">
        <f t="shared" si="100"/>
        <v>27.777777777777775</v>
      </c>
      <c r="K719" s="201">
        <v>144</v>
      </c>
      <c r="L719" s="252">
        <f>_xlfn.XLOOKUP($K719,Inputs!$C$6:$C$23,Inputs!$D$6:$D$23)*$I719</f>
        <v>19.703571428571429</v>
      </c>
      <c r="M719" s="68"/>
      <c r="N719" s="68"/>
      <c r="O719" s="215">
        <v>147</v>
      </c>
      <c r="P719" s="215">
        <v>187</v>
      </c>
      <c r="Q719" s="94">
        <v>0.9</v>
      </c>
      <c r="R719" s="68" t="s">
        <v>115</v>
      </c>
      <c r="S719" s="182">
        <f t="shared" si="101"/>
        <v>132.30000000000001</v>
      </c>
      <c r="T719" s="182">
        <f t="shared" si="102"/>
        <v>168.3</v>
      </c>
      <c r="U719" s="96" t="s">
        <v>894</v>
      </c>
      <c r="V719" s="22" t="s">
        <v>2625</v>
      </c>
      <c r="W719" s="96" t="s">
        <v>3562</v>
      </c>
      <c r="X719" s="22" t="s">
        <v>2861</v>
      </c>
      <c r="Y719" s="11" t="s">
        <v>3295</v>
      </c>
      <c r="Z719" s="79"/>
      <c r="AA719" s="187">
        <v>708</v>
      </c>
    </row>
    <row r="720" spans="2:27" s="188" customFormat="1" ht="20" x14ac:dyDescent="0.2">
      <c r="B720" s="11" t="s">
        <v>895</v>
      </c>
      <c r="C720" s="165" t="s">
        <v>4237</v>
      </c>
      <c r="D720" s="22" t="s">
        <v>2379</v>
      </c>
      <c r="E720" s="34">
        <v>1</v>
      </c>
      <c r="F720" s="22" t="s">
        <v>2223</v>
      </c>
      <c r="G720" s="88">
        <v>20</v>
      </c>
      <c r="H720" s="235">
        <f t="shared" si="99"/>
        <v>12.345679012345679</v>
      </c>
      <c r="I720" s="88">
        <v>20</v>
      </c>
      <c r="J720" s="235">
        <f t="shared" si="100"/>
        <v>12.345679012345679</v>
      </c>
      <c r="K720" s="201">
        <v>144</v>
      </c>
      <c r="L720" s="252">
        <f>_xlfn.XLOOKUP($K720,Inputs!$C$6:$C$23,Inputs!$D$6:$D$23)*$I720</f>
        <v>8.757142857142858</v>
      </c>
      <c r="M720" s="68"/>
      <c r="N720" s="68"/>
      <c r="O720" s="215">
        <v>114</v>
      </c>
      <c r="P720" s="215">
        <v>146</v>
      </c>
      <c r="Q720" s="94">
        <v>0.9</v>
      </c>
      <c r="R720" s="68" t="s">
        <v>115</v>
      </c>
      <c r="S720" s="182">
        <f t="shared" si="101"/>
        <v>102.60000000000001</v>
      </c>
      <c r="T720" s="182">
        <f t="shared" si="102"/>
        <v>131.4</v>
      </c>
      <c r="U720" s="96" t="s">
        <v>3583</v>
      </c>
      <c r="V720" s="22" t="s">
        <v>2875</v>
      </c>
      <c r="W720" s="96" t="s">
        <v>3889</v>
      </c>
      <c r="X720" s="22" t="s">
        <v>3151</v>
      </c>
      <c r="Y720" s="11" t="s">
        <v>3283</v>
      </c>
      <c r="Z720" s="79"/>
      <c r="AA720" s="187">
        <v>709</v>
      </c>
    </row>
    <row r="721" spans="2:27" s="188" customFormat="1" ht="20" x14ac:dyDescent="0.2">
      <c r="B721" s="11" t="s">
        <v>1403</v>
      </c>
      <c r="C721" s="165" t="s">
        <v>4237</v>
      </c>
      <c r="D721" s="22" t="s">
        <v>2379</v>
      </c>
      <c r="E721" s="34">
        <v>1</v>
      </c>
      <c r="F721" s="22" t="s">
        <v>2223</v>
      </c>
      <c r="G721" s="88">
        <v>24</v>
      </c>
      <c r="H721" s="235">
        <f t="shared" si="99"/>
        <v>14.814814814814813</v>
      </c>
      <c r="I721" s="88">
        <v>24</v>
      </c>
      <c r="J721" s="235">
        <f t="shared" si="100"/>
        <v>14.814814814814813</v>
      </c>
      <c r="K721" s="201">
        <v>144</v>
      </c>
      <c r="L721" s="252">
        <f>_xlfn.XLOOKUP($K721,Inputs!$C$6:$C$23,Inputs!$D$6:$D$23)*$I721</f>
        <v>10.508571428571429</v>
      </c>
      <c r="M721" s="68"/>
      <c r="N721" s="68"/>
      <c r="O721" s="215">
        <v>140</v>
      </c>
      <c r="P721" s="215">
        <v>143</v>
      </c>
      <c r="Q721" s="94">
        <v>0.9</v>
      </c>
      <c r="R721" s="68" t="s">
        <v>115</v>
      </c>
      <c r="S721" s="182">
        <f t="shared" si="101"/>
        <v>126</v>
      </c>
      <c r="T721" s="182">
        <f t="shared" si="102"/>
        <v>128.70000000000002</v>
      </c>
      <c r="U721" s="96" t="s">
        <v>3942</v>
      </c>
      <c r="V721" s="22" t="s">
        <v>3194</v>
      </c>
      <c r="W721" s="96" t="s">
        <v>3784</v>
      </c>
      <c r="X721" s="22" t="s">
        <v>2704</v>
      </c>
      <c r="Y721" s="11" t="s">
        <v>3309</v>
      </c>
      <c r="Z721" s="79"/>
      <c r="AA721" s="187">
        <v>710</v>
      </c>
    </row>
    <row r="722" spans="2:27" s="188" customFormat="1" ht="20" x14ac:dyDescent="0.2">
      <c r="B722" s="11" t="s">
        <v>897</v>
      </c>
      <c r="C722" s="165" t="s">
        <v>4237</v>
      </c>
      <c r="D722" s="22" t="s">
        <v>2379</v>
      </c>
      <c r="E722" s="34">
        <v>1</v>
      </c>
      <c r="F722" s="22" t="s">
        <v>2223</v>
      </c>
      <c r="G722" s="235">
        <v>30</v>
      </c>
      <c r="H722" s="235">
        <f t="shared" si="99"/>
        <v>18.518518518518519</v>
      </c>
      <c r="I722" s="235">
        <v>30</v>
      </c>
      <c r="J722" s="235">
        <f t="shared" si="100"/>
        <v>18.518518518518519</v>
      </c>
      <c r="K722" s="201">
        <v>144</v>
      </c>
      <c r="L722" s="252">
        <f>_xlfn.XLOOKUP($K722,Inputs!$C$6:$C$23,Inputs!$D$6:$D$23)*$I722</f>
        <v>13.135714285714286</v>
      </c>
      <c r="M722" s="68"/>
      <c r="N722" s="68"/>
      <c r="O722" s="187"/>
      <c r="P722" s="187"/>
      <c r="Q722" s="94">
        <v>0.9</v>
      </c>
      <c r="R722" s="68">
        <f>IF((42.4*(J722)^(-0.6595))&gt;=3,3,(IF(42.4*(J722)^(-0.6595)&lt;=0.5,0.5,(42.4*(J722)^(-0.6595)))))</f>
        <v>3</v>
      </c>
      <c r="S722" s="276">
        <f>_xlfn.XLOOKUP($K722,Inputs!$G$6:$G$23,Inputs!J$6:J$23)*$R722</f>
        <v>153.60000000000002</v>
      </c>
      <c r="T722" s="276">
        <f>_xlfn.XLOOKUP($K722,Inputs!$G$6:$G$23,Inputs!K$6:K$23)*$R722</f>
        <v>169.96721311475409</v>
      </c>
      <c r="U722" s="96" t="s">
        <v>3597</v>
      </c>
      <c r="V722" s="22" t="s">
        <v>2886</v>
      </c>
      <c r="W722" s="96" t="s">
        <v>3936</v>
      </c>
      <c r="X722" s="205" t="s">
        <v>3190</v>
      </c>
      <c r="Y722" s="11" t="s">
        <v>3331</v>
      </c>
      <c r="Z722" s="79"/>
      <c r="AA722" s="187">
        <v>711</v>
      </c>
    </row>
    <row r="723" spans="2:27" s="188" customFormat="1" ht="20" x14ac:dyDescent="0.2">
      <c r="B723" s="11" t="s">
        <v>898</v>
      </c>
      <c r="C723" s="165" t="s">
        <v>4237</v>
      </c>
      <c r="D723" s="22" t="s">
        <v>2379</v>
      </c>
      <c r="E723" s="34">
        <v>1</v>
      </c>
      <c r="F723" s="22" t="s">
        <v>2223</v>
      </c>
      <c r="G723" s="88">
        <v>16.8</v>
      </c>
      <c r="H723" s="235">
        <f t="shared" si="99"/>
        <v>10.37037037037037</v>
      </c>
      <c r="I723" s="88">
        <v>16.8</v>
      </c>
      <c r="J723" s="235">
        <f t="shared" si="100"/>
        <v>10.37037037037037</v>
      </c>
      <c r="K723" s="201">
        <v>144</v>
      </c>
      <c r="L723" s="252">
        <f>_xlfn.XLOOKUP($K723,Inputs!$C$6:$C$23,Inputs!$D$6:$D$23)*$I723</f>
        <v>7.3560000000000008</v>
      </c>
      <c r="M723" s="68"/>
      <c r="N723" s="68"/>
      <c r="O723" s="187"/>
      <c r="P723" s="187"/>
      <c r="Q723" s="94">
        <v>0.9</v>
      </c>
      <c r="R723" s="68">
        <f>IF((42.4*(J723)^(-0.6595))&gt;=3,3,(IF(42.4*(J723)^(-0.6595)&lt;=0.5,0.5,(42.4*(J723)^(-0.6595)))))</f>
        <v>3</v>
      </c>
      <c r="S723" s="276">
        <f>_xlfn.XLOOKUP($K723,Inputs!$G$6:$G$23,Inputs!J$6:J$23)*$R723</f>
        <v>153.60000000000002</v>
      </c>
      <c r="T723" s="276">
        <f>_xlfn.XLOOKUP($K723,Inputs!$G$6:$G$23,Inputs!K$6:K$23)*$R723</f>
        <v>169.96721311475409</v>
      </c>
      <c r="U723" s="96" t="s">
        <v>3622</v>
      </c>
      <c r="V723" s="22" t="s">
        <v>2907</v>
      </c>
      <c r="W723" s="96" t="s">
        <v>3354</v>
      </c>
      <c r="X723" s="22" t="s">
        <v>2732</v>
      </c>
      <c r="Y723" s="11" t="s">
        <v>3331</v>
      </c>
      <c r="Z723" s="79"/>
      <c r="AA723" s="187">
        <v>712</v>
      </c>
    </row>
    <row r="724" spans="2:27" s="184" customFormat="1" ht="20" x14ac:dyDescent="0.2">
      <c r="B724" s="11" t="s">
        <v>899</v>
      </c>
      <c r="C724" s="165" t="s">
        <v>4237</v>
      </c>
      <c r="D724" s="22" t="s">
        <v>2379</v>
      </c>
      <c r="E724" s="34">
        <v>1</v>
      </c>
      <c r="F724" s="22" t="s">
        <v>2223</v>
      </c>
      <c r="G724" s="88">
        <v>20</v>
      </c>
      <c r="H724" s="235">
        <f t="shared" si="99"/>
        <v>12.345679012345679</v>
      </c>
      <c r="I724" s="88">
        <v>30</v>
      </c>
      <c r="J724" s="235">
        <f t="shared" si="100"/>
        <v>18.518518518518519</v>
      </c>
      <c r="K724" s="201">
        <v>144</v>
      </c>
      <c r="L724" s="252">
        <f>_xlfn.XLOOKUP($K724,Inputs!$C$6:$C$23,Inputs!$D$6:$D$23)*$I724</f>
        <v>13.135714285714286</v>
      </c>
      <c r="M724" s="68"/>
      <c r="N724" s="68"/>
      <c r="O724" s="215">
        <v>114</v>
      </c>
      <c r="P724" s="215">
        <v>145</v>
      </c>
      <c r="Q724" s="94">
        <v>0.9</v>
      </c>
      <c r="R724" s="68" t="s">
        <v>115</v>
      </c>
      <c r="S724" s="182">
        <f>O724*Q724</f>
        <v>102.60000000000001</v>
      </c>
      <c r="T724" s="182">
        <f>P724*Q724</f>
        <v>130.5</v>
      </c>
      <c r="U724" s="96" t="s">
        <v>3473</v>
      </c>
      <c r="V724" s="22" t="s">
        <v>2800</v>
      </c>
      <c r="W724" s="96" t="s">
        <v>3975</v>
      </c>
      <c r="X724" s="22" t="s">
        <v>2170</v>
      </c>
      <c r="Y724" s="11" t="s">
        <v>3273</v>
      </c>
      <c r="Z724" s="79"/>
      <c r="AA724" s="187">
        <v>713</v>
      </c>
    </row>
    <row r="725" spans="2:27" s="184" customFormat="1" ht="20" x14ac:dyDescent="0.2">
      <c r="B725" s="11" t="s">
        <v>899</v>
      </c>
      <c r="C725" s="165" t="s">
        <v>4237</v>
      </c>
      <c r="D725" s="22" t="s">
        <v>2379</v>
      </c>
      <c r="E725" s="34">
        <v>1</v>
      </c>
      <c r="F725" s="22" t="s">
        <v>2223</v>
      </c>
      <c r="G725" s="88">
        <v>10</v>
      </c>
      <c r="H725" s="235">
        <f t="shared" si="99"/>
        <v>6.1728395061728394</v>
      </c>
      <c r="I725" s="88">
        <v>30</v>
      </c>
      <c r="J725" s="235">
        <f t="shared" si="100"/>
        <v>18.518518518518519</v>
      </c>
      <c r="K725" s="221">
        <v>144</v>
      </c>
      <c r="L725" s="252">
        <f>_xlfn.XLOOKUP($K725,Inputs!$C$6:$C$23,Inputs!$D$6:$D$23)*$I725</f>
        <v>13.135714285714286</v>
      </c>
      <c r="M725" s="68"/>
      <c r="N725" s="68"/>
      <c r="O725" s="216">
        <v>114</v>
      </c>
      <c r="P725" s="216">
        <v>145</v>
      </c>
      <c r="Q725" s="94">
        <v>0.9</v>
      </c>
      <c r="R725" s="68" t="s">
        <v>115</v>
      </c>
      <c r="S725" s="182">
        <f>O725*Q725</f>
        <v>102.60000000000001</v>
      </c>
      <c r="T725" s="182">
        <f>P725*Q725</f>
        <v>130.5</v>
      </c>
      <c r="U725" s="96" t="s">
        <v>3975</v>
      </c>
      <c r="V725" s="22" t="s">
        <v>2170</v>
      </c>
      <c r="W725" s="96" t="s">
        <v>3498</v>
      </c>
      <c r="X725" s="22" t="s">
        <v>2817</v>
      </c>
      <c r="Y725" s="11" t="s">
        <v>3273</v>
      </c>
      <c r="Z725" s="79"/>
      <c r="AA725" s="187">
        <v>714</v>
      </c>
    </row>
    <row r="726" spans="2:27" s="184" customFormat="1" ht="20" x14ac:dyDescent="0.2">
      <c r="B726" s="11" t="s">
        <v>961</v>
      </c>
      <c r="C726" s="165" t="s">
        <v>4237</v>
      </c>
      <c r="D726" s="22" t="s">
        <v>2379</v>
      </c>
      <c r="E726" s="34">
        <v>1</v>
      </c>
      <c r="F726" s="22" t="s">
        <v>2223</v>
      </c>
      <c r="G726" s="88">
        <v>10</v>
      </c>
      <c r="H726" s="235">
        <f t="shared" si="99"/>
        <v>6.1728395061728394</v>
      </c>
      <c r="I726" s="88">
        <v>10</v>
      </c>
      <c r="J726" s="235">
        <f t="shared" si="100"/>
        <v>6.1728395061728394</v>
      </c>
      <c r="K726" s="201">
        <v>144</v>
      </c>
      <c r="L726" s="252">
        <f>_xlfn.XLOOKUP($K726,Inputs!$C$6:$C$23,Inputs!$D$6:$D$23)*$I726</f>
        <v>4.378571428571429</v>
      </c>
      <c r="M726" s="68"/>
      <c r="N726" s="68"/>
      <c r="O726" s="187"/>
      <c r="P726" s="187"/>
      <c r="Q726" s="94">
        <v>0.9</v>
      </c>
      <c r="R726" s="68">
        <f>IF((42.4*(J726)^(-0.6595))&gt;=3,3,(IF(42.4*(J726)^(-0.6595)&lt;=0.5,0.5,(42.4*(J726)^(-0.6595)))))</f>
        <v>3</v>
      </c>
      <c r="S726" s="276">
        <f>_xlfn.XLOOKUP($K726,Inputs!$G$6:$G$23,Inputs!J$6:J$23)*$R726</f>
        <v>153.60000000000002</v>
      </c>
      <c r="T726" s="276">
        <f>_xlfn.XLOOKUP($K726,Inputs!$G$6:$G$23,Inputs!K$6:K$23)*$R726</f>
        <v>169.96721311475409</v>
      </c>
      <c r="U726" s="96" t="s">
        <v>3975</v>
      </c>
      <c r="V726" s="22" t="s">
        <v>2170</v>
      </c>
      <c r="W726" s="96" t="s">
        <v>3717</v>
      </c>
      <c r="X726" s="22" t="s">
        <v>2981</v>
      </c>
      <c r="Y726" s="11" t="s">
        <v>3331</v>
      </c>
      <c r="Z726" s="79"/>
      <c r="AA726" s="187">
        <v>715</v>
      </c>
    </row>
    <row r="727" spans="2:27" s="184" customFormat="1" ht="20" x14ac:dyDescent="0.2">
      <c r="B727" s="11" t="s">
        <v>901</v>
      </c>
      <c r="C727" s="165" t="s">
        <v>4237</v>
      </c>
      <c r="D727" s="22" t="s">
        <v>2379</v>
      </c>
      <c r="E727" s="34">
        <v>1</v>
      </c>
      <c r="F727" s="22" t="s">
        <v>2223</v>
      </c>
      <c r="G727" s="235">
        <v>60</v>
      </c>
      <c r="H727" s="235">
        <f t="shared" si="99"/>
        <v>37.037037037037038</v>
      </c>
      <c r="I727" s="235">
        <v>60</v>
      </c>
      <c r="J727" s="235">
        <f t="shared" si="100"/>
        <v>37.037037037037038</v>
      </c>
      <c r="K727" s="201">
        <v>144</v>
      </c>
      <c r="L727" s="252">
        <f>_xlfn.XLOOKUP($K727,Inputs!$C$6:$C$23,Inputs!$D$6:$D$23)*$I727</f>
        <v>26.271428571428572</v>
      </c>
      <c r="M727" s="68"/>
      <c r="N727" s="68"/>
      <c r="O727" s="215">
        <v>114</v>
      </c>
      <c r="P727" s="215">
        <v>145</v>
      </c>
      <c r="Q727" s="94">
        <v>0.9</v>
      </c>
      <c r="R727" s="68" t="s">
        <v>115</v>
      </c>
      <c r="S727" s="182">
        <f>O727*Q727</f>
        <v>102.60000000000001</v>
      </c>
      <c r="T727" s="182">
        <f>P727*Q727</f>
        <v>130.5</v>
      </c>
      <c r="U727" s="96" t="s">
        <v>3683</v>
      </c>
      <c r="V727" s="22" t="s">
        <v>2645</v>
      </c>
      <c r="W727" s="96" t="s">
        <v>3834</v>
      </c>
      <c r="X727" s="22" t="s">
        <v>4387</v>
      </c>
      <c r="Y727" s="11" t="s">
        <v>3272</v>
      </c>
      <c r="Z727" s="79"/>
      <c r="AA727" s="187">
        <v>716</v>
      </c>
    </row>
    <row r="728" spans="2:27" s="188" customFormat="1" ht="20" x14ac:dyDescent="0.2">
      <c r="B728" s="11" t="s">
        <v>1481</v>
      </c>
      <c r="C728" s="165" t="s">
        <v>4237</v>
      </c>
      <c r="D728" s="22" t="s">
        <v>2379</v>
      </c>
      <c r="E728" s="34">
        <v>1</v>
      </c>
      <c r="F728" s="22" t="s">
        <v>2223</v>
      </c>
      <c r="G728" s="88">
        <v>9</v>
      </c>
      <c r="H728" s="235">
        <f t="shared" si="99"/>
        <v>5.5555555555555554</v>
      </c>
      <c r="I728" s="88">
        <v>9</v>
      </c>
      <c r="J728" s="235">
        <f t="shared" si="100"/>
        <v>5.5555555555555554</v>
      </c>
      <c r="K728" s="201">
        <v>144</v>
      </c>
      <c r="L728" s="252">
        <f>_xlfn.XLOOKUP($K728,Inputs!$C$6:$C$23,Inputs!$D$6:$D$23)*$I728</f>
        <v>3.9407142857142858</v>
      </c>
      <c r="M728" s="68"/>
      <c r="N728" s="68"/>
      <c r="O728" s="215">
        <v>95</v>
      </c>
      <c r="P728" s="215">
        <v>95</v>
      </c>
      <c r="Q728" s="94">
        <v>0.9</v>
      </c>
      <c r="R728" s="68" t="s">
        <v>115</v>
      </c>
      <c r="S728" s="182">
        <f>O728*Q728</f>
        <v>85.5</v>
      </c>
      <c r="T728" s="182">
        <f>P728*Q728</f>
        <v>85.5</v>
      </c>
      <c r="U728" s="96" t="s">
        <v>3616</v>
      </c>
      <c r="V728" s="22" t="s">
        <v>2904</v>
      </c>
      <c r="W728" s="96" t="s">
        <v>3685</v>
      </c>
      <c r="X728" s="22" t="s">
        <v>2956</v>
      </c>
      <c r="Y728" s="11" t="s">
        <v>3309</v>
      </c>
      <c r="Z728" s="79"/>
      <c r="AA728" s="187">
        <v>717</v>
      </c>
    </row>
    <row r="729" spans="2:27" s="188" customFormat="1" ht="20" x14ac:dyDescent="0.2">
      <c r="B729" s="11" t="s">
        <v>903</v>
      </c>
      <c r="C729" s="165" t="s">
        <v>4237</v>
      </c>
      <c r="D729" s="22" t="s">
        <v>2379</v>
      </c>
      <c r="E729" s="34">
        <v>1</v>
      </c>
      <c r="F729" s="22" t="s">
        <v>2223</v>
      </c>
      <c r="G729" s="235">
        <v>25</v>
      </c>
      <c r="H729" s="235">
        <f t="shared" si="99"/>
        <v>15.432098765432098</v>
      </c>
      <c r="I729" s="235">
        <v>25</v>
      </c>
      <c r="J729" s="235">
        <f t="shared" si="100"/>
        <v>15.432098765432098</v>
      </c>
      <c r="K729" s="201">
        <v>144</v>
      </c>
      <c r="L729" s="252">
        <f>_xlfn.XLOOKUP($K729,Inputs!$C$6:$C$23,Inputs!$D$6:$D$23)*$I729</f>
        <v>10.946428571428573</v>
      </c>
      <c r="M729" s="68"/>
      <c r="N729" s="68"/>
      <c r="O729" s="187"/>
      <c r="P729" s="187"/>
      <c r="Q729" s="94">
        <v>0.9</v>
      </c>
      <c r="R729" s="68">
        <f>IF((42.4*(J729)^(-0.6595))&gt;=3,3,(IF(42.4*(J729)^(-0.6595)&lt;=0.5,0.5,(42.4*(J729)^(-0.6595)))))</f>
        <v>3</v>
      </c>
      <c r="S729" s="276">
        <f>_xlfn.XLOOKUP($K729,Inputs!$G$6:$G$23,Inputs!J$6:J$23)*$R729</f>
        <v>153.60000000000002</v>
      </c>
      <c r="T729" s="276">
        <f>_xlfn.XLOOKUP($K729,Inputs!$G$6:$G$23,Inputs!K$6:K$23)*$R729</f>
        <v>169.96721311475409</v>
      </c>
      <c r="U729" s="96" t="s">
        <v>3531</v>
      </c>
      <c r="V729" s="22" t="s">
        <v>2841</v>
      </c>
      <c r="W729" s="96" t="s">
        <v>3689</v>
      </c>
      <c r="X729" s="22" t="s">
        <v>2959</v>
      </c>
      <c r="Y729" s="11" t="s">
        <v>3331</v>
      </c>
      <c r="Z729" s="79"/>
      <c r="AA729" s="187">
        <v>718</v>
      </c>
    </row>
    <row r="730" spans="2:27" s="184" customFormat="1" ht="20" x14ac:dyDescent="0.2">
      <c r="B730" s="11" t="s">
        <v>904</v>
      </c>
      <c r="C730" s="165" t="s">
        <v>4237</v>
      </c>
      <c r="D730" s="22" t="s">
        <v>2379</v>
      </c>
      <c r="E730" s="34">
        <v>1</v>
      </c>
      <c r="F730" s="22" t="s">
        <v>2223</v>
      </c>
      <c r="G730" s="88">
        <v>16.8</v>
      </c>
      <c r="H730" s="235">
        <f t="shared" si="99"/>
        <v>10.37037037037037</v>
      </c>
      <c r="I730" s="88">
        <v>16.8</v>
      </c>
      <c r="J730" s="235">
        <f t="shared" si="100"/>
        <v>10.37037037037037</v>
      </c>
      <c r="K730" s="201">
        <v>144</v>
      </c>
      <c r="L730" s="252">
        <f>_xlfn.XLOOKUP($K730,Inputs!$C$6:$C$23,Inputs!$D$6:$D$23)*$I730</f>
        <v>7.3560000000000008</v>
      </c>
      <c r="M730" s="68"/>
      <c r="N730" s="68"/>
      <c r="O730" s="187"/>
      <c r="P730" s="187"/>
      <c r="Q730" s="94">
        <v>0.9</v>
      </c>
      <c r="R730" s="68">
        <f>IF((42.4*(J730)^(-0.6595))&gt;=3,3,(IF(42.4*(J730)^(-0.6595)&lt;=0.5,0.5,(42.4*(J730)^(-0.6595)))))</f>
        <v>3</v>
      </c>
      <c r="S730" s="276">
        <f>_xlfn.XLOOKUP($K730,Inputs!$G$6:$G$23,Inputs!J$6:J$23)*$R730</f>
        <v>153.60000000000002</v>
      </c>
      <c r="T730" s="276">
        <f>_xlfn.XLOOKUP($K730,Inputs!$G$6:$G$23,Inputs!K$6:K$23)*$R730</f>
        <v>169.96721311475409</v>
      </c>
      <c r="U730" s="96" t="s">
        <v>905</v>
      </c>
      <c r="V730" s="22" t="s">
        <v>2729</v>
      </c>
      <c r="W730" s="96" t="s">
        <v>3916</v>
      </c>
      <c r="X730" s="22" t="s">
        <v>3177</v>
      </c>
      <c r="Y730" s="11" t="s">
        <v>3331</v>
      </c>
      <c r="Z730" s="79"/>
      <c r="AA730" s="187">
        <v>719</v>
      </c>
    </row>
    <row r="731" spans="2:27" s="188" customFormat="1" ht="20" x14ac:dyDescent="0.2">
      <c r="B731" s="11" t="s">
        <v>907</v>
      </c>
      <c r="C731" s="165" t="s">
        <v>4237</v>
      </c>
      <c r="D731" s="22" t="s">
        <v>2379</v>
      </c>
      <c r="E731" s="34">
        <v>1</v>
      </c>
      <c r="F731" s="22" t="s">
        <v>2223</v>
      </c>
      <c r="G731" s="235">
        <v>25</v>
      </c>
      <c r="H731" s="235">
        <f t="shared" si="99"/>
        <v>15.432098765432098</v>
      </c>
      <c r="I731" s="235">
        <v>25</v>
      </c>
      <c r="J731" s="235">
        <f t="shared" si="100"/>
        <v>15.432098765432098</v>
      </c>
      <c r="K731" s="201">
        <v>144</v>
      </c>
      <c r="L731" s="252">
        <f>_xlfn.XLOOKUP($K731,Inputs!$C$6:$C$23,Inputs!$D$6:$D$23)*$I731</f>
        <v>10.946428571428573</v>
      </c>
      <c r="M731" s="68"/>
      <c r="N731" s="68"/>
      <c r="O731" s="215">
        <v>146</v>
      </c>
      <c r="P731" s="215">
        <v>187</v>
      </c>
      <c r="Q731" s="94">
        <v>0.9</v>
      </c>
      <c r="R731" s="68" t="s">
        <v>115</v>
      </c>
      <c r="S731" s="182">
        <f>O731*Q731</f>
        <v>131.4</v>
      </c>
      <c r="T731" s="182">
        <f>P731*Q731</f>
        <v>168.3</v>
      </c>
      <c r="U731" s="96" t="s">
        <v>3562</v>
      </c>
      <c r="V731" s="22" t="s">
        <v>2861</v>
      </c>
      <c r="W731" s="96" t="s">
        <v>3389</v>
      </c>
      <c r="X731" s="22" t="s">
        <v>2752</v>
      </c>
      <c r="Y731" s="11" t="s">
        <v>3295</v>
      </c>
      <c r="Z731" s="79"/>
      <c r="AA731" s="187">
        <v>720</v>
      </c>
    </row>
    <row r="732" spans="2:27" s="188" customFormat="1" ht="20" x14ac:dyDescent="0.2">
      <c r="B732" s="11" t="s">
        <v>908</v>
      </c>
      <c r="C732" s="165" t="s">
        <v>4237</v>
      </c>
      <c r="D732" s="22" t="s">
        <v>2379</v>
      </c>
      <c r="E732" s="34">
        <v>1</v>
      </c>
      <c r="F732" s="22" t="s">
        <v>2223</v>
      </c>
      <c r="G732" s="88">
        <v>10</v>
      </c>
      <c r="H732" s="235">
        <f t="shared" si="99"/>
        <v>6.1728395061728394</v>
      </c>
      <c r="I732" s="88">
        <v>80</v>
      </c>
      <c r="J732" s="235">
        <f t="shared" si="100"/>
        <v>49.382716049382715</v>
      </c>
      <c r="K732" s="201">
        <v>144</v>
      </c>
      <c r="L732" s="252">
        <f>_xlfn.XLOOKUP($K732,Inputs!$C$6:$C$23,Inputs!$D$6:$D$23)*$I732</f>
        <v>35.028571428571432</v>
      </c>
      <c r="M732" s="68"/>
      <c r="N732" s="68"/>
      <c r="O732" s="215">
        <v>146</v>
      </c>
      <c r="P732" s="215">
        <v>187</v>
      </c>
      <c r="Q732" s="94">
        <v>0.9</v>
      </c>
      <c r="R732" s="68" t="s">
        <v>115</v>
      </c>
      <c r="S732" s="182">
        <f>O732*Q732</f>
        <v>131.4</v>
      </c>
      <c r="T732" s="182">
        <f>P732*Q732</f>
        <v>168.3</v>
      </c>
      <c r="U732" s="96" t="s">
        <v>3389</v>
      </c>
      <c r="V732" s="22" t="s">
        <v>2752</v>
      </c>
      <c r="W732" s="96" t="s">
        <v>3423</v>
      </c>
      <c r="X732" s="205" t="s">
        <v>2171</v>
      </c>
      <c r="Y732" s="11" t="s">
        <v>3295</v>
      </c>
      <c r="Z732" s="79"/>
      <c r="AA732" s="187">
        <v>721</v>
      </c>
    </row>
    <row r="733" spans="2:27" s="188" customFormat="1" ht="20" x14ac:dyDescent="0.2">
      <c r="B733" s="11" t="s">
        <v>908</v>
      </c>
      <c r="C733" s="165" t="s">
        <v>4237</v>
      </c>
      <c r="D733" s="22" t="s">
        <v>2379</v>
      </c>
      <c r="E733" s="34">
        <v>1</v>
      </c>
      <c r="F733" s="22" t="s">
        <v>2223</v>
      </c>
      <c r="G733" s="235">
        <v>70</v>
      </c>
      <c r="H733" s="235">
        <f t="shared" si="99"/>
        <v>43.209876543209873</v>
      </c>
      <c r="I733" s="235">
        <v>80</v>
      </c>
      <c r="J733" s="235">
        <f t="shared" si="100"/>
        <v>49.382716049382715</v>
      </c>
      <c r="K733" s="201">
        <v>144</v>
      </c>
      <c r="L733" s="252">
        <f>_xlfn.XLOOKUP($K733,Inputs!$C$6:$C$23,Inputs!$D$6:$D$23)*$I733</f>
        <v>35.028571428571432</v>
      </c>
      <c r="M733" s="68"/>
      <c r="N733" s="68"/>
      <c r="O733" s="215">
        <v>146</v>
      </c>
      <c r="P733" s="215">
        <v>187</v>
      </c>
      <c r="Q733" s="94">
        <v>0.9</v>
      </c>
      <c r="R733" s="68" t="s">
        <v>115</v>
      </c>
      <c r="S733" s="182">
        <f>O733*Q733</f>
        <v>131.4</v>
      </c>
      <c r="T733" s="182">
        <f>P733*Q733</f>
        <v>168.3</v>
      </c>
      <c r="U733" s="96" t="s">
        <v>3423</v>
      </c>
      <c r="V733" s="22" t="s">
        <v>2171</v>
      </c>
      <c r="W733" s="96" t="s">
        <v>3683</v>
      </c>
      <c r="X733" s="205" t="s">
        <v>2645</v>
      </c>
      <c r="Y733" s="11" t="s">
        <v>3295</v>
      </c>
      <c r="Z733" s="79"/>
      <c r="AA733" s="187">
        <v>722</v>
      </c>
    </row>
    <row r="734" spans="2:27" s="188" customFormat="1" ht="20" x14ac:dyDescent="0.2">
      <c r="B734" s="11" t="s">
        <v>2067</v>
      </c>
      <c r="C734" s="165" t="s">
        <v>4237</v>
      </c>
      <c r="D734" s="22" t="s">
        <v>2379</v>
      </c>
      <c r="E734" s="34">
        <v>1</v>
      </c>
      <c r="F734" s="22" t="s">
        <v>2223</v>
      </c>
      <c r="G734" s="88">
        <v>12</v>
      </c>
      <c r="H734" s="235">
        <f t="shared" si="99"/>
        <v>7.4074074074074066</v>
      </c>
      <c r="I734" s="88">
        <v>12</v>
      </c>
      <c r="J734" s="235">
        <f t="shared" si="100"/>
        <v>7.4074074074074066</v>
      </c>
      <c r="K734" s="201">
        <v>144</v>
      </c>
      <c r="L734" s="252">
        <f>_xlfn.XLOOKUP($K734,Inputs!$C$6:$C$23,Inputs!$D$6:$D$23)*$I734</f>
        <v>5.2542857142857144</v>
      </c>
      <c r="M734" s="68"/>
      <c r="N734" s="68"/>
      <c r="O734" s="187"/>
      <c r="P734" s="187"/>
      <c r="Q734" s="94">
        <v>0.9</v>
      </c>
      <c r="R734" s="68">
        <f>IF((42.4*(J734)^(-0.6595))&gt;=3,3,(IF(42.4*(J734)^(-0.6595)&lt;=0.5,0.5,(42.4*(J734)^(-0.6595)))))</f>
        <v>3</v>
      </c>
      <c r="S734" s="276">
        <f>_xlfn.XLOOKUP($K734,Inputs!$G$6:$G$23,Inputs!J$6:J$23)*$R734</f>
        <v>153.60000000000002</v>
      </c>
      <c r="T734" s="276">
        <f>_xlfn.XLOOKUP($K734,Inputs!$G$6:$G$23,Inputs!K$6:K$23)*$R734</f>
        <v>169.96721311475409</v>
      </c>
      <c r="U734" s="96" t="s">
        <v>3423</v>
      </c>
      <c r="V734" s="22" t="s">
        <v>2171</v>
      </c>
      <c r="W734" s="96" t="s">
        <v>3422</v>
      </c>
      <c r="X734" s="22" t="s">
        <v>2624</v>
      </c>
      <c r="Y734" s="11" t="s">
        <v>3331</v>
      </c>
      <c r="Z734" s="79"/>
      <c r="AA734" s="187">
        <v>723</v>
      </c>
    </row>
    <row r="735" spans="2:27" s="188" customFormat="1" ht="20" x14ac:dyDescent="0.2">
      <c r="B735" s="11" t="s">
        <v>909</v>
      </c>
      <c r="C735" s="165" t="s">
        <v>4237</v>
      </c>
      <c r="D735" s="22" t="s">
        <v>2379</v>
      </c>
      <c r="E735" s="34">
        <v>1</v>
      </c>
      <c r="F735" s="22" t="s">
        <v>2223</v>
      </c>
      <c r="G735" s="235">
        <v>100</v>
      </c>
      <c r="H735" s="235">
        <f t="shared" si="99"/>
        <v>61.728395061728392</v>
      </c>
      <c r="I735" s="235">
        <v>100</v>
      </c>
      <c r="J735" s="235">
        <f t="shared" si="100"/>
        <v>61.728395061728392</v>
      </c>
      <c r="K735" s="201">
        <v>144</v>
      </c>
      <c r="L735" s="252">
        <f>_xlfn.XLOOKUP($K735,Inputs!$C$6:$C$23,Inputs!$D$6:$D$23)*$I735</f>
        <v>43.785714285714292</v>
      </c>
      <c r="M735" s="68"/>
      <c r="N735" s="68"/>
      <c r="O735" s="215">
        <v>147</v>
      </c>
      <c r="P735" s="215">
        <v>187</v>
      </c>
      <c r="Q735" s="94">
        <v>0.9</v>
      </c>
      <c r="R735" s="68" t="s">
        <v>115</v>
      </c>
      <c r="S735" s="182">
        <f>O735*Q735</f>
        <v>132.30000000000001</v>
      </c>
      <c r="T735" s="182">
        <f>P735*Q735</f>
        <v>168.3</v>
      </c>
      <c r="U735" s="96" t="s">
        <v>3389</v>
      </c>
      <c r="V735" s="22" t="s">
        <v>2752</v>
      </c>
      <c r="W735" s="96" t="s">
        <v>3683</v>
      </c>
      <c r="X735" s="205" t="s">
        <v>2645</v>
      </c>
      <c r="Y735" s="11" t="s">
        <v>3295</v>
      </c>
      <c r="Z735" s="79"/>
      <c r="AA735" s="187">
        <v>724</v>
      </c>
    </row>
    <row r="736" spans="2:27" s="184" customFormat="1" ht="20" x14ac:dyDescent="0.2">
      <c r="B736" s="11" t="s">
        <v>910</v>
      </c>
      <c r="C736" s="165" t="s">
        <v>4237</v>
      </c>
      <c r="D736" s="22" t="s">
        <v>2379</v>
      </c>
      <c r="E736" s="34">
        <v>1</v>
      </c>
      <c r="F736" s="22" t="s">
        <v>2223</v>
      </c>
      <c r="G736" s="235">
        <v>30</v>
      </c>
      <c r="H736" s="235">
        <f t="shared" si="99"/>
        <v>18.518518518518519</v>
      </c>
      <c r="I736" s="235">
        <v>30</v>
      </c>
      <c r="J736" s="235">
        <f t="shared" si="100"/>
        <v>18.518518518518519</v>
      </c>
      <c r="K736" s="201">
        <v>144</v>
      </c>
      <c r="L736" s="252">
        <f>_xlfn.XLOOKUP($K736,Inputs!$C$6:$C$23,Inputs!$D$6:$D$23)*$I736</f>
        <v>13.135714285714286</v>
      </c>
      <c r="M736" s="68"/>
      <c r="N736" s="68"/>
      <c r="O736" s="209">
        <v>100</v>
      </c>
      <c r="P736" s="209">
        <v>100</v>
      </c>
      <c r="Q736" s="94">
        <v>0.9</v>
      </c>
      <c r="R736" s="68" t="s">
        <v>115</v>
      </c>
      <c r="S736" s="182">
        <f>O736*Q736</f>
        <v>90</v>
      </c>
      <c r="T736" s="182">
        <f>P736*Q736</f>
        <v>90</v>
      </c>
      <c r="U736" s="96" t="s">
        <v>3810</v>
      </c>
      <c r="V736" s="22" t="s">
        <v>2641</v>
      </c>
      <c r="W736" s="96" t="s">
        <v>3766</v>
      </c>
      <c r="X736" s="22" t="s">
        <v>3021</v>
      </c>
      <c r="Y736" s="11" t="s">
        <v>3305</v>
      </c>
      <c r="Z736" s="79"/>
      <c r="AA736" s="187">
        <v>725</v>
      </c>
    </row>
    <row r="737" spans="2:27" s="184" customFormat="1" ht="20" x14ac:dyDescent="0.2">
      <c r="B737" s="11" t="s">
        <v>911</v>
      </c>
      <c r="C737" s="165" t="s">
        <v>4237</v>
      </c>
      <c r="D737" s="22" t="s">
        <v>2379</v>
      </c>
      <c r="E737" s="34">
        <v>1</v>
      </c>
      <c r="F737" s="22" t="s">
        <v>2223</v>
      </c>
      <c r="G737" s="88">
        <v>18</v>
      </c>
      <c r="H737" s="235">
        <f t="shared" si="99"/>
        <v>11.111111111111111</v>
      </c>
      <c r="I737" s="88">
        <v>58</v>
      </c>
      <c r="J737" s="235">
        <f t="shared" si="100"/>
        <v>35.802469135802468</v>
      </c>
      <c r="K737" s="201">
        <v>144</v>
      </c>
      <c r="L737" s="252">
        <f>_xlfn.XLOOKUP($K737,Inputs!$C$6:$C$23,Inputs!$D$6:$D$23)*$I737</f>
        <v>25.395714285714288</v>
      </c>
      <c r="M737" s="68"/>
      <c r="N737" s="68"/>
      <c r="O737" s="215">
        <v>114</v>
      </c>
      <c r="P737" s="215">
        <v>145</v>
      </c>
      <c r="Q737" s="94">
        <v>0.9</v>
      </c>
      <c r="R737" s="68" t="s">
        <v>115</v>
      </c>
      <c r="S737" s="182">
        <f>O737*Q737</f>
        <v>102.60000000000001</v>
      </c>
      <c r="T737" s="182">
        <f>P737*Q737</f>
        <v>130.5</v>
      </c>
      <c r="U737" s="96" t="s">
        <v>3614</v>
      </c>
      <c r="V737" s="22" t="s">
        <v>2902</v>
      </c>
      <c r="W737" s="96" t="s">
        <v>4006</v>
      </c>
      <c r="X737" s="22" t="s">
        <v>2172</v>
      </c>
      <c r="Y737" s="11" t="s">
        <v>3272</v>
      </c>
      <c r="Z737" s="79"/>
      <c r="AA737" s="187">
        <v>726</v>
      </c>
    </row>
    <row r="738" spans="2:27" s="190" customFormat="1" ht="20" x14ac:dyDescent="0.2">
      <c r="B738" s="11" t="s">
        <v>911</v>
      </c>
      <c r="C738" s="165" t="s">
        <v>4237</v>
      </c>
      <c r="D738" s="22" t="s">
        <v>2379</v>
      </c>
      <c r="E738" s="34">
        <v>1</v>
      </c>
      <c r="F738" s="22" t="s">
        <v>2223</v>
      </c>
      <c r="G738" s="88">
        <v>40</v>
      </c>
      <c r="H738" s="235">
        <f t="shared" si="99"/>
        <v>24.691358024691358</v>
      </c>
      <c r="I738" s="88">
        <v>58</v>
      </c>
      <c r="J738" s="235">
        <f t="shared" si="100"/>
        <v>35.802469135802468</v>
      </c>
      <c r="K738" s="201">
        <v>144</v>
      </c>
      <c r="L738" s="252">
        <f>_xlfn.XLOOKUP($K738,Inputs!$C$6:$C$23,Inputs!$D$6:$D$23)*$I738</f>
        <v>25.395714285714288</v>
      </c>
      <c r="M738" s="68"/>
      <c r="N738" s="68"/>
      <c r="O738" s="215">
        <v>114</v>
      </c>
      <c r="P738" s="215">
        <v>145</v>
      </c>
      <c r="Q738" s="94">
        <v>0.9</v>
      </c>
      <c r="R738" s="68" t="s">
        <v>115</v>
      </c>
      <c r="S738" s="182">
        <f>O738*Q738</f>
        <v>102.60000000000001</v>
      </c>
      <c r="T738" s="182">
        <f>P738*Q738</f>
        <v>130.5</v>
      </c>
      <c r="U738" s="96" t="s">
        <v>4006</v>
      </c>
      <c r="V738" s="22" t="s">
        <v>2172</v>
      </c>
      <c r="W738" s="96" t="s">
        <v>3891</v>
      </c>
      <c r="X738" s="22" t="s">
        <v>3153</v>
      </c>
      <c r="Y738" s="11" t="s">
        <v>3272</v>
      </c>
      <c r="Z738" s="79"/>
      <c r="AA738" s="187">
        <v>727</v>
      </c>
    </row>
    <row r="739" spans="2:27" s="190" customFormat="1" ht="20" x14ac:dyDescent="0.2">
      <c r="B739" s="11" t="s">
        <v>1177</v>
      </c>
      <c r="C739" s="165" t="s">
        <v>4237</v>
      </c>
      <c r="D739" s="22" t="s">
        <v>2379</v>
      </c>
      <c r="E739" s="34">
        <v>1</v>
      </c>
      <c r="F739" s="22" t="s">
        <v>2223</v>
      </c>
      <c r="G739" s="88">
        <v>10</v>
      </c>
      <c r="H739" s="235">
        <f t="shared" si="99"/>
        <v>6.1728395061728394</v>
      </c>
      <c r="I739" s="88">
        <v>10</v>
      </c>
      <c r="J739" s="235">
        <f t="shared" si="100"/>
        <v>6.1728395061728394</v>
      </c>
      <c r="K739" s="201">
        <v>144</v>
      </c>
      <c r="L739" s="252">
        <f>_xlfn.XLOOKUP($K739,Inputs!$C$6:$C$23,Inputs!$D$6:$D$23)*$I739</f>
        <v>4.378571428571429</v>
      </c>
      <c r="M739" s="68"/>
      <c r="N739" s="68"/>
      <c r="O739" s="187"/>
      <c r="P739" s="187"/>
      <c r="Q739" s="94">
        <v>0.9</v>
      </c>
      <c r="R739" s="68">
        <f>IF((42.4*(J739)^(-0.6595))&gt;=3,3,(IF(42.4*(J739)^(-0.6595)&lt;=0.5,0.5,(42.4*(J739)^(-0.6595)))))</f>
        <v>3</v>
      </c>
      <c r="S739" s="276">
        <f>_xlfn.XLOOKUP($K739,Inputs!$G$6:$G$23,Inputs!J$6:J$23)*$R739</f>
        <v>153.60000000000002</v>
      </c>
      <c r="T739" s="276">
        <f>_xlfn.XLOOKUP($K739,Inputs!$G$6:$G$23,Inputs!K$6:K$23)*$R739</f>
        <v>169.96721311475409</v>
      </c>
      <c r="U739" s="96" t="s">
        <v>4006</v>
      </c>
      <c r="V739" s="22" t="s">
        <v>2172</v>
      </c>
      <c r="W739" s="96" t="s">
        <v>3883</v>
      </c>
      <c r="X739" s="22" t="s">
        <v>3148</v>
      </c>
      <c r="Y739" s="11" t="s">
        <v>3331</v>
      </c>
      <c r="Z739" s="79"/>
      <c r="AA739" s="187">
        <v>728</v>
      </c>
    </row>
    <row r="740" spans="2:27" s="190" customFormat="1" ht="20" x14ac:dyDescent="0.2">
      <c r="B740" s="11" t="s">
        <v>913</v>
      </c>
      <c r="C740" s="165" t="s">
        <v>4237</v>
      </c>
      <c r="D740" s="22" t="s">
        <v>2379</v>
      </c>
      <c r="E740" s="34">
        <v>1</v>
      </c>
      <c r="F740" s="22" t="s">
        <v>2223</v>
      </c>
      <c r="G740" s="88">
        <v>12</v>
      </c>
      <c r="H740" s="235">
        <f t="shared" si="99"/>
        <v>7.4074074074074066</v>
      </c>
      <c r="I740" s="88">
        <v>12</v>
      </c>
      <c r="J740" s="235">
        <f t="shared" si="100"/>
        <v>7.4074074074074066</v>
      </c>
      <c r="K740" s="201">
        <v>144</v>
      </c>
      <c r="L740" s="252">
        <f>_xlfn.XLOOKUP($K740,Inputs!$C$6:$C$23,Inputs!$D$6:$D$23)*$I740</f>
        <v>5.2542857142857144</v>
      </c>
      <c r="M740" s="68"/>
      <c r="N740" s="68"/>
      <c r="O740" s="187"/>
      <c r="P740" s="187"/>
      <c r="Q740" s="94">
        <v>0.9</v>
      </c>
      <c r="R740" s="68">
        <f>IF((42.4*(J740)^(-0.6595))&gt;=3,3,(IF(42.4*(J740)^(-0.6595)&lt;=0.5,0.5,(42.4*(J740)^(-0.6595)))))</f>
        <v>3</v>
      </c>
      <c r="S740" s="276">
        <f>_xlfn.XLOOKUP($K740,Inputs!$G$6:$G$23,Inputs!J$6:J$23)*$R740</f>
        <v>153.60000000000002</v>
      </c>
      <c r="T740" s="276">
        <f>_xlfn.XLOOKUP($K740,Inputs!$G$6:$G$23,Inputs!K$6:K$23)*$R740</f>
        <v>169.96721311475409</v>
      </c>
      <c r="U740" s="96" t="s">
        <v>3723</v>
      </c>
      <c r="V740" s="22" t="s">
        <v>2986</v>
      </c>
      <c r="W740" s="96" t="s">
        <v>3762</v>
      </c>
      <c r="X740" s="22" t="s">
        <v>2640</v>
      </c>
      <c r="Y740" s="11" t="s">
        <v>3331</v>
      </c>
      <c r="Z740" s="79"/>
      <c r="AA740" s="187">
        <v>729</v>
      </c>
    </row>
    <row r="741" spans="2:27" s="190" customFormat="1" ht="20" x14ac:dyDescent="0.2">
      <c r="B741" s="11" t="s">
        <v>1454</v>
      </c>
      <c r="C741" s="165" t="s">
        <v>4237</v>
      </c>
      <c r="D741" s="22" t="s">
        <v>2379</v>
      </c>
      <c r="E741" s="34">
        <v>1</v>
      </c>
      <c r="F741" s="22" t="s">
        <v>2223</v>
      </c>
      <c r="G741" s="235">
        <v>42</v>
      </c>
      <c r="H741" s="235">
        <f t="shared" si="99"/>
        <v>25.925925925925924</v>
      </c>
      <c r="I741" s="235">
        <v>54</v>
      </c>
      <c r="J741" s="235">
        <f t="shared" si="100"/>
        <v>33.333333333333329</v>
      </c>
      <c r="K741" s="201">
        <v>144</v>
      </c>
      <c r="L741" s="252">
        <f>_xlfn.XLOOKUP($K741,Inputs!$C$6:$C$23,Inputs!$D$6:$D$23)*$I741</f>
        <v>23.644285714285715</v>
      </c>
      <c r="M741" s="68"/>
      <c r="N741" s="68"/>
      <c r="O741" s="215">
        <v>109</v>
      </c>
      <c r="P741" s="215">
        <v>139</v>
      </c>
      <c r="Q741" s="94">
        <v>0.9</v>
      </c>
      <c r="R741" s="68" t="s">
        <v>115</v>
      </c>
      <c r="S741" s="182">
        <f t="shared" ref="S741:S746" si="103">O741*Q741</f>
        <v>98.100000000000009</v>
      </c>
      <c r="T741" s="182">
        <f t="shared" ref="T741:T746" si="104">P741*Q741</f>
        <v>125.10000000000001</v>
      </c>
      <c r="U741" s="96" t="s">
        <v>3373</v>
      </c>
      <c r="V741" s="22" t="s">
        <v>2656</v>
      </c>
      <c r="W741" s="96" t="s">
        <v>3958</v>
      </c>
      <c r="X741" s="22" t="s">
        <v>2108</v>
      </c>
      <c r="Y741" s="11" t="s">
        <v>3309</v>
      </c>
      <c r="Z741" s="79"/>
      <c r="AA741" s="187">
        <v>730</v>
      </c>
    </row>
    <row r="742" spans="2:27" s="184" customFormat="1" ht="20" x14ac:dyDescent="0.2">
      <c r="B742" s="11" t="s">
        <v>1454</v>
      </c>
      <c r="C742" s="165" t="s">
        <v>4237</v>
      </c>
      <c r="D742" s="22" t="s">
        <v>2379</v>
      </c>
      <c r="E742" s="34">
        <v>1</v>
      </c>
      <c r="F742" s="22" t="s">
        <v>2223</v>
      </c>
      <c r="G742" s="88">
        <v>12</v>
      </c>
      <c r="H742" s="235">
        <f t="shared" si="99"/>
        <v>7.4074074074074066</v>
      </c>
      <c r="I742" s="88">
        <v>54</v>
      </c>
      <c r="J742" s="235">
        <f t="shared" si="100"/>
        <v>33.333333333333329</v>
      </c>
      <c r="K742" s="201">
        <v>144</v>
      </c>
      <c r="L742" s="252">
        <f>_xlfn.XLOOKUP($K742,Inputs!$C$6:$C$23,Inputs!$D$6:$D$23)*$I742</f>
        <v>23.644285714285715</v>
      </c>
      <c r="M742" s="68"/>
      <c r="N742" s="68"/>
      <c r="O742" s="215">
        <v>109</v>
      </c>
      <c r="P742" s="215">
        <v>139</v>
      </c>
      <c r="Q742" s="94">
        <v>0.9</v>
      </c>
      <c r="R742" s="68" t="s">
        <v>115</v>
      </c>
      <c r="S742" s="182">
        <f t="shared" si="103"/>
        <v>98.100000000000009</v>
      </c>
      <c r="T742" s="182">
        <f t="shared" si="104"/>
        <v>125.10000000000001</v>
      </c>
      <c r="U742" s="96" t="s">
        <v>3958</v>
      </c>
      <c r="V742" s="22" t="s">
        <v>2108</v>
      </c>
      <c r="W742" s="96" t="s">
        <v>3434</v>
      </c>
      <c r="X742" s="22" t="s">
        <v>2780</v>
      </c>
      <c r="Y742" s="11" t="s">
        <v>3309</v>
      </c>
      <c r="Z742" s="79"/>
      <c r="AA742" s="187">
        <v>731</v>
      </c>
    </row>
    <row r="743" spans="2:27" s="190" customFormat="1" ht="20" x14ac:dyDescent="0.2">
      <c r="B743" s="11" t="s">
        <v>2028</v>
      </c>
      <c r="C743" s="165" t="s">
        <v>4237</v>
      </c>
      <c r="D743" s="22" t="s">
        <v>2379</v>
      </c>
      <c r="E743" s="34">
        <v>1</v>
      </c>
      <c r="F743" s="22" t="s">
        <v>2223</v>
      </c>
      <c r="G743" s="235">
        <v>15</v>
      </c>
      <c r="H743" s="235">
        <f t="shared" si="99"/>
        <v>9.2592592592592595</v>
      </c>
      <c r="I743" s="235">
        <v>70</v>
      </c>
      <c r="J743" s="235">
        <f t="shared" si="100"/>
        <v>43.209876543209873</v>
      </c>
      <c r="K743" s="201">
        <v>144</v>
      </c>
      <c r="L743" s="252">
        <f>_xlfn.XLOOKUP($K743,Inputs!$C$6:$C$23,Inputs!$D$6:$D$23)*$I743</f>
        <v>30.650000000000002</v>
      </c>
      <c r="M743" s="68"/>
      <c r="N743" s="68"/>
      <c r="O743" s="215">
        <v>99</v>
      </c>
      <c r="P743" s="215">
        <v>99</v>
      </c>
      <c r="Q743" s="94">
        <v>0.9</v>
      </c>
      <c r="R743" s="68" t="s">
        <v>115</v>
      </c>
      <c r="S743" s="182">
        <f t="shared" si="103"/>
        <v>89.100000000000009</v>
      </c>
      <c r="T743" s="182">
        <f t="shared" si="104"/>
        <v>89.100000000000009</v>
      </c>
      <c r="U743" s="96" t="s">
        <v>3625</v>
      </c>
      <c r="V743" s="22" t="s">
        <v>2910</v>
      </c>
      <c r="W743" s="96" t="s">
        <v>3431</v>
      </c>
      <c r="X743" s="22" t="s">
        <v>2779</v>
      </c>
      <c r="Y743" s="11" t="s">
        <v>3273</v>
      </c>
      <c r="Z743" s="79"/>
      <c r="AA743" s="187">
        <v>732</v>
      </c>
    </row>
    <row r="744" spans="2:27" s="190" customFormat="1" ht="20" x14ac:dyDescent="0.2">
      <c r="B744" s="11" t="s">
        <v>2028</v>
      </c>
      <c r="C744" s="165" t="s">
        <v>4237</v>
      </c>
      <c r="D744" s="22" t="s">
        <v>2379</v>
      </c>
      <c r="E744" s="34">
        <v>1</v>
      </c>
      <c r="F744" s="22" t="s">
        <v>2223</v>
      </c>
      <c r="G744" s="235">
        <v>55</v>
      </c>
      <c r="H744" s="235">
        <f t="shared" si="99"/>
        <v>33.950617283950614</v>
      </c>
      <c r="I744" s="235">
        <v>70</v>
      </c>
      <c r="J744" s="235">
        <f t="shared" si="100"/>
        <v>43.209876543209873</v>
      </c>
      <c r="K744" s="201">
        <v>144</v>
      </c>
      <c r="L744" s="252">
        <f>_xlfn.XLOOKUP($K744,Inputs!$C$6:$C$23,Inputs!$D$6:$D$23)*$I744</f>
        <v>30.650000000000002</v>
      </c>
      <c r="M744" s="68"/>
      <c r="N744" s="68"/>
      <c r="O744" s="215">
        <v>99</v>
      </c>
      <c r="P744" s="215">
        <v>99</v>
      </c>
      <c r="Q744" s="94">
        <v>0.9</v>
      </c>
      <c r="R744" s="68" t="s">
        <v>115</v>
      </c>
      <c r="S744" s="182">
        <f t="shared" si="103"/>
        <v>89.100000000000009</v>
      </c>
      <c r="T744" s="182">
        <f t="shared" si="104"/>
        <v>89.100000000000009</v>
      </c>
      <c r="U744" s="96" t="s">
        <v>3431</v>
      </c>
      <c r="V744" s="22" t="s">
        <v>2779</v>
      </c>
      <c r="W744" s="96" t="s">
        <v>3925</v>
      </c>
      <c r="X744" s="22" t="s">
        <v>3184</v>
      </c>
      <c r="Y744" s="11" t="s">
        <v>3273</v>
      </c>
      <c r="Z744" s="79"/>
      <c r="AA744" s="187">
        <v>733</v>
      </c>
    </row>
    <row r="745" spans="2:27" s="184" customFormat="1" ht="20" x14ac:dyDescent="0.2">
      <c r="B745" s="11" t="s">
        <v>1428</v>
      </c>
      <c r="C745" s="165" t="s">
        <v>4237</v>
      </c>
      <c r="D745" s="22" t="s">
        <v>2379</v>
      </c>
      <c r="E745" s="34">
        <v>1</v>
      </c>
      <c r="F745" s="22" t="s">
        <v>2223</v>
      </c>
      <c r="G745" s="235">
        <v>50</v>
      </c>
      <c r="H745" s="235">
        <f t="shared" si="99"/>
        <v>30.864197530864196</v>
      </c>
      <c r="I745" s="235">
        <v>74</v>
      </c>
      <c r="J745" s="235">
        <f t="shared" si="100"/>
        <v>45.679012345679013</v>
      </c>
      <c r="K745" s="215">
        <v>138</v>
      </c>
      <c r="L745" s="252">
        <f>_xlfn.XLOOKUP($K745,Inputs!$C$6:$C$23,Inputs!$D$6:$D$23)*$I745</f>
        <v>32.08428571428572</v>
      </c>
      <c r="M745" s="68"/>
      <c r="N745" s="68"/>
      <c r="O745" s="215">
        <v>123.6</v>
      </c>
      <c r="P745" s="215">
        <v>150.4</v>
      </c>
      <c r="Q745" s="94">
        <v>0.9</v>
      </c>
      <c r="R745" s="68" t="s">
        <v>115</v>
      </c>
      <c r="S745" s="182">
        <f t="shared" si="103"/>
        <v>111.24</v>
      </c>
      <c r="T745" s="182">
        <f t="shared" si="104"/>
        <v>135.36000000000001</v>
      </c>
      <c r="U745" s="96" t="s">
        <v>3412</v>
      </c>
      <c r="V745" s="205" t="s">
        <v>2765</v>
      </c>
      <c r="W745" s="96" t="s">
        <v>3965</v>
      </c>
      <c r="X745" s="22" t="s">
        <v>2173</v>
      </c>
      <c r="Y745" s="11" t="s">
        <v>3299</v>
      </c>
      <c r="Z745" s="79"/>
      <c r="AA745" s="187">
        <v>734</v>
      </c>
    </row>
    <row r="746" spans="2:27" s="190" customFormat="1" ht="20" x14ac:dyDescent="0.2">
      <c r="B746" s="11" t="s">
        <v>1428</v>
      </c>
      <c r="C746" s="165" t="s">
        <v>4237</v>
      </c>
      <c r="D746" s="22" t="s">
        <v>2379</v>
      </c>
      <c r="E746" s="34">
        <v>1</v>
      </c>
      <c r="F746" s="22" t="s">
        <v>2223</v>
      </c>
      <c r="G746" s="88">
        <v>24</v>
      </c>
      <c r="H746" s="235">
        <f t="shared" si="99"/>
        <v>14.814814814814813</v>
      </c>
      <c r="I746" s="88">
        <v>74</v>
      </c>
      <c r="J746" s="235">
        <f t="shared" si="100"/>
        <v>45.679012345679013</v>
      </c>
      <c r="K746" s="215">
        <v>138</v>
      </c>
      <c r="L746" s="252">
        <f>_xlfn.XLOOKUP($K746,Inputs!$C$6:$C$23,Inputs!$D$6:$D$23)*$I746</f>
        <v>32.08428571428572</v>
      </c>
      <c r="M746" s="68"/>
      <c r="N746" s="68"/>
      <c r="O746" s="215">
        <v>123.6</v>
      </c>
      <c r="P746" s="215">
        <v>150.4</v>
      </c>
      <c r="Q746" s="94">
        <v>0.9</v>
      </c>
      <c r="R746" s="68" t="s">
        <v>115</v>
      </c>
      <c r="S746" s="182">
        <f t="shared" si="103"/>
        <v>111.24</v>
      </c>
      <c r="T746" s="182">
        <f t="shared" si="104"/>
        <v>135.36000000000001</v>
      </c>
      <c r="U746" s="96" t="s">
        <v>3965</v>
      </c>
      <c r="V746" s="22" t="s">
        <v>2173</v>
      </c>
      <c r="W746" s="96" t="s">
        <v>3635</v>
      </c>
      <c r="X746" s="22" t="s">
        <v>2916</v>
      </c>
      <c r="Y746" s="11" t="s">
        <v>3299</v>
      </c>
      <c r="Z746" s="79"/>
      <c r="AA746" s="187">
        <v>735</v>
      </c>
    </row>
    <row r="747" spans="2:27" s="190" customFormat="1" ht="20" x14ac:dyDescent="0.2">
      <c r="B747" s="11" t="s">
        <v>1429</v>
      </c>
      <c r="C747" s="165" t="s">
        <v>4237</v>
      </c>
      <c r="D747" s="22" t="s">
        <v>2379</v>
      </c>
      <c r="E747" s="34">
        <v>1</v>
      </c>
      <c r="F747" s="22" t="s">
        <v>2223</v>
      </c>
      <c r="G747" s="88">
        <v>18</v>
      </c>
      <c r="H747" s="235">
        <f t="shared" si="99"/>
        <v>11.111111111111111</v>
      </c>
      <c r="I747" s="88">
        <v>18</v>
      </c>
      <c r="J747" s="235">
        <f t="shared" si="100"/>
        <v>11.111111111111111</v>
      </c>
      <c r="K747" s="201">
        <v>144</v>
      </c>
      <c r="L747" s="252">
        <f>_xlfn.XLOOKUP($K747,Inputs!$C$6:$C$23,Inputs!$D$6:$D$23)*$I747</f>
        <v>7.8814285714285717</v>
      </c>
      <c r="M747" s="68"/>
      <c r="N747" s="68"/>
      <c r="O747" s="187"/>
      <c r="P747" s="187"/>
      <c r="Q747" s="94">
        <v>0.9</v>
      </c>
      <c r="R747" s="68">
        <f>IF((42.4*(J747)^(-0.6595))&gt;=3,3,(IF(42.4*(J747)^(-0.6595)&lt;=0.5,0.5,(42.4*(J747)^(-0.6595)))))</f>
        <v>3</v>
      </c>
      <c r="S747" s="276">
        <f>_xlfn.XLOOKUP($K747,Inputs!$G$6:$G$23,Inputs!J$6:J$23)*$R747</f>
        <v>153.60000000000002</v>
      </c>
      <c r="T747" s="276">
        <f>_xlfn.XLOOKUP($K747,Inputs!$G$6:$G$23,Inputs!K$6:K$23)*$R747</f>
        <v>169.96721311475409</v>
      </c>
      <c r="U747" s="96" t="s">
        <v>3965</v>
      </c>
      <c r="V747" s="22" t="s">
        <v>2173</v>
      </c>
      <c r="W747" s="96" t="s">
        <v>3682</v>
      </c>
      <c r="X747" s="22" t="s">
        <v>2692</v>
      </c>
      <c r="Y747" s="11" t="s">
        <v>3331</v>
      </c>
      <c r="Z747" s="79"/>
      <c r="AA747" s="187">
        <v>736</v>
      </c>
    </row>
    <row r="748" spans="2:27" ht="20" x14ac:dyDescent="0.2">
      <c r="B748" s="11" t="s">
        <v>915</v>
      </c>
      <c r="C748" s="165" t="s">
        <v>4237</v>
      </c>
      <c r="D748" s="22" t="s">
        <v>2379</v>
      </c>
      <c r="E748" s="34">
        <v>1</v>
      </c>
      <c r="F748" s="22" t="s">
        <v>2223</v>
      </c>
      <c r="G748" s="235">
        <v>55</v>
      </c>
      <c r="H748" s="235">
        <f t="shared" si="99"/>
        <v>33.950617283950614</v>
      </c>
      <c r="I748" s="235">
        <v>55</v>
      </c>
      <c r="J748" s="235">
        <f t="shared" si="100"/>
        <v>33.950617283950614</v>
      </c>
      <c r="K748" s="201">
        <v>144</v>
      </c>
      <c r="L748" s="252">
        <f>_xlfn.XLOOKUP($K748,Inputs!$C$6:$C$23,Inputs!$D$6:$D$23)*$I748</f>
        <v>24.082142857142859</v>
      </c>
      <c r="M748" s="68"/>
      <c r="N748" s="68"/>
      <c r="O748" s="187"/>
      <c r="P748" s="187"/>
      <c r="Q748" s="94">
        <v>0.9</v>
      </c>
      <c r="R748" s="68">
        <f>IF((42.4*(J748)^(-0.6595))&gt;=3,3,(IF(42.4*(J748)^(-0.6595)&lt;=0.5,0.5,(42.4*(J748)^(-0.6595)))))</f>
        <v>3</v>
      </c>
      <c r="S748" s="276">
        <f>_xlfn.XLOOKUP($K748,Inputs!$G$6:$G$23,Inputs!J$6:J$23)*$R748</f>
        <v>153.60000000000002</v>
      </c>
      <c r="T748" s="276">
        <f>_xlfn.XLOOKUP($K748,Inputs!$G$6:$G$23,Inputs!K$6:K$23)*$R748</f>
        <v>169.96721311475409</v>
      </c>
      <c r="U748" s="96" t="s">
        <v>3891</v>
      </c>
      <c r="V748" s="22" t="s">
        <v>3153</v>
      </c>
      <c r="W748" s="96" t="s">
        <v>3683</v>
      </c>
      <c r="X748" s="22" t="s">
        <v>2645</v>
      </c>
      <c r="Y748" s="11" t="s">
        <v>3331</v>
      </c>
      <c r="Z748" s="79"/>
      <c r="AA748" s="187">
        <v>737</v>
      </c>
    </row>
    <row r="749" spans="2:27" s="184" customFormat="1" ht="20" x14ac:dyDescent="0.2">
      <c r="B749" s="11" t="s">
        <v>1187</v>
      </c>
      <c r="C749" s="165" t="s">
        <v>4237</v>
      </c>
      <c r="D749" s="22" t="s">
        <v>2379</v>
      </c>
      <c r="E749" s="34">
        <v>1</v>
      </c>
      <c r="F749" s="22" t="s">
        <v>2223</v>
      </c>
      <c r="G749" s="88">
        <v>35</v>
      </c>
      <c r="H749" s="235">
        <f t="shared" si="99"/>
        <v>21.604938271604937</v>
      </c>
      <c r="I749" s="88">
        <v>35</v>
      </c>
      <c r="J749" s="235">
        <f t="shared" si="100"/>
        <v>21.604938271604937</v>
      </c>
      <c r="K749" s="201">
        <v>144</v>
      </c>
      <c r="L749" s="252">
        <f>_xlfn.XLOOKUP($K749,Inputs!$C$6:$C$23,Inputs!$D$6:$D$23)*$I749</f>
        <v>15.325000000000001</v>
      </c>
      <c r="M749" s="68"/>
      <c r="N749" s="68"/>
      <c r="O749" s="215">
        <v>99</v>
      </c>
      <c r="P749" s="215">
        <v>99</v>
      </c>
      <c r="Q749" s="94">
        <v>0.9</v>
      </c>
      <c r="R749" s="68" t="s">
        <v>115</v>
      </c>
      <c r="S749" s="182">
        <f>O749*Q749</f>
        <v>89.100000000000009</v>
      </c>
      <c r="T749" s="182">
        <f>P749*Q749</f>
        <v>89.100000000000009</v>
      </c>
      <c r="U749" s="96" t="s">
        <v>3689</v>
      </c>
      <c r="V749" s="22" t="s">
        <v>2959</v>
      </c>
      <c r="W749" s="96" t="s">
        <v>3817</v>
      </c>
      <c r="X749" s="22" t="s">
        <v>3063</v>
      </c>
      <c r="Y749" s="11" t="s">
        <v>3272</v>
      </c>
      <c r="Z749" s="79"/>
      <c r="AA749" s="187">
        <v>738</v>
      </c>
    </row>
    <row r="750" spans="2:27" s="184" customFormat="1" ht="20" x14ac:dyDescent="0.2">
      <c r="B750" s="11" t="s">
        <v>2029</v>
      </c>
      <c r="C750" s="165" t="s">
        <v>4237</v>
      </c>
      <c r="D750" s="22" t="s">
        <v>2379</v>
      </c>
      <c r="E750" s="34">
        <v>1</v>
      </c>
      <c r="F750" s="22" t="s">
        <v>2223</v>
      </c>
      <c r="G750" s="235">
        <v>35</v>
      </c>
      <c r="H750" s="235">
        <f t="shared" si="99"/>
        <v>21.604938271604937</v>
      </c>
      <c r="I750" s="235">
        <v>85</v>
      </c>
      <c r="J750" s="235">
        <f t="shared" si="100"/>
        <v>52.469135802469133</v>
      </c>
      <c r="K750" s="201">
        <v>144</v>
      </c>
      <c r="L750" s="252">
        <f>_xlfn.XLOOKUP($K750,Inputs!$C$6:$C$23,Inputs!$D$6:$D$23)*$I750</f>
        <v>37.217857142857149</v>
      </c>
      <c r="M750" s="68"/>
      <c r="N750" s="68"/>
      <c r="O750" s="187"/>
      <c r="P750" s="187"/>
      <c r="Q750" s="94">
        <v>0.9</v>
      </c>
      <c r="R750" s="68">
        <f>IF((42.4*(J750)^(-0.6595))&gt;=3,3,(IF(42.4*(J750)^(-0.6595)&lt;=0.5,0.5,(42.4*(J750)^(-0.6595)))))</f>
        <v>3</v>
      </c>
      <c r="S750" s="276">
        <f>_xlfn.XLOOKUP($K750,Inputs!$G$6:$G$23,Inputs!J$6:J$23)*$R750</f>
        <v>153.60000000000002</v>
      </c>
      <c r="T750" s="276">
        <f>_xlfn.XLOOKUP($K750,Inputs!$G$6:$G$23,Inputs!K$6:K$23)*$R750</f>
        <v>169.96721311475409</v>
      </c>
      <c r="U750" s="96" t="s">
        <v>3683</v>
      </c>
      <c r="V750" s="22" t="s">
        <v>2645</v>
      </c>
      <c r="W750" s="96" t="s">
        <v>3585</v>
      </c>
      <c r="X750" s="22" t="s">
        <v>2876</v>
      </c>
      <c r="Y750" s="11" t="s">
        <v>3331</v>
      </c>
      <c r="Z750" s="79"/>
      <c r="AA750" s="187">
        <v>739</v>
      </c>
    </row>
    <row r="751" spans="2:27" s="184" customFormat="1" ht="20" x14ac:dyDescent="0.2">
      <c r="B751" s="11" t="s">
        <v>2029</v>
      </c>
      <c r="C751" s="165" t="s">
        <v>4237</v>
      </c>
      <c r="D751" s="22" t="s">
        <v>2379</v>
      </c>
      <c r="E751" s="34">
        <v>1</v>
      </c>
      <c r="F751" s="22" t="s">
        <v>2223</v>
      </c>
      <c r="G751" s="235">
        <v>20</v>
      </c>
      <c r="H751" s="235">
        <f t="shared" si="99"/>
        <v>12.345679012345679</v>
      </c>
      <c r="I751" s="235">
        <v>85</v>
      </c>
      <c r="J751" s="235">
        <f t="shared" si="100"/>
        <v>52.469135802469133</v>
      </c>
      <c r="K751" s="201">
        <v>144</v>
      </c>
      <c r="L751" s="252">
        <f>_xlfn.XLOOKUP($K751,Inputs!$C$6:$C$23,Inputs!$D$6:$D$23)*$I751</f>
        <v>37.217857142857149</v>
      </c>
      <c r="M751" s="68"/>
      <c r="N751" s="68"/>
      <c r="O751" s="187"/>
      <c r="P751" s="187"/>
      <c r="Q751" s="94">
        <v>0.9</v>
      </c>
      <c r="R751" s="68">
        <f>IF((42.4*(J751)^(-0.6595))&gt;=3,3,(IF(42.4*(J751)^(-0.6595)&lt;=0.5,0.5,(42.4*(J751)^(-0.6595)))))</f>
        <v>3</v>
      </c>
      <c r="S751" s="276">
        <f>_xlfn.XLOOKUP($K751,Inputs!$G$6:$G$23,Inputs!J$6:J$23)*$R751</f>
        <v>153.60000000000002</v>
      </c>
      <c r="T751" s="276">
        <f>_xlfn.XLOOKUP($K751,Inputs!$G$6:$G$23,Inputs!K$6:K$23)*$R751</f>
        <v>169.96721311475409</v>
      </c>
      <c r="U751" s="96" t="s">
        <v>3585</v>
      </c>
      <c r="V751" s="22" t="s">
        <v>2876</v>
      </c>
      <c r="W751" s="96" t="s">
        <v>3898</v>
      </c>
      <c r="X751" s="22" t="s">
        <v>3159</v>
      </c>
      <c r="Y751" s="11" t="s">
        <v>3331</v>
      </c>
      <c r="Z751" s="79"/>
      <c r="AA751" s="187">
        <v>740</v>
      </c>
    </row>
    <row r="752" spans="2:27" s="184" customFormat="1" ht="20" x14ac:dyDescent="0.2">
      <c r="B752" s="11" t="s">
        <v>2029</v>
      </c>
      <c r="C752" s="165" t="s">
        <v>4237</v>
      </c>
      <c r="D752" s="22" t="s">
        <v>2379</v>
      </c>
      <c r="E752" s="34">
        <v>1</v>
      </c>
      <c r="F752" s="22" t="s">
        <v>2223</v>
      </c>
      <c r="G752" s="88">
        <v>30</v>
      </c>
      <c r="H752" s="235">
        <f t="shared" si="99"/>
        <v>18.518518518518519</v>
      </c>
      <c r="I752" s="88">
        <v>85</v>
      </c>
      <c r="J752" s="235">
        <f t="shared" si="100"/>
        <v>52.469135802469133</v>
      </c>
      <c r="K752" s="201">
        <v>144</v>
      </c>
      <c r="L752" s="252">
        <f>_xlfn.XLOOKUP($K752,Inputs!$C$6:$C$23,Inputs!$D$6:$D$23)*$I752</f>
        <v>37.217857142857149</v>
      </c>
      <c r="M752" s="68"/>
      <c r="N752" s="68"/>
      <c r="O752" s="187"/>
      <c r="P752" s="187"/>
      <c r="Q752" s="94">
        <v>0.9</v>
      </c>
      <c r="R752" s="68">
        <f>IF((42.4*(J752)^(-0.6595))&gt;=3,3,(IF(42.4*(J752)^(-0.6595)&lt;=0.5,0.5,(42.4*(J752)^(-0.6595)))))</f>
        <v>3</v>
      </c>
      <c r="S752" s="276">
        <f>_xlfn.XLOOKUP($K752,Inputs!$G$6:$G$23,Inputs!J$6:J$23)*$R752</f>
        <v>153.60000000000002</v>
      </c>
      <c r="T752" s="276">
        <f>_xlfn.XLOOKUP($K752,Inputs!$G$6:$G$23,Inputs!K$6:K$23)*$R752</f>
        <v>169.96721311475409</v>
      </c>
      <c r="U752" s="96" t="s">
        <v>3898</v>
      </c>
      <c r="V752" s="22" t="s">
        <v>3159</v>
      </c>
      <c r="W752" s="96" t="s">
        <v>3689</v>
      </c>
      <c r="X752" s="22" t="s">
        <v>2959</v>
      </c>
      <c r="Y752" s="11" t="s">
        <v>3331</v>
      </c>
      <c r="Z752" s="79"/>
      <c r="AA752" s="187">
        <v>741</v>
      </c>
    </row>
    <row r="753" spans="2:27" s="184" customFormat="1" ht="20" x14ac:dyDescent="0.2">
      <c r="B753" s="11" t="s">
        <v>918</v>
      </c>
      <c r="C753" s="165" t="s">
        <v>4237</v>
      </c>
      <c r="D753" s="22" t="s">
        <v>2379</v>
      </c>
      <c r="E753" s="34">
        <v>1</v>
      </c>
      <c r="F753" s="22" t="s">
        <v>2223</v>
      </c>
      <c r="G753" s="88">
        <v>15</v>
      </c>
      <c r="H753" s="235">
        <f t="shared" si="99"/>
        <v>9.2592592592592595</v>
      </c>
      <c r="I753" s="88">
        <v>15</v>
      </c>
      <c r="J753" s="235">
        <f t="shared" si="100"/>
        <v>9.2592592592592595</v>
      </c>
      <c r="K753" s="201">
        <v>144</v>
      </c>
      <c r="L753" s="252">
        <f>_xlfn.XLOOKUP($K753,Inputs!$C$6:$C$23,Inputs!$D$6:$D$23)*$I753</f>
        <v>6.5678571428571431</v>
      </c>
      <c r="M753" s="68"/>
      <c r="N753" s="68"/>
      <c r="O753" s="187"/>
      <c r="P753" s="187"/>
      <c r="Q753" s="94">
        <v>0.9</v>
      </c>
      <c r="R753" s="68">
        <f>IF((42.4*(J753)^(-0.6595))&gt;=3,3,(IF(42.4*(J753)^(-0.6595)&lt;=0.5,0.5,(42.4*(J753)^(-0.6595)))))</f>
        <v>3</v>
      </c>
      <c r="S753" s="276">
        <f>_xlfn.XLOOKUP($K753,Inputs!$G$6:$G$23,Inputs!J$6:J$23)*$R753</f>
        <v>153.60000000000002</v>
      </c>
      <c r="T753" s="276">
        <f>_xlfn.XLOOKUP($K753,Inputs!$G$6:$G$23,Inputs!K$6:K$23)*$R753</f>
        <v>169.96721311475409</v>
      </c>
      <c r="U753" s="96" t="s">
        <v>3683</v>
      </c>
      <c r="V753" s="22" t="s">
        <v>2645</v>
      </c>
      <c r="W753" s="96" t="s">
        <v>3854</v>
      </c>
      <c r="X753" s="22" t="s">
        <v>3125</v>
      </c>
      <c r="Y753" s="11" t="s">
        <v>3331</v>
      </c>
      <c r="Z753" s="79"/>
      <c r="AA753" s="187">
        <v>742</v>
      </c>
    </row>
    <row r="754" spans="2:27" s="184" customFormat="1" ht="20" x14ac:dyDescent="0.2">
      <c r="B754" s="11" t="s">
        <v>1401</v>
      </c>
      <c r="C754" s="165" t="s">
        <v>4237</v>
      </c>
      <c r="D754" s="22" t="s">
        <v>2379</v>
      </c>
      <c r="E754" s="34">
        <v>1</v>
      </c>
      <c r="F754" s="22" t="s">
        <v>2223</v>
      </c>
      <c r="G754" s="88">
        <v>24</v>
      </c>
      <c r="H754" s="235">
        <f t="shared" si="99"/>
        <v>14.814814814814813</v>
      </c>
      <c r="I754" s="88">
        <v>24</v>
      </c>
      <c r="J754" s="235">
        <f t="shared" si="100"/>
        <v>14.814814814814813</v>
      </c>
      <c r="K754" s="201">
        <v>144</v>
      </c>
      <c r="L754" s="252">
        <f>_xlfn.XLOOKUP($K754,Inputs!$C$6:$C$23,Inputs!$D$6:$D$23)*$I754</f>
        <v>10.508571428571429</v>
      </c>
      <c r="M754" s="68"/>
      <c r="N754" s="68"/>
      <c r="O754" s="215">
        <v>247</v>
      </c>
      <c r="P754" s="215">
        <v>286</v>
      </c>
      <c r="Q754" s="94">
        <v>0.9</v>
      </c>
      <c r="R754" s="68" t="s">
        <v>115</v>
      </c>
      <c r="S754" s="182">
        <f t="shared" ref="S754:S759" si="105">O754*Q754</f>
        <v>222.3</v>
      </c>
      <c r="T754" s="182">
        <f t="shared" ref="T754:T759" si="106">P754*Q754</f>
        <v>257.40000000000003</v>
      </c>
      <c r="U754" s="96" t="s">
        <v>3942</v>
      </c>
      <c r="V754" s="22" t="s">
        <v>3194</v>
      </c>
      <c r="W754" s="96" t="s">
        <v>3414</v>
      </c>
      <c r="X754" s="22" t="s">
        <v>2767</v>
      </c>
      <c r="Y754" s="11" t="s">
        <v>3309</v>
      </c>
      <c r="Z754" s="79"/>
      <c r="AA754" s="187">
        <v>743</v>
      </c>
    </row>
    <row r="755" spans="2:27" s="184" customFormat="1" ht="20" x14ac:dyDescent="0.2">
      <c r="B755" s="11" t="s">
        <v>920</v>
      </c>
      <c r="C755" s="165" t="s">
        <v>4237</v>
      </c>
      <c r="D755" s="22" t="s">
        <v>2379</v>
      </c>
      <c r="E755" s="34">
        <v>1</v>
      </c>
      <c r="F755" s="22" t="s">
        <v>2223</v>
      </c>
      <c r="G755" s="88">
        <v>25</v>
      </c>
      <c r="H755" s="235">
        <f t="shared" si="99"/>
        <v>15.432098765432098</v>
      </c>
      <c r="I755" s="88">
        <v>25</v>
      </c>
      <c r="J755" s="235">
        <f t="shared" si="100"/>
        <v>15.432098765432098</v>
      </c>
      <c r="K755" s="201">
        <v>144</v>
      </c>
      <c r="L755" s="252">
        <f>_xlfn.XLOOKUP($K755,Inputs!$C$6:$C$23,Inputs!$D$6:$D$23)*$I755</f>
        <v>10.946428571428573</v>
      </c>
      <c r="M755" s="68"/>
      <c r="N755" s="68"/>
      <c r="O755" s="215">
        <v>114</v>
      </c>
      <c r="P755" s="215">
        <v>146</v>
      </c>
      <c r="Q755" s="94">
        <v>0.9</v>
      </c>
      <c r="R755" s="68" t="s">
        <v>115</v>
      </c>
      <c r="S755" s="182">
        <f t="shared" si="105"/>
        <v>102.60000000000001</v>
      </c>
      <c r="T755" s="182">
        <f t="shared" si="106"/>
        <v>131.4</v>
      </c>
      <c r="U755" s="96" t="s">
        <v>3715</v>
      </c>
      <c r="V755" s="22" t="s">
        <v>2979</v>
      </c>
      <c r="W755" s="96" t="s">
        <v>3655</v>
      </c>
      <c r="X755" s="22" t="s">
        <v>2927</v>
      </c>
      <c r="Y755" s="11" t="s">
        <v>3272</v>
      </c>
      <c r="Z755" s="79"/>
      <c r="AA755" s="187">
        <v>744</v>
      </c>
    </row>
    <row r="756" spans="2:27" s="184" customFormat="1" ht="20" x14ac:dyDescent="0.2">
      <c r="B756" s="11" t="s">
        <v>1412</v>
      </c>
      <c r="C756" s="165" t="s">
        <v>4237</v>
      </c>
      <c r="D756" s="22" t="s">
        <v>2379</v>
      </c>
      <c r="E756" s="34">
        <v>1</v>
      </c>
      <c r="F756" s="22" t="s">
        <v>2223</v>
      </c>
      <c r="G756" s="88">
        <v>12</v>
      </c>
      <c r="H756" s="235">
        <f t="shared" si="99"/>
        <v>7.4074074074074066</v>
      </c>
      <c r="I756" s="88">
        <v>12</v>
      </c>
      <c r="J756" s="235">
        <f t="shared" si="100"/>
        <v>7.4074074074074066</v>
      </c>
      <c r="K756" s="201">
        <v>144</v>
      </c>
      <c r="L756" s="252">
        <f>_xlfn.XLOOKUP($K756,Inputs!$C$6:$C$23,Inputs!$D$6:$D$23)*$I756</f>
        <v>5.2542857142857144</v>
      </c>
      <c r="M756" s="68"/>
      <c r="N756" s="68"/>
      <c r="O756" s="215">
        <v>178.3</v>
      </c>
      <c r="P756" s="215">
        <v>218.5</v>
      </c>
      <c r="Q756" s="94">
        <v>0.9</v>
      </c>
      <c r="R756" s="68" t="s">
        <v>115</v>
      </c>
      <c r="S756" s="182">
        <f t="shared" si="105"/>
        <v>160.47000000000003</v>
      </c>
      <c r="T756" s="182">
        <f t="shared" si="106"/>
        <v>196.65</v>
      </c>
      <c r="U756" s="96" t="s">
        <v>3414</v>
      </c>
      <c r="V756" s="22" t="s">
        <v>2767</v>
      </c>
      <c r="W756" s="96" t="s">
        <v>3680</v>
      </c>
      <c r="X756" s="22" t="s">
        <v>2953</v>
      </c>
      <c r="Y756" s="11" t="s">
        <v>3309</v>
      </c>
      <c r="Z756" s="79"/>
      <c r="AA756" s="187">
        <v>745</v>
      </c>
    </row>
    <row r="757" spans="2:27" s="184" customFormat="1" ht="20" x14ac:dyDescent="0.2">
      <c r="B757" s="11" t="s">
        <v>1396</v>
      </c>
      <c r="C757" s="165" t="s">
        <v>4237</v>
      </c>
      <c r="D757" s="22" t="s">
        <v>2379</v>
      </c>
      <c r="E757" s="34">
        <v>1</v>
      </c>
      <c r="F757" s="22" t="s">
        <v>2223</v>
      </c>
      <c r="G757" s="88">
        <v>18</v>
      </c>
      <c r="H757" s="235">
        <f t="shared" si="99"/>
        <v>11.111111111111111</v>
      </c>
      <c r="I757" s="88">
        <v>18</v>
      </c>
      <c r="J757" s="235">
        <f t="shared" si="100"/>
        <v>11.111111111111111</v>
      </c>
      <c r="K757" s="201">
        <v>144</v>
      </c>
      <c r="L757" s="252">
        <f>_xlfn.XLOOKUP($K757,Inputs!$C$6:$C$23,Inputs!$D$6:$D$23)*$I757</f>
        <v>7.8814285714285717</v>
      </c>
      <c r="M757" s="68"/>
      <c r="N757" s="68"/>
      <c r="O757" s="215">
        <v>191.7</v>
      </c>
      <c r="P757" s="215">
        <v>191.7</v>
      </c>
      <c r="Q757" s="94">
        <v>0.9</v>
      </c>
      <c r="R757" s="68" t="s">
        <v>115</v>
      </c>
      <c r="S757" s="182">
        <f t="shared" si="105"/>
        <v>172.53</v>
      </c>
      <c r="T757" s="182">
        <f t="shared" si="106"/>
        <v>172.53</v>
      </c>
      <c r="U757" s="96" t="s">
        <v>3703</v>
      </c>
      <c r="V757" s="22" t="s">
        <v>2969</v>
      </c>
      <c r="W757" s="96" t="s">
        <v>3942</v>
      </c>
      <c r="X757" s="22" t="s">
        <v>3194</v>
      </c>
      <c r="Y757" s="11" t="s">
        <v>3309</v>
      </c>
      <c r="Z757" s="79"/>
      <c r="AA757" s="187">
        <v>746</v>
      </c>
    </row>
    <row r="758" spans="2:27" s="184" customFormat="1" ht="20" x14ac:dyDescent="0.2">
      <c r="B758" s="11" t="s">
        <v>922</v>
      </c>
      <c r="C758" s="165" t="s">
        <v>4237</v>
      </c>
      <c r="D758" s="22" t="s">
        <v>2379</v>
      </c>
      <c r="E758" s="34">
        <v>1</v>
      </c>
      <c r="F758" s="22" t="s">
        <v>2223</v>
      </c>
      <c r="G758" s="88">
        <v>30</v>
      </c>
      <c r="H758" s="235">
        <f t="shared" si="99"/>
        <v>18.518518518518519</v>
      </c>
      <c r="I758" s="88">
        <v>40</v>
      </c>
      <c r="J758" s="235">
        <f t="shared" si="100"/>
        <v>24.691358024691358</v>
      </c>
      <c r="K758" s="201">
        <v>144</v>
      </c>
      <c r="L758" s="252">
        <f>_xlfn.XLOOKUP($K758,Inputs!$C$6:$C$23,Inputs!$D$6:$D$23)*$I758</f>
        <v>17.514285714285716</v>
      </c>
      <c r="M758" s="68"/>
      <c r="N758" s="68"/>
      <c r="O758" s="215">
        <v>114</v>
      </c>
      <c r="P758" s="215">
        <v>145</v>
      </c>
      <c r="Q758" s="94">
        <v>0.9</v>
      </c>
      <c r="R758" s="68" t="s">
        <v>115</v>
      </c>
      <c r="S758" s="182">
        <f t="shared" si="105"/>
        <v>102.60000000000001</v>
      </c>
      <c r="T758" s="182">
        <f t="shared" si="106"/>
        <v>130.5</v>
      </c>
      <c r="U758" s="96" t="s">
        <v>3655</v>
      </c>
      <c r="V758" s="22" t="s">
        <v>2927</v>
      </c>
      <c r="W758" s="96" t="s">
        <v>3974</v>
      </c>
      <c r="X758" s="22" t="s">
        <v>2174</v>
      </c>
      <c r="Y758" s="11" t="s">
        <v>3272</v>
      </c>
      <c r="Z758" s="79"/>
      <c r="AA758" s="187">
        <v>747</v>
      </c>
    </row>
    <row r="759" spans="2:27" s="184" customFormat="1" ht="20" x14ac:dyDescent="0.2">
      <c r="B759" s="11" t="s">
        <v>922</v>
      </c>
      <c r="C759" s="165" t="s">
        <v>4237</v>
      </c>
      <c r="D759" s="22" t="s">
        <v>2379</v>
      </c>
      <c r="E759" s="34">
        <v>1</v>
      </c>
      <c r="F759" s="22" t="s">
        <v>2223</v>
      </c>
      <c r="G759" s="88">
        <v>10</v>
      </c>
      <c r="H759" s="235">
        <f t="shared" si="99"/>
        <v>6.1728395061728394</v>
      </c>
      <c r="I759" s="88">
        <v>40</v>
      </c>
      <c r="J759" s="235">
        <f t="shared" si="100"/>
        <v>24.691358024691358</v>
      </c>
      <c r="K759" s="201">
        <v>144</v>
      </c>
      <c r="L759" s="252">
        <f>_xlfn.XLOOKUP($K759,Inputs!$C$6:$C$23,Inputs!$D$6:$D$23)*$I759</f>
        <v>17.514285714285716</v>
      </c>
      <c r="M759" s="68"/>
      <c r="N759" s="68"/>
      <c r="O759" s="215">
        <v>114</v>
      </c>
      <c r="P759" s="215">
        <v>145</v>
      </c>
      <c r="Q759" s="94">
        <v>0.9</v>
      </c>
      <c r="R759" s="68" t="s">
        <v>115</v>
      </c>
      <c r="S759" s="182">
        <f t="shared" si="105"/>
        <v>102.60000000000001</v>
      </c>
      <c r="T759" s="182">
        <f t="shared" si="106"/>
        <v>130.5</v>
      </c>
      <c r="U759" s="96" t="s">
        <v>3974</v>
      </c>
      <c r="V759" s="22" t="s">
        <v>2174</v>
      </c>
      <c r="W759" s="96" t="s">
        <v>3613</v>
      </c>
      <c r="X759" s="22" t="s">
        <v>2901</v>
      </c>
      <c r="Y759" s="11" t="s">
        <v>3272</v>
      </c>
      <c r="Z759" s="79"/>
      <c r="AA759" s="187">
        <v>748</v>
      </c>
    </row>
    <row r="760" spans="2:27" s="184" customFormat="1" ht="20" x14ac:dyDescent="0.2">
      <c r="B760" s="11" t="s">
        <v>963</v>
      </c>
      <c r="C760" s="165" t="s">
        <v>4237</v>
      </c>
      <c r="D760" s="22" t="s">
        <v>2379</v>
      </c>
      <c r="E760" s="34">
        <v>1</v>
      </c>
      <c r="F760" s="22" t="s">
        <v>2223</v>
      </c>
      <c r="G760" s="88">
        <v>10</v>
      </c>
      <c r="H760" s="235">
        <f t="shared" si="99"/>
        <v>6.1728395061728394</v>
      </c>
      <c r="I760" s="88">
        <v>10</v>
      </c>
      <c r="J760" s="235">
        <f t="shared" si="100"/>
        <v>6.1728395061728394</v>
      </c>
      <c r="K760" s="201">
        <v>144</v>
      </c>
      <c r="L760" s="252">
        <f>_xlfn.XLOOKUP($K760,Inputs!$C$6:$C$23,Inputs!$D$6:$D$23)*$I760</f>
        <v>4.378571428571429</v>
      </c>
      <c r="M760" s="68"/>
      <c r="N760" s="68"/>
      <c r="O760" s="187"/>
      <c r="P760" s="187"/>
      <c r="Q760" s="94">
        <v>0.9</v>
      </c>
      <c r="R760" s="68">
        <f>IF((42.4*(J760)^(-0.6595))&gt;=3,3,(IF(42.4*(J760)^(-0.6595)&lt;=0.5,0.5,(42.4*(J760)^(-0.6595)))))</f>
        <v>3</v>
      </c>
      <c r="S760" s="276">
        <f>_xlfn.XLOOKUP($K760,Inputs!$G$6:$G$23,Inputs!J$6:J$23)*$R760</f>
        <v>153.60000000000002</v>
      </c>
      <c r="T760" s="276">
        <f>_xlfn.XLOOKUP($K760,Inputs!$G$6:$G$23,Inputs!K$6:K$23)*$R760</f>
        <v>169.96721311475409</v>
      </c>
      <c r="U760" s="96" t="s">
        <v>3974</v>
      </c>
      <c r="V760" s="205" t="s">
        <v>2174</v>
      </c>
      <c r="W760" s="96" t="s">
        <v>3716</v>
      </c>
      <c r="X760" s="22" t="s">
        <v>2980</v>
      </c>
      <c r="Y760" s="11" t="s">
        <v>3331</v>
      </c>
      <c r="Z760" s="79"/>
      <c r="AA760" s="187">
        <v>749</v>
      </c>
    </row>
    <row r="761" spans="2:27" s="184" customFormat="1" ht="20" x14ac:dyDescent="0.2">
      <c r="B761" s="11" t="s">
        <v>924</v>
      </c>
      <c r="C761" s="165" t="s">
        <v>4237</v>
      </c>
      <c r="D761" s="22" t="s">
        <v>2379</v>
      </c>
      <c r="E761" s="34">
        <v>1</v>
      </c>
      <c r="F761" s="22" t="s">
        <v>2223</v>
      </c>
      <c r="G761" s="88">
        <v>20</v>
      </c>
      <c r="H761" s="235">
        <f t="shared" si="99"/>
        <v>12.345679012345679</v>
      </c>
      <c r="I761" s="88">
        <v>20</v>
      </c>
      <c r="J761" s="235">
        <f t="shared" si="100"/>
        <v>12.345679012345679</v>
      </c>
      <c r="K761" s="201">
        <v>144</v>
      </c>
      <c r="L761" s="252">
        <f>_xlfn.XLOOKUP($K761,Inputs!$C$6:$C$23,Inputs!$D$6:$D$23)*$I761</f>
        <v>8.757142857142858</v>
      </c>
      <c r="M761" s="68"/>
      <c r="N761" s="68"/>
      <c r="O761" s="187"/>
      <c r="P761" s="187"/>
      <c r="Q761" s="94">
        <v>0.9</v>
      </c>
      <c r="R761" s="68">
        <f>IF((42.4*(J761)^(-0.6595))&gt;=3,3,(IF(42.4*(J761)^(-0.6595)&lt;=0.5,0.5,(42.4*(J761)^(-0.6595)))))</f>
        <v>3</v>
      </c>
      <c r="S761" s="276">
        <f>_xlfn.XLOOKUP($K761,Inputs!$G$6:$G$23,Inputs!J$6:J$23)*$R761</f>
        <v>153.60000000000002</v>
      </c>
      <c r="T761" s="276">
        <f>_xlfn.XLOOKUP($K761,Inputs!$G$6:$G$23,Inputs!K$6:K$23)*$R761</f>
        <v>169.96721311475409</v>
      </c>
      <c r="U761" s="96" t="s">
        <v>3495</v>
      </c>
      <c r="V761" s="22" t="s">
        <v>2814</v>
      </c>
      <c r="W761" s="96" t="s">
        <v>3692</v>
      </c>
      <c r="X761" s="22" t="s">
        <v>2961</v>
      </c>
      <c r="Y761" s="11" t="s">
        <v>3331</v>
      </c>
      <c r="Z761" s="79"/>
      <c r="AA761" s="187">
        <v>750</v>
      </c>
    </row>
    <row r="762" spans="2:27" s="184" customFormat="1" ht="20" x14ac:dyDescent="0.2">
      <c r="B762" s="11" t="s">
        <v>926</v>
      </c>
      <c r="C762" s="165" t="s">
        <v>4237</v>
      </c>
      <c r="D762" s="22" t="s">
        <v>2379</v>
      </c>
      <c r="E762" s="34">
        <v>1</v>
      </c>
      <c r="F762" s="22" t="s">
        <v>2223</v>
      </c>
      <c r="G762" s="88">
        <v>20</v>
      </c>
      <c r="H762" s="235">
        <f t="shared" si="99"/>
        <v>12.345679012345679</v>
      </c>
      <c r="I762" s="88">
        <v>20</v>
      </c>
      <c r="J762" s="235">
        <f t="shared" si="100"/>
        <v>12.345679012345679</v>
      </c>
      <c r="K762" s="201">
        <v>144</v>
      </c>
      <c r="L762" s="252">
        <f>_xlfn.XLOOKUP($K762,Inputs!$C$6:$C$23,Inputs!$D$6:$D$23)*$I762</f>
        <v>8.757142857142858</v>
      </c>
      <c r="M762" s="68"/>
      <c r="N762" s="68"/>
      <c r="O762" s="215">
        <v>99</v>
      </c>
      <c r="P762" s="215">
        <v>99</v>
      </c>
      <c r="Q762" s="94">
        <v>0.9</v>
      </c>
      <c r="R762" s="68" t="s">
        <v>115</v>
      </c>
      <c r="S762" s="182">
        <f t="shared" ref="S762:S773" si="107">O762*Q762</f>
        <v>89.100000000000009</v>
      </c>
      <c r="T762" s="182">
        <f t="shared" ref="T762:T773" si="108">P762*Q762</f>
        <v>89.100000000000009</v>
      </c>
      <c r="U762" s="96" t="s">
        <v>3692</v>
      </c>
      <c r="V762" s="22" t="s">
        <v>2961</v>
      </c>
      <c r="W762" s="96" t="s">
        <v>3745</v>
      </c>
      <c r="X762" s="22" t="s">
        <v>3003</v>
      </c>
      <c r="Y762" s="11" t="s">
        <v>3272</v>
      </c>
      <c r="Z762" s="79"/>
      <c r="AA762" s="187">
        <v>751</v>
      </c>
    </row>
    <row r="763" spans="2:27" s="184" customFormat="1" ht="20" x14ac:dyDescent="0.2">
      <c r="B763" s="11" t="s">
        <v>2012</v>
      </c>
      <c r="C763" s="165" t="s">
        <v>4237</v>
      </c>
      <c r="D763" s="22" t="s">
        <v>2379</v>
      </c>
      <c r="E763" s="34">
        <v>1</v>
      </c>
      <c r="F763" s="22" t="s">
        <v>2223</v>
      </c>
      <c r="G763" s="88">
        <v>25</v>
      </c>
      <c r="H763" s="235">
        <f t="shared" si="99"/>
        <v>15.432098765432098</v>
      </c>
      <c r="I763" s="88">
        <v>50</v>
      </c>
      <c r="J763" s="235">
        <f t="shared" si="100"/>
        <v>30.864197530864196</v>
      </c>
      <c r="K763" s="201">
        <v>144</v>
      </c>
      <c r="L763" s="252">
        <f>_xlfn.XLOOKUP($K763,Inputs!$C$6:$C$23,Inputs!$D$6:$D$23)*$I763</f>
        <v>21.892857142857146</v>
      </c>
      <c r="M763" s="68"/>
      <c r="N763" s="68"/>
      <c r="O763" s="215">
        <v>114</v>
      </c>
      <c r="P763" s="215">
        <v>146</v>
      </c>
      <c r="Q763" s="94">
        <v>0.9</v>
      </c>
      <c r="R763" s="68" t="s">
        <v>115</v>
      </c>
      <c r="S763" s="182">
        <f t="shared" si="107"/>
        <v>102.60000000000001</v>
      </c>
      <c r="T763" s="182">
        <f t="shared" si="108"/>
        <v>131.4</v>
      </c>
      <c r="U763" s="96" t="s">
        <v>3715</v>
      </c>
      <c r="V763" s="22" t="s">
        <v>2979</v>
      </c>
      <c r="W763" s="96" t="s">
        <v>3656</v>
      </c>
      <c r="X763" s="22" t="s">
        <v>2928</v>
      </c>
      <c r="Y763" s="11" t="s">
        <v>3272</v>
      </c>
      <c r="Z763" s="79"/>
      <c r="AA763" s="187">
        <v>752</v>
      </c>
    </row>
    <row r="764" spans="2:27" s="184" customFormat="1" ht="20" x14ac:dyDescent="0.2">
      <c r="B764" s="11" t="s">
        <v>2012</v>
      </c>
      <c r="C764" s="165" t="s">
        <v>4237</v>
      </c>
      <c r="D764" s="22" t="s">
        <v>2379</v>
      </c>
      <c r="E764" s="34">
        <v>1</v>
      </c>
      <c r="F764" s="22" t="s">
        <v>2223</v>
      </c>
      <c r="G764" s="88">
        <v>25</v>
      </c>
      <c r="H764" s="235">
        <f t="shared" si="99"/>
        <v>15.432098765432098</v>
      </c>
      <c r="I764" s="88">
        <v>50</v>
      </c>
      <c r="J764" s="235">
        <f t="shared" si="100"/>
        <v>30.864197530864196</v>
      </c>
      <c r="K764" s="201">
        <v>144</v>
      </c>
      <c r="L764" s="252">
        <f>_xlfn.XLOOKUP($K764,Inputs!$C$6:$C$23,Inputs!$D$6:$D$23)*$I764</f>
        <v>21.892857142857146</v>
      </c>
      <c r="M764" s="68"/>
      <c r="N764" s="68"/>
      <c r="O764" s="215">
        <v>114</v>
      </c>
      <c r="P764" s="215">
        <v>146</v>
      </c>
      <c r="Q764" s="94">
        <v>0.9</v>
      </c>
      <c r="R764" s="68" t="s">
        <v>115</v>
      </c>
      <c r="S764" s="182">
        <f t="shared" si="107"/>
        <v>102.60000000000001</v>
      </c>
      <c r="T764" s="182">
        <f t="shared" si="108"/>
        <v>131.4</v>
      </c>
      <c r="U764" s="96" t="s">
        <v>3656</v>
      </c>
      <c r="V764" s="22" t="s">
        <v>2928</v>
      </c>
      <c r="W764" s="96" t="s">
        <v>3655</v>
      </c>
      <c r="X764" s="22" t="s">
        <v>2927</v>
      </c>
      <c r="Y764" s="11" t="s">
        <v>3272</v>
      </c>
      <c r="Z764" s="79"/>
      <c r="AA764" s="187">
        <v>753</v>
      </c>
    </row>
    <row r="765" spans="2:27" s="184" customFormat="1" ht="20" x14ac:dyDescent="0.2">
      <c r="B765" s="11" t="s">
        <v>2013</v>
      </c>
      <c r="C765" s="165" t="s">
        <v>4237</v>
      </c>
      <c r="D765" s="22" t="s">
        <v>2379</v>
      </c>
      <c r="E765" s="34">
        <v>1</v>
      </c>
      <c r="F765" s="22" t="s">
        <v>2223</v>
      </c>
      <c r="G765" s="235">
        <v>75</v>
      </c>
      <c r="H765" s="235">
        <f t="shared" si="99"/>
        <v>46.296296296296291</v>
      </c>
      <c r="I765" s="235">
        <v>120</v>
      </c>
      <c r="J765" s="235">
        <f t="shared" si="100"/>
        <v>74.074074074074076</v>
      </c>
      <c r="K765" s="201">
        <v>144</v>
      </c>
      <c r="L765" s="252">
        <f>_xlfn.XLOOKUP($K765,Inputs!$C$6:$C$23,Inputs!$D$6:$D$23)*$I765</f>
        <v>52.542857142857144</v>
      </c>
      <c r="M765" s="68"/>
      <c r="N765" s="68"/>
      <c r="O765" s="215">
        <v>99</v>
      </c>
      <c r="P765" s="215">
        <v>99</v>
      </c>
      <c r="Q765" s="94">
        <v>0.9</v>
      </c>
      <c r="R765" s="68" t="s">
        <v>115</v>
      </c>
      <c r="S765" s="182">
        <f t="shared" si="107"/>
        <v>89.100000000000009</v>
      </c>
      <c r="T765" s="182">
        <f t="shared" si="108"/>
        <v>89.100000000000009</v>
      </c>
      <c r="U765" s="96" t="s">
        <v>3625</v>
      </c>
      <c r="V765" s="22" t="s">
        <v>2910</v>
      </c>
      <c r="W765" s="96" t="s">
        <v>3441</v>
      </c>
      <c r="X765" s="205" t="s">
        <v>2785</v>
      </c>
      <c r="Y765" s="11" t="s">
        <v>3272</v>
      </c>
      <c r="Z765" s="79"/>
      <c r="AA765" s="187">
        <v>754</v>
      </c>
    </row>
    <row r="766" spans="2:27" s="184" customFormat="1" ht="20" x14ac:dyDescent="0.2">
      <c r="B766" s="11" t="s">
        <v>2013</v>
      </c>
      <c r="C766" s="165" t="s">
        <v>4237</v>
      </c>
      <c r="D766" s="22" t="s">
        <v>2379</v>
      </c>
      <c r="E766" s="34">
        <v>1</v>
      </c>
      <c r="F766" s="22" t="s">
        <v>2223</v>
      </c>
      <c r="G766" s="88">
        <v>25</v>
      </c>
      <c r="H766" s="235">
        <f t="shared" si="99"/>
        <v>15.432098765432098</v>
      </c>
      <c r="I766" s="88">
        <v>120</v>
      </c>
      <c r="J766" s="235">
        <f t="shared" si="100"/>
        <v>74.074074074074076</v>
      </c>
      <c r="K766" s="201">
        <v>144</v>
      </c>
      <c r="L766" s="252">
        <f>_xlfn.XLOOKUP($K766,Inputs!$C$6:$C$23,Inputs!$D$6:$D$23)*$I766</f>
        <v>52.542857142857144</v>
      </c>
      <c r="M766" s="68"/>
      <c r="N766" s="68"/>
      <c r="O766" s="215">
        <v>99</v>
      </c>
      <c r="P766" s="215">
        <v>99</v>
      </c>
      <c r="Q766" s="94">
        <v>0.9</v>
      </c>
      <c r="R766" s="68" t="s">
        <v>115</v>
      </c>
      <c r="S766" s="182">
        <f t="shared" si="107"/>
        <v>89.100000000000009</v>
      </c>
      <c r="T766" s="182">
        <f t="shared" si="108"/>
        <v>89.100000000000009</v>
      </c>
      <c r="U766" s="96" t="s">
        <v>3441</v>
      </c>
      <c r="V766" s="22" t="s">
        <v>2785</v>
      </c>
      <c r="W766" s="96" t="s">
        <v>3748</v>
      </c>
      <c r="X766" s="22" t="s">
        <v>3006</v>
      </c>
      <c r="Y766" s="11" t="s">
        <v>3272</v>
      </c>
      <c r="Z766" s="79"/>
      <c r="AA766" s="187">
        <v>755</v>
      </c>
    </row>
    <row r="767" spans="2:27" s="184" customFormat="1" ht="20" x14ac:dyDescent="0.2">
      <c r="B767" s="11" t="s">
        <v>2013</v>
      </c>
      <c r="C767" s="165" t="s">
        <v>4237</v>
      </c>
      <c r="D767" s="22" t="s">
        <v>2379</v>
      </c>
      <c r="E767" s="34">
        <v>1</v>
      </c>
      <c r="F767" s="22" t="s">
        <v>2223</v>
      </c>
      <c r="G767" s="88">
        <v>20</v>
      </c>
      <c r="H767" s="235">
        <f t="shared" si="99"/>
        <v>12.345679012345679</v>
      </c>
      <c r="I767" s="88">
        <v>120</v>
      </c>
      <c r="J767" s="235">
        <f t="shared" si="100"/>
        <v>74.074074074074076</v>
      </c>
      <c r="K767" s="201">
        <v>144</v>
      </c>
      <c r="L767" s="252">
        <f>_xlfn.XLOOKUP($K767,Inputs!$C$6:$C$23,Inputs!$D$6:$D$23)*$I767</f>
        <v>52.542857142857144</v>
      </c>
      <c r="M767" s="68"/>
      <c r="N767" s="68"/>
      <c r="O767" s="215">
        <v>99</v>
      </c>
      <c r="P767" s="215">
        <v>99</v>
      </c>
      <c r="Q767" s="94">
        <v>0.9</v>
      </c>
      <c r="R767" s="68" t="s">
        <v>115</v>
      </c>
      <c r="S767" s="182">
        <f t="shared" si="107"/>
        <v>89.100000000000009</v>
      </c>
      <c r="T767" s="182">
        <f t="shared" si="108"/>
        <v>89.100000000000009</v>
      </c>
      <c r="U767" s="96" t="s">
        <v>3748</v>
      </c>
      <c r="V767" s="22" t="s">
        <v>3006</v>
      </c>
      <c r="W767" s="96" t="s">
        <v>3692</v>
      </c>
      <c r="X767" s="205" t="s">
        <v>2961</v>
      </c>
      <c r="Y767" s="11" t="s">
        <v>3272</v>
      </c>
      <c r="Z767" s="79"/>
      <c r="AA767" s="187">
        <v>756</v>
      </c>
    </row>
    <row r="768" spans="2:27" s="184" customFormat="1" ht="20" x14ac:dyDescent="0.2">
      <c r="B768" s="11" t="s">
        <v>2014</v>
      </c>
      <c r="C768" s="165" t="s">
        <v>4237</v>
      </c>
      <c r="D768" s="22" t="s">
        <v>2379</v>
      </c>
      <c r="E768" s="34">
        <v>1</v>
      </c>
      <c r="F768" s="22" t="s">
        <v>2223</v>
      </c>
      <c r="G768" s="88">
        <v>30</v>
      </c>
      <c r="H768" s="235">
        <f t="shared" si="99"/>
        <v>18.518518518518519</v>
      </c>
      <c r="I768" s="88">
        <v>90</v>
      </c>
      <c r="J768" s="235">
        <f t="shared" si="100"/>
        <v>55.55555555555555</v>
      </c>
      <c r="K768" s="201">
        <v>144</v>
      </c>
      <c r="L768" s="252">
        <f>_xlfn.XLOOKUP($K768,Inputs!$C$6:$C$23,Inputs!$D$6:$D$23)*$I768</f>
        <v>39.407142857142858</v>
      </c>
      <c r="M768" s="68"/>
      <c r="N768" s="68"/>
      <c r="O768" s="215">
        <v>75</v>
      </c>
      <c r="P768" s="215">
        <v>90</v>
      </c>
      <c r="Q768" s="94">
        <v>0.9</v>
      </c>
      <c r="R768" s="68" t="s">
        <v>115</v>
      </c>
      <c r="S768" s="182">
        <f t="shared" si="107"/>
        <v>67.5</v>
      </c>
      <c r="T768" s="182">
        <f t="shared" si="108"/>
        <v>81</v>
      </c>
      <c r="U768" s="96" t="s">
        <v>3655</v>
      </c>
      <c r="V768" s="22" t="s">
        <v>2927</v>
      </c>
      <c r="W768" s="96" t="s">
        <v>3470</v>
      </c>
      <c r="X768" s="22" t="s">
        <v>2798</v>
      </c>
      <c r="Y768" s="11" t="s">
        <v>3272</v>
      </c>
      <c r="Z768" s="79"/>
      <c r="AA768" s="187">
        <v>757</v>
      </c>
    </row>
    <row r="769" spans="2:27" s="184" customFormat="1" ht="20" x14ac:dyDescent="0.2">
      <c r="B769" s="11" t="s">
        <v>2014</v>
      </c>
      <c r="C769" s="165" t="s">
        <v>4237</v>
      </c>
      <c r="D769" s="22" t="s">
        <v>2379</v>
      </c>
      <c r="E769" s="34">
        <v>1</v>
      </c>
      <c r="F769" s="22" t="s">
        <v>2223</v>
      </c>
      <c r="G769" s="88">
        <v>25</v>
      </c>
      <c r="H769" s="235">
        <f t="shared" si="99"/>
        <v>15.432098765432098</v>
      </c>
      <c r="I769" s="88">
        <v>90</v>
      </c>
      <c r="J769" s="235">
        <f t="shared" si="100"/>
        <v>55.55555555555555</v>
      </c>
      <c r="K769" s="201">
        <v>144</v>
      </c>
      <c r="L769" s="252">
        <f>_xlfn.XLOOKUP($K769,Inputs!$C$6:$C$23,Inputs!$D$6:$D$23)*$I769</f>
        <v>39.407142857142858</v>
      </c>
      <c r="M769" s="68"/>
      <c r="N769" s="68"/>
      <c r="O769" s="215">
        <v>75</v>
      </c>
      <c r="P769" s="215">
        <v>90</v>
      </c>
      <c r="Q769" s="94">
        <v>0.9</v>
      </c>
      <c r="R769" s="68" t="s">
        <v>115</v>
      </c>
      <c r="S769" s="182">
        <f t="shared" si="107"/>
        <v>67.5</v>
      </c>
      <c r="T769" s="182">
        <f t="shared" si="108"/>
        <v>81</v>
      </c>
      <c r="U769" s="96" t="s">
        <v>3470</v>
      </c>
      <c r="V769" s="22" t="s">
        <v>2798</v>
      </c>
      <c r="W769" s="96" t="s">
        <v>3593</v>
      </c>
      <c r="X769" s="22" t="s">
        <v>2883</v>
      </c>
      <c r="Y769" s="11" t="s">
        <v>3272</v>
      </c>
      <c r="Z769" s="79"/>
      <c r="AA769" s="187">
        <v>758</v>
      </c>
    </row>
    <row r="770" spans="2:27" s="184" customFormat="1" ht="20" x14ac:dyDescent="0.2">
      <c r="B770" s="11" t="s">
        <v>2014</v>
      </c>
      <c r="C770" s="165" t="s">
        <v>4237</v>
      </c>
      <c r="D770" s="22" t="s">
        <v>2379</v>
      </c>
      <c r="E770" s="34">
        <v>1</v>
      </c>
      <c r="F770" s="22" t="s">
        <v>2223</v>
      </c>
      <c r="G770" s="88">
        <v>20</v>
      </c>
      <c r="H770" s="235">
        <f t="shared" si="99"/>
        <v>12.345679012345679</v>
      </c>
      <c r="I770" s="88">
        <v>90</v>
      </c>
      <c r="J770" s="235">
        <f t="shared" si="100"/>
        <v>55.55555555555555</v>
      </c>
      <c r="K770" s="201">
        <v>144</v>
      </c>
      <c r="L770" s="252">
        <f>_xlfn.XLOOKUP($K770,Inputs!$C$6:$C$23,Inputs!$D$6:$D$23)*$I770</f>
        <v>39.407142857142858</v>
      </c>
      <c r="M770" s="68"/>
      <c r="N770" s="68"/>
      <c r="O770" s="215">
        <v>75</v>
      </c>
      <c r="P770" s="215">
        <v>90</v>
      </c>
      <c r="Q770" s="94">
        <v>0.9</v>
      </c>
      <c r="R770" s="68" t="s">
        <v>115</v>
      </c>
      <c r="S770" s="182">
        <f t="shared" si="107"/>
        <v>67.5</v>
      </c>
      <c r="T770" s="182">
        <f t="shared" si="108"/>
        <v>81</v>
      </c>
      <c r="U770" s="96" t="s">
        <v>3593</v>
      </c>
      <c r="V770" s="22" t="s">
        <v>2883</v>
      </c>
      <c r="W770" s="96" t="s">
        <v>3372</v>
      </c>
      <c r="X770" s="22" t="s">
        <v>2741</v>
      </c>
      <c r="Y770" s="11" t="s">
        <v>3272</v>
      </c>
      <c r="Z770" s="79"/>
      <c r="AA770" s="187">
        <v>759</v>
      </c>
    </row>
    <row r="771" spans="2:27" s="184" customFormat="1" ht="20" x14ac:dyDescent="0.2">
      <c r="B771" s="11" t="s">
        <v>2014</v>
      </c>
      <c r="C771" s="165" t="s">
        <v>4237</v>
      </c>
      <c r="D771" s="22" t="s">
        <v>2379</v>
      </c>
      <c r="E771" s="34">
        <v>1</v>
      </c>
      <c r="F771" s="22" t="s">
        <v>2223</v>
      </c>
      <c r="G771" s="88">
        <v>15</v>
      </c>
      <c r="H771" s="235">
        <f t="shared" si="99"/>
        <v>9.2592592592592595</v>
      </c>
      <c r="I771" s="88">
        <v>90</v>
      </c>
      <c r="J771" s="235">
        <f t="shared" si="100"/>
        <v>55.55555555555555</v>
      </c>
      <c r="K771" s="201">
        <v>144</v>
      </c>
      <c r="L771" s="252">
        <f>_xlfn.XLOOKUP($K771,Inputs!$C$6:$C$23,Inputs!$D$6:$D$23)*$I771</f>
        <v>39.407142857142858</v>
      </c>
      <c r="M771" s="68"/>
      <c r="N771" s="68"/>
      <c r="O771" s="215">
        <v>75</v>
      </c>
      <c r="P771" s="215">
        <v>90</v>
      </c>
      <c r="Q771" s="94">
        <v>0.9</v>
      </c>
      <c r="R771" s="68" t="s">
        <v>115</v>
      </c>
      <c r="S771" s="182">
        <f t="shared" si="107"/>
        <v>67.5</v>
      </c>
      <c r="T771" s="182">
        <f t="shared" si="108"/>
        <v>81</v>
      </c>
      <c r="U771" s="96" t="s">
        <v>3372</v>
      </c>
      <c r="V771" s="22" t="s">
        <v>2741</v>
      </c>
      <c r="W771" s="96" t="s">
        <v>4292</v>
      </c>
      <c r="X771" s="22" t="s">
        <v>2735</v>
      </c>
      <c r="Y771" s="11" t="s">
        <v>3272</v>
      </c>
      <c r="Z771" s="79"/>
      <c r="AA771" s="187">
        <v>760</v>
      </c>
    </row>
    <row r="772" spans="2:27" s="184" customFormat="1" ht="20" x14ac:dyDescent="0.2">
      <c r="B772" s="11" t="s">
        <v>1443</v>
      </c>
      <c r="C772" s="165" t="s">
        <v>4237</v>
      </c>
      <c r="D772" s="22" t="s">
        <v>2379</v>
      </c>
      <c r="E772" s="34">
        <v>1</v>
      </c>
      <c r="F772" s="22" t="s">
        <v>2223</v>
      </c>
      <c r="G772" s="235">
        <v>110</v>
      </c>
      <c r="H772" s="235">
        <f t="shared" si="99"/>
        <v>67.901234567901227</v>
      </c>
      <c r="I772" s="235">
        <v>110</v>
      </c>
      <c r="J772" s="235">
        <f t="shared" si="100"/>
        <v>67.901234567901227</v>
      </c>
      <c r="K772" s="201">
        <v>144</v>
      </c>
      <c r="L772" s="252">
        <f>_xlfn.XLOOKUP($K772,Inputs!$C$6:$C$23,Inputs!$D$6:$D$23)*$I772</f>
        <v>48.164285714285718</v>
      </c>
      <c r="M772" s="68"/>
      <c r="N772" s="68"/>
      <c r="O772" s="215">
        <v>95</v>
      </c>
      <c r="P772" s="215">
        <v>95</v>
      </c>
      <c r="Q772" s="94">
        <v>0.9</v>
      </c>
      <c r="R772" s="68" t="s">
        <v>115</v>
      </c>
      <c r="S772" s="182">
        <f t="shared" si="107"/>
        <v>85.5</v>
      </c>
      <c r="T772" s="182">
        <f t="shared" si="108"/>
        <v>85.5</v>
      </c>
      <c r="U772" s="96" t="s">
        <v>3893</v>
      </c>
      <c r="V772" s="22" t="s">
        <v>2646</v>
      </c>
      <c r="W772" s="96" t="s">
        <v>3894</v>
      </c>
      <c r="X772" s="22" t="s">
        <v>3154</v>
      </c>
      <c r="Y772" s="11" t="s">
        <v>3309</v>
      </c>
      <c r="Z772" s="79"/>
      <c r="AA772" s="187">
        <v>761</v>
      </c>
    </row>
    <row r="773" spans="2:27" s="184" customFormat="1" ht="20" x14ac:dyDescent="0.2">
      <c r="B773" s="11" t="s">
        <v>1418</v>
      </c>
      <c r="C773" s="165" t="s">
        <v>4237</v>
      </c>
      <c r="D773" s="22" t="s">
        <v>2379</v>
      </c>
      <c r="E773" s="34">
        <v>1</v>
      </c>
      <c r="F773" s="22" t="s">
        <v>2223</v>
      </c>
      <c r="G773" s="88">
        <v>15</v>
      </c>
      <c r="H773" s="235">
        <f t="shared" si="99"/>
        <v>9.2592592592592595</v>
      </c>
      <c r="I773" s="88">
        <v>15</v>
      </c>
      <c r="J773" s="235">
        <f t="shared" si="100"/>
        <v>9.2592592592592595</v>
      </c>
      <c r="K773" s="201">
        <v>144</v>
      </c>
      <c r="L773" s="252">
        <f>_xlfn.XLOOKUP($K773,Inputs!$C$6:$C$23,Inputs!$D$6:$D$23)*$I773</f>
        <v>6.5678571428571431</v>
      </c>
      <c r="M773" s="68"/>
      <c r="N773" s="68"/>
      <c r="O773" s="215">
        <v>109</v>
      </c>
      <c r="P773" s="215">
        <v>139</v>
      </c>
      <c r="Q773" s="94">
        <v>0.9</v>
      </c>
      <c r="R773" s="68" t="s">
        <v>115</v>
      </c>
      <c r="S773" s="182">
        <f t="shared" si="107"/>
        <v>98.100000000000009</v>
      </c>
      <c r="T773" s="182">
        <f t="shared" si="108"/>
        <v>125.10000000000001</v>
      </c>
      <c r="U773" s="96" t="s">
        <v>3680</v>
      </c>
      <c r="V773" s="22" t="s">
        <v>2953</v>
      </c>
      <c r="W773" s="96" t="s">
        <v>3548</v>
      </c>
      <c r="X773" s="22" t="s">
        <v>2850</v>
      </c>
      <c r="Y773" s="11" t="s">
        <v>3309</v>
      </c>
      <c r="Z773" s="79"/>
      <c r="AA773" s="187">
        <v>762</v>
      </c>
    </row>
    <row r="774" spans="2:27" s="184" customFormat="1" ht="20" x14ac:dyDescent="0.2">
      <c r="B774" s="11" t="s">
        <v>2010</v>
      </c>
      <c r="C774" s="165" t="s">
        <v>4237</v>
      </c>
      <c r="D774" s="22" t="s">
        <v>2379</v>
      </c>
      <c r="E774" s="34">
        <v>1</v>
      </c>
      <c r="F774" s="22" t="s">
        <v>2223</v>
      </c>
      <c r="G774" s="235">
        <v>10</v>
      </c>
      <c r="H774" s="235">
        <f t="shared" ref="H774:H837" si="109">G774/1.62</f>
        <v>6.1728395061728394</v>
      </c>
      <c r="I774" s="235">
        <v>30</v>
      </c>
      <c r="J774" s="235">
        <f t="shared" ref="J774:J837" si="110">I774/1.62</f>
        <v>18.518518518518519</v>
      </c>
      <c r="K774" s="201">
        <v>144</v>
      </c>
      <c r="L774" s="252">
        <f>_xlfn.XLOOKUP($K774,Inputs!$C$6:$C$23,Inputs!$D$6:$D$23)*$I774</f>
        <v>13.135714285714286</v>
      </c>
      <c r="M774" s="68"/>
      <c r="N774" s="68"/>
      <c r="O774" s="187"/>
      <c r="P774" s="187"/>
      <c r="Q774" s="94">
        <v>0.9</v>
      </c>
      <c r="R774" s="68">
        <f>IF((42.4*(J774)^(-0.6595))&gt;=3,3,(IF(42.4*(J774)^(-0.6595)&lt;=0.5,0.5,(42.4*(J774)^(-0.6595)))))</f>
        <v>3</v>
      </c>
      <c r="S774" s="276">
        <f>_xlfn.XLOOKUP($K774,Inputs!$G$6:$G$23,Inputs!J$6:J$23)*$R774</f>
        <v>153.60000000000002</v>
      </c>
      <c r="T774" s="276">
        <f>_xlfn.XLOOKUP($K774,Inputs!$G$6:$G$23,Inputs!K$6:K$23)*$R774</f>
        <v>169.96721311475409</v>
      </c>
      <c r="U774" s="96" t="s">
        <v>3817</v>
      </c>
      <c r="V774" s="22" t="s">
        <v>3063</v>
      </c>
      <c r="W774" s="96" t="s">
        <v>3556</v>
      </c>
      <c r="X774" s="22" t="s">
        <v>2628</v>
      </c>
      <c r="Y774" s="11" t="s">
        <v>3331</v>
      </c>
      <c r="Z774" s="79"/>
      <c r="AA774" s="187">
        <v>763</v>
      </c>
    </row>
    <row r="775" spans="2:27" s="184" customFormat="1" ht="20" x14ac:dyDescent="0.2">
      <c r="B775" s="11" t="s">
        <v>2010</v>
      </c>
      <c r="C775" s="165" t="s">
        <v>4237</v>
      </c>
      <c r="D775" s="22" t="s">
        <v>2379</v>
      </c>
      <c r="E775" s="34">
        <v>1</v>
      </c>
      <c r="F775" s="22" t="s">
        <v>2223</v>
      </c>
      <c r="G775" s="88">
        <v>20</v>
      </c>
      <c r="H775" s="235">
        <f t="shared" si="109"/>
        <v>12.345679012345679</v>
      </c>
      <c r="I775" s="88">
        <v>30</v>
      </c>
      <c r="J775" s="235">
        <f t="shared" si="110"/>
        <v>18.518518518518519</v>
      </c>
      <c r="K775" s="201">
        <v>144</v>
      </c>
      <c r="L775" s="252">
        <f>_xlfn.XLOOKUP($K775,Inputs!$C$6:$C$23,Inputs!$D$6:$D$23)*$I775</f>
        <v>13.135714285714286</v>
      </c>
      <c r="M775" s="68"/>
      <c r="N775" s="68"/>
      <c r="O775" s="187"/>
      <c r="P775" s="187"/>
      <c r="Q775" s="94">
        <v>0.9</v>
      </c>
      <c r="R775" s="68">
        <f>IF((42.4*(J775)^(-0.6595))&gt;=3,3,(IF(42.4*(J775)^(-0.6595)&lt;=0.5,0.5,(42.4*(J775)^(-0.6595)))))</f>
        <v>3</v>
      </c>
      <c r="S775" s="276">
        <f>_xlfn.XLOOKUP($K775,Inputs!$G$6:$G$23,Inputs!J$6:J$23)*$R775</f>
        <v>153.60000000000002</v>
      </c>
      <c r="T775" s="276">
        <f>_xlfn.XLOOKUP($K775,Inputs!$G$6:$G$23,Inputs!K$6:K$23)*$R775</f>
        <v>169.96721311475409</v>
      </c>
      <c r="U775" s="96" t="s">
        <v>3728</v>
      </c>
      <c r="V775" s="22" t="s">
        <v>2989</v>
      </c>
      <c r="W775" s="96" t="s">
        <v>3556</v>
      </c>
      <c r="X775" s="205" t="s">
        <v>2628</v>
      </c>
      <c r="Y775" s="11" t="s">
        <v>3331</v>
      </c>
      <c r="Z775" s="79"/>
      <c r="AA775" s="187">
        <v>764</v>
      </c>
    </row>
    <row r="776" spans="2:27" s="184" customFormat="1" ht="20" x14ac:dyDescent="0.2">
      <c r="B776" s="11" t="s">
        <v>933</v>
      </c>
      <c r="C776" s="165" t="s">
        <v>4237</v>
      </c>
      <c r="D776" s="22" t="s">
        <v>2379</v>
      </c>
      <c r="E776" s="34">
        <v>1</v>
      </c>
      <c r="F776" s="22" t="s">
        <v>2223</v>
      </c>
      <c r="G776" s="235">
        <v>60</v>
      </c>
      <c r="H776" s="235">
        <f t="shared" si="109"/>
        <v>37.037037037037038</v>
      </c>
      <c r="I776" s="235">
        <v>60</v>
      </c>
      <c r="J776" s="235">
        <f t="shared" si="110"/>
        <v>37.037037037037038</v>
      </c>
      <c r="K776" s="201">
        <v>144</v>
      </c>
      <c r="L776" s="252">
        <f>_xlfn.XLOOKUP($K776,Inputs!$C$6:$C$23,Inputs!$D$6:$D$23)*$I776</f>
        <v>26.271428571428572</v>
      </c>
      <c r="M776" s="68"/>
      <c r="N776" s="68"/>
      <c r="O776" s="215">
        <v>114</v>
      </c>
      <c r="P776" s="215">
        <v>132</v>
      </c>
      <c r="Q776" s="94">
        <v>0.9</v>
      </c>
      <c r="R776" s="68" t="s">
        <v>115</v>
      </c>
      <c r="S776" s="182">
        <f>O776*Q776</f>
        <v>102.60000000000001</v>
      </c>
      <c r="T776" s="182">
        <f>P776*Q776</f>
        <v>118.8</v>
      </c>
      <c r="U776" s="96" t="s">
        <v>3811</v>
      </c>
      <c r="V776" s="22" t="s">
        <v>3058</v>
      </c>
      <c r="W776" s="96" t="s">
        <v>3473</v>
      </c>
      <c r="X776" s="22" t="s">
        <v>2800</v>
      </c>
      <c r="Y776" s="11" t="s">
        <v>3295</v>
      </c>
      <c r="Z776" s="79"/>
      <c r="AA776" s="187">
        <v>765</v>
      </c>
    </row>
    <row r="777" spans="2:27" s="184" customFormat="1" ht="20" x14ac:dyDescent="0.2">
      <c r="B777" s="11" t="s">
        <v>935</v>
      </c>
      <c r="C777" s="165" t="s">
        <v>4237</v>
      </c>
      <c r="D777" s="22" t="s">
        <v>2379</v>
      </c>
      <c r="E777" s="34">
        <v>1</v>
      </c>
      <c r="F777" s="22" t="s">
        <v>2223</v>
      </c>
      <c r="G777" s="88">
        <v>25</v>
      </c>
      <c r="H777" s="235">
        <f t="shared" si="109"/>
        <v>15.432098765432098</v>
      </c>
      <c r="I777" s="88">
        <v>25</v>
      </c>
      <c r="J777" s="235">
        <f t="shared" si="110"/>
        <v>15.432098765432098</v>
      </c>
      <c r="K777" s="221">
        <v>144</v>
      </c>
      <c r="L777" s="252">
        <f>_xlfn.XLOOKUP($K777,Inputs!$C$6:$C$23,Inputs!$D$6:$D$23)*$I777</f>
        <v>10.946428571428573</v>
      </c>
      <c r="M777" s="68"/>
      <c r="N777" s="68"/>
      <c r="O777" s="216">
        <v>114</v>
      </c>
      <c r="P777" s="216">
        <v>146</v>
      </c>
      <c r="Q777" s="94">
        <v>0.9</v>
      </c>
      <c r="R777" s="68" t="s">
        <v>115</v>
      </c>
      <c r="S777" s="182">
        <f>O777*Q777</f>
        <v>102.60000000000001</v>
      </c>
      <c r="T777" s="182">
        <f>P777*Q777</f>
        <v>131.4</v>
      </c>
      <c r="U777" s="96" t="s">
        <v>3583</v>
      </c>
      <c r="V777" s="22" t="s">
        <v>2875</v>
      </c>
      <c r="W777" s="96" t="s">
        <v>3537</v>
      </c>
      <c r="X777" s="22" t="s">
        <v>2617</v>
      </c>
      <c r="Y777" s="11" t="s">
        <v>3283</v>
      </c>
      <c r="Z777" s="79"/>
      <c r="AA777" s="187">
        <v>766</v>
      </c>
    </row>
    <row r="778" spans="2:27" s="184" customFormat="1" ht="20" x14ac:dyDescent="0.2">
      <c r="B778" s="11" t="s">
        <v>1509</v>
      </c>
      <c r="C778" s="165" t="s">
        <v>4237</v>
      </c>
      <c r="D778" s="22" t="s">
        <v>2379</v>
      </c>
      <c r="E778" s="34">
        <v>1</v>
      </c>
      <c r="F778" s="22" t="s">
        <v>2223</v>
      </c>
      <c r="G778" s="88">
        <v>12</v>
      </c>
      <c r="H778" s="235">
        <f t="shared" si="109"/>
        <v>7.4074074074074066</v>
      </c>
      <c r="I778" s="88">
        <v>12</v>
      </c>
      <c r="J778" s="235">
        <f t="shared" si="110"/>
        <v>7.4074074074074066</v>
      </c>
      <c r="K778" s="201">
        <v>144</v>
      </c>
      <c r="L778" s="252">
        <f>_xlfn.XLOOKUP($K778,Inputs!$C$6:$C$23,Inputs!$D$6:$D$23)*$I778</f>
        <v>5.2542857142857144</v>
      </c>
      <c r="M778" s="68"/>
      <c r="N778" s="68"/>
      <c r="O778" s="187"/>
      <c r="P778" s="187"/>
      <c r="Q778" s="94">
        <v>0.9</v>
      </c>
      <c r="R778" s="68">
        <f>IF((42.4*(J778)^(-0.6595))&gt;=3,3,(IF(42.4*(J778)^(-0.6595)&lt;=0.5,0.5,(42.4*(J778)^(-0.6595)))))</f>
        <v>3</v>
      </c>
      <c r="S778" s="276">
        <f>_xlfn.XLOOKUP($K778,Inputs!$G$6:$G$23,Inputs!J$6:J$23)*$R778</f>
        <v>153.60000000000002</v>
      </c>
      <c r="T778" s="276">
        <f>_xlfn.XLOOKUP($K778,Inputs!$G$6:$G$23,Inputs!K$6:K$23)*$R778</f>
        <v>169.96721311475409</v>
      </c>
      <c r="U778" s="96" t="s">
        <v>3795</v>
      </c>
      <c r="V778" s="22" t="s">
        <v>3045</v>
      </c>
      <c r="W778" s="96" t="s">
        <v>3672</v>
      </c>
      <c r="X778" s="22" t="s">
        <v>2944</v>
      </c>
      <c r="Y778" s="11" t="s">
        <v>3331</v>
      </c>
      <c r="Z778" s="79"/>
      <c r="AA778" s="187">
        <v>767</v>
      </c>
    </row>
    <row r="779" spans="2:27" s="184" customFormat="1" ht="20" x14ac:dyDescent="0.2">
      <c r="B779" s="11" t="s">
        <v>1426</v>
      </c>
      <c r="C779" s="165" t="s">
        <v>4237</v>
      </c>
      <c r="D779" s="22" t="s">
        <v>2379</v>
      </c>
      <c r="E779" s="34">
        <v>1</v>
      </c>
      <c r="F779" s="22" t="s">
        <v>2223</v>
      </c>
      <c r="G779" s="235">
        <v>75</v>
      </c>
      <c r="H779" s="235">
        <f t="shared" si="109"/>
        <v>46.296296296296291</v>
      </c>
      <c r="I779" s="235">
        <v>75</v>
      </c>
      <c r="J779" s="235">
        <f t="shared" si="110"/>
        <v>46.296296296296291</v>
      </c>
      <c r="K779" s="201">
        <v>144</v>
      </c>
      <c r="L779" s="252">
        <f>_xlfn.XLOOKUP($K779,Inputs!$C$6:$C$23,Inputs!$D$6:$D$23)*$I779</f>
        <v>32.839285714285715</v>
      </c>
      <c r="M779" s="68"/>
      <c r="N779" s="68"/>
      <c r="O779" s="215">
        <v>109</v>
      </c>
      <c r="P779" s="215">
        <v>139</v>
      </c>
      <c r="Q779" s="94">
        <v>0.9</v>
      </c>
      <c r="R779" s="68" t="s">
        <v>115</v>
      </c>
      <c r="S779" s="182">
        <f>O779*Q779</f>
        <v>98.100000000000009</v>
      </c>
      <c r="T779" s="182">
        <f>P779*Q779</f>
        <v>125.10000000000001</v>
      </c>
      <c r="U779" s="96" t="s">
        <v>3412</v>
      </c>
      <c r="V779" s="22" t="s">
        <v>2765</v>
      </c>
      <c r="W779" s="96" t="s">
        <v>3844</v>
      </c>
      <c r="X779" s="22" t="s">
        <v>3117</v>
      </c>
      <c r="Y779" s="11" t="s">
        <v>3309</v>
      </c>
      <c r="Z779" s="79"/>
      <c r="AA779" s="187">
        <v>768</v>
      </c>
    </row>
    <row r="780" spans="2:27" s="184" customFormat="1" ht="20" x14ac:dyDescent="0.2">
      <c r="B780" s="11" t="s">
        <v>1447</v>
      </c>
      <c r="C780" s="165" t="s">
        <v>4237</v>
      </c>
      <c r="D780" s="22" t="s">
        <v>2379</v>
      </c>
      <c r="E780" s="34">
        <v>1</v>
      </c>
      <c r="F780" s="22" t="s">
        <v>2223</v>
      </c>
      <c r="G780" s="88">
        <v>15</v>
      </c>
      <c r="H780" s="235">
        <f t="shared" si="109"/>
        <v>9.2592592592592595</v>
      </c>
      <c r="I780" s="88">
        <v>30</v>
      </c>
      <c r="J780" s="235">
        <f t="shared" si="110"/>
        <v>18.518518518518519</v>
      </c>
      <c r="K780" s="215">
        <v>138</v>
      </c>
      <c r="L780" s="252">
        <f>_xlfn.XLOOKUP($K780,Inputs!$C$6:$C$23,Inputs!$D$6:$D$23)*$I780</f>
        <v>13.007142857142858</v>
      </c>
      <c r="M780" s="68"/>
      <c r="N780" s="68"/>
      <c r="O780" s="215">
        <v>139.9</v>
      </c>
      <c r="P780" s="215">
        <v>179.2</v>
      </c>
      <c r="Q780" s="94">
        <v>0.9</v>
      </c>
      <c r="R780" s="68" t="s">
        <v>115</v>
      </c>
      <c r="S780" s="182">
        <f>O780*Q780</f>
        <v>125.91000000000001</v>
      </c>
      <c r="T780" s="182">
        <f>P780*Q780</f>
        <v>161.28</v>
      </c>
      <c r="U780" s="96" t="s">
        <v>3852</v>
      </c>
      <c r="V780" s="22" t="s">
        <v>3123</v>
      </c>
      <c r="W780" s="96" t="s">
        <v>3954</v>
      </c>
      <c r="X780" s="205" t="s">
        <v>2175</v>
      </c>
      <c r="Y780" s="11" t="s">
        <v>3308</v>
      </c>
      <c r="Z780" s="79"/>
      <c r="AA780" s="187">
        <v>769</v>
      </c>
    </row>
    <row r="781" spans="2:27" s="184" customFormat="1" ht="20" x14ac:dyDescent="0.2">
      <c r="B781" s="11" t="s">
        <v>1447</v>
      </c>
      <c r="C781" s="165" t="s">
        <v>4237</v>
      </c>
      <c r="D781" s="22" t="s">
        <v>2379</v>
      </c>
      <c r="E781" s="34">
        <v>1</v>
      </c>
      <c r="F781" s="22" t="s">
        <v>2223</v>
      </c>
      <c r="G781" s="88">
        <v>15</v>
      </c>
      <c r="H781" s="235">
        <f t="shared" si="109"/>
        <v>9.2592592592592595</v>
      </c>
      <c r="I781" s="88">
        <v>30</v>
      </c>
      <c r="J781" s="235">
        <f t="shared" si="110"/>
        <v>18.518518518518519</v>
      </c>
      <c r="K781" s="215">
        <v>138</v>
      </c>
      <c r="L781" s="252">
        <f>_xlfn.XLOOKUP($K781,Inputs!$C$6:$C$23,Inputs!$D$6:$D$23)*$I781</f>
        <v>13.007142857142858</v>
      </c>
      <c r="M781" s="68"/>
      <c r="N781" s="68"/>
      <c r="O781" s="215">
        <v>139.9</v>
      </c>
      <c r="P781" s="215">
        <v>179.2</v>
      </c>
      <c r="Q781" s="94">
        <v>0.9</v>
      </c>
      <c r="R781" s="68" t="s">
        <v>115</v>
      </c>
      <c r="S781" s="182">
        <f>O781*Q781</f>
        <v>125.91000000000001</v>
      </c>
      <c r="T781" s="182">
        <f>P781*Q781</f>
        <v>161.28</v>
      </c>
      <c r="U781" s="96" t="s">
        <v>3954</v>
      </c>
      <c r="V781" s="22" t="s">
        <v>2175</v>
      </c>
      <c r="W781" s="96" t="s">
        <v>3373</v>
      </c>
      <c r="X781" s="22" t="s">
        <v>2656</v>
      </c>
      <c r="Y781" s="11" t="s">
        <v>3308</v>
      </c>
      <c r="Z781" s="79"/>
      <c r="AA781" s="187">
        <v>770</v>
      </c>
    </row>
    <row r="782" spans="2:27" s="184" customFormat="1" ht="20" x14ac:dyDescent="0.2">
      <c r="B782" s="11" t="s">
        <v>1448</v>
      </c>
      <c r="C782" s="165" t="s">
        <v>4237</v>
      </c>
      <c r="D782" s="22" t="s">
        <v>2379</v>
      </c>
      <c r="E782" s="34">
        <v>1</v>
      </c>
      <c r="F782" s="22" t="s">
        <v>2223</v>
      </c>
      <c r="G782" s="88">
        <v>4.8000000000000007</v>
      </c>
      <c r="H782" s="235">
        <f t="shared" si="109"/>
        <v>2.9629629629629632</v>
      </c>
      <c r="I782" s="88">
        <v>4.8000000000000007</v>
      </c>
      <c r="J782" s="235">
        <f t="shared" si="110"/>
        <v>2.9629629629629632</v>
      </c>
      <c r="K782" s="201">
        <v>144</v>
      </c>
      <c r="L782" s="252">
        <f>_xlfn.XLOOKUP($K782,Inputs!$C$6:$C$23,Inputs!$D$6:$D$23)*$I782</f>
        <v>2.1017142857142863</v>
      </c>
      <c r="M782" s="68"/>
      <c r="N782" s="68"/>
      <c r="O782" s="187"/>
      <c r="P782" s="187"/>
      <c r="Q782" s="94">
        <v>0.9</v>
      </c>
      <c r="R782" s="68">
        <f>IF((42.4*(J782)^(-0.6595))&gt;=3,3,(IF(42.4*(J782)^(-0.6595)&lt;=0.5,0.5,(42.4*(J782)^(-0.6595)))))</f>
        <v>3</v>
      </c>
      <c r="S782" s="276">
        <f>_xlfn.XLOOKUP($K782,Inputs!$G$6:$G$23,Inputs!J$6:J$23)*$R782</f>
        <v>153.60000000000002</v>
      </c>
      <c r="T782" s="276">
        <f>_xlfn.XLOOKUP($K782,Inputs!$G$6:$G$23,Inputs!K$6:K$23)*$R782</f>
        <v>169.96721311475409</v>
      </c>
      <c r="U782" s="96" t="s">
        <v>3954</v>
      </c>
      <c r="V782" s="22" t="s">
        <v>2175</v>
      </c>
      <c r="W782" s="96" t="s">
        <v>3373</v>
      </c>
      <c r="X782" s="22" t="s">
        <v>2656</v>
      </c>
      <c r="Y782" s="11" t="s">
        <v>3331</v>
      </c>
      <c r="Z782" s="79"/>
      <c r="AA782" s="187">
        <v>771</v>
      </c>
    </row>
    <row r="783" spans="2:27" s="184" customFormat="1" ht="20" x14ac:dyDescent="0.2">
      <c r="B783" s="11" t="s">
        <v>936</v>
      </c>
      <c r="C783" s="165" t="s">
        <v>4237</v>
      </c>
      <c r="D783" s="22" t="s">
        <v>2379</v>
      </c>
      <c r="E783" s="34">
        <v>1</v>
      </c>
      <c r="F783" s="22" t="s">
        <v>2223</v>
      </c>
      <c r="G783" s="235">
        <v>15</v>
      </c>
      <c r="H783" s="235">
        <f t="shared" si="109"/>
        <v>9.2592592592592595</v>
      </c>
      <c r="I783" s="235">
        <v>40.200000000000003</v>
      </c>
      <c r="J783" s="235">
        <f t="shared" si="110"/>
        <v>24.814814814814817</v>
      </c>
      <c r="K783" s="201">
        <v>144</v>
      </c>
      <c r="L783" s="252">
        <f>_xlfn.XLOOKUP($K783,Inputs!$C$6:$C$23,Inputs!$D$6:$D$23)*$I783</f>
        <v>17.601857142857146</v>
      </c>
      <c r="M783" s="68"/>
      <c r="N783" s="68"/>
      <c r="O783" s="209">
        <v>117</v>
      </c>
      <c r="P783" s="209">
        <v>125</v>
      </c>
      <c r="Q783" s="94">
        <v>0.9</v>
      </c>
      <c r="R783" s="68" t="s">
        <v>115</v>
      </c>
      <c r="S783" s="182">
        <f>O783*Q783</f>
        <v>105.3</v>
      </c>
      <c r="T783" s="182">
        <f>P783*Q783</f>
        <v>112.5</v>
      </c>
      <c r="U783" s="96" t="s">
        <v>3810</v>
      </c>
      <c r="V783" s="22" t="s">
        <v>2641</v>
      </c>
      <c r="W783" s="96" t="s">
        <v>3509</v>
      </c>
      <c r="X783" s="22" t="s">
        <v>2825</v>
      </c>
      <c r="Y783" s="11" t="s">
        <v>3305</v>
      </c>
      <c r="Z783" s="79"/>
      <c r="AA783" s="187">
        <v>772</v>
      </c>
    </row>
    <row r="784" spans="2:27" s="184" customFormat="1" ht="20" x14ac:dyDescent="0.2">
      <c r="B784" s="11" t="s">
        <v>936</v>
      </c>
      <c r="C784" s="165" t="s">
        <v>4237</v>
      </c>
      <c r="D784" s="22" t="s">
        <v>2379</v>
      </c>
      <c r="E784" s="34">
        <v>1</v>
      </c>
      <c r="F784" s="22" t="s">
        <v>2223</v>
      </c>
      <c r="G784" s="88">
        <v>25.200000000000003</v>
      </c>
      <c r="H784" s="235">
        <f t="shared" si="109"/>
        <v>15.555555555555557</v>
      </c>
      <c r="I784" s="88">
        <v>40.200000000000003</v>
      </c>
      <c r="J784" s="235">
        <f t="shared" si="110"/>
        <v>24.814814814814817</v>
      </c>
      <c r="K784" s="201">
        <v>144</v>
      </c>
      <c r="L784" s="252">
        <f>_xlfn.XLOOKUP($K784,Inputs!$C$6:$C$23,Inputs!$D$6:$D$23)*$I784</f>
        <v>17.601857142857146</v>
      </c>
      <c r="M784" s="68"/>
      <c r="N784" s="68"/>
      <c r="O784" s="209">
        <v>100</v>
      </c>
      <c r="P784" s="209">
        <v>100</v>
      </c>
      <c r="Q784" s="94">
        <v>0.9</v>
      </c>
      <c r="R784" s="68" t="s">
        <v>115</v>
      </c>
      <c r="S784" s="182">
        <f>O784*Q784</f>
        <v>90</v>
      </c>
      <c r="T784" s="182">
        <f>P784*Q784</f>
        <v>90</v>
      </c>
      <c r="U784" s="96" t="s">
        <v>3509</v>
      </c>
      <c r="V784" s="22" t="s">
        <v>2825</v>
      </c>
      <c r="W784" s="96" t="s">
        <v>3766</v>
      </c>
      <c r="X784" s="22" t="s">
        <v>3021</v>
      </c>
      <c r="Y784" s="11" t="s">
        <v>3305</v>
      </c>
      <c r="Z784" s="79"/>
      <c r="AA784" s="187">
        <v>773</v>
      </c>
    </row>
    <row r="785" spans="2:27" s="184" customFormat="1" ht="20" x14ac:dyDescent="0.2">
      <c r="B785" s="11" t="s">
        <v>937</v>
      </c>
      <c r="C785" s="165" t="s">
        <v>4237</v>
      </c>
      <c r="D785" s="22" t="s">
        <v>2379</v>
      </c>
      <c r="E785" s="34">
        <v>1</v>
      </c>
      <c r="F785" s="22" t="s">
        <v>2223</v>
      </c>
      <c r="G785" s="88">
        <v>15</v>
      </c>
      <c r="H785" s="235">
        <f t="shared" si="109"/>
        <v>9.2592592592592595</v>
      </c>
      <c r="I785" s="88">
        <v>15</v>
      </c>
      <c r="J785" s="235">
        <f t="shared" si="110"/>
        <v>9.2592592592592595</v>
      </c>
      <c r="K785" s="201">
        <v>144</v>
      </c>
      <c r="L785" s="252">
        <f>_xlfn.XLOOKUP($K785,Inputs!$C$6:$C$23,Inputs!$D$6:$D$23)*$I785</f>
        <v>6.5678571428571431</v>
      </c>
      <c r="M785" s="68"/>
      <c r="N785" s="68"/>
      <c r="O785" s="187"/>
      <c r="P785" s="187"/>
      <c r="Q785" s="94">
        <v>0.9</v>
      </c>
      <c r="R785" s="68">
        <f>IF((42.4*(J785)^(-0.6595))&gt;=3,3,(IF(42.4*(J785)^(-0.6595)&lt;=0.5,0.5,(42.4*(J785)^(-0.6595)))))</f>
        <v>3</v>
      </c>
      <c r="S785" s="276">
        <f>_xlfn.XLOOKUP($K785,Inputs!$G$6:$G$23,Inputs!J$6:J$23)*$R785</f>
        <v>153.60000000000002</v>
      </c>
      <c r="T785" s="276">
        <f>_xlfn.XLOOKUP($K785,Inputs!$G$6:$G$23,Inputs!K$6:K$23)*$R785</f>
        <v>169.96721311475409</v>
      </c>
      <c r="U785" s="96" t="s">
        <v>3857</v>
      </c>
      <c r="V785" s="22" t="s">
        <v>3127</v>
      </c>
      <c r="W785" s="96" t="s">
        <v>3947</v>
      </c>
      <c r="X785" s="205" t="s">
        <v>3199</v>
      </c>
      <c r="Y785" s="11" t="s">
        <v>3331</v>
      </c>
      <c r="Z785" s="79"/>
      <c r="AA785" s="187">
        <v>774</v>
      </c>
    </row>
    <row r="786" spans="2:27" s="184" customFormat="1" ht="20" x14ac:dyDescent="0.2">
      <c r="B786" s="11" t="s">
        <v>939</v>
      </c>
      <c r="C786" s="165" t="s">
        <v>4237</v>
      </c>
      <c r="D786" s="22" t="s">
        <v>2379</v>
      </c>
      <c r="E786" s="34">
        <v>1</v>
      </c>
      <c r="F786" s="22" t="s">
        <v>2223</v>
      </c>
      <c r="G786" s="235">
        <v>30</v>
      </c>
      <c r="H786" s="235">
        <f t="shared" si="109"/>
        <v>18.518518518518519</v>
      </c>
      <c r="I786" s="235">
        <v>50</v>
      </c>
      <c r="J786" s="235">
        <f t="shared" si="110"/>
        <v>30.864197530864196</v>
      </c>
      <c r="K786" s="215">
        <v>138</v>
      </c>
      <c r="L786" s="252">
        <f>_xlfn.XLOOKUP($K786,Inputs!$C$6:$C$23,Inputs!$D$6:$D$23)*$I786</f>
        <v>21.678571428571431</v>
      </c>
      <c r="M786" s="68"/>
      <c r="N786" s="68"/>
      <c r="O786" s="215">
        <v>99</v>
      </c>
      <c r="P786" s="215">
        <v>99</v>
      </c>
      <c r="Q786" s="94">
        <v>0.9</v>
      </c>
      <c r="R786" s="68" t="s">
        <v>115</v>
      </c>
      <c r="S786" s="182">
        <f t="shared" ref="S786:S791" si="111">O786*Q786</f>
        <v>89.100000000000009</v>
      </c>
      <c r="T786" s="182">
        <f t="shared" ref="T786:T791" si="112">P786*Q786</f>
        <v>89.100000000000009</v>
      </c>
      <c r="U786" s="96" t="s">
        <v>3573</v>
      </c>
      <c r="V786" s="22" t="s">
        <v>2868</v>
      </c>
      <c r="W786" s="96" t="s">
        <v>3413</v>
      </c>
      <c r="X786" s="22" t="s">
        <v>2766</v>
      </c>
      <c r="Y786" s="11" t="s">
        <v>3283</v>
      </c>
      <c r="Z786" s="79"/>
      <c r="AA786" s="187">
        <v>775</v>
      </c>
    </row>
    <row r="787" spans="2:27" s="184" customFormat="1" ht="20" x14ac:dyDescent="0.2">
      <c r="B787" s="11" t="s">
        <v>939</v>
      </c>
      <c r="C787" s="165" t="s">
        <v>4237</v>
      </c>
      <c r="D787" s="22" t="s">
        <v>2379</v>
      </c>
      <c r="E787" s="34">
        <v>1</v>
      </c>
      <c r="F787" s="22" t="s">
        <v>2223</v>
      </c>
      <c r="G787" s="88">
        <v>20</v>
      </c>
      <c r="H787" s="235">
        <f t="shared" si="109"/>
        <v>12.345679012345679</v>
      </c>
      <c r="I787" s="88">
        <v>50</v>
      </c>
      <c r="J787" s="235">
        <f t="shared" si="110"/>
        <v>30.864197530864196</v>
      </c>
      <c r="K787" s="215">
        <v>138</v>
      </c>
      <c r="L787" s="252">
        <f>_xlfn.XLOOKUP($K787,Inputs!$C$6:$C$23,Inputs!$D$6:$D$23)*$I787</f>
        <v>21.678571428571431</v>
      </c>
      <c r="M787" s="68"/>
      <c r="N787" s="68"/>
      <c r="O787" s="215">
        <v>99</v>
      </c>
      <c r="P787" s="215">
        <v>99</v>
      </c>
      <c r="Q787" s="94">
        <v>0.9</v>
      </c>
      <c r="R787" s="68" t="s">
        <v>115</v>
      </c>
      <c r="S787" s="182">
        <f t="shared" si="111"/>
        <v>89.100000000000009</v>
      </c>
      <c r="T787" s="182">
        <f t="shared" si="112"/>
        <v>89.100000000000009</v>
      </c>
      <c r="U787" s="96" t="s">
        <v>3413</v>
      </c>
      <c r="V787" s="22" t="s">
        <v>2766</v>
      </c>
      <c r="W787" s="96" t="s">
        <v>3811</v>
      </c>
      <c r="X787" s="22" t="s">
        <v>3058</v>
      </c>
      <c r="Y787" s="11" t="s">
        <v>3283</v>
      </c>
      <c r="Z787" s="79"/>
      <c r="AA787" s="187">
        <v>776</v>
      </c>
    </row>
    <row r="788" spans="2:27" s="184" customFormat="1" ht="20" x14ac:dyDescent="0.2">
      <c r="B788" s="11" t="s">
        <v>1483</v>
      </c>
      <c r="C788" s="165" t="s">
        <v>4237</v>
      </c>
      <c r="D788" s="22" t="s">
        <v>2379</v>
      </c>
      <c r="E788" s="34">
        <v>1</v>
      </c>
      <c r="F788" s="22" t="s">
        <v>2223</v>
      </c>
      <c r="G788" s="88">
        <v>9</v>
      </c>
      <c r="H788" s="235">
        <f t="shared" si="109"/>
        <v>5.5555555555555554</v>
      </c>
      <c r="I788" s="88">
        <v>30</v>
      </c>
      <c r="J788" s="235">
        <f t="shared" si="110"/>
        <v>18.518518518518519</v>
      </c>
      <c r="K788" s="215">
        <v>138</v>
      </c>
      <c r="L788" s="252">
        <f>_xlfn.XLOOKUP($K788,Inputs!$C$6:$C$23,Inputs!$D$6:$D$23)*$I788</f>
        <v>13.007142857142858</v>
      </c>
      <c r="M788" s="68"/>
      <c r="N788" s="68"/>
      <c r="O788" s="215">
        <v>109.3</v>
      </c>
      <c r="P788" s="215">
        <v>139</v>
      </c>
      <c r="Q788" s="94">
        <v>0.9</v>
      </c>
      <c r="R788" s="68" t="s">
        <v>115</v>
      </c>
      <c r="S788" s="182">
        <f t="shared" si="111"/>
        <v>98.37</v>
      </c>
      <c r="T788" s="182">
        <f t="shared" si="112"/>
        <v>125.10000000000001</v>
      </c>
      <c r="U788" s="96" t="s">
        <v>3685</v>
      </c>
      <c r="V788" s="22" t="s">
        <v>2956</v>
      </c>
      <c r="W788" s="96" t="s">
        <v>3425</v>
      </c>
      <c r="X788" s="22" t="s">
        <v>2176</v>
      </c>
      <c r="Y788" s="11" t="s">
        <v>3317</v>
      </c>
      <c r="Z788" s="79"/>
      <c r="AA788" s="187">
        <v>777</v>
      </c>
    </row>
    <row r="789" spans="2:27" s="184" customFormat="1" ht="20" x14ac:dyDescent="0.2">
      <c r="B789" s="11" t="s">
        <v>1483</v>
      </c>
      <c r="C789" s="165" t="s">
        <v>4237</v>
      </c>
      <c r="D789" s="22" t="s">
        <v>2379</v>
      </c>
      <c r="E789" s="34">
        <v>1</v>
      </c>
      <c r="F789" s="22" t="s">
        <v>2223</v>
      </c>
      <c r="G789" s="88">
        <v>21</v>
      </c>
      <c r="H789" s="235">
        <f t="shared" si="109"/>
        <v>12.962962962962962</v>
      </c>
      <c r="I789" s="88">
        <v>30</v>
      </c>
      <c r="J789" s="235">
        <f t="shared" si="110"/>
        <v>18.518518518518519</v>
      </c>
      <c r="K789" s="215">
        <v>138</v>
      </c>
      <c r="L789" s="252">
        <f>_xlfn.XLOOKUP($K789,Inputs!$C$6:$C$23,Inputs!$D$6:$D$23)*$I789</f>
        <v>13.007142857142858</v>
      </c>
      <c r="M789" s="68"/>
      <c r="N789" s="68"/>
      <c r="O789" s="215">
        <v>88</v>
      </c>
      <c r="P789" s="215">
        <v>127</v>
      </c>
      <c r="Q789" s="94">
        <v>0.9</v>
      </c>
      <c r="R789" s="68" t="s">
        <v>115</v>
      </c>
      <c r="S789" s="182">
        <f t="shared" si="111"/>
        <v>79.2</v>
      </c>
      <c r="T789" s="182">
        <f t="shared" si="112"/>
        <v>114.3</v>
      </c>
      <c r="U789" s="96" t="s">
        <v>3425</v>
      </c>
      <c r="V789" s="22" t="s">
        <v>2176</v>
      </c>
      <c r="W789" s="96" t="s">
        <v>3530</v>
      </c>
      <c r="X789" s="22" t="s">
        <v>2840</v>
      </c>
      <c r="Y789" s="11" t="s">
        <v>3317</v>
      </c>
      <c r="Z789" s="79"/>
      <c r="AA789" s="187">
        <v>778</v>
      </c>
    </row>
    <row r="790" spans="2:27" s="184" customFormat="1" ht="20" x14ac:dyDescent="0.2">
      <c r="B790" s="11" t="s">
        <v>1486</v>
      </c>
      <c r="C790" s="165" t="s">
        <v>4237</v>
      </c>
      <c r="D790" s="22" t="s">
        <v>2379</v>
      </c>
      <c r="E790" s="34">
        <v>1</v>
      </c>
      <c r="F790" s="22" t="s">
        <v>2223</v>
      </c>
      <c r="G790" s="88">
        <v>6</v>
      </c>
      <c r="H790" s="235">
        <f t="shared" si="109"/>
        <v>3.7037037037037033</v>
      </c>
      <c r="I790" s="88">
        <v>6</v>
      </c>
      <c r="J790" s="235">
        <f t="shared" si="110"/>
        <v>3.7037037037037033</v>
      </c>
      <c r="K790" s="201">
        <v>144</v>
      </c>
      <c r="L790" s="252">
        <f>_xlfn.XLOOKUP($K790,Inputs!$C$6:$C$23,Inputs!$D$6:$D$23)*$I790</f>
        <v>2.6271428571428572</v>
      </c>
      <c r="M790" s="68"/>
      <c r="N790" s="68"/>
      <c r="O790" s="215">
        <v>109</v>
      </c>
      <c r="P790" s="215">
        <v>139</v>
      </c>
      <c r="Q790" s="94">
        <v>0.9</v>
      </c>
      <c r="R790" s="68" t="s">
        <v>115</v>
      </c>
      <c r="S790" s="182">
        <f t="shared" si="111"/>
        <v>98.100000000000009</v>
      </c>
      <c r="T790" s="182">
        <f t="shared" si="112"/>
        <v>125.10000000000001</v>
      </c>
      <c r="U790" s="96" t="s">
        <v>3425</v>
      </c>
      <c r="V790" s="22" t="s">
        <v>2176</v>
      </c>
      <c r="W790" s="96" t="s">
        <v>3424</v>
      </c>
      <c r="X790" s="22" t="s">
        <v>2774</v>
      </c>
      <c r="Y790" s="11" t="s">
        <v>3309</v>
      </c>
      <c r="Z790" s="79"/>
      <c r="AA790" s="187">
        <v>779</v>
      </c>
    </row>
    <row r="791" spans="2:27" s="184" customFormat="1" ht="20" x14ac:dyDescent="0.2">
      <c r="B791" s="11" t="s">
        <v>942</v>
      </c>
      <c r="C791" s="165" t="s">
        <v>4237</v>
      </c>
      <c r="D791" s="22" t="s">
        <v>2379</v>
      </c>
      <c r="E791" s="34">
        <v>1</v>
      </c>
      <c r="F791" s="22" t="s">
        <v>2223</v>
      </c>
      <c r="G791" s="235">
        <v>15</v>
      </c>
      <c r="H791" s="235">
        <f t="shared" si="109"/>
        <v>9.2592592592592595</v>
      </c>
      <c r="I791" s="235">
        <v>15</v>
      </c>
      <c r="J791" s="235">
        <f t="shared" si="110"/>
        <v>9.2592592592592595</v>
      </c>
      <c r="K791" s="201">
        <v>144</v>
      </c>
      <c r="L791" s="252">
        <f>_xlfn.XLOOKUP($K791,Inputs!$C$6:$C$23,Inputs!$D$6:$D$23)*$I791</f>
        <v>6.5678571428571431</v>
      </c>
      <c r="M791" s="68"/>
      <c r="N791" s="68"/>
      <c r="O791" s="215">
        <v>146</v>
      </c>
      <c r="P791" s="215">
        <v>149</v>
      </c>
      <c r="Q791" s="94">
        <v>0.9</v>
      </c>
      <c r="R791" s="68" t="s">
        <v>115</v>
      </c>
      <c r="S791" s="182">
        <f t="shared" si="111"/>
        <v>131.4</v>
      </c>
      <c r="T791" s="182">
        <f t="shared" si="112"/>
        <v>134.1</v>
      </c>
      <c r="U791" s="96" t="s">
        <v>3573</v>
      </c>
      <c r="V791" s="22" t="s">
        <v>2868</v>
      </c>
      <c r="W791" s="96" t="s">
        <v>3925</v>
      </c>
      <c r="X791" s="22" t="s">
        <v>3184</v>
      </c>
      <c r="Y791" s="11" t="s">
        <v>3295</v>
      </c>
      <c r="Z791" s="79"/>
      <c r="AA791" s="187">
        <v>780</v>
      </c>
    </row>
    <row r="792" spans="2:27" s="184" customFormat="1" ht="20" x14ac:dyDescent="0.2">
      <c r="B792" s="11" t="s">
        <v>943</v>
      </c>
      <c r="C792" s="165" t="s">
        <v>4237</v>
      </c>
      <c r="D792" s="22" t="s">
        <v>2379</v>
      </c>
      <c r="E792" s="34">
        <v>1</v>
      </c>
      <c r="F792" s="22" t="s">
        <v>2223</v>
      </c>
      <c r="G792" s="88">
        <v>30</v>
      </c>
      <c r="H792" s="235">
        <f t="shared" si="109"/>
        <v>18.518518518518519</v>
      </c>
      <c r="I792" s="88">
        <v>30</v>
      </c>
      <c r="J792" s="235">
        <f t="shared" si="110"/>
        <v>18.518518518518519</v>
      </c>
      <c r="K792" s="201">
        <v>144</v>
      </c>
      <c r="L792" s="252">
        <f>_xlfn.XLOOKUP($K792,Inputs!$C$6:$C$23,Inputs!$D$6:$D$23)*$I792</f>
        <v>13.135714285714286</v>
      </c>
      <c r="M792" s="68"/>
      <c r="N792" s="68"/>
      <c r="O792" s="187"/>
      <c r="P792" s="187"/>
      <c r="Q792" s="94">
        <v>0.9</v>
      </c>
      <c r="R792" s="68">
        <f>IF((42.4*(J792)^(-0.6595))&gt;=3,3,(IF(42.4*(J792)^(-0.6595)&lt;=0.5,0.5,(42.4*(J792)^(-0.6595)))))</f>
        <v>3</v>
      </c>
      <c r="S792" s="276">
        <f>_xlfn.XLOOKUP($K792,Inputs!$G$6:$G$23,Inputs!J$6:J$23)*$R792</f>
        <v>153.60000000000002</v>
      </c>
      <c r="T792" s="276">
        <f>_xlfn.XLOOKUP($K792,Inputs!$G$6:$G$23,Inputs!K$6:K$23)*$R792</f>
        <v>169.96721311475409</v>
      </c>
      <c r="U792" s="96" t="s">
        <v>3410</v>
      </c>
      <c r="V792" s="22" t="s">
        <v>2763</v>
      </c>
      <c r="W792" s="96" t="s">
        <v>3613</v>
      </c>
      <c r="X792" s="22" t="s">
        <v>2901</v>
      </c>
      <c r="Y792" s="11" t="s">
        <v>3331</v>
      </c>
      <c r="Z792" s="79"/>
      <c r="AA792" s="187">
        <v>781</v>
      </c>
    </row>
    <row r="793" spans="2:27" s="184" customFormat="1" ht="20" x14ac:dyDescent="0.2">
      <c r="B793" s="11" t="s">
        <v>2006</v>
      </c>
      <c r="C793" s="165" t="s">
        <v>4237</v>
      </c>
      <c r="D793" s="22" t="s">
        <v>2379</v>
      </c>
      <c r="E793" s="34">
        <v>1</v>
      </c>
      <c r="F793" s="22" t="s">
        <v>2223</v>
      </c>
      <c r="G793" s="88">
        <v>45.5</v>
      </c>
      <c r="H793" s="235">
        <f t="shared" si="109"/>
        <v>28.086419753086417</v>
      </c>
      <c r="I793" s="88">
        <v>45.5</v>
      </c>
      <c r="J793" s="235">
        <f t="shared" si="110"/>
        <v>28.086419753086417</v>
      </c>
      <c r="K793" s="201">
        <v>144</v>
      </c>
      <c r="L793" s="252">
        <f>_xlfn.XLOOKUP($K793,Inputs!$C$6:$C$23,Inputs!$D$6:$D$23)*$I793</f>
        <v>19.922500000000003</v>
      </c>
      <c r="M793" s="68"/>
      <c r="N793" s="68"/>
      <c r="O793" s="215">
        <v>114</v>
      </c>
      <c r="P793" s="215">
        <v>145</v>
      </c>
      <c r="Q793" s="94">
        <v>0.9</v>
      </c>
      <c r="R793" s="68" t="s">
        <v>115</v>
      </c>
      <c r="S793" s="182">
        <f>O793*Q793</f>
        <v>102.60000000000001</v>
      </c>
      <c r="T793" s="182">
        <f>P793*Q793</f>
        <v>130.5</v>
      </c>
      <c r="U793" s="96" t="s">
        <v>3396</v>
      </c>
      <c r="V793" s="22" t="s">
        <v>2177</v>
      </c>
      <c r="W793" s="96" t="s">
        <v>3763</v>
      </c>
      <c r="X793" s="22" t="s">
        <v>2639</v>
      </c>
      <c r="Y793" s="11" t="s">
        <v>3284</v>
      </c>
      <c r="Z793" s="79"/>
      <c r="AA793" s="187">
        <v>782</v>
      </c>
    </row>
    <row r="794" spans="2:27" s="184" customFormat="1" ht="20" x14ac:dyDescent="0.2">
      <c r="B794" s="11" t="s">
        <v>2007</v>
      </c>
      <c r="C794" s="165" t="s">
        <v>4237</v>
      </c>
      <c r="D794" s="22" t="s">
        <v>2379</v>
      </c>
      <c r="E794" s="34">
        <v>1</v>
      </c>
      <c r="F794" s="22" t="s">
        <v>2223</v>
      </c>
      <c r="G794" s="88">
        <v>21</v>
      </c>
      <c r="H794" s="235">
        <f t="shared" si="109"/>
        <v>12.962962962962962</v>
      </c>
      <c r="I794" s="88">
        <v>21</v>
      </c>
      <c r="J794" s="235">
        <f t="shared" si="110"/>
        <v>12.962962962962962</v>
      </c>
      <c r="K794" s="201">
        <v>144</v>
      </c>
      <c r="L794" s="252">
        <f>_xlfn.XLOOKUP($K794,Inputs!$C$6:$C$23,Inputs!$D$6:$D$23)*$I794</f>
        <v>9.1950000000000003</v>
      </c>
      <c r="M794" s="68"/>
      <c r="N794" s="68"/>
      <c r="O794" s="187"/>
      <c r="P794" s="187"/>
      <c r="Q794" s="94">
        <v>0.9</v>
      </c>
      <c r="R794" s="68">
        <f>IF((42.4*(J794)^(-0.6595))&gt;=3,3,(IF(42.4*(J794)^(-0.6595)&lt;=0.5,0.5,(42.4*(J794)^(-0.6595)))))</f>
        <v>3</v>
      </c>
      <c r="S794" s="276">
        <f>_xlfn.XLOOKUP($K794,Inputs!$G$6:$G$23,Inputs!J$6:J$23)*$R794</f>
        <v>153.60000000000002</v>
      </c>
      <c r="T794" s="276">
        <f>_xlfn.XLOOKUP($K794,Inputs!$G$6:$G$23,Inputs!K$6:K$23)*$R794</f>
        <v>169.96721311475409</v>
      </c>
      <c r="U794" s="96" t="s">
        <v>3396</v>
      </c>
      <c r="V794" s="22" t="s">
        <v>2177</v>
      </c>
      <c r="W794" s="96" t="s">
        <v>3395</v>
      </c>
      <c r="X794" s="22" t="s">
        <v>2756</v>
      </c>
      <c r="Y794" s="11" t="s">
        <v>3331</v>
      </c>
      <c r="Z794" s="79"/>
      <c r="AA794" s="187">
        <v>783</v>
      </c>
    </row>
    <row r="795" spans="2:27" s="184" customFormat="1" ht="20" x14ac:dyDescent="0.2">
      <c r="B795" s="11" t="s">
        <v>1444</v>
      </c>
      <c r="C795" s="165" t="s">
        <v>4237</v>
      </c>
      <c r="D795" s="22" t="s">
        <v>2379</v>
      </c>
      <c r="E795" s="34">
        <v>1</v>
      </c>
      <c r="F795" s="22" t="s">
        <v>2223</v>
      </c>
      <c r="G795" s="88">
        <v>15</v>
      </c>
      <c r="H795" s="235">
        <f t="shared" si="109"/>
        <v>9.2592592592592595</v>
      </c>
      <c r="I795" s="88">
        <v>15</v>
      </c>
      <c r="J795" s="235">
        <f t="shared" si="110"/>
        <v>9.2592592592592595</v>
      </c>
      <c r="K795" s="201">
        <v>144</v>
      </c>
      <c r="L795" s="252">
        <f>_xlfn.XLOOKUP($K795,Inputs!$C$6:$C$23,Inputs!$D$6:$D$23)*$I795</f>
        <v>6.5678571428571431</v>
      </c>
      <c r="M795" s="68"/>
      <c r="N795" s="68"/>
      <c r="O795" s="215">
        <v>96</v>
      </c>
      <c r="P795" s="215">
        <v>96</v>
      </c>
      <c r="Q795" s="94">
        <v>0.9</v>
      </c>
      <c r="R795" s="68" t="s">
        <v>115</v>
      </c>
      <c r="S795" s="182">
        <f>O795*Q795</f>
        <v>86.4</v>
      </c>
      <c r="T795" s="182">
        <f>P795*Q795</f>
        <v>86.4</v>
      </c>
      <c r="U795" s="96" t="s">
        <v>3893</v>
      </c>
      <c r="V795" s="22" t="s">
        <v>2646</v>
      </c>
      <c r="W795" s="96" t="s">
        <v>3751</v>
      </c>
      <c r="X795" s="22" t="s">
        <v>3009</v>
      </c>
      <c r="Y795" s="11" t="s">
        <v>3309</v>
      </c>
      <c r="Z795" s="79"/>
      <c r="AA795" s="187">
        <v>784</v>
      </c>
    </row>
    <row r="796" spans="2:27" s="184" customFormat="1" ht="20" x14ac:dyDescent="0.2">
      <c r="B796" s="11" t="s">
        <v>945</v>
      </c>
      <c r="C796" s="165" t="s">
        <v>4237</v>
      </c>
      <c r="D796" s="22" t="s">
        <v>2379</v>
      </c>
      <c r="E796" s="34">
        <v>1</v>
      </c>
      <c r="F796" s="22" t="s">
        <v>2223</v>
      </c>
      <c r="G796" s="88">
        <v>12</v>
      </c>
      <c r="H796" s="235">
        <f t="shared" si="109"/>
        <v>7.4074074074074066</v>
      </c>
      <c r="I796" s="88">
        <v>12</v>
      </c>
      <c r="J796" s="235">
        <f t="shared" si="110"/>
        <v>7.4074074074074066</v>
      </c>
      <c r="K796" s="201">
        <v>144</v>
      </c>
      <c r="L796" s="252">
        <f>_xlfn.XLOOKUP($K796,Inputs!$C$6:$C$23,Inputs!$D$6:$D$23)*$I796</f>
        <v>5.2542857142857144</v>
      </c>
      <c r="M796" s="68"/>
      <c r="N796" s="68"/>
      <c r="O796" s="187"/>
      <c r="P796" s="187"/>
      <c r="Q796" s="94">
        <v>0.9</v>
      </c>
      <c r="R796" s="68">
        <f>IF((42.4*(J796)^(-0.6595))&gt;=3,3,(IF(42.4*(J796)^(-0.6595)&lt;=0.5,0.5,(42.4*(J796)^(-0.6595)))))</f>
        <v>3</v>
      </c>
      <c r="S796" s="276">
        <f>_xlfn.XLOOKUP($K796,Inputs!$G$6:$G$23,Inputs!J$6:J$23)*$R796</f>
        <v>153.60000000000002</v>
      </c>
      <c r="T796" s="276">
        <f>_xlfn.XLOOKUP($K796,Inputs!$G$6:$G$23,Inputs!K$6:K$23)*$R796</f>
        <v>169.96721311475409</v>
      </c>
      <c r="U796" s="96" t="s">
        <v>3728</v>
      </c>
      <c r="V796" s="22" t="s">
        <v>2989</v>
      </c>
      <c r="W796" s="96" t="s">
        <v>3647</v>
      </c>
      <c r="X796" s="22" t="s">
        <v>3261</v>
      </c>
      <c r="Y796" s="11" t="s">
        <v>3331</v>
      </c>
      <c r="Z796" s="79"/>
      <c r="AA796" s="187">
        <v>785</v>
      </c>
    </row>
    <row r="797" spans="2:27" s="184" customFormat="1" ht="20" x14ac:dyDescent="0.2">
      <c r="B797" s="11" t="s">
        <v>1506</v>
      </c>
      <c r="C797" s="165" t="s">
        <v>4237</v>
      </c>
      <c r="D797" s="22" t="s">
        <v>2379</v>
      </c>
      <c r="E797" s="34">
        <v>1</v>
      </c>
      <c r="F797" s="22" t="s">
        <v>2223</v>
      </c>
      <c r="G797" s="235">
        <v>65</v>
      </c>
      <c r="H797" s="235">
        <f t="shared" si="109"/>
        <v>40.123456790123456</v>
      </c>
      <c r="I797" s="235">
        <v>77</v>
      </c>
      <c r="J797" s="235">
        <f t="shared" si="110"/>
        <v>47.53086419753086</v>
      </c>
      <c r="K797" s="215">
        <v>138</v>
      </c>
      <c r="L797" s="252">
        <f>_xlfn.XLOOKUP($K797,Inputs!$C$6:$C$23,Inputs!$D$6:$D$23)*$I797</f>
        <v>33.385000000000005</v>
      </c>
      <c r="M797" s="68"/>
      <c r="N797" s="68"/>
      <c r="O797" s="215">
        <v>109.3</v>
      </c>
      <c r="P797" s="215">
        <v>139</v>
      </c>
      <c r="Q797" s="94">
        <v>0.9</v>
      </c>
      <c r="R797" s="68" t="s">
        <v>115</v>
      </c>
      <c r="S797" s="182">
        <f t="shared" ref="S797:S807" si="113">O797*Q797</f>
        <v>98.37</v>
      </c>
      <c r="T797" s="182">
        <f t="shared" ref="T797:T807" si="114">P797*Q797</f>
        <v>125.10000000000001</v>
      </c>
      <c r="U797" s="96" t="s">
        <v>3770</v>
      </c>
      <c r="V797" s="22" t="s">
        <v>3024</v>
      </c>
      <c r="W797" s="96" t="s">
        <v>3895</v>
      </c>
      <c r="X797" s="22" t="s">
        <v>3155</v>
      </c>
      <c r="Y797" s="11" t="s">
        <v>3299</v>
      </c>
      <c r="Z797" s="79"/>
      <c r="AA797" s="187">
        <v>786</v>
      </c>
    </row>
    <row r="798" spans="2:27" s="184" customFormat="1" ht="20" x14ac:dyDescent="0.2">
      <c r="B798" s="11" t="s">
        <v>1506</v>
      </c>
      <c r="C798" s="165" t="s">
        <v>4237</v>
      </c>
      <c r="D798" s="22" t="s">
        <v>2379</v>
      </c>
      <c r="E798" s="34">
        <v>1</v>
      </c>
      <c r="F798" s="22" t="s">
        <v>2223</v>
      </c>
      <c r="G798" s="88">
        <v>12</v>
      </c>
      <c r="H798" s="235">
        <f t="shared" si="109"/>
        <v>7.4074074074074066</v>
      </c>
      <c r="I798" s="88">
        <v>77</v>
      </c>
      <c r="J798" s="235">
        <f t="shared" si="110"/>
        <v>47.53086419753086</v>
      </c>
      <c r="K798" s="215">
        <v>138</v>
      </c>
      <c r="L798" s="252">
        <f>_xlfn.XLOOKUP($K798,Inputs!$C$6:$C$23,Inputs!$D$6:$D$23)*$I798</f>
        <v>33.385000000000005</v>
      </c>
      <c r="M798" s="68"/>
      <c r="N798" s="68"/>
      <c r="O798" s="215">
        <v>109.3</v>
      </c>
      <c r="P798" s="215">
        <v>139</v>
      </c>
      <c r="Q798" s="94">
        <v>0.9</v>
      </c>
      <c r="R798" s="68" t="s">
        <v>115</v>
      </c>
      <c r="S798" s="182">
        <f t="shared" si="113"/>
        <v>98.37</v>
      </c>
      <c r="T798" s="182">
        <f t="shared" si="114"/>
        <v>125.10000000000001</v>
      </c>
      <c r="U798" s="96" t="s">
        <v>3895</v>
      </c>
      <c r="V798" s="205" t="s">
        <v>3155</v>
      </c>
      <c r="W798" s="96" t="s">
        <v>3795</v>
      </c>
      <c r="X798" s="22" t="s">
        <v>3045</v>
      </c>
      <c r="Y798" s="11" t="s">
        <v>3299</v>
      </c>
      <c r="Z798" s="79"/>
      <c r="AA798" s="187">
        <v>787</v>
      </c>
    </row>
    <row r="799" spans="2:27" s="188" customFormat="1" ht="20" x14ac:dyDescent="0.2">
      <c r="B799" s="11" t="s">
        <v>947</v>
      </c>
      <c r="C799" s="165" t="s">
        <v>4237</v>
      </c>
      <c r="D799" s="22" t="s">
        <v>2379</v>
      </c>
      <c r="E799" s="34">
        <v>1</v>
      </c>
      <c r="F799" s="22" t="s">
        <v>2223</v>
      </c>
      <c r="G799" s="88">
        <v>25</v>
      </c>
      <c r="H799" s="235">
        <f t="shared" si="109"/>
        <v>15.432098765432098</v>
      </c>
      <c r="I799" s="88">
        <v>80</v>
      </c>
      <c r="J799" s="235">
        <f t="shared" si="110"/>
        <v>49.382716049382715</v>
      </c>
      <c r="K799" s="221">
        <v>144</v>
      </c>
      <c r="L799" s="252">
        <f>_xlfn.XLOOKUP($K799,Inputs!$C$6:$C$23,Inputs!$D$6:$D$23)*$I799</f>
        <v>35.028571428571432</v>
      </c>
      <c r="M799" s="68"/>
      <c r="N799" s="68"/>
      <c r="O799" s="216">
        <v>114</v>
      </c>
      <c r="P799" s="216">
        <v>145</v>
      </c>
      <c r="Q799" s="94">
        <v>0.9</v>
      </c>
      <c r="R799" s="68" t="s">
        <v>115</v>
      </c>
      <c r="S799" s="182">
        <f t="shared" si="113"/>
        <v>102.60000000000001</v>
      </c>
      <c r="T799" s="182">
        <f t="shared" si="114"/>
        <v>130.5</v>
      </c>
      <c r="U799" s="96" t="s">
        <v>3592</v>
      </c>
      <c r="V799" s="22" t="s">
        <v>2680</v>
      </c>
      <c r="W799" s="96" t="s">
        <v>3650</v>
      </c>
      <c r="X799" s="22" t="s">
        <v>2926</v>
      </c>
      <c r="Y799" s="11" t="s">
        <v>3283</v>
      </c>
      <c r="Z799" s="79"/>
      <c r="AA799" s="187">
        <v>788</v>
      </c>
    </row>
    <row r="800" spans="2:27" s="184" customFormat="1" ht="20" x14ac:dyDescent="0.2">
      <c r="B800" s="11" t="s">
        <v>947</v>
      </c>
      <c r="C800" s="165" t="s">
        <v>4237</v>
      </c>
      <c r="D800" s="22" t="s">
        <v>2379</v>
      </c>
      <c r="E800" s="34">
        <v>1</v>
      </c>
      <c r="F800" s="22" t="s">
        <v>2223</v>
      </c>
      <c r="G800" s="235">
        <v>55</v>
      </c>
      <c r="H800" s="235">
        <f t="shared" si="109"/>
        <v>33.950617283950614</v>
      </c>
      <c r="I800" s="235">
        <v>80</v>
      </c>
      <c r="J800" s="235">
        <f t="shared" si="110"/>
        <v>49.382716049382715</v>
      </c>
      <c r="K800" s="201">
        <v>144</v>
      </c>
      <c r="L800" s="252">
        <f>_xlfn.XLOOKUP($K800,Inputs!$C$6:$C$23,Inputs!$D$6:$D$23)*$I800</f>
        <v>35.028571428571432</v>
      </c>
      <c r="M800" s="68"/>
      <c r="N800" s="68"/>
      <c r="O800" s="215">
        <v>114</v>
      </c>
      <c r="P800" s="215">
        <v>145</v>
      </c>
      <c r="Q800" s="94">
        <v>0.9</v>
      </c>
      <c r="R800" s="68" t="s">
        <v>115</v>
      </c>
      <c r="S800" s="182">
        <f t="shared" si="113"/>
        <v>102.60000000000001</v>
      </c>
      <c r="T800" s="182">
        <f t="shared" si="114"/>
        <v>130.5</v>
      </c>
      <c r="U800" s="96" t="s">
        <v>3650</v>
      </c>
      <c r="V800" s="22" t="s">
        <v>2926</v>
      </c>
      <c r="W800" s="96" t="s">
        <v>3834</v>
      </c>
      <c r="X800" s="22" t="s">
        <v>4387</v>
      </c>
      <c r="Y800" s="11" t="s">
        <v>3283</v>
      </c>
      <c r="Z800" s="79"/>
      <c r="AA800" s="187">
        <v>789</v>
      </c>
    </row>
    <row r="801" spans="2:27" s="184" customFormat="1" ht="20" x14ac:dyDescent="0.2">
      <c r="B801" s="11" t="s">
        <v>949</v>
      </c>
      <c r="C801" s="165" t="s">
        <v>4237</v>
      </c>
      <c r="D801" s="22" t="s">
        <v>2379</v>
      </c>
      <c r="E801" s="34">
        <v>1</v>
      </c>
      <c r="F801" s="22" t="s">
        <v>2223</v>
      </c>
      <c r="G801" s="88">
        <v>23</v>
      </c>
      <c r="H801" s="235">
        <f t="shared" si="109"/>
        <v>14.19753086419753</v>
      </c>
      <c r="I801" s="88">
        <v>23</v>
      </c>
      <c r="J801" s="235">
        <f t="shared" si="110"/>
        <v>14.19753086419753</v>
      </c>
      <c r="K801" s="201">
        <v>144</v>
      </c>
      <c r="L801" s="252">
        <f>_xlfn.XLOOKUP($K801,Inputs!$C$6:$C$23,Inputs!$D$6:$D$23)*$I801</f>
        <v>10.070714285714287</v>
      </c>
      <c r="M801" s="68"/>
      <c r="N801" s="68"/>
      <c r="O801" s="215">
        <v>149</v>
      </c>
      <c r="P801" s="215">
        <v>149</v>
      </c>
      <c r="Q801" s="94">
        <v>0.9</v>
      </c>
      <c r="R801" s="68" t="s">
        <v>115</v>
      </c>
      <c r="S801" s="182">
        <f t="shared" si="113"/>
        <v>134.1</v>
      </c>
      <c r="T801" s="182">
        <f t="shared" si="114"/>
        <v>134.1</v>
      </c>
      <c r="U801" s="96" t="s">
        <v>458</v>
      </c>
      <c r="V801" s="22" t="s">
        <v>2705</v>
      </c>
      <c r="W801" s="96" t="s">
        <v>3340</v>
      </c>
      <c r="X801" s="22" t="s">
        <v>2201</v>
      </c>
      <c r="Y801" s="11" t="s">
        <v>3272</v>
      </c>
      <c r="Z801" s="79"/>
      <c r="AA801" s="187">
        <v>790</v>
      </c>
    </row>
    <row r="802" spans="2:27" s="184" customFormat="1" ht="20" x14ac:dyDescent="0.2">
      <c r="B802" s="11" t="s">
        <v>2011</v>
      </c>
      <c r="C802" s="165" t="s">
        <v>4237</v>
      </c>
      <c r="D802" s="22" t="s">
        <v>2379</v>
      </c>
      <c r="E802" s="34">
        <v>1</v>
      </c>
      <c r="F802" s="22" t="s">
        <v>2223</v>
      </c>
      <c r="G802" s="88">
        <v>25</v>
      </c>
      <c r="H802" s="235">
        <f t="shared" si="109"/>
        <v>15.432098765432098</v>
      </c>
      <c r="I802" s="88">
        <v>75</v>
      </c>
      <c r="J802" s="235">
        <f t="shared" si="110"/>
        <v>46.296296296296291</v>
      </c>
      <c r="K802" s="201">
        <v>144</v>
      </c>
      <c r="L802" s="252">
        <f>_xlfn.XLOOKUP($K802,Inputs!$C$6:$C$23,Inputs!$D$6:$D$23)*$I802</f>
        <v>32.839285714285715</v>
      </c>
      <c r="M802" s="68"/>
      <c r="N802" s="68"/>
      <c r="O802" s="215">
        <v>114</v>
      </c>
      <c r="P802" s="215">
        <v>145</v>
      </c>
      <c r="Q802" s="94">
        <v>0.9</v>
      </c>
      <c r="R802" s="68" t="s">
        <v>115</v>
      </c>
      <c r="S802" s="182">
        <f t="shared" si="113"/>
        <v>102.60000000000001</v>
      </c>
      <c r="T802" s="182">
        <f t="shared" si="114"/>
        <v>130.5</v>
      </c>
      <c r="U802" s="96" t="s">
        <v>3799</v>
      </c>
      <c r="V802" s="22" t="s">
        <v>3049</v>
      </c>
      <c r="W802" s="96" t="s">
        <v>3596</v>
      </c>
      <c r="X802" s="205" t="s">
        <v>2885</v>
      </c>
      <c r="Y802" s="11" t="s">
        <v>3272</v>
      </c>
      <c r="Z802" s="79"/>
      <c r="AA802" s="187">
        <v>791</v>
      </c>
    </row>
    <row r="803" spans="2:27" s="184" customFormat="1" ht="20" x14ac:dyDescent="0.2">
      <c r="B803" s="11" t="s">
        <v>2011</v>
      </c>
      <c r="C803" s="165" t="s">
        <v>4237</v>
      </c>
      <c r="D803" s="22" t="s">
        <v>2379</v>
      </c>
      <c r="E803" s="34">
        <v>1</v>
      </c>
      <c r="F803" s="22" t="s">
        <v>2223</v>
      </c>
      <c r="G803" s="235">
        <v>50</v>
      </c>
      <c r="H803" s="235">
        <f t="shared" si="109"/>
        <v>30.864197530864196</v>
      </c>
      <c r="I803" s="235">
        <v>75</v>
      </c>
      <c r="J803" s="235">
        <f t="shared" si="110"/>
        <v>46.296296296296291</v>
      </c>
      <c r="K803" s="201">
        <v>144</v>
      </c>
      <c r="L803" s="252">
        <f>_xlfn.XLOOKUP($K803,Inputs!$C$6:$C$23,Inputs!$D$6:$D$23)*$I803</f>
        <v>32.839285714285715</v>
      </c>
      <c r="M803" s="68"/>
      <c r="N803" s="68"/>
      <c r="O803" s="215">
        <v>114</v>
      </c>
      <c r="P803" s="215">
        <v>145</v>
      </c>
      <c r="Q803" s="94">
        <v>0.9</v>
      </c>
      <c r="R803" s="68" t="s">
        <v>115</v>
      </c>
      <c r="S803" s="182">
        <f t="shared" si="113"/>
        <v>102.60000000000001</v>
      </c>
      <c r="T803" s="182">
        <f t="shared" si="114"/>
        <v>130.5</v>
      </c>
      <c r="U803" s="96" t="s">
        <v>3625</v>
      </c>
      <c r="V803" s="22" t="s">
        <v>2910</v>
      </c>
      <c r="W803" s="96" t="s">
        <v>3596</v>
      </c>
      <c r="X803" s="205" t="s">
        <v>2885</v>
      </c>
      <c r="Y803" s="11" t="s">
        <v>3272</v>
      </c>
      <c r="Z803" s="79"/>
      <c r="AA803" s="187">
        <v>792</v>
      </c>
    </row>
    <row r="804" spans="2:27" s="184" customFormat="1" ht="20" x14ac:dyDescent="0.2">
      <c r="B804" s="11" t="s">
        <v>951</v>
      </c>
      <c r="C804" s="165" t="s">
        <v>4237</v>
      </c>
      <c r="D804" s="22" t="s">
        <v>2379</v>
      </c>
      <c r="E804" s="34">
        <v>1</v>
      </c>
      <c r="F804" s="22" t="s">
        <v>2223</v>
      </c>
      <c r="G804" s="88">
        <v>15</v>
      </c>
      <c r="H804" s="235">
        <f t="shared" si="109"/>
        <v>9.2592592592592595</v>
      </c>
      <c r="I804" s="88">
        <v>15</v>
      </c>
      <c r="J804" s="235">
        <f t="shared" si="110"/>
        <v>9.2592592592592595</v>
      </c>
      <c r="K804" s="221">
        <v>144</v>
      </c>
      <c r="L804" s="252">
        <f>_xlfn.XLOOKUP($K804,Inputs!$C$6:$C$23,Inputs!$D$6:$D$23)*$I804</f>
        <v>6.5678571428571431</v>
      </c>
      <c r="M804" s="68"/>
      <c r="N804" s="68"/>
      <c r="O804" s="216">
        <v>165</v>
      </c>
      <c r="P804" s="216">
        <v>199</v>
      </c>
      <c r="Q804" s="94">
        <v>0.9</v>
      </c>
      <c r="R804" s="68" t="s">
        <v>115</v>
      </c>
      <c r="S804" s="182">
        <f t="shared" si="113"/>
        <v>148.5</v>
      </c>
      <c r="T804" s="182">
        <f t="shared" si="114"/>
        <v>179.1</v>
      </c>
      <c r="U804" s="96" t="s">
        <v>3498</v>
      </c>
      <c r="V804" s="22" t="s">
        <v>2817</v>
      </c>
      <c r="W804" s="96" t="s">
        <v>3562</v>
      </c>
      <c r="X804" s="22" t="s">
        <v>2861</v>
      </c>
      <c r="Y804" s="11" t="s">
        <v>3295</v>
      </c>
      <c r="Z804" s="79"/>
      <c r="AA804" s="187">
        <v>793</v>
      </c>
    </row>
    <row r="805" spans="2:27" s="184" customFormat="1" ht="20" x14ac:dyDescent="0.2">
      <c r="B805" s="11" t="s">
        <v>1552</v>
      </c>
      <c r="C805" s="165" t="s">
        <v>4237</v>
      </c>
      <c r="D805" s="22" t="s">
        <v>2379</v>
      </c>
      <c r="E805" s="34">
        <v>1</v>
      </c>
      <c r="F805" s="22" t="s">
        <v>2223</v>
      </c>
      <c r="G805" s="88">
        <v>9</v>
      </c>
      <c r="H805" s="235">
        <f t="shared" si="109"/>
        <v>5.5555555555555554</v>
      </c>
      <c r="I805" s="88">
        <v>33</v>
      </c>
      <c r="J805" s="235">
        <f t="shared" si="110"/>
        <v>20.37037037037037</v>
      </c>
      <c r="K805" s="215">
        <v>138</v>
      </c>
      <c r="L805" s="252">
        <f>_xlfn.XLOOKUP($K805,Inputs!$C$6:$C$23,Inputs!$D$6:$D$23)*$I805</f>
        <v>14.307857142857143</v>
      </c>
      <c r="M805" s="68"/>
      <c r="N805" s="68"/>
      <c r="O805" s="215">
        <v>139.9</v>
      </c>
      <c r="P805" s="215">
        <v>179.2</v>
      </c>
      <c r="Q805" s="94">
        <v>0.9</v>
      </c>
      <c r="R805" s="68" t="s">
        <v>115</v>
      </c>
      <c r="S805" s="182">
        <f t="shared" si="113"/>
        <v>125.91000000000001</v>
      </c>
      <c r="T805" s="182">
        <f t="shared" si="114"/>
        <v>161.28</v>
      </c>
      <c r="U805" s="96" t="s">
        <v>3940</v>
      </c>
      <c r="V805" s="22" t="s">
        <v>3192</v>
      </c>
      <c r="W805" s="96" t="s">
        <v>3436</v>
      </c>
      <c r="X805" s="205" t="s">
        <v>2782</v>
      </c>
      <c r="Y805" s="11" t="s">
        <v>3299</v>
      </c>
      <c r="Z805" s="79"/>
      <c r="AA805" s="187">
        <v>794</v>
      </c>
    </row>
    <row r="806" spans="2:27" s="184" customFormat="1" ht="20" x14ac:dyDescent="0.2">
      <c r="B806" s="11" t="s">
        <v>1552</v>
      </c>
      <c r="C806" s="165" t="s">
        <v>4237</v>
      </c>
      <c r="D806" s="22" t="s">
        <v>2379</v>
      </c>
      <c r="E806" s="34">
        <v>1</v>
      </c>
      <c r="F806" s="22" t="s">
        <v>2223</v>
      </c>
      <c r="G806" s="235">
        <v>24</v>
      </c>
      <c r="H806" s="235">
        <f t="shared" si="109"/>
        <v>14.814814814814813</v>
      </c>
      <c r="I806" s="235">
        <v>33</v>
      </c>
      <c r="J806" s="235">
        <f t="shared" si="110"/>
        <v>20.37037037037037</v>
      </c>
      <c r="K806" s="215">
        <v>138</v>
      </c>
      <c r="L806" s="252">
        <f>_xlfn.XLOOKUP($K806,Inputs!$C$6:$C$23,Inputs!$D$6:$D$23)*$I806</f>
        <v>14.307857142857143</v>
      </c>
      <c r="M806" s="68"/>
      <c r="N806" s="68"/>
      <c r="O806" s="215">
        <v>139.9</v>
      </c>
      <c r="P806" s="215">
        <v>179.2</v>
      </c>
      <c r="Q806" s="94">
        <v>0.9</v>
      </c>
      <c r="R806" s="68" t="s">
        <v>115</v>
      </c>
      <c r="S806" s="182">
        <f t="shared" si="113"/>
        <v>125.91000000000001</v>
      </c>
      <c r="T806" s="182">
        <f t="shared" si="114"/>
        <v>161.28</v>
      </c>
      <c r="U806" s="96" t="s">
        <v>3436</v>
      </c>
      <c r="V806" s="22" t="s">
        <v>2782</v>
      </c>
      <c r="W806" s="96" t="s">
        <v>3357</v>
      </c>
      <c r="X806" s="22" t="s">
        <v>2734</v>
      </c>
      <c r="Y806" s="11" t="s">
        <v>3299</v>
      </c>
      <c r="Z806" s="79"/>
      <c r="AA806" s="187">
        <v>795</v>
      </c>
    </row>
    <row r="807" spans="2:27" s="184" customFormat="1" ht="20" x14ac:dyDescent="0.2">
      <c r="B807" s="11" t="s">
        <v>1399</v>
      </c>
      <c r="C807" s="165" t="s">
        <v>4237</v>
      </c>
      <c r="D807" s="22" t="s">
        <v>2379</v>
      </c>
      <c r="E807" s="34">
        <v>1</v>
      </c>
      <c r="F807" s="22" t="s">
        <v>2223</v>
      </c>
      <c r="G807" s="88">
        <v>15</v>
      </c>
      <c r="H807" s="235">
        <f t="shared" si="109"/>
        <v>9.2592592592592595</v>
      </c>
      <c r="I807" s="88">
        <v>15</v>
      </c>
      <c r="J807" s="235">
        <f t="shared" si="110"/>
        <v>9.2592592592592595</v>
      </c>
      <c r="K807" s="201">
        <v>144</v>
      </c>
      <c r="L807" s="252">
        <f>_xlfn.XLOOKUP($K807,Inputs!$C$6:$C$23,Inputs!$D$6:$D$23)*$I807</f>
        <v>6.5678571428571431</v>
      </c>
      <c r="M807" s="68"/>
      <c r="N807" s="68"/>
      <c r="O807" s="215">
        <v>139</v>
      </c>
      <c r="P807" s="215">
        <v>143</v>
      </c>
      <c r="Q807" s="94">
        <v>0.9</v>
      </c>
      <c r="R807" s="68" t="s">
        <v>115</v>
      </c>
      <c r="S807" s="182">
        <f t="shared" si="113"/>
        <v>125.10000000000001</v>
      </c>
      <c r="T807" s="182">
        <f t="shared" si="114"/>
        <v>128.70000000000002</v>
      </c>
      <c r="U807" s="96" t="s">
        <v>3942</v>
      </c>
      <c r="V807" s="22" t="s">
        <v>3194</v>
      </c>
      <c r="W807" s="96" t="s">
        <v>3569</v>
      </c>
      <c r="X807" s="22" t="s">
        <v>2674</v>
      </c>
      <c r="Y807" s="11" t="s">
        <v>3309</v>
      </c>
      <c r="Z807" s="79"/>
      <c r="AA807" s="187">
        <v>796</v>
      </c>
    </row>
    <row r="808" spans="2:27" s="184" customFormat="1" ht="20" x14ac:dyDescent="0.2">
      <c r="B808" s="11" t="s">
        <v>1172</v>
      </c>
      <c r="C808" s="165" t="s">
        <v>4237</v>
      </c>
      <c r="D808" s="22" t="s">
        <v>2379</v>
      </c>
      <c r="E808" s="34">
        <v>1</v>
      </c>
      <c r="F808" s="22" t="s">
        <v>2223</v>
      </c>
      <c r="G808" s="88">
        <v>20</v>
      </c>
      <c r="H808" s="235">
        <f t="shared" si="109"/>
        <v>12.345679012345679</v>
      </c>
      <c r="I808" s="88">
        <v>20</v>
      </c>
      <c r="J808" s="235">
        <f t="shared" si="110"/>
        <v>12.345679012345679</v>
      </c>
      <c r="K808" s="201">
        <v>144</v>
      </c>
      <c r="L808" s="252">
        <f>_xlfn.XLOOKUP($K808,Inputs!$C$6:$C$23,Inputs!$D$6:$D$23)*$I808</f>
        <v>8.757142857142858</v>
      </c>
      <c r="M808" s="68"/>
      <c r="N808" s="68"/>
      <c r="O808" s="187"/>
      <c r="P808" s="187"/>
      <c r="Q808" s="94">
        <v>0.9</v>
      </c>
      <c r="R808" s="68">
        <f>IF((42.4*(J808)^(-0.6595))&gt;=3,3,(IF(42.4*(J808)^(-0.6595)&lt;=0.5,0.5,(42.4*(J808)^(-0.6595)))))</f>
        <v>3</v>
      </c>
      <c r="S808" s="276">
        <f>_xlfn.XLOOKUP($K808,Inputs!$G$6:$G$23,Inputs!J$6:J$23)*$R808</f>
        <v>153.60000000000002</v>
      </c>
      <c r="T808" s="276">
        <f>_xlfn.XLOOKUP($K808,Inputs!$G$6:$G$23,Inputs!K$6:K$23)*$R808</f>
        <v>169.96721311475409</v>
      </c>
      <c r="U808" s="96" t="s">
        <v>3994</v>
      </c>
      <c r="V808" s="22" t="s">
        <v>2167</v>
      </c>
      <c r="W808" s="96" t="s">
        <v>3812</v>
      </c>
      <c r="X808" s="22" t="s">
        <v>2709</v>
      </c>
      <c r="Y808" s="11" t="s">
        <v>3331</v>
      </c>
      <c r="Z808" s="79"/>
      <c r="AA808" s="187">
        <v>797</v>
      </c>
    </row>
    <row r="809" spans="2:27" s="184" customFormat="1" ht="20" x14ac:dyDescent="0.2">
      <c r="B809" s="11" t="s">
        <v>1415</v>
      </c>
      <c r="C809" s="165" t="s">
        <v>4237</v>
      </c>
      <c r="D809" s="22" t="s">
        <v>2379</v>
      </c>
      <c r="E809" s="34">
        <v>1</v>
      </c>
      <c r="F809" s="22" t="s">
        <v>2223</v>
      </c>
      <c r="G809" s="88">
        <v>12</v>
      </c>
      <c r="H809" s="235">
        <f t="shared" si="109"/>
        <v>7.4074074074074066</v>
      </c>
      <c r="I809" s="88">
        <v>21</v>
      </c>
      <c r="J809" s="235">
        <f t="shared" si="110"/>
        <v>12.962962962962962</v>
      </c>
      <c r="K809" s="201">
        <v>144</v>
      </c>
      <c r="L809" s="252">
        <f>_xlfn.XLOOKUP($K809,Inputs!$C$6:$C$23,Inputs!$D$6:$D$23)*$I809</f>
        <v>9.1950000000000003</v>
      </c>
      <c r="M809" s="68"/>
      <c r="N809" s="68"/>
      <c r="O809" s="215">
        <v>109</v>
      </c>
      <c r="P809" s="215">
        <v>139</v>
      </c>
      <c r="Q809" s="94">
        <v>0.9</v>
      </c>
      <c r="R809" s="68" t="s">
        <v>115</v>
      </c>
      <c r="S809" s="182">
        <f>O809*Q809</f>
        <v>98.100000000000009</v>
      </c>
      <c r="T809" s="182">
        <f>P809*Q809</f>
        <v>125.10000000000001</v>
      </c>
      <c r="U809" s="96" t="s">
        <v>3703</v>
      </c>
      <c r="V809" s="22" t="s">
        <v>2969</v>
      </c>
      <c r="W809" s="96" t="s">
        <v>3670</v>
      </c>
      <c r="X809" s="22" t="s">
        <v>2942</v>
      </c>
      <c r="Y809" s="11" t="s">
        <v>3309</v>
      </c>
      <c r="Z809" s="79"/>
      <c r="AA809" s="187">
        <v>798</v>
      </c>
    </row>
    <row r="810" spans="2:27" s="184" customFormat="1" ht="20" x14ac:dyDescent="0.2">
      <c r="B810" s="11" t="s">
        <v>1415</v>
      </c>
      <c r="C810" s="165" t="s">
        <v>4237</v>
      </c>
      <c r="D810" s="22" t="s">
        <v>2379</v>
      </c>
      <c r="E810" s="34">
        <v>1</v>
      </c>
      <c r="F810" s="22" t="s">
        <v>2223</v>
      </c>
      <c r="G810" s="88">
        <v>9</v>
      </c>
      <c r="H810" s="235">
        <f t="shared" si="109"/>
        <v>5.5555555555555554</v>
      </c>
      <c r="I810" s="88">
        <v>21</v>
      </c>
      <c r="J810" s="235">
        <f t="shared" si="110"/>
        <v>12.962962962962962</v>
      </c>
      <c r="K810" s="201">
        <v>144</v>
      </c>
      <c r="L810" s="252">
        <f>_xlfn.XLOOKUP($K810,Inputs!$C$6:$C$23,Inputs!$D$6:$D$23)*$I810</f>
        <v>9.1950000000000003</v>
      </c>
      <c r="M810" s="68"/>
      <c r="N810" s="68"/>
      <c r="O810" s="215">
        <v>109</v>
      </c>
      <c r="P810" s="215">
        <v>139</v>
      </c>
      <c r="Q810" s="94">
        <v>0.9</v>
      </c>
      <c r="R810" s="68" t="s">
        <v>115</v>
      </c>
      <c r="S810" s="182">
        <f>O810*Q810</f>
        <v>98.100000000000009</v>
      </c>
      <c r="T810" s="182">
        <f>P810*Q810</f>
        <v>125.10000000000001</v>
      </c>
      <c r="U810" s="96" t="s">
        <v>3670</v>
      </c>
      <c r="V810" s="22" t="s">
        <v>2942</v>
      </c>
      <c r="W810" s="96" t="s">
        <v>3412</v>
      </c>
      <c r="X810" s="22" t="s">
        <v>2765</v>
      </c>
      <c r="Y810" s="11" t="s">
        <v>3309</v>
      </c>
      <c r="Z810" s="79"/>
      <c r="AA810" s="187">
        <v>799</v>
      </c>
    </row>
    <row r="811" spans="2:27" s="184" customFormat="1" ht="20" x14ac:dyDescent="0.2">
      <c r="B811" s="11" t="s">
        <v>953</v>
      </c>
      <c r="C811" s="165" t="s">
        <v>4237</v>
      </c>
      <c r="D811" s="22" t="s">
        <v>2379</v>
      </c>
      <c r="E811" s="34">
        <v>1</v>
      </c>
      <c r="F811" s="22" t="s">
        <v>2223</v>
      </c>
      <c r="G811" s="235">
        <v>45</v>
      </c>
      <c r="H811" s="235">
        <f t="shared" si="109"/>
        <v>27.777777777777775</v>
      </c>
      <c r="I811" s="235">
        <v>50</v>
      </c>
      <c r="J811" s="235">
        <f t="shared" si="110"/>
        <v>30.864197530864196</v>
      </c>
      <c r="K811" s="221">
        <v>144</v>
      </c>
      <c r="L811" s="252">
        <f>_xlfn.XLOOKUP($K811,Inputs!$C$6:$C$23,Inputs!$D$6:$D$23)*$I811</f>
        <v>21.892857142857146</v>
      </c>
      <c r="M811" s="68"/>
      <c r="N811" s="68"/>
      <c r="O811" s="216">
        <v>109</v>
      </c>
      <c r="P811" s="216">
        <v>139</v>
      </c>
      <c r="Q811" s="94">
        <v>0.9</v>
      </c>
      <c r="R811" s="68" t="s">
        <v>115</v>
      </c>
      <c r="S811" s="182">
        <f>O811*Q811</f>
        <v>98.100000000000009</v>
      </c>
      <c r="T811" s="182">
        <f>P811*Q811</f>
        <v>125.10000000000001</v>
      </c>
      <c r="U811" s="96" t="s">
        <v>3683</v>
      </c>
      <c r="V811" s="22" t="s">
        <v>2645</v>
      </c>
      <c r="W811" s="96" t="s">
        <v>3980</v>
      </c>
      <c r="X811" s="22" t="s">
        <v>2178</v>
      </c>
      <c r="Y811" s="11" t="s">
        <v>3311</v>
      </c>
      <c r="Z811" s="79"/>
      <c r="AA811" s="187">
        <v>800</v>
      </c>
    </row>
    <row r="812" spans="2:27" s="184" customFormat="1" ht="20" x14ac:dyDescent="0.2">
      <c r="B812" s="11" t="s">
        <v>953</v>
      </c>
      <c r="C812" s="165" t="s">
        <v>4237</v>
      </c>
      <c r="D812" s="22" t="s">
        <v>2379</v>
      </c>
      <c r="E812" s="34">
        <v>1</v>
      </c>
      <c r="F812" s="22" t="s">
        <v>2223</v>
      </c>
      <c r="G812" s="88">
        <v>5</v>
      </c>
      <c r="H812" s="235">
        <f t="shared" si="109"/>
        <v>3.0864197530864197</v>
      </c>
      <c r="I812" s="88">
        <v>50</v>
      </c>
      <c r="J812" s="235">
        <f t="shared" si="110"/>
        <v>30.864197530864196</v>
      </c>
      <c r="K812" s="201">
        <v>144</v>
      </c>
      <c r="L812" s="252">
        <f>_xlfn.XLOOKUP($K812,Inputs!$C$6:$C$23,Inputs!$D$6:$D$23)*$I812</f>
        <v>21.892857142857146</v>
      </c>
      <c r="M812" s="68"/>
      <c r="N812" s="68"/>
      <c r="O812" s="215">
        <v>109</v>
      </c>
      <c r="P812" s="215">
        <v>139</v>
      </c>
      <c r="Q812" s="94">
        <v>0.9</v>
      </c>
      <c r="R812" s="68" t="s">
        <v>115</v>
      </c>
      <c r="S812" s="182">
        <f>O812*Q812</f>
        <v>98.100000000000009</v>
      </c>
      <c r="T812" s="182">
        <f>P812*Q812</f>
        <v>125.10000000000001</v>
      </c>
      <c r="U812" s="96" t="s">
        <v>3980</v>
      </c>
      <c r="V812" s="22" t="s">
        <v>2178</v>
      </c>
      <c r="W812" s="96" t="s">
        <v>3570</v>
      </c>
      <c r="X812" s="22" t="s">
        <v>2865</v>
      </c>
      <c r="Y812" s="11" t="s">
        <v>3311</v>
      </c>
      <c r="Z812" s="79"/>
      <c r="AA812" s="187">
        <v>801</v>
      </c>
    </row>
    <row r="813" spans="2:27" s="184" customFormat="1" ht="20" x14ac:dyDescent="0.2">
      <c r="B813" s="11" t="s">
        <v>1190</v>
      </c>
      <c r="C813" s="165" t="s">
        <v>4237</v>
      </c>
      <c r="D813" s="22" t="s">
        <v>2379</v>
      </c>
      <c r="E813" s="34">
        <v>1</v>
      </c>
      <c r="F813" s="22" t="s">
        <v>2223</v>
      </c>
      <c r="G813" s="88">
        <v>12</v>
      </c>
      <c r="H813" s="235">
        <f t="shared" si="109"/>
        <v>7.4074074074074066</v>
      </c>
      <c r="I813" s="88">
        <v>12</v>
      </c>
      <c r="J813" s="235">
        <f t="shared" si="110"/>
        <v>7.4074074074074066</v>
      </c>
      <c r="K813" s="201">
        <v>144</v>
      </c>
      <c r="L813" s="252">
        <f>_xlfn.XLOOKUP($K813,Inputs!$C$6:$C$23,Inputs!$D$6:$D$23)*$I813</f>
        <v>5.2542857142857144</v>
      </c>
      <c r="M813" s="68"/>
      <c r="N813" s="68"/>
      <c r="O813" s="187"/>
      <c r="P813" s="187"/>
      <c r="Q813" s="94">
        <v>0.9</v>
      </c>
      <c r="R813" s="68">
        <f>IF((42.4*(J813)^(-0.6595))&gt;=3,3,(IF(42.4*(J813)^(-0.6595)&lt;=0.5,0.5,(42.4*(J813)^(-0.6595)))))</f>
        <v>3</v>
      </c>
      <c r="S813" s="276">
        <f>_xlfn.XLOOKUP($K813,Inputs!$G$6:$G$23,Inputs!J$6:J$23)*$R813</f>
        <v>153.60000000000002</v>
      </c>
      <c r="T813" s="276">
        <f>_xlfn.XLOOKUP($K813,Inputs!$G$6:$G$23,Inputs!K$6:K$23)*$R813</f>
        <v>169.96721311475409</v>
      </c>
      <c r="U813" s="96" t="s">
        <v>3980</v>
      </c>
      <c r="V813" s="22" t="s">
        <v>2178</v>
      </c>
      <c r="W813" s="96" t="s">
        <v>3732</v>
      </c>
      <c r="X813" s="22" t="s">
        <v>2993</v>
      </c>
      <c r="Y813" s="11" t="s">
        <v>3331</v>
      </c>
      <c r="Z813" s="79"/>
      <c r="AA813" s="187">
        <v>802</v>
      </c>
    </row>
    <row r="814" spans="2:27" s="184" customFormat="1" ht="20" x14ac:dyDescent="0.2">
      <c r="B814" s="11" t="s">
        <v>1414</v>
      </c>
      <c r="C814" s="165" t="s">
        <v>4237</v>
      </c>
      <c r="D814" s="22" t="s">
        <v>2379</v>
      </c>
      <c r="E814" s="34">
        <v>1</v>
      </c>
      <c r="F814" s="22" t="s">
        <v>2223</v>
      </c>
      <c r="G814" s="88">
        <v>21</v>
      </c>
      <c r="H814" s="235">
        <f t="shared" si="109"/>
        <v>12.962962962962962</v>
      </c>
      <c r="I814" s="88">
        <v>21</v>
      </c>
      <c r="J814" s="235">
        <f t="shared" si="110"/>
        <v>12.962962962962962</v>
      </c>
      <c r="K814" s="201">
        <v>144</v>
      </c>
      <c r="L814" s="252">
        <f>_xlfn.XLOOKUP($K814,Inputs!$C$6:$C$23,Inputs!$D$6:$D$23)*$I814</f>
        <v>9.1950000000000003</v>
      </c>
      <c r="M814" s="68"/>
      <c r="N814" s="68"/>
      <c r="O814" s="215">
        <v>109</v>
      </c>
      <c r="P814" s="215">
        <v>139</v>
      </c>
      <c r="Q814" s="94">
        <v>0.9</v>
      </c>
      <c r="R814" s="68" t="s">
        <v>115</v>
      </c>
      <c r="S814" s="182">
        <f>O814*Q814</f>
        <v>98.100000000000009</v>
      </c>
      <c r="T814" s="182">
        <f>P814*Q814</f>
        <v>125.10000000000001</v>
      </c>
      <c r="U814" s="96" t="s">
        <v>3703</v>
      </c>
      <c r="V814" s="22" t="s">
        <v>2969</v>
      </c>
      <c r="W814" s="96" t="s">
        <v>3680</v>
      </c>
      <c r="X814" s="22" t="s">
        <v>2953</v>
      </c>
      <c r="Y814" s="11" t="s">
        <v>3309</v>
      </c>
      <c r="Z814" s="79"/>
      <c r="AA814" s="187">
        <v>803</v>
      </c>
    </row>
    <row r="815" spans="2:27" s="184" customFormat="1" ht="20" x14ac:dyDescent="0.2">
      <c r="B815" s="11" t="s">
        <v>1438</v>
      </c>
      <c r="C815" s="165" t="s">
        <v>4237</v>
      </c>
      <c r="D815" s="22" t="s">
        <v>2379</v>
      </c>
      <c r="E815" s="34">
        <v>1</v>
      </c>
      <c r="F815" s="22" t="s">
        <v>2223</v>
      </c>
      <c r="G815" s="88">
        <v>9</v>
      </c>
      <c r="H815" s="235">
        <f t="shared" si="109"/>
        <v>5.5555555555555554</v>
      </c>
      <c r="I815" s="88">
        <v>36</v>
      </c>
      <c r="J815" s="235">
        <f t="shared" si="110"/>
        <v>22.222222222222221</v>
      </c>
      <c r="K815" s="215">
        <v>138</v>
      </c>
      <c r="L815" s="252">
        <f>_xlfn.XLOOKUP($K815,Inputs!$C$6:$C$23,Inputs!$D$6:$D$23)*$I815</f>
        <v>15.60857142857143</v>
      </c>
      <c r="M815" s="68"/>
      <c r="N815" s="68"/>
      <c r="O815" s="215">
        <v>95</v>
      </c>
      <c r="P815" s="215">
        <v>95</v>
      </c>
      <c r="Q815" s="94">
        <v>0.9</v>
      </c>
      <c r="R815" s="68" t="s">
        <v>115</v>
      </c>
      <c r="S815" s="182">
        <f>O815*Q815</f>
        <v>85.5</v>
      </c>
      <c r="T815" s="182">
        <f>P815*Q815</f>
        <v>85.5</v>
      </c>
      <c r="U815" s="96" t="s">
        <v>3929</v>
      </c>
      <c r="V815" s="22" t="s">
        <v>3187</v>
      </c>
      <c r="W815" s="96" t="s">
        <v>3896</v>
      </c>
      <c r="X815" s="205" t="s">
        <v>3157</v>
      </c>
      <c r="Y815" s="11" t="s">
        <v>3299</v>
      </c>
      <c r="Z815" s="79"/>
      <c r="AA815" s="187">
        <v>804</v>
      </c>
    </row>
    <row r="816" spans="2:27" s="184" customFormat="1" ht="20" x14ac:dyDescent="0.2">
      <c r="B816" s="11" t="s">
        <v>1438</v>
      </c>
      <c r="C816" s="165" t="s">
        <v>4237</v>
      </c>
      <c r="D816" s="22" t="s">
        <v>2379</v>
      </c>
      <c r="E816" s="34">
        <v>1</v>
      </c>
      <c r="F816" s="22" t="s">
        <v>2223</v>
      </c>
      <c r="G816" s="88">
        <v>9</v>
      </c>
      <c r="H816" s="235">
        <f t="shared" si="109"/>
        <v>5.5555555555555554</v>
      </c>
      <c r="I816" s="88">
        <v>36</v>
      </c>
      <c r="J816" s="235">
        <f t="shared" si="110"/>
        <v>22.222222222222221</v>
      </c>
      <c r="K816" s="215">
        <v>138</v>
      </c>
      <c r="L816" s="252">
        <f>_xlfn.XLOOKUP($K816,Inputs!$C$6:$C$23,Inputs!$D$6:$D$23)*$I816</f>
        <v>15.60857142857143</v>
      </c>
      <c r="M816" s="68"/>
      <c r="N816" s="68"/>
      <c r="O816" s="215">
        <v>95</v>
      </c>
      <c r="P816" s="215">
        <v>95</v>
      </c>
      <c r="Q816" s="94">
        <v>0.9</v>
      </c>
      <c r="R816" s="68" t="s">
        <v>115</v>
      </c>
      <c r="S816" s="182">
        <f>O816*Q816</f>
        <v>85.5</v>
      </c>
      <c r="T816" s="182">
        <f>P816*Q816</f>
        <v>85.5</v>
      </c>
      <c r="U816" s="96" t="s">
        <v>3896</v>
      </c>
      <c r="V816" s="205" t="s">
        <v>3157</v>
      </c>
      <c r="W816" s="96" t="s">
        <v>4010</v>
      </c>
      <c r="X816" s="22" t="s">
        <v>2179</v>
      </c>
      <c r="Y816" s="11" t="s">
        <v>3299</v>
      </c>
      <c r="Z816" s="79"/>
      <c r="AA816" s="187">
        <v>805</v>
      </c>
    </row>
    <row r="817" spans="2:27" s="184" customFormat="1" ht="20" x14ac:dyDescent="0.2">
      <c r="B817" s="11" t="s">
        <v>1438</v>
      </c>
      <c r="C817" s="165" t="s">
        <v>4237</v>
      </c>
      <c r="D817" s="22" t="s">
        <v>2379</v>
      </c>
      <c r="E817" s="34">
        <v>1</v>
      </c>
      <c r="F817" s="22" t="s">
        <v>2223</v>
      </c>
      <c r="G817" s="88">
        <v>18</v>
      </c>
      <c r="H817" s="235">
        <f t="shared" si="109"/>
        <v>11.111111111111111</v>
      </c>
      <c r="I817" s="88">
        <v>36</v>
      </c>
      <c r="J817" s="235">
        <f t="shared" si="110"/>
        <v>22.222222222222221</v>
      </c>
      <c r="K817" s="215">
        <v>138</v>
      </c>
      <c r="L817" s="252">
        <f>_xlfn.XLOOKUP($K817,Inputs!$C$6:$C$23,Inputs!$D$6:$D$23)*$I817</f>
        <v>15.60857142857143</v>
      </c>
      <c r="M817" s="68"/>
      <c r="N817" s="68"/>
      <c r="O817" s="215">
        <v>95</v>
      </c>
      <c r="P817" s="215">
        <v>95</v>
      </c>
      <c r="Q817" s="94">
        <v>0.9</v>
      </c>
      <c r="R817" s="68" t="s">
        <v>115</v>
      </c>
      <c r="S817" s="182">
        <f>O817*Q817</f>
        <v>85.5</v>
      </c>
      <c r="T817" s="182">
        <f>P817*Q817</f>
        <v>85.5</v>
      </c>
      <c r="U817" s="96" t="s">
        <v>4010</v>
      </c>
      <c r="V817" s="22" t="s">
        <v>2179</v>
      </c>
      <c r="W817" s="96" t="s">
        <v>3893</v>
      </c>
      <c r="X817" s="22" t="s">
        <v>2646</v>
      </c>
      <c r="Y817" s="11" t="s">
        <v>3299</v>
      </c>
      <c r="Z817" s="79"/>
      <c r="AA817" s="187">
        <v>806</v>
      </c>
    </row>
    <row r="818" spans="2:27" s="184" customFormat="1" ht="20" x14ac:dyDescent="0.2">
      <c r="B818" s="11" t="s">
        <v>1440</v>
      </c>
      <c r="C818" s="165" t="s">
        <v>4237</v>
      </c>
      <c r="D818" s="22" t="s">
        <v>2379</v>
      </c>
      <c r="E818" s="34">
        <v>1</v>
      </c>
      <c r="F818" s="22" t="s">
        <v>2223</v>
      </c>
      <c r="G818" s="88">
        <v>9</v>
      </c>
      <c r="H818" s="235">
        <f t="shared" si="109"/>
        <v>5.5555555555555554</v>
      </c>
      <c r="I818" s="88">
        <v>9</v>
      </c>
      <c r="J818" s="235">
        <f t="shared" si="110"/>
        <v>5.5555555555555554</v>
      </c>
      <c r="K818" s="201">
        <v>144</v>
      </c>
      <c r="L818" s="252">
        <f>_xlfn.XLOOKUP($K818,Inputs!$C$6:$C$23,Inputs!$D$6:$D$23)*$I818</f>
        <v>3.9407142857142858</v>
      </c>
      <c r="M818" s="68"/>
      <c r="N818" s="68"/>
      <c r="O818" s="187"/>
      <c r="P818" s="187"/>
      <c r="Q818" s="94">
        <v>0.9</v>
      </c>
      <c r="R818" s="68">
        <f>IF((42.4*(J818)^(-0.6595))&gt;=3,3,(IF(42.4*(J818)^(-0.6595)&lt;=0.5,0.5,(42.4*(J818)^(-0.6595)))))</f>
        <v>3</v>
      </c>
      <c r="S818" s="276">
        <f>_xlfn.XLOOKUP($K818,Inputs!$G$6:$G$23,Inputs!J$6:J$23)*$R818</f>
        <v>153.60000000000002</v>
      </c>
      <c r="T818" s="276">
        <f>_xlfn.XLOOKUP($K818,Inputs!$G$6:$G$23,Inputs!K$6:K$23)*$R818</f>
        <v>169.96721311475409</v>
      </c>
      <c r="U818" s="96" t="s">
        <v>4010</v>
      </c>
      <c r="V818" s="22" t="s">
        <v>2179</v>
      </c>
      <c r="W818" s="96" t="s">
        <v>3914</v>
      </c>
      <c r="X818" s="22" t="s">
        <v>3175</v>
      </c>
      <c r="Y818" s="11" t="s">
        <v>3331</v>
      </c>
      <c r="Z818" s="79"/>
      <c r="AA818" s="187">
        <v>807</v>
      </c>
    </row>
    <row r="819" spans="2:27" s="188" customFormat="1" ht="20" x14ac:dyDescent="0.2">
      <c r="B819" s="11" t="s">
        <v>954</v>
      </c>
      <c r="C819" s="165" t="s">
        <v>4237</v>
      </c>
      <c r="D819" s="22" t="s">
        <v>2379</v>
      </c>
      <c r="E819" s="34">
        <v>1</v>
      </c>
      <c r="F819" s="22" t="s">
        <v>2223</v>
      </c>
      <c r="G819" s="88">
        <v>20</v>
      </c>
      <c r="H819" s="235">
        <f t="shared" si="109"/>
        <v>12.345679012345679</v>
      </c>
      <c r="I819" s="88">
        <v>20</v>
      </c>
      <c r="J819" s="235">
        <f t="shared" si="110"/>
        <v>12.345679012345679</v>
      </c>
      <c r="K819" s="221">
        <v>144</v>
      </c>
      <c r="L819" s="252">
        <f>_xlfn.XLOOKUP($K819,Inputs!$C$6:$C$23,Inputs!$D$6:$D$23)*$I819</f>
        <v>8.757142857142858</v>
      </c>
      <c r="M819" s="68"/>
      <c r="N819" s="68"/>
      <c r="O819" s="216">
        <v>114</v>
      </c>
      <c r="P819" s="216">
        <v>146</v>
      </c>
      <c r="Q819" s="94">
        <v>0.9</v>
      </c>
      <c r="R819" s="68" t="s">
        <v>115</v>
      </c>
      <c r="S819" s="182">
        <f>O819*Q819</f>
        <v>102.60000000000001</v>
      </c>
      <c r="T819" s="182">
        <f>P819*Q819</f>
        <v>131.4</v>
      </c>
      <c r="U819" s="96" t="s">
        <v>3857</v>
      </c>
      <c r="V819" s="22" t="s">
        <v>3127</v>
      </c>
      <c r="W819" s="96" t="s">
        <v>4292</v>
      </c>
      <c r="X819" s="22" t="s">
        <v>2735</v>
      </c>
      <c r="Y819" s="11" t="s">
        <v>3272</v>
      </c>
      <c r="Z819" s="79"/>
      <c r="AA819" s="187">
        <v>808</v>
      </c>
    </row>
    <row r="820" spans="2:27" s="184" customFormat="1" ht="20" x14ac:dyDescent="0.2">
      <c r="B820" s="11" t="s">
        <v>955</v>
      </c>
      <c r="C820" s="165" t="s">
        <v>4237</v>
      </c>
      <c r="D820" s="22" t="s">
        <v>2379</v>
      </c>
      <c r="E820" s="34">
        <v>1</v>
      </c>
      <c r="F820" s="22" t="s">
        <v>2223</v>
      </c>
      <c r="G820" s="88">
        <v>12</v>
      </c>
      <c r="H820" s="235">
        <f t="shared" si="109"/>
        <v>7.4074074074074066</v>
      </c>
      <c r="I820" s="88">
        <v>12</v>
      </c>
      <c r="J820" s="235">
        <f t="shared" si="110"/>
        <v>7.4074074074074066</v>
      </c>
      <c r="K820" s="201">
        <v>144</v>
      </c>
      <c r="L820" s="252">
        <f>_xlfn.XLOOKUP($K820,Inputs!$C$6:$C$23,Inputs!$D$6:$D$23)*$I820</f>
        <v>5.2542857142857144</v>
      </c>
      <c r="M820" s="68"/>
      <c r="N820" s="68"/>
      <c r="O820" s="187"/>
      <c r="P820" s="187"/>
      <c r="Q820" s="94">
        <v>0.9</v>
      </c>
      <c r="R820" s="68">
        <f>IF((42.4*(J820)^(-0.6595))&gt;=3,3,(IF(42.4*(J820)^(-0.6595)&lt;=0.5,0.5,(42.4*(J820)^(-0.6595)))))</f>
        <v>3</v>
      </c>
      <c r="S820" s="276">
        <f>_xlfn.XLOOKUP($K820,Inputs!$G$6:$G$23,Inputs!J$6:J$23)*$R820</f>
        <v>153.60000000000002</v>
      </c>
      <c r="T820" s="276">
        <f>_xlfn.XLOOKUP($K820,Inputs!$G$6:$G$23,Inputs!K$6:K$23)*$R820</f>
        <v>169.96721311475409</v>
      </c>
      <c r="U820" s="96" t="s">
        <v>3495</v>
      </c>
      <c r="V820" s="22" t="s">
        <v>2814</v>
      </c>
      <c r="W820" s="96" t="s">
        <v>3660</v>
      </c>
      <c r="X820" s="22" t="s">
        <v>2932</v>
      </c>
      <c r="Y820" s="11" t="s">
        <v>3331</v>
      </c>
      <c r="Z820" s="79"/>
      <c r="AA820" s="187">
        <v>809</v>
      </c>
    </row>
    <row r="821" spans="2:27" s="188" customFormat="1" ht="20" x14ac:dyDescent="0.2">
      <c r="B821" s="11" t="s">
        <v>2068</v>
      </c>
      <c r="C821" s="165" t="s">
        <v>4237</v>
      </c>
      <c r="D821" s="22" t="s">
        <v>2379</v>
      </c>
      <c r="E821" s="34">
        <v>1</v>
      </c>
      <c r="F821" s="22" t="s">
        <v>2223</v>
      </c>
      <c r="G821" s="88">
        <v>12</v>
      </c>
      <c r="H821" s="235">
        <f t="shared" si="109"/>
        <v>7.4074074074074066</v>
      </c>
      <c r="I821" s="88">
        <v>12</v>
      </c>
      <c r="J821" s="235">
        <f t="shared" si="110"/>
        <v>7.4074074074074066</v>
      </c>
      <c r="K821" s="201">
        <v>144</v>
      </c>
      <c r="L821" s="252">
        <f>_xlfn.XLOOKUP($K821,Inputs!$C$6:$C$23,Inputs!$D$6:$D$23)*$I821</f>
        <v>5.2542857142857144</v>
      </c>
      <c r="M821" s="68"/>
      <c r="N821" s="68"/>
      <c r="O821" s="215">
        <v>190</v>
      </c>
      <c r="P821" s="215">
        <v>190</v>
      </c>
      <c r="Q821" s="94">
        <v>0.9</v>
      </c>
      <c r="R821" s="68" t="s">
        <v>115</v>
      </c>
      <c r="S821" s="182">
        <f>O821*Q821</f>
        <v>171</v>
      </c>
      <c r="T821" s="182">
        <f>P821*Q821</f>
        <v>171</v>
      </c>
      <c r="U821" s="96" t="s">
        <v>3680</v>
      </c>
      <c r="V821" s="22" t="s">
        <v>2953</v>
      </c>
      <c r="W821" s="96" t="s">
        <v>3700</v>
      </c>
      <c r="X821" s="22" t="s">
        <v>2695</v>
      </c>
      <c r="Y821" s="11" t="s">
        <v>3309</v>
      </c>
      <c r="Z821" s="79"/>
      <c r="AA821" s="187">
        <v>810</v>
      </c>
    </row>
    <row r="822" spans="2:27" s="184" customFormat="1" ht="20" x14ac:dyDescent="0.2">
      <c r="B822" s="11" t="s">
        <v>2030</v>
      </c>
      <c r="C822" s="165" t="s">
        <v>4237</v>
      </c>
      <c r="D822" s="22" t="s">
        <v>2379</v>
      </c>
      <c r="E822" s="34">
        <v>1</v>
      </c>
      <c r="F822" s="22" t="s">
        <v>2223</v>
      </c>
      <c r="G822" s="88">
        <v>33.6</v>
      </c>
      <c r="H822" s="235">
        <f t="shared" si="109"/>
        <v>20.74074074074074</v>
      </c>
      <c r="I822" s="88">
        <v>67.2</v>
      </c>
      <c r="J822" s="235">
        <f t="shared" si="110"/>
        <v>41.481481481481481</v>
      </c>
      <c r="K822" s="201">
        <v>144</v>
      </c>
      <c r="L822" s="252">
        <f>_xlfn.XLOOKUP($K822,Inputs!$C$6:$C$23,Inputs!$D$6:$D$23)*$I822</f>
        <v>29.424000000000003</v>
      </c>
      <c r="M822" s="68"/>
      <c r="N822" s="68"/>
      <c r="O822" s="209">
        <v>117</v>
      </c>
      <c r="P822" s="209">
        <v>155</v>
      </c>
      <c r="Q822" s="94">
        <v>0.9</v>
      </c>
      <c r="R822" s="68" t="s">
        <v>115</v>
      </c>
      <c r="S822" s="182">
        <f>O822*Q822</f>
        <v>105.3</v>
      </c>
      <c r="T822" s="182">
        <f>P822*Q822</f>
        <v>139.5</v>
      </c>
      <c r="U822" s="96" t="s">
        <v>3881</v>
      </c>
      <c r="V822" s="22" t="s">
        <v>3146</v>
      </c>
      <c r="W822" s="96" t="s">
        <v>3951</v>
      </c>
      <c r="X822" s="22" t="s">
        <v>2180</v>
      </c>
      <c r="Y822" s="11" t="s">
        <v>3305</v>
      </c>
      <c r="Z822" s="79"/>
      <c r="AA822" s="187">
        <v>811</v>
      </c>
    </row>
    <row r="823" spans="2:27" s="184" customFormat="1" ht="20" x14ac:dyDescent="0.2">
      <c r="B823" s="11" t="s">
        <v>2030</v>
      </c>
      <c r="C823" s="165" t="s">
        <v>4237</v>
      </c>
      <c r="D823" s="22" t="s">
        <v>2379</v>
      </c>
      <c r="E823" s="34">
        <v>1</v>
      </c>
      <c r="F823" s="22" t="s">
        <v>2223</v>
      </c>
      <c r="G823" s="88">
        <v>33.6</v>
      </c>
      <c r="H823" s="235">
        <f t="shared" si="109"/>
        <v>20.74074074074074</v>
      </c>
      <c r="I823" s="88">
        <v>67.2</v>
      </c>
      <c r="J823" s="235">
        <f t="shared" si="110"/>
        <v>41.481481481481481</v>
      </c>
      <c r="K823" s="201">
        <v>144</v>
      </c>
      <c r="L823" s="252">
        <f>_xlfn.XLOOKUP($K823,Inputs!$C$6:$C$23,Inputs!$D$6:$D$23)*$I823</f>
        <v>29.424000000000003</v>
      </c>
      <c r="M823" s="68"/>
      <c r="N823" s="68"/>
      <c r="O823" s="209">
        <v>117</v>
      </c>
      <c r="P823" s="209">
        <v>155</v>
      </c>
      <c r="Q823" s="94">
        <v>0.9</v>
      </c>
      <c r="R823" s="68" t="s">
        <v>115</v>
      </c>
      <c r="S823" s="182">
        <f>O823*Q823</f>
        <v>105.3</v>
      </c>
      <c r="T823" s="182">
        <f>P823*Q823</f>
        <v>139.5</v>
      </c>
      <c r="U823" s="96" t="s">
        <v>3951</v>
      </c>
      <c r="V823" s="22" t="s">
        <v>2180</v>
      </c>
      <c r="W823" s="96" t="s">
        <v>3597</v>
      </c>
      <c r="X823" s="205" t="s">
        <v>2886</v>
      </c>
      <c r="Y823" s="11" t="s">
        <v>3305</v>
      </c>
      <c r="Z823" s="79"/>
      <c r="AA823" s="187">
        <v>812</v>
      </c>
    </row>
    <row r="824" spans="2:27" s="184" customFormat="1" ht="20" x14ac:dyDescent="0.2">
      <c r="B824" s="11" t="s">
        <v>1268</v>
      </c>
      <c r="C824" s="165" t="s">
        <v>4237</v>
      </c>
      <c r="D824" s="22" t="s">
        <v>2379</v>
      </c>
      <c r="E824" s="34">
        <v>1</v>
      </c>
      <c r="F824" s="22" t="s">
        <v>2223</v>
      </c>
      <c r="G824" s="88">
        <v>15.120000000000001</v>
      </c>
      <c r="H824" s="235">
        <f t="shared" si="109"/>
        <v>9.3333333333333339</v>
      </c>
      <c r="I824" s="88">
        <v>15.120000000000001</v>
      </c>
      <c r="J824" s="235">
        <f t="shared" si="110"/>
        <v>9.3333333333333339</v>
      </c>
      <c r="K824" s="201">
        <v>144</v>
      </c>
      <c r="L824" s="252">
        <f>_xlfn.XLOOKUP($K824,Inputs!$C$6:$C$23,Inputs!$D$6:$D$23)*$I824</f>
        <v>6.620400000000001</v>
      </c>
      <c r="M824" s="68"/>
      <c r="N824" s="68"/>
      <c r="O824" s="187"/>
      <c r="P824" s="187"/>
      <c r="Q824" s="94">
        <v>0.9</v>
      </c>
      <c r="R824" s="68">
        <f t="shared" ref="R824:R832" si="115">IF((42.4*(J824)^(-0.6595))&gt;=3,3,(IF(42.4*(J824)^(-0.6595)&lt;=0.5,0.5,(42.4*(J824)^(-0.6595)))))</f>
        <v>3</v>
      </c>
      <c r="S824" s="276">
        <f>_xlfn.XLOOKUP($K824,Inputs!$G$6:$G$23,Inputs!J$6:J$23)*$R824</f>
        <v>153.60000000000002</v>
      </c>
      <c r="T824" s="276">
        <f>_xlfn.XLOOKUP($K824,Inputs!$G$6:$G$23,Inputs!K$6:K$23)*$R824</f>
        <v>169.96721311475409</v>
      </c>
      <c r="U824" s="96" t="s">
        <v>3951</v>
      </c>
      <c r="V824" s="22" t="s">
        <v>2180</v>
      </c>
      <c r="W824" s="96" t="s">
        <v>3594</v>
      </c>
      <c r="X824" s="22" t="s">
        <v>2884</v>
      </c>
      <c r="Y824" s="11" t="s">
        <v>3331</v>
      </c>
      <c r="Z824" s="79"/>
      <c r="AA824" s="187">
        <v>813</v>
      </c>
    </row>
    <row r="825" spans="2:27" s="184" customFormat="1" ht="20" x14ac:dyDescent="0.2">
      <c r="B825" s="11" t="s">
        <v>1567</v>
      </c>
      <c r="C825" s="165" t="s">
        <v>4235</v>
      </c>
      <c r="D825" s="22" t="s">
        <v>2379</v>
      </c>
      <c r="E825" s="34">
        <v>1</v>
      </c>
      <c r="F825" s="22" t="s">
        <v>2223</v>
      </c>
      <c r="G825" s="88">
        <v>12</v>
      </c>
      <c r="H825" s="235">
        <f t="shared" si="109"/>
        <v>7.4074074074074066</v>
      </c>
      <c r="I825" s="88">
        <v>42</v>
      </c>
      <c r="J825" s="235">
        <f t="shared" si="110"/>
        <v>25.925925925925924</v>
      </c>
      <c r="K825" s="201">
        <v>144</v>
      </c>
      <c r="L825" s="252">
        <f>_xlfn.XLOOKUP($K825,Inputs!$C$6:$C$23,Inputs!$D$6:$D$23)*$I825</f>
        <v>18.39</v>
      </c>
      <c r="M825" s="68"/>
      <c r="N825" s="68"/>
      <c r="O825" s="187"/>
      <c r="P825" s="187"/>
      <c r="Q825" s="94">
        <v>0.9</v>
      </c>
      <c r="R825" s="68">
        <f t="shared" si="115"/>
        <v>3</v>
      </c>
      <c r="S825" s="276">
        <f>_xlfn.XLOOKUP($K825,Inputs!$G$6:$G$23,Inputs!J$6:J$23)*$R825</f>
        <v>153.60000000000002</v>
      </c>
      <c r="T825" s="276">
        <f>_xlfn.XLOOKUP($K825,Inputs!$G$6:$G$23,Inputs!K$6:K$23)*$R825</f>
        <v>169.96721311475409</v>
      </c>
      <c r="U825" s="96" t="s">
        <v>3419</v>
      </c>
      <c r="V825" s="22" t="s">
        <v>2659</v>
      </c>
      <c r="W825" s="96" t="s">
        <v>3420</v>
      </c>
      <c r="X825" s="22" t="s">
        <v>2771</v>
      </c>
      <c r="Y825" s="11" t="s">
        <v>3331</v>
      </c>
      <c r="Z825" s="79"/>
      <c r="AA825" s="187">
        <v>814</v>
      </c>
    </row>
    <row r="826" spans="2:27" s="184" customFormat="1" ht="20" x14ac:dyDescent="0.2">
      <c r="B826" s="11" t="s">
        <v>1567</v>
      </c>
      <c r="C826" s="165" t="s">
        <v>4235</v>
      </c>
      <c r="D826" s="22" t="s">
        <v>2379</v>
      </c>
      <c r="E826" s="34">
        <v>1</v>
      </c>
      <c r="F826" s="22" t="s">
        <v>2223</v>
      </c>
      <c r="G826" s="88">
        <v>21</v>
      </c>
      <c r="H826" s="235">
        <f t="shared" si="109"/>
        <v>12.962962962962962</v>
      </c>
      <c r="I826" s="88">
        <v>42</v>
      </c>
      <c r="J826" s="235">
        <f t="shared" si="110"/>
        <v>25.925925925925924</v>
      </c>
      <c r="K826" s="221">
        <v>144</v>
      </c>
      <c r="L826" s="252">
        <f>_xlfn.XLOOKUP($K826,Inputs!$C$6:$C$23,Inputs!$D$6:$D$23)*$I826</f>
        <v>18.39</v>
      </c>
      <c r="M826" s="68"/>
      <c r="N826" s="68"/>
      <c r="O826" s="206"/>
      <c r="P826" s="206"/>
      <c r="Q826" s="94">
        <v>0.9</v>
      </c>
      <c r="R826" s="68">
        <f t="shared" si="115"/>
        <v>3</v>
      </c>
      <c r="S826" s="276">
        <f>_xlfn.XLOOKUP($K826,Inputs!$G$6:$G$23,Inputs!J$6:J$23)*$R826</f>
        <v>153.60000000000002</v>
      </c>
      <c r="T826" s="276">
        <f>_xlfn.XLOOKUP($K826,Inputs!$G$6:$G$23,Inputs!K$6:K$23)*$R826</f>
        <v>169.96721311475409</v>
      </c>
      <c r="U826" s="96" t="s">
        <v>3420</v>
      </c>
      <c r="V826" s="22" t="s">
        <v>2771</v>
      </c>
      <c r="W826" s="96" t="s">
        <v>3534</v>
      </c>
      <c r="X826" s="22" t="s">
        <v>2182</v>
      </c>
      <c r="Y826" s="11" t="s">
        <v>3331</v>
      </c>
      <c r="Z826" s="79"/>
      <c r="AA826" s="187">
        <v>815</v>
      </c>
    </row>
    <row r="827" spans="2:27" s="184" customFormat="1" ht="20" x14ac:dyDescent="0.2">
      <c r="B827" s="11" t="s">
        <v>1567</v>
      </c>
      <c r="C827" s="165" t="s">
        <v>4235</v>
      </c>
      <c r="D827" s="22" t="s">
        <v>2379</v>
      </c>
      <c r="E827" s="34">
        <v>1</v>
      </c>
      <c r="F827" s="22" t="s">
        <v>2223</v>
      </c>
      <c r="G827" s="88">
        <v>9</v>
      </c>
      <c r="H827" s="235">
        <f t="shared" si="109"/>
        <v>5.5555555555555554</v>
      </c>
      <c r="I827" s="88">
        <v>42</v>
      </c>
      <c r="J827" s="235">
        <f t="shared" si="110"/>
        <v>25.925925925925924</v>
      </c>
      <c r="K827" s="221">
        <v>144</v>
      </c>
      <c r="L827" s="252">
        <f>_xlfn.XLOOKUP($K827,Inputs!$C$6:$C$23,Inputs!$D$6:$D$23)*$I827</f>
        <v>18.39</v>
      </c>
      <c r="M827" s="68"/>
      <c r="N827" s="68"/>
      <c r="O827" s="206"/>
      <c r="P827" s="206"/>
      <c r="Q827" s="94">
        <v>0.9</v>
      </c>
      <c r="R827" s="68">
        <f t="shared" si="115"/>
        <v>3</v>
      </c>
      <c r="S827" s="276">
        <f>_xlfn.XLOOKUP($K827,Inputs!$G$6:$G$23,Inputs!J$6:J$23)*$R827</f>
        <v>153.60000000000002</v>
      </c>
      <c r="T827" s="276">
        <f>_xlfn.XLOOKUP($K827,Inputs!$G$6:$G$23,Inputs!K$6:K$23)*$R827</f>
        <v>169.96721311475409</v>
      </c>
      <c r="U827" s="96" t="s">
        <v>3534</v>
      </c>
      <c r="V827" s="22" t="s">
        <v>2182</v>
      </c>
      <c r="W827" s="96" t="s">
        <v>3418</v>
      </c>
      <c r="X827" s="22" t="s">
        <v>2770</v>
      </c>
      <c r="Y827" s="11" t="s">
        <v>3331</v>
      </c>
      <c r="Z827" s="79"/>
      <c r="AA827" s="187">
        <v>816</v>
      </c>
    </row>
    <row r="828" spans="2:27" s="184" customFormat="1" ht="20" x14ac:dyDescent="0.2">
      <c r="B828" s="11" t="s">
        <v>1569</v>
      </c>
      <c r="C828" s="165" t="s">
        <v>4235</v>
      </c>
      <c r="D828" s="22" t="s">
        <v>2379</v>
      </c>
      <c r="E828" s="34">
        <v>1</v>
      </c>
      <c r="F828" s="22" t="s">
        <v>2223</v>
      </c>
      <c r="G828" s="88">
        <v>6</v>
      </c>
      <c r="H828" s="235">
        <f t="shared" si="109"/>
        <v>3.7037037037037033</v>
      </c>
      <c r="I828" s="88">
        <v>6</v>
      </c>
      <c r="J828" s="235">
        <f t="shared" si="110"/>
        <v>3.7037037037037033</v>
      </c>
      <c r="K828" s="221">
        <v>144</v>
      </c>
      <c r="L828" s="252">
        <f>_xlfn.XLOOKUP($K828,Inputs!$C$6:$C$23,Inputs!$D$6:$D$23)*$I828</f>
        <v>2.6271428571428572</v>
      </c>
      <c r="M828" s="68"/>
      <c r="N828" s="68"/>
      <c r="O828" s="206"/>
      <c r="P828" s="206"/>
      <c r="Q828" s="94">
        <v>0.9</v>
      </c>
      <c r="R828" s="68">
        <f t="shared" si="115"/>
        <v>3</v>
      </c>
      <c r="S828" s="276">
        <f>_xlfn.XLOOKUP($K828,Inputs!$G$6:$G$23,Inputs!J$6:J$23)*$R828</f>
        <v>153.60000000000002</v>
      </c>
      <c r="T828" s="276">
        <f>_xlfn.XLOOKUP($K828,Inputs!$G$6:$G$23,Inputs!K$6:K$23)*$R828</f>
        <v>169.96721311475409</v>
      </c>
      <c r="U828" s="96" t="s">
        <v>3534</v>
      </c>
      <c r="V828" s="22" t="s">
        <v>2182</v>
      </c>
      <c r="W828" s="96" t="s">
        <v>3533</v>
      </c>
      <c r="X828" s="22" t="s">
        <v>2842</v>
      </c>
      <c r="Y828" s="11" t="s">
        <v>3331</v>
      </c>
      <c r="Z828" s="79"/>
      <c r="AA828" s="187">
        <v>817</v>
      </c>
    </row>
    <row r="829" spans="2:27" s="184" customFormat="1" ht="20" x14ac:dyDescent="0.2">
      <c r="B829" s="11" t="s">
        <v>2070</v>
      </c>
      <c r="C829" s="165" t="s">
        <v>4235</v>
      </c>
      <c r="D829" s="22" t="s">
        <v>2379</v>
      </c>
      <c r="E829" s="34">
        <v>1</v>
      </c>
      <c r="F829" s="22" t="s">
        <v>2223</v>
      </c>
      <c r="G829" s="88">
        <v>9</v>
      </c>
      <c r="H829" s="235">
        <f t="shared" si="109"/>
        <v>5.5555555555555554</v>
      </c>
      <c r="I829" s="88">
        <v>9</v>
      </c>
      <c r="J829" s="235">
        <f t="shared" si="110"/>
        <v>5.5555555555555554</v>
      </c>
      <c r="K829" s="201">
        <v>144</v>
      </c>
      <c r="L829" s="252">
        <f>_xlfn.XLOOKUP($K829,Inputs!$C$6:$C$23,Inputs!$D$6:$D$23)*$I829</f>
        <v>3.9407142857142858</v>
      </c>
      <c r="M829" s="68"/>
      <c r="N829" s="68"/>
      <c r="O829" s="187"/>
      <c r="P829" s="187"/>
      <c r="Q829" s="94">
        <v>0.9</v>
      </c>
      <c r="R829" s="68">
        <f t="shared" si="115"/>
        <v>3</v>
      </c>
      <c r="S829" s="276">
        <f>_xlfn.XLOOKUP($K829,Inputs!$G$6:$G$23,Inputs!J$6:J$23)*$R829</f>
        <v>153.60000000000002</v>
      </c>
      <c r="T829" s="276">
        <f>_xlfn.XLOOKUP($K829,Inputs!$G$6:$G$23,Inputs!K$6:K$23)*$R829</f>
        <v>169.96721311475409</v>
      </c>
      <c r="U829" s="96" t="s">
        <v>3392</v>
      </c>
      <c r="V829" s="22" t="s">
        <v>2754</v>
      </c>
      <c r="W829" s="96" t="s">
        <v>4013</v>
      </c>
      <c r="X829" s="22" t="s">
        <v>2183</v>
      </c>
      <c r="Y829" s="11" t="s">
        <v>3331</v>
      </c>
      <c r="Z829" s="79"/>
      <c r="AA829" s="187">
        <v>818</v>
      </c>
    </row>
    <row r="830" spans="2:27" s="184" customFormat="1" ht="20" x14ac:dyDescent="0.2">
      <c r="B830" s="11" t="s">
        <v>1390</v>
      </c>
      <c r="C830" s="165" t="s">
        <v>4235</v>
      </c>
      <c r="D830" s="22" t="s">
        <v>2379</v>
      </c>
      <c r="E830" s="34">
        <v>1</v>
      </c>
      <c r="F830" s="22" t="s">
        <v>2223</v>
      </c>
      <c r="G830" s="88">
        <v>9</v>
      </c>
      <c r="H830" s="235">
        <f t="shared" si="109"/>
        <v>5.5555555555555554</v>
      </c>
      <c r="I830" s="88">
        <v>30</v>
      </c>
      <c r="J830" s="235">
        <f t="shared" si="110"/>
        <v>18.518518518518519</v>
      </c>
      <c r="K830" s="201">
        <v>144</v>
      </c>
      <c r="L830" s="252">
        <f>_xlfn.XLOOKUP($K830,Inputs!$C$6:$C$23,Inputs!$D$6:$D$23)*$I830</f>
        <v>13.135714285714286</v>
      </c>
      <c r="M830" s="68"/>
      <c r="N830" s="68"/>
      <c r="O830" s="187"/>
      <c r="P830" s="187"/>
      <c r="Q830" s="94">
        <v>0.9</v>
      </c>
      <c r="R830" s="68">
        <f t="shared" si="115"/>
        <v>3</v>
      </c>
      <c r="S830" s="276">
        <f>_xlfn.XLOOKUP($K830,Inputs!$G$6:$G$23,Inputs!J$6:J$23)*$R830</f>
        <v>153.60000000000002</v>
      </c>
      <c r="T830" s="276">
        <f>_xlfn.XLOOKUP($K830,Inputs!$G$6:$G$23,Inputs!K$6:K$23)*$R830</f>
        <v>169.96721311475409</v>
      </c>
      <c r="U830" s="96" t="s">
        <v>3392</v>
      </c>
      <c r="V830" s="22" t="s">
        <v>2754</v>
      </c>
      <c r="W830" s="96" t="s">
        <v>4013</v>
      </c>
      <c r="X830" s="22" t="s">
        <v>2183</v>
      </c>
      <c r="Y830" s="11" t="s">
        <v>3331</v>
      </c>
      <c r="Z830" s="79"/>
      <c r="AA830" s="187">
        <v>819</v>
      </c>
    </row>
    <row r="831" spans="2:27" s="184" customFormat="1" ht="20" x14ac:dyDescent="0.2">
      <c r="B831" s="11" t="s">
        <v>1390</v>
      </c>
      <c r="C831" s="165" t="s">
        <v>4235</v>
      </c>
      <c r="D831" s="22" t="s">
        <v>2379</v>
      </c>
      <c r="E831" s="34">
        <v>1</v>
      </c>
      <c r="F831" s="22" t="s">
        <v>2223</v>
      </c>
      <c r="G831" s="88">
        <v>21</v>
      </c>
      <c r="H831" s="235">
        <f t="shared" si="109"/>
        <v>12.962962962962962</v>
      </c>
      <c r="I831" s="88">
        <v>30</v>
      </c>
      <c r="J831" s="235">
        <f t="shared" si="110"/>
        <v>18.518518518518519</v>
      </c>
      <c r="K831" s="201">
        <v>144</v>
      </c>
      <c r="L831" s="252">
        <f>_xlfn.XLOOKUP($K831,Inputs!$C$6:$C$23,Inputs!$D$6:$D$23)*$I831</f>
        <v>13.135714285714286</v>
      </c>
      <c r="M831" s="68"/>
      <c r="N831" s="68"/>
      <c r="O831" s="187"/>
      <c r="P831" s="187"/>
      <c r="Q831" s="94">
        <v>0.9</v>
      </c>
      <c r="R831" s="68">
        <f t="shared" si="115"/>
        <v>3</v>
      </c>
      <c r="S831" s="276">
        <f>_xlfn.XLOOKUP($K831,Inputs!$G$6:$G$23,Inputs!J$6:J$23)*$R831</f>
        <v>153.60000000000002</v>
      </c>
      <c r="T831" s="276">
        <f>_xlfn.XLOOKUP($K831,Inputs!$G$6:$G$23,Inputs!K$6:K$23)*$R831</f>
        <v>169.96721311475409</v>
      </c>
      <c r="U831" s="96" t="s">
        <v>4013</v>
      </c>
      <c r="V831" s="22" t="s">
        <v>2183</v>
      </c>
      <c r="W831" s="96" t="s">
        <v>3927</v>
      </c>
      <c r="X831" s="205" t="s">
        <v>3186</v>
      </c>
      <c r="Y831" s="11" t="s">
        <v>3331</v>
      </c>
      <c r="Z831" s="79"/>
      <c r="AA831" s="187">
        <v>820</v>
      </c>
    </row>
    <row r="832" spans="2:27" s="184" customFormat="1" ht="20" x14ac:dyDescent="0.2">
      <c r="B832" s="11" t="s">
        <v>1366</v>
      </c>
      <c r="C832" s="165" t="s">
        <v>4235</v>
      </c>
      <c r="D832" s="22" t="s">
        <v>2379</v>
      </c>
      <c r="E832" s="34">
        <v>1</v>
      </c>
      <c r="F832" s="22" t="s">
        <v>2223</v>
      </c>
      <c r="G832" s="235">
        <v>60</v>
      </c>
      <c r="H832" s="235">
        <f t="shared" si="109"/>
        <v>37.037037037037038</v>
      </c>
      <c r="I832" s="235">
        <v>60</v>
      </c>
      <c r="J832" s="235">
        <f t="shared" si="110"/>
        <v>37.037037037037038</v>
      </c>
      <c r="K832" s="201">
        <v>144</v>
      </c>
      <c r="L832" s="252">
        <f>_xlfn.XLOOKUP($K832,Inputs!$C$6:$C$23,Inputs!$D$6:$D$23)*$I832</f>
        <v>26.271428571428572</v>
      </c>
      <c r="M832" s="68"/>
      <c r="N832" s="68"/>
      <c r="O832" s="187"/>
      <c r="P832" s="187"/>
      <c r="Q832" s="94">
        <v>0.9</v>
      </c>
      <c r="R832" s="68">
        <f t="shared" si="115"/>
        <v>3</v>
      </c>
      <c r="S832" s="276">
        <f>_xlfn.XLOOKUP($K832,Inputs!$G$6:$G$23,Inputs!J$6:J$23)*$R832</f>
        <v>153.60000000000002</v>
      </c>
      <c r="T832" s="276">
        <f>_xlfn.XLOOKUP($K832,Inputs!$G$6:$G$23,Inputs!K$6:K$23)*$R832</f>
        <v>169.96721311475409</v>
      </c>
      <c r="U832" s="96" t="s">
        <v>3774</v>
      </c>
      <c r="V832" s="22" t="s">
        <v>3028</v>
      </c>
      <c r="W832" s="96" t="s">
        <v>3392</v>
      </c>
      <c r="X832" s="22" t="s">
        <v>2754</v>
      </c>
      <c r="Y832" s="11" t="s">
        <v>3331</v>
      </c>
      <c r="Z832" s="79"/>
      <c r="AA832" s="187">
        <v>821</v>
      </c>
    </row>
    <row r="833" spans="2:27" s="184" customFormat="1" ht="20" x14ac:dyDescent="0.2">
      <c r="B833" s="11" t="s">
        <v>966</v>
      </c>
      <c r="C833" s="165" t="s">
        <v>4235</v>
      </c>
      <c r="D833" s="22" t="s">
        <v>2379</v>
      </c>
      <c r="E833" s="34">
        <v>1</v>
      </c>
      <c r="F833" s="22" t="s">
        <v>2223</v>
      </c>
      <c r="G833" s="235">
        <v>10</v>
      </c>
      <c r="H833" s="235">
        <f t="shared" si="109"/>
        <v>6.1728395061728394</v>
      </c>
      <c r="I833" s="235">
        <v>15</v>
      </c>
      <c r="J833" s="235">
        <f t="shared" si="110"/>
        <v>9.2592592592592595</v>
      </c>
      <c r="K833" s="215">
        <v>138</v>
      </c>
      <c r="L833" s="252">
        <f>_xlfn.XLOOKUP($K833,Inputs!$C$6:$C$23,Inputs!$D$6:$D$23)*$I833</f>
        <v>6.503571428571429</v>
      </c>
      <c r="M833" s="68"/>
      <c r="N833" s="68"/>
      <c r="O833" s="215">
        <v>175</v>
      </c>
      <c r="P833" s="215">
        <v>217</v>
      </c>
      <c r="Q833" s="94">
        <v>0.9</v>
      </c>
      <c r="R833" s="68" t="s">
        <v>115</v>
      </c>
      <c r="S833" s="182">
        <f>O833*Q833</f>
        <v>157.5</v>
      </c>
      <c r="T833" s="182">
        <f>P833*Q833</f>
        <v>195.3</v>
      </c>
      <c r="U833" s="96" t="s">
        <v>3645</v>
      </c>
      <c r="V833" s="22" t="s">
        <v>2922</v>
      </c>
      <c r="W833" s="96" t="s">
        <v>4025</v>
      </c>
      <c r="X833" s="22" t="s">
        <v>2184</v>
      </c>
      <c r="Y833" s="11" t="s">
        <v>3300</v>
      </c>
      <c r="Z833" s="79"/>
      <c r="AA833" s="187">
        <v>822</v>
      </c>
    </row>
    <row r="834" spans="2:27" s="184" customFormat="1" ht="20" x14ac:dyDescent="0.2">
      <c r="B834" s="11" t="s">
        <v>966</v>
      </c>
      <c r="C834" s="165" t="s">
        <v>4235</v>
      </c>
      <c r="D834" s="22" t="s">
        <v>2379</v>
      </c>
      <c r="E834" s="34">
        <v>1</v>
      </c>
      <c r="F834" s="22" t="s">
        <v>2223</v>
      </c>
      <c r="G834" s="235">
        <v>5</v>
      </c>
      <c r="H834" s="235">
        <f t="shared" si="109"/>
        <v>3.0864197530864197</v>
      </c>
      <c r="I834" s="235">
        <v>15</v>
      </c>
      <c r="J834" s="235">
        <f t="shared" si="110"/>
        <v>9.2592592592592595</v>
      </c>
      <c r="K834" s="215">
        <v>138</v>
      </c>
      <c r="L834" s="252">
        <f>_xlfn.XLOOKUP($K834,Inputs!$C$6:$C$23,Inputs!$D$6:$D$23)*$I834</f>
        <v>6.503571428571429</v>
      </c>
      <c r="M834" s="68"/>
      <c r="N834" s="68"/>
      <c r="O834" s="215">
        <v>85</v>
      </c>
      <c r="P834" s="215">
        <v>90</v>
      </c>
      <c r="Q834" s="94">
        <v>0.9</v>
      </c>
      <c r="R834" s="68" t="s">
        <v>115</v>
      </c>
      <c r="S834" s="182">
        <f>O834*Q834</f>
        <v>76.5</v>
      </c>
      <c r="T834" s="182">
        <f>P834*Q834</f>
        <v>81</v>
      </c>
      <c r="U834" s="96" t="s">
        <v>4025</v>
      </c>
      <c r="V834" s="22" t="s">
        <v>2184</v>
      </c>
      <c r="W834" s="96" t="s">
        <v>3377</v>
      </c>
      <c r="X834" s="22" t="s">
        <v>2744</v>
      </c>
      <c r="Y834" s="11" t="s">
        <v>3289</v>
      </c>
      <c r="Z834" s="79"/>
      <c r="AA834" s="187">
        <v>823</v>
      </c>
    </row>
    <row r="835" spans="2:27" s="184" customFormat="1" ht="20" x14ac:dyDescent="0.2">
      <c r="B835" s="11" t="s">
        <v>964</v>
      </c>
      <c r="C835" s="165" t="s">
        <v>4235</v>
      </c>
      <c r="D835" s="22" t="s">
        <v>2379</v>
      </c>
      <c r="E835" s="34">
        <v>1</v>
      </c>
      <c r="F835" s="22" t="s">
        <v>2223</v>
      </c>
      <c r="G835" s="88">
        <v>12.600000000000001</v>
      </c>
      <c r="H835" s="235">
        <f t="shared" si="109"/>
        <v>7.7777777777777786</v>
      </c>
      <c r="I835" s="88">
        <v>12.600000000000001</v>
      </c>
      <c r="J835" s="235">
        <f t="shared" si="110"/>
        <v>7.7777777777777786</v>
      </c>
      <c r="K835" s="215">
        <v>138</v>
      </c>
      <c r="L835" s="252">
        <f>_xlfn.XLOOKUP($K835,Inputs!$C$6:$C$23,Inputs!$D$6:$D$23)*$I835</f>
        <v>5.463000000000001</v>
      </c>
      <c r="M835" s="68"/>
      <c r="N835" s="68"/>
      <c r="O835" s="215">
        <v>175</v>
      </c>
      <c r="P835" s="215">
        <v>217</v>
      </c>
      <c r="Q835" s="94">
        <v>0.9</v>
      </c>
      <c r="R835" s="68" t="s">
        <v>115</v>
      </c>
      <c r="S835" s="182">
        <f>O835*Q835</f>
        <v>157.5</v>
      </c>
      <c r="T835" s="182">
        <f>P835*Q835</f>
        <v>195.3</v>
      </c>
      <c r="U835" s="96" t="s">
        <v>4025</v>
      </c>
      <c r="V835" s="22" t="s">
        <v>2184</v>
      </c>
      <c r="W835" s="96" t="s">
        <v>4024</v>
      </c>
      <c r="X835" s="22" t="s">
        <v>3072</v>
      </c>
      <c r="Y835" s="11" t="s">
        <v>3300</v>
      </c>
      <c r="Z835" s="79"/>
      <c r="AA835" s="187">
        <v>824</v>
      </c>
    </row>
    <row r="836" spans="2:27" s="184" customFormat="1" ht="20" x14ac:dyDescent="0.2">
      <c r="B836" s="11" t="s">
        <v>968</v>
      </c>
      <c r="C836" s="165" t="s">
        <v>4235</v>
      </c>
      <c r="D836" s="22" t="s">
        <v>2379</v>
      </c>
      <c r="E836" s="34">
        <v>1</v>
      </c>
      <c r="F836" s="22" t="s">
        <v>2223</v>
      </c>
      <c r="G836" s="235">
        <v>20</v>
      </c>
      <c r="H836" s="235">
        <f t="shared" si="109"/>
        <v>12.345679012345679</v>
      </c>
      <c r="I836" s="235">
        <v>55</v>
      </c>
      <c r="J836" s="235">
        <f t="shared" si="110"/>
        <v>33.950617283950614</v>
      </c>
      <c r="K836" s="215">
        <v>138</v>
      </c>
      <c r="L836" s="252">
        <f>_xlfn.XLOOKUP($K836,Inputs!$C$6:$C$23,Inputs!$D$6:$D$23)*$I836</f>
        <v>23.846428571428575</v>
      </c>
      <c r="M836" s="68"/>
      <c r="N836" s="68"/>
      <c r="O836" s="215">
        <v>98</v>
      </c>
      <c r="P836" s="215">
        <v>114</v>
      </c>
      <c r="Q836" s="94">
        <v>0.9</v>
      </c>
      <c r="R836" s="68" t="s">
        <v>115</v>
      </c>
      <c r="S836" s="182">
        <f>O836*Q836</f>
        <v>88.2</v>
      </c>
      <c r="T836" s="182">
        <f>P836*Q836</f>
        <v>102.60000000000001</v>
      </c>
      <c r="U836" s="96" t="s">
        <v>3794</v>
      </c>
      <c r="V836" s="22" t="s">
        <v>3044</v>
      </c>
      <c r="W836" s="96" t="s">
        <v>4011</v>
      </c>
      <c r="X836" s="22" t="s">
        <v>2185</v>
      </c>
      <c r="Y836" s="11" t="s">
        <v>3297</v>
      </c>
      <c r="Z836" s="79"/>
      <c r="AA836" s="187">
        <v>825</v>
      </c>
    </row>
    <row r="837" spans="2:27" s="184" customFormat="1" ht="20" x14ac:dyDescent="0.2">
      <c r="B837" s="11" t="s">
        <v>968</v>
      </c>
      <c r="C837" s="165" t="s">
        <v>4235</v>
      </c>
      <c r="D837" s="22" t="s">
        <v>2379</v>
      </c>
      <c r="E837" s="34">
        <v>1</v>
      </c>
      <c r="F837" s="22" t="s">
        <v>2223</v>
      </c>
      <c r="G837" s="235">
        <v>35</v>
      </c>
      <c r="H837" s="235">
        <f t="shared" si="109"/>
        <v>21.604938271604937</v>
      </c>
      <c r="I837" s="235">
        <v>55</v>
      </c>
      <c r="J837" s="235">
        <f t="shared" si="110"/>
        <v>33.950617283950614</v>
      </c>
      <c r="K837" s="215">
        <v>138</v>
      </c>
      <c r="L837" s="252">
        <f>_xlfn.XLOOKUP($K837,Inputs!$C$6:$C$23,Inputs!$D$6:$D$23)*$I837</f>
        <v>23.846428571428575</v>
      </c>
      <c r="M837" s="68"/>
      <c r="N837" s="68"/>
      <c r="O837" s="215">
        <v>98</v>
      </c>
      <c r="P837" s="215">
        <v>114</v>
      </c>
      <c r="Q837" s="94">
        <v>0.9</v>
      </c>
      <c r="R837" s="68" t="s">
        <v>115</v>
      </c>
      <c r="S837" s="182">
        <f>O837*Q837</f>
        <v>88.2</v>
      </c>
      <c r="T837" s="182">
        <f>P837*Q837</f>
        <v>102.60000000000001</v>
      </c>
      <c r="U837" s="96" t="s">
        <v>4011</v>
      </c>
      <c r="V837" s="22" t="s">
        <v>2185</v>
      </c>
      <c r="W837" s="96" t="s">
        <v>3507</v>
      </c>
      <c r="X837" s="22" t="s">
        <v>2823</v>
      </c>
      <c r="Y837" s="11" t="s">
        <v>3297</v>
      </c>
      <c r="Z837" s="79"/>
      <c r="AA837" s="187">
        <v>826</v>
      </c>
    </row>
    <row r="838" spans="2:27" s="184" customFormat="1" ht="20" x14ac:dyDescent="0.2">
      <c r="B838" s="11" t="s">
        <v>967</v>
      </c>
      <c r="C838" s="165" t="s">
        <v>4235</v>
      </c>
      <c r="D838" s="22" t="s">
        <v>2379</v>
      </c>
      <c r="E838" s="34">
        <v>1</v>
      </c>
      <c r="F838" s="22" t="s">
        <v>2223</v>
      </c>
      <c r="G838" s="88">
        <v>12.600000000000001</v>
      </c>
      <c r="H838" s="235">
        <f t="shared" ref="H838:H901" si="116">G838/1.62</f>
        <v>7.7777777777777786</v>
      </c>
      <c r="I838" s="88">
        <v>12.600000000000001</v>
      </c>
      <c r="J838" s="235">
        <f t="shared" ref="J838:J901" si="117">I838/1.62</f>
        <v>7.7777777777777786</v>
      </c>
      <c r="K838" s="201">
        <v>144</v>
      </c>
      <c r="L838" s="252">
        <f>_xlfn.XLOOKUP($K838,Inputs!$C$6:$C$23,Inputs!$D$6:$D$23)*$I838</f>
        <v>5.5170000000000012</v>
      </c>
      <c r="M838" s="68"/>
      <c r="N838" s="68"/>
      <c r="O838" s="187"/>
      <c r="P838" s="187"/>
      <c r="Q838" s="94">
        <v>0.9</v>
      </c>
      <c r="R838" s="68">
        <f>IF((42.4*(J838)^(-0.6595))&gt;=3,3,(IF(42.4*(J838)^(-0.6595)&lt;=0.5,0.5,(42.4*(J838)^(-0.6595)))))</f>
        <v>3</v>
      </c>
      <c r="S838" s="276">
        <f>_xlfn.XLOOKUP($K838,Inputs!$G$6:$G$23,Inputs!J$6:J$23)*$R838</f>
        <v>153.60000000000002</v>
      </c>
      <c r="T838" s="276">
        <f>_xlfn.XLOOKUP($K838,Inputs!$G$6:$G$23,Inputs!K$6:K$23)*$R838</f>
        <v>169.96721311475409</v>
      </c>
      <c r="U838" s="96" t="s">
        <v>4011</v>
      </c>
      <c r="V838" s="22" t="s">
        <v>2185</v>
      </c>
      <c r="W838" s="96" t="s">
        <v>3916</v>
      </c>
      <c r="X838" s="22" t="s">
        <v>3177</v>
      </c>
      <c r="Y838" s="11" t="s">
        <v>3331</v>
      </c>
      <c r="Z838" s="79"/>
      <c r="AA838" s="187">
        <v>827</v>
      </c>
    </row>
    <row r="839" spans="2:27" s="184" customFormat="1" ht="20" x14ac:dyDescent="0.2">
      <c r="B839" s="11" t="s">
        <v>2071</v>
      </c>
      <c r="C839" s="165" t="s">
        <v>4235</v>
      </c>
      <c r="D839" s="22" t="s">
        <v>2379</v>
      </c>
      <c r="E839" s="34">
        <v>1</v>
      </c>
      <c r="F839" s="22" t="s">
        <v>2223</v>
      </c>
      <c r="G839" s="88">
        <v>21</v>
      </c>
      <c r="H839" s="235">
        <f t="shared" si="116"/>
        <v>12.962962962962962</v>
      </c>
      <c r="I839" s="88">
        <v>21</v>
      </c>
      <c r="J839" s="235">
        <f t="shared" si="117"/>
        <v>12.962962962962962</v>
      </c>
      <c r="K839" s="201">
        <v>144</v>
      </c>
      <c r="L839" s="252">
        <f>_xlfn.XLOOKUP($K839,Inputs!$C$6:$C$23,Inputs!$D$6:$D$23)*$I839</f>
        <v>9.1950000000000003</v>
      </c>
      <c r="M839" s="68"/>
      <c r="N839" s="68"/>
      <c r="O839" s="187"/>
      <c r="P839" s="187"/>
      <c r="Q839" s="94">
        <v>0.9</v>
      </c>
      <c r="R839" s="68">
        <f>IF((42.4*(J839)^(-0.6595))&gt;=3,3,(IF(42.4*(J839)^(-0.6595)&lt;=0.5,0.5,(42.4*(J839)^(-0.6595)))))</f>
        <v>3</v>
      </c>
      <c r="S839" s="276">
        <f>_xlfn.XLOOKUP($K839,Inputs!$G$6:$G$23,Inputs!J$6:J$23)*$R839</f>
        <v>153.60000000000002</v>
      </c>
      <c r="T839" s="276">
        <f>_xlfn.XLOOKUP($K839,Inputs!$G$6:$G$23,Inputs!K$6:K$23)*$R839</f>
        <v>169.96721311475409</v>
      </c>
      <c r="U839" s="96" t="s">
        <v>3866</v>
      </c>
      <c r="V839" s="22" t="s">
        <v>3134</v>
      </c>
      <c r="W839" s="96" t="s">
        <v>3654</v>
      </c>
      <c r="X839" s="22" t="s">
        <v>2688</v>
      </c>
      <c r="Y839" s="11" t="s">
        <v>3331</v>
      </c>
      <c r="Z839" s="79"/>
      <c r="AA839" s="187">
        <v>828</v>
      </c>
    </row>
    <row r="840" spans="2:27" s="184" customFormat="1" ht="20" x14ac:dyDescent="0.2">
      <c r="B840" s="11" t="s">
        <v>1846</v>
      </c>
      <c r="C840" s="165" t="s">
        <v>4235</v>
      </c>
      <c r="D840" s="22" t="s">
        <v>2379</v>
      </c>
      <c r="E840" s="34">
        <v>1</v>
      </c>
      <c r="F840" s="22" t="s">
        <v>2223</v>
      </c>
      <c r="G840" s="88">
        <v>21</v>
      </c>
      <c r="H840" s="235">
        <f t="shared" si="116"/>
        <v>12.962962962962962</v>
      </c>
      <c r="I840" s="88">
        <v>42</v>
      </c>
      <c r="J840" s="235">
        <f t="shared" si="117"/>
        <v>25.925925925925924</v>
      </c>
      <c r="K840" s="215">
        <v>138</v>
      </c>
      <c r="L840" s="252">
        <f>_xlfn.XLOOKUP($K840,Inputs!$C$6:$C$23,Inputs!$D$6:$D$23)*$I840</f>
        <v>18.21</v>
      </c>
      <c r="M840" s="68"/>
      <c r="N840" s="68"/>
      <c r="O840" s="215">
        <v>48</v>
      </c>
      <c r="P840" s="215">
        <v>48</v>
      </c>
      <c r="Q840" s="94">
        <v>0.9</v>
      </c>
      <c r="R840" s="68" t="s">
        <v>115</v>
      </c>
      <c r="S840" s="182">
        <f>O840*Q840</f>
        <v>43.2</v>
      </c>
      <c r="T840" s="182">
        <f>P840*Q840</f>
        <v>43.2</v>
      </c>
      <c r="U840" s="96" t="s">
        <v>3615</v>
      </c>
      <c r="V840" s="22" t="s">
        <v>2903</v>
      </c>
      <c r="W840" s="96" t="s">
        <v>3952</v>
      </c>
      <c r="X840" s="205" t="s">
        <v>2186</v>
      </c>
      <c r="Y840" s="11" t="s">
        <v>3285</v>
      </c>
      <c r="Z840" s="79"/>
      <c r="AA840" s="187">
        <v>829</v>
      </c>
    </row>
    <row r="841" spans="2:27" s="184" customFormat="1" ht="20" x14ac:dyDescent="0.2">
      <c r="B841" s="11" t="s">
        <v>1846</v>
      </c>
      <c r="C841" s="165" t="s">
        <v>4235</v>
      </c>
      <c r="D841" s="22" t="s">
        <v>2379</v>
      </c>
      <c r="E841" s="34">
        <v>1</v>
      </c>
      <c r="F841" s="22" t="s">
        <v>2223</v>
      </c>
      <c r="G841" s="88">
        <v>21</v>
      </c>
      <c r="H841" s="235">
        <f t="shared" si="116"/>
        <v>12.962962962962962</v>
      </c>
      <c r="I841" s="88">
        <v>42</v>
      </c>
      <c r="J841" s="235">
        <f t="shared" si="117"/>
        <v>25.925925925925924</v>
      </c>
      <c r="K841" s="215">
        <v>138</v>
      </c>
      <c r="L841" s="252">
        <f>_xlfn.XLOOKUP($K841,Inputs!$C$6:$C$23,Inputs!$D$6:$D$23)*$I841</f>
        <v>18.21</v>
      </c>
      <c r="M841" s="68"/>
      <c r="N841" s="68"/>
      <c r="O841" s="215">
        <v>85</v>
      </c>
      <c r="P841" s="215">
        <v>90</v>
      </c>
      <c r="Q841" s="94">
        <v>0.9</v>
      </c>
      <c r="R841" s="68" t="s">
        <v>115</v>
      </c>
      <c r="S841" s="182">
        <f>O841*Q841</f>
        <v>76.5</v>
      </c>
      <c r="T841" s="182">
        <f>P841*Q841</f>
        <v>81</v>
      </c>
      <c r="U841" s="96" t="s">
        <v>3952</v>
      </c>
      <c r="V841" s="22" t="s">
        <v>2186</v>
      </c>
      <c r="W841" s="96" t="s">
        <v>3399</v>
      </c>
      <c r="X841" s="22" t="s">
        <v>2758</v>
      </c>
      <c r="Y841" s="11" t="s">
        <v>3285</v>
      </c>
      <c r="Z841" s="79"/>
      <c r="AA841" s="187">
        <v>830</v>
      </c>
    </row>
    <row r="842" spans="2:27" s="184" customFormat="1" ht="20" x14ac:dyDescent="0.2">
      <c r="B842" s="11" t="s">
        <v>1848</v>
      </c>
      <c r="C842" s="165" t="s">
        <v>4235</v>
      </c>
      <c r="D842" s="22" t="s">
        <v>2379</v>
      </c>
      <c r="E842" s="34">
        <v>1</v>
      </c>
      <c r="F842" s="22" t="s">
        <v>2223</v>
      </c>
      <c r="G842" s="88">
        <v>7</v>
      </c>
      <c r="H842" s="235">
        <f t="shared" si="116"/>
        <v>4.3209876543209873</v>
      </c>
      <c r="I842" s="88">
        <v>7</v>
      </c>
      <c r="J842" s="235">
        <f t="shared" si="117"/>
        <v>4.3209876543209873</v>
      </c>
      <c r="K842" s="201">
        <v>144</v>
      </c>
      <c r="L842" s="252">
        <f>_xlfn.XLOOKUP($K842,Inputs!$C$6:$C$23,Inputs!$D$6:$D$23)*$I842</f>
        <v>3.0650000000000004</v>
      </c>
      <c r="M842" s="68"/>
      <c r="N842" s="68"/>
      <c r="O842" s="187"/>
      <c r="P842" s="187"/>
      <c r="Q842" s="94">
        <v>0.9</v>
      </c>
      <c r="R842" s="68">
        <f>IF((42.4*(J842)^(-0.6595))&gt;=3,3,(IF(42.4*(J842)^(-0.6595)&lt;=0.5,0.5,(42.4*(J842)^(-0.6595)))))</f>
        <v>3</v>
      </c>
      <c r="S842" s="276">
        <f>_xlfn.XLOOKUP($K842,Inputs!$G$6:$G$23,Inputs!J$6:J$23)*$R842</f>
        <v>153.60000000000002</v>
      </c>
      <c r="T842" s="276">
        <f>_xlfn.XLOOKUP($K842,Inputs!$G$6:$G$23,Inputs!K$6:K$23)*$R842</f>
        <v>169.96721311475409</v>
      </c>
      <c r="U842" s="96" t="s">
        <v>3952</v>
      </c>
      <c r="V842" s="22" t="s">
        <v>2186</v>
      </c>
      <c r="W842" s="96" t="s">
        <v>3603</v>
      </c>
      <c r="X842" s="22" t="s">
        <v>2893</v>
      </c>
      <c r="Y842" s="11" t="s">
        <v>3331</v>
      </c>
      <c r="Z842" s="79"/>
      <c r="AA842" s="187">
        <v>831</v>
      </c>
    </row>
    <row r="843" spans="2:27" s="184" customFormat="1" ht="20" x14ac:dyDescent="0.2">
      <c r="B843" s="11" t="s">
        <v>1921</v>
      </c>
      <c r="C843" s="165" t="s">
        <v>4235</v>
      </c>
      <c r="D843" s="22" t="s">
        <v>2379</v>
      </c>
      <c r="E843" s="34">
        <v>1</v>
      </c>
      <c r="F843" s="22" t="s">
        <v>2223</v>
      </c>
      <c r="G843" s="88">
        <v>14</v>
      </c>
      <c r="H843" s="235">
        <f t="shared" si="116"/>
        <v>8.6419753086419746</v>
      </c>
      <c r="I843" s="88">
        <v>14</v>
      </c>
      <c r="J843" s="235">
        <f t="shared" si="117"/>
        <v>8.6419753086419746</v>
      </c>
      <c r="K843" s="201">
        <v>144</v>
      </c>
      <c r="L843" s="252">
        <f>_xlfn.XLOOKUP($K843,Inputs!$C$6:$C$23,Inputs!$D$6:$D$23)*$I843</f>
        <v>6.1300000000000008</v>
      </c>
      <c r="M843" s="68"/>
      <c r="N843" s="68"/>
      <c r="O843" s="187"/>
      <c r="P843" s="187"/>
      <c r="Q843" s="94">
        <v>0.9</v>
      </c>
      <c r="R843" s="68">
        <f>IF((42.4*(J843)^(-0.6595))&gt;=3,3,(IF(42.4*(J843)^(-0.6595)&lt;=0.5,0.5,(42.4*(J843)^(-0.6595)))))</f>
        <v>3</v>
      </c>
      <c r="S843" s="276">
        <f>_xlfn.XLOOKUP($K843,Inputs!$G$6:$G$23,Inputs!J$6:J$23)*$R843</f>
        <v>153.60000000000002</v>
      </c>
      <c r="T843" s="276">
        <f>_xlfn.XLOOKUP($K843,Inputs!$G$6:$G$23,Inputs!K$6:K$23)*$R843</f>
        <v>169.96721311475409</v>
      </c>
      <c r="U843" s="96" t="s">
        <v>3694</v>
      </c>
      <c r="V843" s="22" t="s">
        <v>2963</v>
      </c>
      <c r="W843" s="96" t="s">
        <v>3890</v>
      </c>
      <c r="X843" s="22" t="s">
        <v>3152</v>
      </c>
      <c r="Y843" s="11" t="s">
        <v>3331</v>
      </c>
      <c r="Z843" s="79"/>
      <c r="AA843" s="187">
        <v>832</v>
      </c>
    </row>
    <row r="844" spans="2:27" s="184" customFormat="1" ht="20" x14ac:dyDescent="0.2">
      <c r="B844" s="11" t="s">
        <v>1949</v>
      </c>
      <c r="C844" s="165" t="s">
        <v>4235</v>
      </c>
      <c r="D844" s="22" t="s">
        <v>2379</v>
      </c>
      <c r="E844" s="34">
        <v>1</v>
      </c>
      <c r="F844" s="22" t="s">
        <v>2223</v>
      </c>
      <c r="G844" s="235">
        <v>5</v>
      </c>
      <c r="H844" s="235">
        <f t="shared" si="116"/>
        <v>3.0864197530864197</v>
      </c>
      <c r="I844" s="235">
        <v>5</v>
      </c>
      <c r="J844" s="235">
        <f t="shared" si="117"/>
        <v>3.0864197530864197</v>
      </c>
      <c r="K844" s="201">
        <v>144</v>
      </c>
      <c r="L844" s="252">
        <f>_xlfn.XLOOKUP($K844,Inputs!$C$6:$C$23,Inputs!$D$6:$D$23)*$I844</f>
        <v>2.1892857142857145</v>
      </c>
      <c r="M844" s="68"/>
      <c r="N844" s="68"/>
      <c r="O844" s="187"/>
      <c r="P844" s="187"/>
      <c r="Q844" s="94">
        <v>0.9</v>
      </c>
      <c r="R844" s="68">
        <f>IF((42.4*(J844)^(-0.6595))&gt;=3,3,(IF(42.4*(J844)^(-0.6595)&lt;=0.5,0.5,(42.4*(J844)^(-0.6595)))))</f>
        <v>3</v>
      </c>
      <c r="S844" s="276">
        <f>_xlfn.XLOOKUP($K844,Inputs!$G$6:$G$23,Inputs!J$6:J$23)*$R844</f>
        <v>153.60000000000002</v>
      </c>
      <c r="T844" s="276">
        <f>_xlfn.XLOOKUP($K844,Inputs!$G$6:$G$23,Inputs!K$6:K$23)*$R844</f>
        <v>169.96721311475409</v>
      </c>
      <c r="U844" s="96" t="s">
        <v>3918</v>
      </c>
      <c r="V844" s="22" t="s">
        <v>3179</v>
      </c>
      <c r="W844" s="96" t="s">
        <v>3429</v>
      </c>
      <c r="X844" s="22" t="s">
        <v>2660</v>
      </c>
      <c r="Y844" s="11" t="s">
        <v>3331</v>
      </c>
      <c r="Z844" s="79"/>
      <c r="AA844" s="187">
        <v>833</v>
      </c>
    </row>
    <row r="845" spans="2:27" s="184" customFormat="1" ht="20" x14ac:dyDescent="0.2">
      <c r="B845" s="11" t="s">
        <v>969</v>
      </c>
      <c r="C845" s="165" t="s">
        <v>4235</v>
      </c>
      <c r="D845" s="22" t="s">
        <v>2379</v>
      </c>
      <c r="E845" s="34">
        <v>1</v>
      </c>
      <c r="F845" s="22" t="s">
        <v>2223</v>
      </c>
      <c r="G845" s="235">
        <v>12</v>
      </c>
      <c r="H845" s="235">
        <f t="shared" si="116"/>
        <v>7.4074074074074066</v>
      </c>
      <c r="I845" s="235">
        <v>12</v>
      </c>
      <c r="J845" s="235">
        <f t="shared" si="117"/>
        <v>7.4074074074074066</v>
      </c>
      <c r="K845" s="215">
        <v>138</v>
      </c>
      <c r="L845" s="252">
        <f>_xlfn.XLOOKUP($K845,Inputs!$C$6:$C$23,Inputs!$D$6:$D$23)*$I845</f>
        <v>5.2028571428571428</v>
      </c>
      <c r="M845" s="68"/>
      <c r="N845" s="68"/>
      <c r="O845" s="215">
        <v>141</v>
      </c>
      <c r="P845" s="215">
        <v>163</v>
      </c>
      <c r="Q845" s="94">
        <v>0.9</v>
      </c>
      <c r="R845" s="68" t="s">
        <v>115</v>
      </c>
      <c r="S845" s="182">
        <f t="shared" ref="S845:S853" si="118">O845*Q845</f>
        <v>126.9</v>
      </c>
      <c r="T845" s="182">
        <f t="shared" ref="T845:T853" si="119">P845*Q845</f>
        <v>146.70000000000002</v>
      </c>
      <c r="U845" s="96" t="s">
        <v>3507</v>
      </c>
      <c r="V845" s="22" t="s">
        <v>2823</v>
      </c>
      <c r="W845" s="96" t="s">
        <v>3430</v>
      </c>
      <c r="X845" s="205" t="s">
        <v>2778</v>
      </c>
      <c r="Y845" s="11" t="s">
        <v>3300</v>
      </c>
      <c r="Z845" s="79"/>
      <c r="AA845" s="187">
        <v>834</v>
      </c>
    </row>
    <row r="846" spans="2:27" s="184" customFormat="1" ht="20" x14ac:dyDescent="0.2">
      <c r="B846" s="11" t="s">
        <v>1910</v>
      </c>
      <c r="C846" s="165" t="s">
        <v>4235</v>
      </c>
      <c r="D846" s="22" t="s">
        <v>2379</v>
      </c>
      <c r="E846" s="34">
        <v>1</v>
      </c>
      <c r="F846" s="22" t="s">
        <v>2223</v>
      </c>
      <c r="G846" s="88">
        <v>24.5</v>
      </c>
      <c r="H846" s="235">
        <f t="shared" si="116"/>
        <v>15.123456790123456</v>
      </c>
      <c r="I846" s="88">
        <v>49</v>
      </c>
      <c r="J846" s="235">
        <f t="shared" si="117"/>
        <v>30.246913580246911</v>
      </c>
      <c r="K846" s="215">
        <v>138</v>
      </c>
      <c r="L846" s="252">
        <f>_xlfn.XLOOKUP($K846,Inputs!$C$6:$C$23,Inputs!$D$6:$D$23)*$I846</f>
        <v>21.245000000000001</v>
      </c>
      <c r="M846" s="68"/>
      <c r="N846" s="68"/>
      <c r="O846" s="215">
        <v>120</v>
      </c>
      <c r="P846" s="215">
        <v>148</v>
      </c>
      <c r="Q846" s="94">
        <v>0.9</v>
      </c>
      <c r="R846" s="68" t="s">
        <v>115</v>
      </c>
      <c r="S846" s="182">
        <f t="shared" si="118"/>
        <v>108</v>
      </c>
      <c r="T846" s="182">
        <f t="shared" si="119"/>
        <v>133.20000000000002</v>
      </c>
      <c r="U846" s="96" t="s">
        <v>3848</v>
      </c>
      <c r="V846" s="22" t="s">
        <v>2718</v>
      </c>
      <c r="W846" s="96" t="s">
        <v>3469</v>
      </c>
      <c r="X846" s="205" t="s">
        <v>2187</v>
      </c>
      <c r="Y846" s="11" t="s">
        <v>3303</v>
      </c>
      <c r="Z846" s="79"/>
      <c r="AA846" s="187">
        <v>835</v>
      </c>
    </row>
    <row r="847" spans="2:27" s="184" customFormat="1" ht="20" x14ac:dyDescent="0.2">
      <c r="B847" s="11" t="s">
        <v>1910</v>
      </c>
      <c r="C847" s="165" t="s">
        <v>4235</v>
      </c>
      <c r="D847" s="22" t="s">
        <v>2379</v>
      </c>
      <c r="E847" s="34">
        <v>1</v>
      </c>
      <c r="F847" s="22" t="s">
        <v>2223</v>
      </c>
      <c r="G847" s="88">
        <v>24.5</v>
      </c>
      <c r="H847" s="235">
        <f t="shared" si="116"/>
        <v>15.123456790123456</v>
      </c>
      <c r="I847" s="88">
        <v>49</v>
      </c>
      <c r="J847" s="235">
        <f t="shared" si="117"/>
        <v>30.246913580246911</v>
      </c>
      <c r="K847" s="215">
        <v>138</v>
      </c>
      <c r="L847" s="252">
        <f>_xlfn.XLOOKUP($K847,Inputs!$C$6:$C$23,Inputs!$D$6:$D$23)*$I847</f>
        <v>21.245000000000001</v>
      </c>
      <c r="M847" s="68"/>
      <c r="N847" s="68"/>
      <c r="O847" s="215">
        <v>120</v>
      </c>
      <c r="P847" s="215">
        <v>148</v>
      </c>
      <c r="Q847" s="94">
        <v>0.9</v>
      </c>
      <c r="R847" s="68" t="s">
        <v>115</v>
      </c>
      <c r="S847" s="182">
        <f t="shared" si="118"/>
        <v>108</v>
      </c>
      <c r="T847" s="182">
        <f t="shared" si="119"/>
        <v>133.20000000000002</v>
      </c>
      <c r="U847" s="96" t="s">
        <v>3469</v>
      </c>
      <c r="V847" s="22" t="s">
        <v>2187</v>
      </c>
      <c r="W847" s="96" t="s">
        <v>3480</v>
      </c>
      <c r="X847" s="22" t="s">
        <v>2670</v>
      </c>
      <c r="Y847" s="11" t="s">
        <v>3303</v>
      </c>
      <c r="Z847" s="79"/>
      <c r="AA847" s="187">
        <v>836</v>
      </c>
    </row>
    <row r="848" spans="2:27" s="184" customFormat="1" ht="20" x14ac:dyDescent="0.2">
      <c r="B848" s="11" t="s">
        <v>1912</v>
      </c>
      <c r="C848" s="165" t="s">
        <v>4235</v>
      </c>
      <c r="D848" s="22" t="s">
        <v>2379</v>
      </c>
      <c r="E848" s="34">
        <v>1</v>
      </c>
      <c r="F848" s="22" t="s">
        <v>2223</v>
      </c>
      <c r="G848" s="88">
        <v>14</v>
      </c>
      <c r="H848" s="235">
        <f t="shared" si="116"/>
        <v>8.6419753086419746</v>
      </c>
      <c r="I848" s="88">
        <v>14</v>
      </c>
      <c r="J848" s="235">
        <f t="shared" si="117"/>
        <v>8.6419753086419746</v>
      </c>
      <c r="K848" s="215">
        <v>138</v>
      </c>
      <c r="L848" s="252">
        <f>_xlfn.XLOOKUP($K848,Inputs!$C$6:$C$23,Inputs!$D$6:$D$23)*$I848</f>
        <v>6.07</v>
      </c>
      <c r="M848" s="68"/>
      <c r="N848" s="68"/>
      <c r="O848" s="215">
        <v>120</v>
      </c>
      <c r="P848" s="215">
        <v>148</v>
      </c>
      <c r="Q848" s="94">
        <v>0.9</v>
      </c>
      <c r="R848" s="68" t="s">
        <v>115</v>
      </c>
      <c r="S848" s="182">
        <f t="shared" si="118"/>
        <v>108</v>
      </c>
      <c r="T848" s="182">
        <f t="shared" si="119"/>
        <v>133.20000000000002</v>
      </c>
      <c r="U848" s="96" t="s">
        <v>3469</v>
      </c>
      <c r="V848" s="22" t="s">
        <v>2187</v>
      </c>
      <c r="W848" s="96" t="s">
        <v>3468</v>
      </c>
      <c r="X848" s="205" t="s">
        <v>2667</v>
      </c>
      <c r="Y848" s="11" t="s">
        <v>3301</v>
      </c>
      <c r="Z848" s="79"/>
      <c r="AA848" s="187">
        <v>837</v>
      </c>
    </row>
    <row r="849" spans="1:27" s="184" customFormat="1" ht="20" x14ac:dyDescent="0.2">
      <c r="B849" s="11" t="s">
        <v>1958</v>
      </c>
      <c r="C849" s="165" t="s">
        <v>4235</v>
      </c>
      <c r="D849" s="22" t="s">
        <v>2379</v>
      </c>
      <c r="E849" s="34">
        <v>1</v>
      </c>
      <c r="F849" s="22" t="s">
        <v>2223</v>
      </c>
      <c r="G849" s="235">
        <v>25</v>
      </c>
      <c r="H849" s="235">
        <f t="shared" si="116"/>
        <v>15.432098765432098</v>
      </c>
      <c r="I849" s="235">
        <v>25</v>
      </c>
      <c r="J849" s="235">
        <f t="shared" si="117"/>
        <v>15.432098765432098</v>
      </c>
      <c r="K849" s="215">
        <v>138</v>
      </c>
      <c r="L849" s="252">
        <f>_xlfn.XLOOKUP($K849,Inputs!$C$6:$C$23,Inputs!$D$6:$D$23)*$I849</f>
        <v>10.839285714285715</v>
      </c>
      <c r="M849" s="68"/>
      <c r="N849" s="68"/>
      <c r="O849" s="215">
        <v>85</v>
      </c>
      <c r="P849" s="215">
        <v>90</v>
      </c>
      <c r="Q849" s="94">
        <v>0.9</v>
      </c>
      <c r="R849" s="68" t="s">
        <v>115</v>
      </c>
      <c r="S849" s="182">
        <f t="shared" si="118"/>
        <v>76.5</v>
      </c>
      <c r="T849" s="182">
        <f t="shared" si="119"/>
        <v>81</v>
      </c>
      <c r="U849" s="96" t="s">
        <v>3892</v>
      </c>
      <c r="V849" s="22" t="s">
        <v>2637</v>
      </c>
      <c r="W849" s="96" t="s">
        <v>3605</v>
      </c>
      <c r="X849" s="22" t="s">
        <v>2678</v>
      </c>
      <c r="Y849" s="11" t="s">
        <v>3293</v>
      </c>
      <c r="Z849" s="79"/>
      <c r="AA849" s="187">
        <v>838</v>
      </c>
    </row>
    <row r="850" spans="1:27" s="184" customFormat="1" ht="20" x14ac:dyDescent="0.2">
      <c r="B850" s="11" t="s">
        <v>1327</v>
      </c>
      <c r="C850" s="165" t="s">
        <v>4235</v>
      </c>
      <c r="D850" s="22" t="s">
        <v>2379</v>
      </c>
      <c r="E850" s="34">
        <v>1</v>
      </c>
      <c r="F850" s="22" t="s">
        <v>2223</v>
      </c>
      <c r="G850" s="88">
        <v>4.5999999999999996</v>
      </c>
      <c r="H850" s="235">
        <f t="shared" si="116"/>
        <v>2.8395061728395059</v>
      </c>
      <c r="I850" s="88">
        <v>4.5999999999999996</v>
      </c>
      <c r="J850" s="235">
        <f t="shared" si="117"/>
        <v>2.8395061728395059</v>
      </c>
      <c r="K850" s="215">
        <v>138</v>
      </c>
      <c r="L850" s="252">
        <f>_xlfn.XLOOKUP($K850,Inputs!$C$6:$C$23,Inputs!$D$6:$D$23)*$I850</f>
        <v>1.9944285714285714</v>
      </c>
      <c r="M850" s="68"/>
      <c r="N850" s="68"/>
      <c r="O850" s="215">
        <v>119</v>
      </c>
      <c r="P850" s="215">
        <v>146</v>
      </c>
      <c r="Q850" s="94">
        <v>0.9</v>
      </c>
      <c r="R850" s="68" t="s">
        <v>115</v>
      </c>
      <c r="S850" s="182">
        <f t="shared" si="118"/>
        <v>107.10000000000001</v>
      </c>
      <c r="T850" s="182">
        <f t="shared" si="119"/>
        <v>131.4</v>
      </c>
      <c r="U850" s="96" t="s">
        <v>3524</v>
      </c>
      <c r="V850" s="22" t="s">
        <v>2837</v>
      </c>
      <c r="W850" s="96" t="s">
        <v>3846</v>
      </c>
      <c r="X850" s="22" t="s">
        <v>3119</v>
      </c>
      <c r="Y850" s="11" t="s">
        <v>3281</v>
      </c>
      <c r="Z850" s="79"/>
      <c r="AA850" s="187">
        <v>839</v>
      </c>
    </row>
    <row r="851" spans="1:27" s="184" customFormat="1" ht="20" x14ac:dyDescent="0.2">
      <c r="B851" s="11" t="s">
        <v>1924</v>
      </c>
      <c r="C851" s="165" t="s">
        <v>4235</v>
      </c>
      <c r="D851" s="22" t="s">
        <v>2379</v>
      </c>
      <c r="E851" s="34">
        <v>1</v>
      </c>
      <c r="F851" s="22" t="s">
        <v>2223</v>
      </c>
      <c r="G851" s="88">
        <v>10.5</v>
      </c>
      <c r="H851" s="235">
        <f t="shared" si="116"/>
        <v>6.481481481481481</v>
      </c>
      <c r="I851" s="88">
        <v>24.5</v>
      </c>
      <c r="J851" s="235">
        <f t="shared" si="117"/>
        <v>15.123456790123456</v>
      </c>
      <c r="K851" s="215">
        <v>138</v>
      </c>
      <c r="L851" s="252">
        <f>_xlfn.XLOOKUP($K851,Inputs!$C$6:$C$23,Inputs!$D$6:$D$23)*$I851</f>
        <v>10.6225</v>
      </c>
      <c r="M851" s="68"/>
      <c r="N851" s="68"/>
      <c r="O851" s="215">
        <v>142</v>
      </c>
      <c r="P851" s="215">
        <v>142</v>
      </c>
      <c r="Q851" s="94">
        <v>0.9</v>
      </c>
      <c r="R851" s="68" t="s">
        <v>115</v>
      </c>
      <c r="S851" s="182">
        <f t="shared" si="118"/>
        <v>127.8</v>
      </c>
      <c r="T851" s="182">
        <f t="shared" si="119"/>
        <v>127.8</v>
      </c>
      <c r="U851" s="96" t="s">
        <v>3636</v>
      </c>
      <c r="V851" s="22" t="s">
        <v>3260</v>
      </c>
      <c r="W851" s="96" t="s">
        <v>3673</v>
      </c>
      <c r="X851" s="22" t="s">
        <v>2945</v>
      </c>
      <c r="Y851" s="11" t="s">
        <v>3319</v>
      </c>
      <c r="Z851" s="79"/>
      <c r="AA851" s="187">
        <v>840</v>
      </c>
    </row>
    <row r="852" spans="1:27" s="184" customFormat="1" ht="20" x14ac:dyDescent="0.2">
      <c r="B852" s="11" t="s">
        <v>1924</v>
      </c>
      <c r="C852" s="165" t="s">
        <v>4235</v>
      </c>
      <c r="D852" s="22" t="s">
        <v>2379</v>
      </c>
      <c r="E852" s="34">
        <v>1</v>
      </c>
      <c r="F852" s="22" t="s">
        <v>2223</v>
      </c>
      <c r="G852" s="88">
        <v>14</v>
      </c>
      <c r="H852" s="235">
        <f t="shared" si="116"/>
        <v>8.6419753086419746</v>
      </c>
      <c r="I852" s="88">
        <v>24.5</v>
      </c>
      <c r="J852" s="235">
        <f t="shared" si="117"/>
        <v>15.123456790123456</v>
      </c>
      <c r="K852" s="215">
        <v>138</v>
      </c>
      <c r="L852" s="252">
        <f>_xlfn.XLOOKUP($K852,Inputs!$C$6:$C$23,Inputs!$D$6:$D$23)*$I852</f>
        <v>10.6225</v>
      </c>
      <c r="M852" s="68"/>
      <c r="N852" s="68"/>
      <c r="O852" s="215">
        <v>142</v>
      </c>
      <c r="P852" s="215">
        <v>142</v>
      </c>
      <c r="Q852" s="94">
        <v>0.9</v>
      </c>
      <c r="R852" s="68" t="s">
        <v>115</v>
      </c>
      <c r="S852" s="182">
        <f t="shared" si="118"/>
        <v>127.8</v>
      </c>
      <c r="T852" s="182">
        <f t="shared" si="119"/>
        <v>127.8</v>
      </c>
      <c r="U852" s="96" t="s">
        <v>3694</v>
      </c>
      <c r="V852" s="22" t="s">
        <v>2963</v>
      </c>
      <c r="W852" s="96" t="s">
        <v>3673</v>
      </c>
      <c r="X852" s="22" t="s">
        <v>2945</v>
      </c>
      <c r="Y852" s="11" t="s">
        <v>3319</v>
      </c>
      <c r="Z852" s="79"/>
      <c r="AA852" s="187">
        <v>840</v>
      </c>
    </row>
    <row r="853" spans="1:27" s="184" customFormat="1" ht="20" x14ac:dyDescent="0.2">
      <c r="B853" s="11" t="s">
        <v>1925</v>
      </c>
      <c r="C853" s="165" t="s">
        <v>4235</v>
      </c>
      <c r="D853" s="22" t="s">
        <v>2379</v>
      </c>
      <c r="E853" s="34">
        <v>1</v>
      </c>
      <c r="F853" s="22" t="s">
        <v>2223</v>
      </c>
      <c r="G853" s="88">
        <v>24.5</v>
      </c>
      <c r="H853" s="235">
        <f t="shared" si="116"/>
        <v>15.123456790123456</v>
      </c>
      <c r="I853" s="88">
        <v>24.5</v>
      </c>
      <c r="J853" s="235">
        <f t="shared" si="117"/>
        <v>15.123456790123456</v>
      </c>
      <c r="K853" s="215">
        <v>138</v>
      </c>
      <c r="L853" s="252">
        <f>_xlfn.XLOOKUP($K853,Inputs!$C$6:$C$23,Inputs!$D$6:$D$23)*$I853</f>
        <v>10.6225</v>
      </c>
      <c r="M853" s="68"/>
      <c r="N853" s="68"/>
      <c r="O853" s="215">
        <v>167</v>
      </c>
      <c r="P853" s="215">
        <v>201</v>
      </c>
      <c r="Q853" s="94">
        <v>0.9</v>
      </c>
      <c r="R853" s="68" t="s">
        <v>115</v>
      </c>
      <c r="S853" s="182">
        <f t="shared" si="118"/>
        <v>150.30000000000001</v>
      </c>
      <c r="T853" s="182">
        <f t="shared" si="119"/>
        <v>180.9</v>
      </c>
      <c r="U853" s="96" t="s">
        <v>3673</v>
      </c>
      <c r="V853" s="22" t="s">
        <v>2945</v>
      </c>
      <c r="W853" s="96" t="s">
        <v>3800</v>
      </c>
      <c r="X853" s="22" t="s">
        <v>3050</v>
      </c>
      <c r="Y853" s="11" t="s">
        <v>3303</v>
      </c>
      <c r="Z853" s="79"/>
      <c r="AA853" s="187">
        <v>841</v>
      </c>
    </row>
    <row r="854" spans="1:27" s="184" customFormat="1" ht="20" x14ac:dyDescent="0.2">
      <c r="B854" s="11" t="s">
        <v>1209</v>
      </c>
      <c r="C854" s="165" t="s">
        <v>4235</v>
      </c>
      <c r="D854" s="22" t="s">
        <v>2379</v>
      </c>
      <c r="E854" s="34">
        <v>1</v>
      </c>
      <c r="F854" s="22" t="s">
        <v>2223</v>
      </c>
      <c r="G854" s="88">
        <v>25</v>
      </c>
      <c r="H854" s="235">
        <f t="shared" si="116"/>
        <v>15.432098765432098</v>
      </c>
      <c r="I854" s="88">
        <v>25</v>
      </c>
      <c r="J854" s="235">
        <f t="shared" si="117"/>
        <v>15.432098765432098</v>
      </c>
      <c r="K854" s="201">
        <v>144</v>
      </c>
      <c r="L854" s="252">
        <f>_xlfn.XLOOKUP($K854,Inputs!$C$6:$C$23,Inputs!$D$6:$D$23)*$I854</f>
        <v>10.946428571428573</v>
      </c>
      <c r="M854" s="68"/>
      <c r="N854" s="68"/>
      <c r="O854" s="187"/>
      <c r="P854" s="187"/>
      <c r="Q854" s="94">
        <v>0.9</v>
      </c>
      <c r="R854" s="68">
        <f t="shared" ref="R854:R865" si="120">IF((42.4*(J854)^(-0.6595))&gt;=3,3,(IF(42.4*(J854)^(-0.6595)&lt;=0.5,0.5,(42.4*(J854)^(-0.6595)))))</f>
        <v>3</v>
      </c>
      <c r="S854" s="276">
        <f>_xlfn.XLOOKUP($K854,Inputs!$G$6:$G$23,Inputs!J$6:J$23)*$R854</f>
        <v>153.60000000000002</v>
      </c>
      <c r="T854" s="276">
        <f>_xlfn.XLOOKUP($K854,Inputs!$G$6:$G$23,Inputs!K$6:K$23)*$R854</f>
        <v>169.96721311475409</v>
      </c>
      <c r="U854" s="96" t="s">
        <v>3813</v>
      </c>
      <c r="V854" s="22" t="s">
        <v>3059</v>
      </c>
      <c r="W854" s="96" t="s">
        <v>3721</v>
      </c>
      <c r="X854" s="22" t="s">
        <v>2984</v>
      </c>
      <c r="Y854" s="11" t="s">
        <v>3331</v>
      </c>
      <c r="Z854" s="79"/>
      <c r="AA854" s="187">
        <v>842</v>
      </c>
    </row>
    <row r="855" spans="1:27" s="184" customFormat="1" ht="20" x14ac:dyDescent="0.2">
      <c r="B855" s="11" t="s">
        <v>1210</v>
      </c>
      <c r="C855" s="165" t="s">
        <v>4235</v>
      </c>
      <c r="D855" s="22" t="s">
        <v>2379</v>
      </c>
      <c r="E855" s="34">
        <v>1</v>
      </c>
      <c r="F855" s="22" t="s">
        <v>2223</v>
      </c>
      <c r="G855" s="88">
        <v>35</v>
      </c>
      <c r="H855" s="235">
        <f t="shared" si="116"/>
        <v>21.604938271604937</v>
      </c>
      <c r="I855" s="88">
        <v>35</v>
      </c>
      <c r="J855" s="235">
        <f t="shared" si="117"/>
        <v>21.604938271604937</v>
      </c>
      <c r="K855" s="201">
        <v>144</v>
      </c>
      <c r="L855" s="252">
        <f>_xlfn.XLOOKUP($K855,Inputs!$C$6:$C$23,Inputs!$D$6:$D$23)*$I855</f>
        <v>15.325000000000001</v>
      </c>
      <c r="M855" s="68"/>
      <c r="N855" s="68"/>
      <c r="O855" s="187"/>
      <c r="P855" s="187"/>
      <c r="Q855" s="94">
        <v>0.9</v>
      </c>
      <c r="R855" s="68">
        <f t="shared" si="120"/>
        <v>3</v>
      </c>
      <c r="S855" s="276">
        <f>_xlfn.XLOOKUP($K855,Inputs!$G$6:$G$23,Inputs!J$6:J$23)*$R855</f>
        <v>153.60000000000002</v>
      </c>
      <c r="T855" s="276">
        <f>_xlfn.XLOOKUP($K855,Inputs!$G$6:$G$23,Inputs!K$6:K$23)*$R855</f>
        <v>169.96721311475409</v>
      </c>
      <c r="U855" s="96" t="s">
        <v>3813</v>
      </c>
      <c r="V855" s="22" t="s">
        <v>3059</v>
      </c>
      <c r="W855" s="96" t="s">
        <v>3407</v>
      </c>
      <c r="X855" s="22" t="s">
        <v>3245</v>
      </c>
      <c r="Y855" s="11" t="s">
        <v>3331</v>
      </c>
      <c r="Z855" s="79"/>
      <c r="AA855" s="187">
        <v>843</v>
      </c>
    </row>
    <row r="856" spans="1:27" s="184" customFormat="1" ht="20" x14ac:dyDescent="0.2">
      <c r="B856" s="11" t="s">
        <v>1951</v>
      </c>
      <c r="C856" s="165" t="s">
        <v>4235</v>
      </c>
      <c r="D856" s="22" t="s">
        <v>2379</v>
      </c>
      <c r="E856" s="34">
        <v>1</v>
      </c>
      <c r="F856" s="22" t="s">
        <v>2223</v>
      </c>
      <c r="G856" s="235">
        <v>5</v>
      </c>
      <c r="H856" s="235">
        <f t="shared" si="116"/>
        <v>3.0864197530864197</v>
      </c>
      <c r="I856" s="235">
        <v>5</v>
      </c>
      <c r="J856" s="235">
        <f t="shared" si="117"/>
        <v>3.0864197530864197</v>
      </c>
      <c r="K856" s="201">
        <v>144</v>
      </c>
      <c r="L856" s="252">
        <f>_xlfn.XLOOKUP($K856,Inputs!$C$6:$C$23,Inputs!$D$6:$D$23)*$I856</f>
        <v>2.1892857142857145</v>
      </c>
      <c r="M856" s="68"/>
      <c r="N856" s="68"/>
      <c r="O856" s="187"/>
      <c r="P856" s="187"/>
      <c r="Q856" s="94">
        <v>0.9</v>
      </c>
      <c r="R856" s="68">
        <f t="shared" si="120"/>
        <v>3</v>
      </c>
      <c r="S856" s="276">
        <f>_xlfn.XLOOKUP($K856,Inputs!$G$6:$G$23,Inputs!J$6:J$23)*$R856</f>
        <v>153.60000000000002</v>
      </c>
      <c r="T856" s="276">
        <f>_xlfn.XLOOKUP($K856,Inputs!$G$6:$G$23,Inputs!K$6:K$23)*$R856</f>
        <v>169.96721311475409</v>
      </c>
      <c r="U856" s="96" t="s">
        <v>3918</v>
      </c>
      <c r="V856" s="22" t="s">
        <v>3179</v>
      </c>
      <c r="W856" s="96" t="s">
        <v>3429</v>
      </c>
      <c r="X856" s="22" t="s">
        <v>2660</v>
      </c>
      <c r="Y856" s="11" t="s">
        <v>3331</v>
      </c>
      <c r="Z856" s="79"/>
      <c r="AA856" s="187">
        <v>844</v>
      </c>
    </row>
    <row r="857" spans="1:27" s="184" customFormat="1" ht="20" x14ac:dyDescent="0.2">
      <c r="B857" s="11" t="s">
        <v>1576</v>
      </c>
      <c r="C857" s="165" t="s">
        <v>4235</v>
      </c>
      <c r="D857" s="22" t="s">
        <v>2379</v>
      </c>
      <c r="E857" s="34">
        <v>1</v>
      </c>
      <c r="F857" s="22" t="s">
        <v>2223</v>
      </c>
      <c r="G857" s="88">
        <v>15</v>
      </c>
      <c r="H857" s="235">
        <f t="shared" si="116"/>
        <v>9.2592592592592595</v>
      </c>
      <c r="I857" s="88">
        <v>15</v>
      </c>
      <c r="J857" s="235">
        <f t="shared" si="117"/>
        <v>9.2592592592592595</v>
      </c>
      <c r="K857" s="201">
        <v>144</v>
      </c>
      <c r="L857" s="252">
        <f>_xlfn.XLOOKUP($K857,Inputs!$C$6:$C$23,Inputs!$D$6:$D$23)*$I857</f>
        <v>6.5678571428571431</v>
      </c>
      <c r="M857" s="68"/>
      <c r="N857" s="68"/>
      <c r="O857" s="187"/>
      <c r="P857" s="187"/>
      <c r="Q857" s="94">
        <v>0.9</v>
      </c>
      <c r="R857" s="68">
        <f t="shared" si="120"/>
        <v>3</v>
      </c>
      <c r="S857" s="276">
        <f>_xlfn.XLOOKUP($K857,Inputs!$G$6:$G$23,Inputs!J$6:J$23)*$R857</f>
        <v>153.60000000000002</v>
      </c>
      <c r="T857" s="276">
        <f>_xlfn.XLOOKUP($K857,Inputs!$G$6:$G$23,Inputs!K$6:K$23)*$R857</f>
        <v>169.96721311475409</v>
      </c>
      <c r="U857" s="96" t="s">
        <v>3771</v>
      </c>
      <c r="V857" s="22" t="s">
        <v>3263</v>
      </c>
      <c r="W857" s="96" t="s">
        <v>4272</v>
      </c>
      <c r="X857" s="22" t="s">
        <v>2819</v>
      </c>
      <c r="Y857" s="11" t="s">
        <v>3331</v>
      </c>
      <c r="Z857" s="79"/>
      <c r="AA857" s="187">
        <v>845</v>
      </c>
    </row>
    <row r="858" spans="1:27" s="184" customFormat="1" ht="20" x14ac:dyDescent="0.2">
      <c r="A858" s="298"/>
      <c r="B858" s="11" t="s">
        <v>1997</v>
      </c>
      <c r="C858" s="165" t="s">
        <v>4235</v>
      </c>
      <c r="D858" s="22" t="s">
        <v>2379</v>
      </c>
      <c r="E858" s="34">
        <v>1</v>
      </c>
      <c r="F858" s="22" t="s">
        <v>2223</v>
      </c>
      <c r="G858" s="88">
        <v>28</v>
      </c>
      <c r="H858" s="235">
        <f t="shared" si="116"/>
        <v>17.283950617283949</v>
      </c>
      <c r="I858" s="88">
        <v>42</v>
      </c>
      <c r="J858" s="235">
        <f t="shared" si="117"/>
        <v>25.925925925925924</v>
      </c>
      <c r="K858" s="201">
        <v>144</v>
      </c>
      <c r="L858" s="252">
        <f>_xlfn.XLOOKUP($K858,Inputs!$C$6:$C$23,Inputs!$D$6:$D$23)*$I858</f>
        <v>18.39</v>
      </c>
      <c r="M858" s="68"/>
      <c r="N858" s="68"/>
      <c r="O858" s="187"/>
      <c r="P858" s="187"/>
      <c r="Q858" s="94">
        <v>0.9</v>
      </c>
      <c r="R858" s="68">
        <f t="shared" si="120"/>
        <v>3</v>
      </c>
      <c r="S858" s="276">
        <f>_xlfn.XLOOKUP($K858,Inputs!$G$6:$G$23,Inputs!J$6:J$23)*$R858</f>
        <v>153.60000000000002</v>
      </c>
      <c r="T858" s="276">
        <f>_xlfn.XLOOKUP($K858,Inputs!$G$6:$G$23,Inputs!K$6:K$23)*$R858</f>
        <v>169.96721311475409</v>
      </c>
      <c r="U858" s="96" t="s">
        <v>3501</v>
      </c>
      <c r="V858" s="22" t="s">
        <v>2820</v>
      </c>
      <c r="W858" s="96" t="s">
        <v>3711</v>
      </c>
      <c r="X858" s="22" t="s">
        <v>4375</v>
      </c>
      <c r="Y858" s="11" t="s">
        <v>3331</v>
      </c>
      <c r="Z858" s="79"/>
      <c r="AA858" s="187">
        <v>846</v>
      </c>
    </row>
    <row r="859" spans="1:27" s="184" customFormat="1" ht="20" x14ac:dyDescent="0.2">
      <c r="A859" s="298"/>
      <c r="B859" s="11" t="s">
        <v>1997</v>
      </c>
      <c r="C859" s="165" t="s">
        <v>4235</v>
      </c>
      <c r="D859" s="22" t="s">
        <v>2379</v>
      </c>
      <c r="E859" s="34">
        <v>1</v>
      </c>
      <c r="F859" s="22" t="s">
        <v>2223</v>
      </c>
      <c r="G859" s="88">
        <v>14</v>
      </c>
      <c r="H859" s="235">
        <f t="shared" si="116"/>
        <v>8.6419753086419746</v>
      </c>
      <c r="I859" s="88">
        <v>42</v>
      </c>
      <c r="J859" s="235">
        <f t="shared" si="117"/>
        <v>25.925925925925924</v>
      </c>
      <c r="K859" s="201">
        <v>144</v>
      </c>
      <c r="L859" s="252">
        <f>_xlfn.XLOOKUP($K859,Inputs!$C$6:$C$23,Inputs!$D$6:$D$23)*$I859</f>
        <v>18.39</v>
      </c>
      <c r="M859" s="68"/>
      <c r="N859" s="68"/>
      <c r="O859" s="187"/>
      <c r="P859" s="187"/>
      <c r="Q859" s="94">
        <v>0.9</v>
      </c>
      <c r="R859" s="68">
        <f t="shared" si="120"/>
        <v>3</v>
      </c>
      <c r="S859" s="276">
        <f>_xlfn.XLOOKUP($K859,Inputs!$G$6:$G$23,Inputs!J$6:J$23)*$R859</f>
        <v>153.60000000000002</v>
      </c>
      <c r="T859" s="276">
        <f>_xlfn.XLOOKUP($K859,Inputs!$G$6:$G$23,Inputs!K$6:K$23)*$R859</f>
        <v>169.96721311475409</v>
      </c>
      <c r="U859" s="96" t="s">
        <v>3711</v>
      </c>
      <c r="V859" s="22" t="s">
        <v>4375</v>
      </c>
      <c r="W859" s="96" t="s">
        <v>3337</v>
      </c>
      <c r="X859" s="22" t="s">
        <v>2202</v>
      </c>
      <c r="Y859" s="11" t="s">
        <v>3331</v>
      </c>
      <c r="Z859" s="79"/>
      <c r="AA859" s="187">
        <v>847</v>
      </c>
    </row>
    <row r="860" spans="1:27" s="184" customFormat="1" ht="20" x14ac:dyDescent="0.2">
      <c r="B860" s="11" t="s">
        <v>1952</v>
      </c>
      <c r="C860" s="165" t="s">
        <v>4235</v>
      </c>
      <c r="D860" s="22" t="s">
        <v>2379</v>
      </c>
      <c r="E860" s="34">
        <v>1</v>
      </c>
      <c r="F860" s="22" t="s">
        <v>2223</v>
      </c>
      <c r="G860" s="88">
        <v>7</v>
      </c>
      <c r="H860" s="235">
        <f t="shared" si="116"/>
        <v>4.3209876543209873</v>
      </c>
      <c r="I860" s="88">
        <v>17.5</v>
      </c>
      <c r="J860" s="235">
        <f t="shared" si="117"/>
        <v>10.802469135802468</v>
      </c>
      <c r="K860" s="201">
        <v>144</v>
      </c>
      <c r="L860" s="252">
        <f>_xlfn.XLOOKUP($K860,Inputs!$C$6:$C$23,Inputs!$D$6:$D$23)*$I860</f>
        <v>7.6625000000000005</v>
      </c>
      <c r="M860" s="68"/>
      <c r="N860" s="68"/>
      <c r="O860" s="187"/>
      <c r="P860" s="187"/>
      <c r="Q860" s="94">
        <v>0.9</v>
      </c>
      <c r="R860" s="68">
        <f t="shared" si="120"/>
        <v>3</v>
      </c>
      <c r="S860" s="276">
        <f>_xlfn.XLOOKUP($K860,Inputs!$G$6:$G$23,Inputs!J$6:J$23)*$R860</f>
        <v>153.60000000000002</v>
      </c>
      <c r="T860" s="276">
        <f>_xlfn.XLOOKUP($K860,Inputs!$G$6:$G$23,Inputs!K$6:K$23)*$R860</f>
        <v>169.96721311475409</v>
      </c>
      <c r="U860" s="96" t="s">
        <v>3429</v>
      </c>
      <c r="V860" s="22" t="s">
        <v>2660</v>
      </c>
      <c r="W860" s="96" t="s">
        <v>3500</v>
      </c>
      <c r="X860" s="22" t="s">
        <v>2188</v>
      </c>
      <c r="Y860" s="11" t="s">
        <v>3331</v>
      </c>
      <c r="Z860" s="79"/>
      <c r="AA860" s="187">
        <v>848</v>
      </c>
    </row>
    <row r="861" spans="1:27" s="184" customFormat="1" ht="20" x14ac:dyDescent="0.2">
      <c r="B861" s="11" t="s">
        <v>1952</v>
      </c>
      <c r="C861" s="165" t="s">
        <v>4235</v>
      </c>
      <c r="D861" s="22" t="s">
        <v>2379</v>
      </c>
      <c r="E861" s="34">
        <v>1</v>
      </c>
      <c r="F861" s="22" t="s">
        <v>2223</v>
      </c>
      <c r="G861" s="88">
        <v>10.5</v>
      </c>
      <c r="H861" s="235">
        <f t="shared" si="116"/>
        <v>6.481481481481481</v>
      </c>
      <c r="I861" s="88">
        <v>17.5</v>
      </c>
      <c r="J861" s="235">
        <f t="shared" si="117"/>
        <v>10.802469135802468</v>
      </c>
      <c r="K861" s="201">
        <v>144</v>
      </c>
      <c r="L861" s="252">
        <f>_xlfn.XLOOKUP($K861,Inputs!$C$6:$C$23,Inputs!$D$6:$D$23)*$I861</f>
        <v>7.6625000000000005</v>
      </c>
      <c r="M861" s="68"/>
      <c r="N861" s="68"/>
      <c r="O861" s="187"/>
      <c r="P861" s="187"/>
      <c r="Q861" s="94">
        <v>0.9</v>
      </c>
      <c r="R861" s="68">
        <f t="shared" si="120"/>
        <v>3</v>
      </c>
      <c r="S861" s="276">
        <f>_xlfn.XLOOKUP($K861,Inputs!$G$6:$G$23,Inputs!J$6:J$23)*$R861</f>
        <v>153.60000000000002</v>
      </c>
      <c r="T861" s="276">
        <f>_xlfn.XLOOKUP($K861,Inputs!$G$6:$G$23,Inputs!K$6:K$23)*$R861</f>
        <v>169.96721311475409</v>
      </c>
      <c r="U861" s="96" t="s">
        <v>3500</v>
      </c>
      <c r="V861" s="22" t="s">
        <v>2188</v>
      </c>
      <c r="W861" s="96" t="s">
        <v>3517</v>
      </c>
      <c r="X861" s="22" t="s">
        <v>2832</v>
      </c>
      <c r="Y861" s="11" t="s">
        <v>3331</v>
      </c>
      <c r="Z861" s="79"/>
      <c r="AA861" s="187">
        <v>849</v>
      </c>
    </row>
    <row r="862" spans="1:27" s="184" customFormat="1" ht="20" x14ac:dyDescent="0.2">
      <c r="B862" s="11" t="s">
        <v>1953</v>
      </c>
      <c r="C862" s="165" t="s">
        <v>4235</v>
      </c>
      <c r="D862" s="22" t="s">
        <v>2379</v>
      </c>
      <c r="E862" s="34">
        <v>1</v>
      </c>
      <c r="F862" s="22" t="s">
        <v>2223</v>
      </c>
      <c r="G862" s="88">
        <v>7</v>
      </c>
      <c r="H862" s="235">
        <f t="shared" si="116"/>
        <v>4.3209876543209873</v>
      </c>
      <c r="I862" s="88">
        <v>7</v>
      </c>
      <c r="J862" s="235">
        <f t="shared" si="117"/>
        <v>4.3209876543209873</v>
      </c>
      <c r="K862" s="201">
        <v>144</v>
      </c>
      <c r="L862" s="252">
        <f>_xlfn.XLOOKUP($K862,Inputs!$C$6:$C$23,Inputs!$D$6:$D$23)*$I862</f>
        <v>3.0650000000000004</v>
      </c>
      <c r="M862" s="68"/>
      <c r="N862" s="68"/>
      <c r="O862" s="187"/>
      <c r="P862" s="187"/>
      <c r="Q862" s="94">
        <v>0.9</v>
      </c>
      <c r="R862" s="68">
        <f t="shared" si="120"/>
        <v>3</v>
      </c>
      <c r="S862" s="276">
        <f>_xlfn.XLOOKUP($K862,Inputs!$G$6:$G$23,Inputs!J$6:J$23)*$R862</f>
        <v>153.60000000000002</v>
      </c>
      <c r="T862" s="276">
        <f>_xlfn.XLOOKUP($K862,Inputs!$G$6:$G$23,Inputs!K$6:K$23)*$R862</f>
        <v>169.96721311475409</v>
      </c>
      <c r="U862" s="96" t="s">
        <v>3500</v>
      </c>
      <c r="V862" s="22" t="s">
        <v>2188</v>
      </c>
      <c r="W862" s="96" t="s">
        <v>3499</v>
      </c>
      <c r="X862" s="22" t="s">
        <v>2818</v>
      </c>
      <c r="Y862" s="11" t="s">
        <v>3331</v>
      </c>
      <c r="Z862" s="79"/>
      <c r="AA862" s="187">
        <v>850</v>
      </c>
    </row>
    <row r="863" spans="1:27" s="184" customFormat="1" ht="20" x14ac:dyDescent="0.2">
      <c r="B863" s="11" t="s">
        <v>1755</v>
      </c>
      <c r="C863" s="165" t="s">
        <v>4235</v>
      </c>
      <c r="D863" s="22" t="s">
        <v>2379</v>
      </c>
      <c r="E863" s="34">
        <v>1</v>
      </c>
      <c r="F863" s="22" t="s">
        <v>2223</v>
      </c>
      <c r="G863" s="88">
        <v>4.25</v>
      </c>
      <c r="H863" s="235">
        <f t="shared" si="116"/>
        <v>2.6234567901234565</v>
      </c>
      <c r="I863" s="88">
        <v>4.25</v>
      </c>
      <c r="J863" s="235">
        <f t="shared" si="117"/>
        <v>2.6234567901234565</v>
      </c>
      <c r="K863" s="201">
        <v>144</v>
      </c>
      <c r="L863" s="252">
        <f>_xlfn.XLOOKUP($K863,Inputs!$C$6:$C$23,Inputs!$D$6:$D$23)*$I863</f>
        <v>1.8608928571428573</v>
      </c>
      <c r="M863" s="68"/>
      <c r="N863" s="68"/>
      <c r="O863" s="187"/>
      <c r="P863" s="187"/>
      <c r="Q863" s="94">
        <v>0.9</v>
      </c>
      <c r="R863" s="68">
        <f t="shared" si="120"/>
        <v>3</v>
      </c>
      <c r="S863" s="276">
        <f>_xlfn.XLOOKUP($K863,Inputs!$G$6:$G$23,Inputs!J$6:J$23)*$R863</f>
        <v>153.60000000000002</v>
      </c>
      <c r="T863" s="276">
        <f>_xlfn.XLOOKUP($K863,Inputs!$G$6:$G$23,Inputs!K$6:K$23)*$R863</f>
        <v>169.96721311475409</v>
      </c>
      <c r="U863" s="96" t="s">
        <v>1756</v>
      </c>
      <c r="V863" s="22" t="s">
        <v>3084</v>
      </c>
      <c r="W863" s="96" t="s">
        <v>1754</v>
      </c>
      <c r="X863" s="22" t="s">
        <v>3082</v>
      </c>
      <c r="Y863" s="11" t="s">
        <v>3331</v>
      </c>
      <c r="Z863" s="79"/>
      <c r="AA863" s="187">
        <v>851</v>
      </c>
    </row>
    <row r="864" spans="1:27" s="184" customFormat="1" ht="20" x14ac:dyDescent="0.2">
      <c r="B864" s="11" t="s">
        <v>1757</v>
      </c>
      <c r="C864" s="165" t="s">
        <v>4235</v>
      </c>
      <c r="D864" s="22" t="s">
        <v>2379</v>
      </c>
      <c r="E864" s="34">
        <v>1</v>
      </c>
      <c r="F864" s="22" t="s">
        <v>2223</v>
      </c>
      <c r="G864" s="88">
        <v>8.5</v>
      </c>
      <c r="H864" s="235">
        <f t="shared" si="116"/>
        <v>5.2469135802469129</v>
      </c>
      <c r="I864" s="88">
        <v>8.67</v>
      </c>
      <c r="J864" s="235">
        <f t="shared" si="117"/>
        <v>5.3518518518518512</v>
      </c>
      <c r="K864" s="201">
        <v>144</v>
      </c>
      <c r="L864" s="252">
        <f>_xlfn.XLOOKUP($K864,Inputs!$C$6:$C$23,Inputs!$D$6:$D$23)*$I864</f>
        <v>3.7962214285714286</v>
      </c>
      <c r="M864" s="68"/>
      <c r="N864" s="68"/>
      <c r="O864" s="187"/>
      <c r="P864" s="187"/>
      <c r="Q864" s="94">
        <v>0.9</v>
      </c>
      <c r="R864" s="68">
        <f t="shared" si="120"/>
        <v>3</v>
      </c>
      <c r="S864" s="276">
        <f>_xlfn.XLOOKUP($K864,Inputs!$G$6:$G$23,Inputs!J$6:J$23)*$R864</f>
        <v>153.60000000000002</v>
      </c>
      <c r="T864" s="276">
        <f>_xlfn.XLOOKUP($K864,Inputs!$G$6:$G$23,Inputs!K$6:K$23)*$R864</f>
        <v>169.96721311475409</v>
      </c>
      <c r="U864" s="96" t="s">
        <v>1756</v>
      </c>
      <c r="V864" s="22" t="s">
        <v>3084</v>
      </c>
      <c r="W864" s="96" t="s">
        <v>1758</v>
      </c>
      <c r="X864" s="22" t="s">
        <v>4288</v>
      </c>
      <c r="Y864" s="11" t="s">
        <v>3331</v>
      </c>
      <c r="Z864" s="79"/>
      <c r="AA864" s="187">
        <v>852</v>
      </c>
    </row>
    <row r="865" spans="2:27" s="184" customFormat="1" ht="20" x14ac:dyDescent="0.2">
      <c r="B865" s="11" t="s">
        <v>1757</v>
      </c>
      <c r="C865" s="165" t="s">
        <v>4235</v>
      </c>
      <c r="D865" s="22" t="s">
        <v>2379</v>
      </c>
      <c r="E865" s="34">
        <v>1</v>
      </c>
      <c r="F865" s="22" t="s">
        <v>2223</v>
      </c>
      <c r="G865" s="88">
        <v>0.17</v>
      </c>
      <c r="H865" s="235">
        <f t="shared" si="116"/>
        <v>0.10493827160493827</v>
      </c>
      <c r="I865" s="88">
        <v>8.67</v>
      </c>
      <c r="J865" s="235">
        <f t="shared" si="117"/>
        <v>5.3518518518518512</v>
      </c>
      <c r="K865" s="201">
        <v>144</v>
      </c>
      <c r="L865" s="252">
        <f>_xlfn.XLOOKUP($K865,Inputs!$C$6:$C$23,Inputs!$D$6:$D$23)*$I865</f>
        <v>3.7962214285714286</v>
      </c>
      <c r="M865" s="68"/>
      <c r="N865" s="68"/>
      <c r="O865" s="187"/>
      <c r="P865" s="187"/>
      <c r="Q865" s="94">
        <v>0.9</v>
      </c>
      <c r="R865" s="68">
        <f t="shared" si="120"/>
        <v>3</v>
      </c>
      <c r="S865" s="276">
        <f>_xlfn.XLOOKUP($K865,Inputs!$G$6:$G$23,Inputs!J$6:J$23)*$R865</f>
        <v>153.60000000000002</v>
      </c>
      <c r="T865" s="276">
        <f>_xlfn.XLOOKUP($K865,Inputs!$G$6:$G$23,Inputs!K$6:K$23)*$R865</f>
        <v>169.96721311475409</v>
      </c>
      <c r="U865" s="96" t="s">
        <v>1758</v>
      </c>
      <c r="V865" s="22" t="s">
        <v>4288</v>
      </c>
      <c r="W865" s="96" t="s">
        <v>3520</v>
      </c>
      <c r="X865" s="22" t="s">
        <v>2835</v>
      </c>
      <c r="Y865" s="11" t="s">
        <v>3331</v>
      </c>
      <c r="Z865" s="79" t="s">
        <v>2596</v>
      </c>
      <c r="AA865" s="187">
        <v>853</v>
      </c>
    </row>
    <row r="866" spans="2:27" s="184" customFormat="1" ht="20" x14ac:dyDescent="0.2">
      <c r="B866" s="11" t="s">
        <v>1554</v>
      </c>
      <c r="C866" s="165" t="s">
        <v>4235</v>
      </c>
      <c r="D866" s="22" t="s">
        <v>2379</v>
      </c>
      <c r="E866" s="34">
        <v>1</v>
      </c>
      <c r="F866" s="22" t="s">
        <v>2223</v>
      </c>
      <c r="G866" s="88">
        <v>18</v>
      </c>
      <c r="H866" s="235">
        <f t="shared" si="116"/>
        <v>11.111111111111111</v>
      </c>
      <c r="I866" s="88">
        <v>18</v>
      </c>
      <c r="J866" s="235">
        <f t="shared" si="117"/>
        <v>11.111111111111111</v>
      </c>
      <c r="K866" s="215">
        <v>138</v>
      </c>
      <c r="L866" s="252">
        <f>_xlfn.XLOOKUP($K866,Inputs!$C$6:$C$23,Inputs!$D$6:$D$23)*$I866</f>
        <v>7.8042857142857152</v>
      </c>
      <c r="M866" s="68"/>
      <c r="N866" s="68"/>
      <c r="O866" s="215">
        <v>158</v>
      </c>
      <c r="P866" s="215">
        <v>191</v>
      </c>
      <c r="Q866" s="94">
        <v>0.9</v>
      </c>
      <c r="R866" s="68" t="s">
        <v>115</v>
      </c>
      <c r="S866" s="182">
        <f>O866*Q866</f>
        <v>142.20000000000002</v>
      </c>
      <c r="T866" s="182">
        <f>P866*Q866</f>
        <v>171.9</v>
      </c>
      <c r="U866" s="96" t="s">
        <v>3654</v>
      </c>
      <c r="V866" s="22" t="s">
        <v>2688</v>
      </c>
      <c r="W866" s="96" t="s">
        <v>3659</v>
      </c>
      <c r="X866" s="22" t="s">
        <v>2931</v>
      </c>
      <c r="Y866" s="11" t="s">
        <v>3280</v>
      </c>
      <c r="Z866" s="79"/>
      <c r="AA866" s="187">
        <v>854</v>
      </c>
    </row>
    <row r="867" spans="2:27" s="184" customFormat="1" ht="20" x14ac:dyDescent="0.2">
      <c r="B867" s="11" t="s">
        <v>1558</v>
      </c>
      <c r="C867" s="165" t="s">
        <v>4235</v>
      </c>
      <c r="D867" s="22" t="s">
        <v>2379</v>
      </c>
      <c r="E867" s="34">
        <v>1</v>
      </c>
      <c r="F867" s="22" t="s">
        <v>2223</v>
      </c>
      <c r="G867" s="88">
        <v>15</v>
      </c>
      <c r="H867" s="235">
        <f t="shared" si="116"/>
        <v>9.2592592592592595</v>
      </c>
      <c r="I867" s="88">
        <v>30</v>
      </c>
      <c r="J867" s="235">
        <f t="shared" si="117"/>
        <v>18.518518518518519</v>
      </c>
      <c r="K867" s="201">
        <v>144</v>
      </c>
      <c r="L867" s="252">
        <f>_xlfn.XLOOKUP($K867,Inputs!$C$6:$C$23,Inputs!$D$6:$D$23)*$I867</f>
        <v>13.135714285714286</v>
      </c>
      <c r="M867" s="68"/>
      <c r="N867" s="68"/>
      <c r="O867" s="187"/>
      <c r="P867" s="187"/>
      <c r="Q867" s="94">
        <v>0.9</v>
      </c>
      <c r="R867" s="68">
        <f>IF((42.4*(J867)^(-0.6595))&gt;=3,3,(IF(42.4*(J867)^(-0.6595)&lt;=0.5,0.5,(42.4*(J867)^(-0.6595)))))</f>
        <v>3</v>
      </c>
      <c r="S867" s="276">
        <f>_xlfn.XLOOKUP($K867,Inputs!$G$6:$G$23,Inputs!J$6:J$23)*$R867</f>
        <v>153.60000000000002</v>
      </c>
      <c r="T867" s="276">
        <f>_xlfn.XLOOKUP($K867,Inputs!$G$6:$G$23,Inputs!K$6:K$23)*$R867</f>
        <v>169.96721311475409</v>
      </c>
      <c r="U867" s="96" t="s">
        <v>3659</v>
      </c>
      <c r="V867" s="22" t="s">
        <v>2931</v>
      </c>
      <c r="W867" s="96" t="s">
        <v>3433</v>
      </c>
      <c r="X867" s="22" t="s">
        <v>2189</v>
      </c>
      <c r="Y867" s="11" t="s">
        <v>3331</v>
      </c>
      <c r="Z867" s="79"/>
      <c r="AA867" s="187">
        <v>855</v>
      </c>
    </row>
    <row r="868" spans="2:27" s="184" customFormat="1" ht="20" x14ac:dyDescent="0.2">
      <c r="B868" s="11" t="s">
        <v>1558</v>
      </c>
      <c r="C868" s="165" t="s">
        <v>4235</v>
      </c>
      <c r="D868" s="22" t="s">
        <v>2379</v>
      </c>
      <c r="E868" s="34">
        <v>1</v>
      </c>
      <c r="F868" s="22" t="s">
        <v>2223</v>
      </c>
      <c r="G868" s="88">
        <v>15</v>
      </c>
      <c r="H868" s="235">
        <f t="shared" si="116"/>
        <v>9.2592592592592595</v>
      </c>
      <c r="I868" s="88">
        <v>30</v>
      </c>
      <c r="J868" s="235">
        <f t="shared" si="117"/>
        <v>18.518518518518519</v>
      </c>
      <c r="K868" s="201">
        <v>144</v>
      </c>
      <c r="L868" s="252">
        <f>_xlfn.XLOOKUP($K868,Inputs!$C$6:$C$23,Inputs!$D$6:$D$23)*$I868</f>
        <v>13.135714285714286</v>
      </c>
      <c r="M868" s="68"/>
      <c r="N868" s="68"/>
      <c r="O868" s="187"/>
      <c r="P868" s="187"/>
      <c r="Q868" s="94">
        <v>0.9</v>
      </c>
      <c r="R868" s="68">
        <f>IF((42.4*(J868)^(-0.6595))&gt;=3,3,(IF(42.4*(J868)^(-0.6595)&lt;=0.5,0.5,(42.4*(J868)^(-0.6595)))))</f>
        <v>3</v>
      </c>
      <c r="S868" s="276">
        <f>_xlfn.XLOOKUP($K868,Inputs!$G$6:$G$23,Inputs!J$6:J$23)*$R868</f>
        <v>153.60000000000002</v>
      </c>
      <c r="T868" s="276">
        <f>_xlfn.XLOOKUP($K868,Inputs!$G$6:$G$23,Inputs!K$6:K$23)*$R868</f>
        <v>169.96721311475409</v>
      </c>
      <c r="U868" s="96" t="s">
        <v>3433</v>
      </c>
      <c r="V868" s="22" t="s">
        <v>2189</v>
      </c>
      <c r="W868" s="96" t="s">
        <v>3897</v>
      </c>
      <c r="X868" s="22" t="s">
        <v>3158</v>
      </c>
      <c r="Y868" s="11" t="s">
        <v>3331</v>
      </c>
      <c r="Z868" s="79"/>
      <c r="AA868" s="187">
        <v>856</v>
      </c>
    </row>
    <row r="869" spans="2:27" s="184" customFormat="1" ht="20" x14ac:dyDescent="0.2">
      <c r="B869" s="11" t="s">
        <v>1560</v>
      </c>
      <c r="C869" s="165" t="s">
        <v>4235</v>
      </c>
      <c r="D869" s="22" t="s">
        <v>2379</v>
      </c>
      <c r="E869" s="34">
        <v>1</v>
      </c>
      <c r="F869" s="22" t="s">
        <v>2223</v>
      </c>
      <c r="G869" s="88">
        <v>10.8</v>
      </c>
      <c r="H869" s="235">
        <f t="shared" si="116"/>
        <v>6.666666666666667</v>
      </c>
      <c r="I869" s="88">
        <v>10.8</v>
      </c>
      <c r="J869" s="235">
        <f t="shared" si="117"/>
        <v>6.666666666666667</v>
      </c>
      <c r="K869" s="201">
        <v>144</v>
      </c>
      <c r="L869" s="252">
        <f>_xlfn.XLOOKUP($K869,Inputs!$C$6:$C$23,Inputs!$D$6:$D$23)*$I869</f>
        <v>4.7288571428571435</v>
      </c>
      <c r="M869" s="68"/>
      <c r="N869" s="68"/>
      <c r="O869" s="187"/>
      <c r="P869" s="187"/>
      <c r="Q869" s="94">
        <v>0.9</v>
      </c>
      <c r="R869" s="68">
        <f>IF((42.4*(J869)^(-0.6595))&gt;=3,3,(IF(42.4*(J869)^(-0.6595)&lt;=0.5,0.5,(42.4*(J869)^(-0.6595)))))</f>
        <v>3</v>
      </c>
      <c r="S869" s="276">
        <f>_xlfn.XLOOKUP($K869,Inputs!$G$6:$G$23,Inputs!J$6:J$23)*$R869</f>
        <v>153.60000000000002</v>
      </c>
      <c r="T869" s="276">
        <f>_xlfn.XLOOKUP($K869,Inputs!$G$6:$G$23,Inputs!K$6:K$23)*$R869</f>
        <v>169.96721311475409</v>
      </c>
      <c r="U869" s="96" t="s">
        <v>3433</v>
      </c>
      <c r="V869" s="22" t="s">
        <v>2189</v>
      </c>
      <c r="W869" s="96" t="s">
        <v>3432</v>
      </c>
      <c r="X869" s="22" t="s">
        <v>2661</v>
      </c>
      <c r="Y869" s="11" t="s">
        <v>3331</v>
      </c>
      <c r="Z869" s="79"/>
      <c r="AA869" s="187">
        <v>857</v>
      </c>
    </row>
    <row r="870" spans="2:27" s="184" customFormat="1" ht="20" x14ac:dyDescent="0.2">
      <c r="B870" s="11" t="s">
        <v>1562</v>
      </c>
      <c r="C870" s="165" t="s">
        <v>4235</v>
      </c>
      <c r="D870" s="22" t="s">
        <v>2379</v>
      </c>
      <c r="E870" s="34">
        <v>1</v>
      </c>
      <c r="F870" s="22" t="s">
        <v>2223</v>
      </c>
      <c r="G870" s="88">
        <v>15</v>
      </c>
      <c r="H870" s="235">
        <f t="shared" si="116"/>
        <v>9.2592592592592595</v>
      </c>
      <c r="I870" s="88">
        <v>15</v>
      </c>
      <c r="J870" s="235">
        <f t="shared" si="117"/>
        <v>9.2592592592592595</v>
      </c>
      <c r="K870" s="215">
        <v>138</v>
      </c>
      <c r="L870" s="252">
        <f>_xlfn.XLOOKUP($K870,Inputs!$C$6:$C$23,Inputs!$D$6:$D$23)*$I870</f>
        <v>6.503571428571429</v>
      </c>
      <c r="M870" s="68"/>
      <c r="N870" s="68"/>
      <c r="O870" s="215">
        <v>119</v>
      </c>
      <c r="P870" s="215">
        <v>146</v>
      </c>
      <c r="Q870" s="94">
        <v>0.9</v>
      </c>
      <c r="R870" s="68" t="s">
        <v>115</v>
      </c>
      <c r="S870" s="182">
        <f>O870*Q870</f>
        <v>107.10000000000001</v>
      </c>
      <c r="T870" s="182">
        <f>P870*Q870</f>
        <v>131.4</v>
      </c>
      <c r="U870" s="96" t="s">
        <v>3897</v>
      </c>
      <c r="V870" s="22" t="s">
        <v>3158</v>
      </c>
      <c r="W870" s="96" t="s">
        <v>3686</v>
      </c>
      <c r="X870" s="22" t="s">
        <v>2957</v>
      </c>
      <c r="Y870" s="11" t="s">
        <v>3328</v>
      </c>
      <c r="Z870" s="79"/>
      <c r="AA870" s="187">
        <v>858</v>
      </c>
    </row>
    <row r="871" spans="2:27" s="184" customFormat="1" ht="20" x14ac:dyDescent="0.2">
      <c r="B871" s="11" t="s">
        <v>1364</v>
      </c>
      <c r="C871" s="165" t="s">
        <v>4235</v>
      </c>
      <c r="D871" s="22" t="s">
        <v>2379</v>
      </c>
      <c r="E871" s="34">
        <v>1</v>
      </c>
      <c r="F871" s="22" t="s">
        <v>2223</v>
      </c>
      <c r="G871" s="88">
        <v>42</v>
      </c>
      <c r="H871" s="235">
        <f t="shared" si="116"/>
        <v>25.925925925925924</v>
      </c>
      <c r="I871" s="88">
        <v>42</v>
      </c>
      <c r="J871" s="235">
        <f t="shared" si="117"/>
        <v>25.925925925925924</v>
      </c>
      <c r="K871" s="201">
        <v>144</v>
      </c>
      <c r="L871" s="252">
        <f>_xlfn.XLOOKUP($K871,Inputs!$C$6:$C$23,Inputs!$D$6:$D$23)*$I871</f>
        <v>18.39</v>
      </c>
      <c r="M871" s="68"/>
      <c r="N871" s="68"/>
      <c r="O871" s="187"/>
      <c r="P871" s="187"/>
      <c r="Q871" s="94">
        <v>0.9</v>
      </c>
      <c r="R871" s="68">
        <f>IF((42.4*(J871)^(-0.6595))&gt;=3,3,(IF(42.4*(J871)^(-0.6595)&lt;=0.5,0.5,(42.4*(J871)^(-0.6595)))))</f>
        <v>3</v>
      </c>
      <c r="S871" s="276">
        <f>_xlfn.XLOOKUP($K871,Inputs!$G$6:$G$23,Inputs!J$6:J$23)*$R871</f>
        <v>153.60000000000002</v>
      </c>
      <c r="T871" s="276">
        <f>_xlfn.XLOOKUP($K871,Inputs!$G$6:$G$23,Inputs!K$6:K$23)*$R871</f>
        <v>169.96721311475409</v>
      </c>
      <c r="U871" s="96" t="s">
        <v>3435</v>
      </c>
      <c r="V871" s="22" t="s">
        <v>2781</v>
      </c>
      <c r="W871" s="96" t="s">
        <v>3774</v>
      </c>
      <c r="X871" s="22" t="s">
        <v>3028</v>
      </c>
      <c r="Y871" s="11" t="s">
        <v>3331</v>
      </c>
      <c r="Z871" s="79"/>
      <c r="AA871" s="187">
        <v>859</v>
      </c>
    </row>
    <row r="872" spans="2:27" s="184" customFormat="1" ht="20" x14ac:dyDescent="0.2">
      <c r="B872" s="11" t="s">
        <v>1360</v>
      </c>
      <c r="C872" s="165" t="s">
        <v>4235</v>
      </c>
      <c r="D872" s="22" t="s">
        <v>2379</v>
      </c>
      <c r="E872" s="34">
        <v>1</v>
      </c>
      <c r="F872" s="22" t="s">
        <v>2223</v>
      </c>
      <c r="G872" s="235">
        <v>17</v>
      </c>
      <c r="H872" s="235">
        <f t="shared" si="116"/>
        <v>10.493827160493826</v>
      </c>
      <c r="I872" s="235">
        <v>17</v>
      </c>
      <c r="J872" s="235">
        <f t="shared" si="117"/>
        <v>10.493827160493826</v>
      </c>
      <c r="K872" s="201">
        <v>144</v>
      </c>
      <c r="L872" s="252">
        <f>_xlfn.XLOOKUP($K872,Inputs!$C$6:$C$23,Inputs!$D$6:$D$23)*$I872</f>
        <v>7.4435714285714294</v>
      </c>
      <c r="M872" s="68"/>
      <c r="N872" s="68"/>
      <c r="O872" s="187"/>
      <c r="P872" s="187"/>
      <c r="Q872" s="94">
        <v>0.9</v>
      </c>
      <c r="R872" s="68">
        <f>IF((42.4*(J872)^(-0.6595))&gt;=3,3,(IF(42.4*(J872)^(-0.6595)&lt;=0.5,0.5,(42.4*(J872)^(-0.6595)))))</f>
        <v>3</v>
      </c>
      <c r="S872" s="276">
        <f>_xlfn.XLOOKUP($K872,Inputs!$G$6:$G$23,Inputs!J$6:J$23)*$R872</f>
        <v>153.60000000000002</v>
      </c>
      <c r="T872" s="276">
        <f>_xlfn.XLOOKUP($K872,Inputs!$G$6:$G$23,Inputs!K$6:K$23)*$R872</f>
        <v>169.96721311475409</v>
      </c>
      <c r="U872" s="96" t="s">
        <v>3508</v>
      </c>
      <c r="V872" s="22" t="s">
        <v>2824</v>
      </c>
      <c r="W872" s="96" t="s">
        <v>3678</v>
      </c>
      <c r="X872" s="22" t="s">
        <v>2951</v>
      </c>
      <c r="Y872" s="11" t="s">
        <v>3331</v>
      </c>
      <c r="Z872" s="79"/>
      <c r="AA872" s="187">
        <v>860</v>
      </c>
    </row>
    <row r="873" spans="2:27" s="184" customFormat="1" ht="20" x14ac:dyDescent="0.2">
      <c r="B873" s="11" t="s">
        <v>1574</v>
      </c>
      <c r="C873" s="165" t="s">
        <v>4235</v>
      </c>
      <c r="D873" s="22" t="s">
        <v>2379</v>
      </c>
      <c r="E873" s="34">
        <v>1</v>
      </c>
      <c r="F873" s="22" t="s">
        <v>2223</v>
      </c>
      <c r="G873" s="88">
        <v>21</v>
      </c>
      <c r="H873" s="235">
        <f t="shared" si="116"/>
        <v>12.962962962962962</v>
      </c>
      <c r="I873" s="88">
        <v>21</v>
      </c>
      <c r="J873" s="235">
        <f t="shared" si="117"/>
        <v>12.962962962962962</v>
      </c>
      <c r="K873" s="201">
        <v>144</v>
      </c>
      <c r="L873" s="252">
        <f>_xlfn.XLOOKUP($K873,Inputs!$C$6:$C$23,Inputs!$D$6:$D$23)*$I873</f>
        <v>9.1950000000000003</v>
      </c>
      <c r="M873" s="68"/>
      <c r="N873" s="68"/>
      <c r="O873" s="187"/>
      <c r="P873" s="187"/>
      <c r="Q873" s="94">
        <v>0.9</v>
      </c>
      <c r="R873" s="68">
        <f>IF((42.4*(J873)^(-0.6595))&gt;=3,3,(IF(42.4*(J873)^(-0.6595)&lt;=0.5,0.5,(42.4*(J873)^(-0.6595)))))</f>
        <v>3</v>
      </c>
      <c r="S873" s="276">
        <f>_xlfn.XLOOKUP($K873,Inputs!$G$6:$G$23,Inputs!J$6:J$23)*$R873</f>
        <v>153.60000000000002</v>
      </c>
      <c r="T873" s="276">
        <f>_xlfn.XLOOKUP($K873,Inputs!$G$6:$G$23,Inputs!K$6:K$23)*$R873</f>
        <v>169.96721311475409</v>
      </c>
      <c r="U873" s="96" t="s">
        <v>3922</v>
      </c>
      <c r="V873" s="22" t="s">
        <v>2726</v>
      </c>
      <c r="W873" s="96" t="s">
        <v>3771</v>
      </c>
      <c r="X873" s="22" t="s">
        <v>3263</v>
      </c>
      <c r="Y873" s="11" t="s">
        <v>3331</v>
      </c>
      <c r="Z873" s="79"/>
      <c r="AA873" s="187">
        <v>861</v>
      </c>
    </row>
    <row r="874" spans="2:27" s="184" customFormat="1" ht="20" x14ac:dyDescent="0.2">
      <c r="B874" s="11" t="s">
        <v>1572</v>
      </c>
      <c r="C874" s="165" t="s">
        <v>4235</v>
      </c>
      <c r="D874" s="22" t="s">
        <v>2379</v>
      </c>
      <c r="E874" s="34">
        <v>1</v>
      </c>
      <c r="F874" s="22" t="s">
        <v>2223</v>
      </c>
      <c r="G874" s="88">
        <v>9</v>
      </c>
      <c r="H874" s="235">
        <f t="shared" si="116"/>
        <v>5.5555555555555554</v>
      </c>
      <c r="I874" s="88">
        <v>9</v>
      </c>
      <c r="J874" s="235">
        <f t="shared" si="117"/>
        <v>5.5555555555555554</v>
      </c>
      <c r="K874" s="201">
        <v>144</v>
      </c>
      <c r="L874" s="252">
        <f>_xlfn.XLOOKUP($K874,Inputs!$C$6:$C$23,Inputs!$D$6:$D$23)*$I874</f>
        <v>3.9407142857142858</v>
      </c>
      <c r="M874" s="68"/>
      <c r="N874" s="68"/>
      <c r="O874" s="187"/>
      <c r="P874" s="187"/>
      <c r="Q874" s="94">
        <v>0.9</v>
      </c>
      <c r="R874" s="68">
        <f>IF((42.4*(J874)^(-0.6595))&gt;=3,3,(IF(42.4*(J874)^(-0.6595)&lt;=0.5,0.5,(42.4*(J874)^(-0.6595)))))</f>
        <v>3</v>
      </c>
      <c r="S874" s="276">
        <f>_xlfn.XLOOKUP($K874,Inputs!$G$6:$G$23,Inputs!J$6:J$23)*$R874</f>
        <v>153.60000000000002</v>
      </c>
      <c r="T874" s="276">
        <f>_xlfn.XLOOKUP($K874,Inputs!$G$6:$G$23,Inputs!K$6:K$23)*$R874</f>
        <v>169.96721311475409</v>
      </c>
      <c r="U874" s="96" t="s">
        <v>3418</v>
      </c>
      <c r="V874" s="22" t="s">
        <v>2770</v>
      </c>
      <c r="W874" s="96" t="s">
        <v>3922</v>
      </c>
      <c r="X874" s="22" t="s">
        <v>2726</v>
      </c>
      <c r="Y874" s="11" t="s">
        <v>3331</v>
      </c>
      <c r="Z874" s="79"/>
      <c r="AA874" s="187">
        <v>862</v>
      </c>
    </row>
    <row r="875" spans="2:27" s="184" customFormat="1" ht="20" x14ac:dyDescent="0.2">
      <c r="B875" s="11" t="s">
        <v>970</v>
      </c>
      <c r="C875" s="165" t="s">
        <v>4235</v>
      </c>
      <c r="D875" s="22" t="s">
        <v>2379</v>
      </c>
      <c r="E875" s="34">
        <v>1</v>
      </c>
      <c r="F875" s="22" t="s">
        <v>2223</v>
      </c>
      <c r="G875" s="88">
        <v>16.8</v>
      </c>
      <c r="H875" s="235">
        <f t="shared" si="116"/>
        <v>10.37037037037037</v>
      </c>
      <c r="I875" s="88">
        <v>16.8</v>
      </c>
      <c r="J875" s="235">
        <f t="shared" si="117"/>
        <v>10.37037037037037</v>
      </c>
      <c r="K875" s="215">
        <v>138</v>
      </c>
      <c r="L875" s="252">
        <f>_xlfn.XLOOKUP($K875,Inputs!$C$6:$C$23,Inputs!$D$6:$D$23)*$I875</f>
        <v>7.2840000000000007</v>
      </c>
      <c r="M875" s="68"/>
      <c r="N875" s="68"/>
      <c r="O875" s="215">
        <v>167</v>
      </c>
      <c r="P875" s="215">
        <v>191</v>
      </c>
      <c r="Q875" s="94">
        <v>0.9</v>
      </c>
      <c r="R875" s="68" t="s">
        <v>115</v>
      </c>
      <c r="S875" s="182">
        <f>O875*Q875</f>
        <v>150.30000000000001</v>
      </c>
      <c r="T875" s="182">
        <f>P875*Q875</f>
        <v>171.9</v>
      </c>
      <c r="U875" s="96" t="s">
        <v>3445</v>
      </c>
      <c r="V875" s="22" t="s">
        <v>3248</v>
      </c>
      <c r="W875" s="96" t="s">
        <v>3430</v>
      </c>
      <c r="X875" s="22" t="s">
        <v>2778</v>
      </c>
      <c r="Y875" s="11" t="s">
        <v>3300</v>
      </c>
      <c r="Z875" s="79"/>
      <c r="AA875" s="187">
        <v>863</v>
      </c>
    </row>
    <row r="876" spans="2:27" s="184" customFormat="1" ht="20" x14ac:dyDescent="0.2">
      <c r="B876" s="11" t="s">
        <v>1176</v>
      </c>
      <c r="C876" s="165" t="s">
        <v>4235</v>
      </c>
      <c r="D876" s="22" t="s">
        <v>2379</v>
      </c>
      <c r="E876" s="34">
        <v>1</v>
      </c>
      <c r="F876" s="22" t="s">
        <v>2223</v>
      </c>
      <c r="G876" s="235">
        <v>25</v>
      </c>
      <c r="H876" s="235">
        <f t="shared" si="116"/>
        <v>15.432098765432098</v>
      </c>
      <c r="I876" s="235">
        <v>49</v>
      </c>
      <c r="J876" s="235">
        <f t="shared" si="117"/>
        <v>30.246913580246911</v>
      </c>
      <c r="K876" s="215">
        <v>138</v>
      </c>
      <c r="L876" s="252">
        <f>_xlfn.XLOOKUP($K876,Inputs!$C$6:$C$23,Inputs!$D$6:$D$23)*$I876</f>
        <v>21.245000000000001</v>
      </c>
      <c r="M876" s="68"/>
      <c r="N876" s="68"/>
      <c r="O876" s="215">
        <v>121</v>
      </c>
      <c r="P876" s="215">
        <v>148</v>
      </c>
      <c r="Q876" s="94">
        <v>0.9</v>
      </c>
      <c r="R876" s="68" t="s">
        <v>115</v>
      </c>
      <c r="S876" s="182">
        <f>O876*Q876</f>
        <v>108.9</v>
      </c>
      <c r="T876" s="182">
        <f>P876*Q876</f>
        <v>133.20000000000002</v>
      </c>
      <c r="U876" s="96" t="s">
        <v>3387</v>
      </c>
      <c r="V876" s="22" t="s">
        <v>2610</v>
      </c>
      <c r="W876" s="96" t="s">
        <v>3554</v>
      </c>
      <c r="X876" s="22" t="s">
        <v>2856</v>
      </c>
      <c r="Y876" s="11" t="s">
        <v>3328</v>
      </c>
      <c r="Z876" s="79"/>
      <c r="AA876" s="187">
        <v>864</v>
      </c>
    </row>
    <row r="877" spans="2:27" s="184" customFormat="1" ht="20" x14ac:dyDescent="0.2">
      <c r="B877" s="11" t="s">
        <v>1176</v>
      </c>
      <c r="C877" s="165" t="s">
        <v>4235</v>
      </c>
      <c r="D877" s="22" t="s">
        <v>2379</v>
      </c>
      <c r="E877" s="34">
        <v>1</v>
      </c>
      <c r="F877" s="22" t="s">
        <v>2223</v>
      </c>
      <c r="G877" s="88">
        <v>15</v>
      </c>
      <c r="H877" s="235">
        <f t="shared" si="116"/>
        <v>9.2592592592592595</v>
      </c>
      <c r="I877" s="88">
        <v>49</v>
      </c>
      <c r="J877" s="235">
        <f t="shared" si="117"/>
        <v>30.246913580246911</v>
      </c>
      <c r="K877" s="215">
        <v>138</v>
      </c>
      <c r="L877" s="252">
        <f>_xlfn.XLOOKUP($K877,Inputs!$C$6:$C$23,Inputs!$D$6:$D$23)*$I877</f>
        <v>21.245000000000001</v>
      </c>
      <c r="M877" s="68"/>
      <c r="N877" s="68"/>
      <c r="O877" s="215">
        <v>121</v>
      </c>
      <c r="P877" s="215">
        <v>148</v>
      </c>
      <c r="Q877" s="94">
        <v>0.9</v>
      </c>
      <c r="R877" s="68" t="s">
        <v>115</v>
      </c>
      <c r="S877" s="182">
        <f>O877*Q877</f>
        <v>108.9</v>
      </c>
      <c r="T877" s="182">
        <f>P877*Q877</f>
        <v>133.20000000000002</v>
      </c>
      <c r="U877" s="96" t="s">
        <v>3554</v>
      </c>
      <c r="V877" s="22" t="s">
        <v>2856</v>
      </c>
      <c r="W877" s="96" t="s">
        <v>3900</v>
      </c>
      <c r="X877" s="22" t="s">
        <v>3161</v>
      </c>
      <c r="Y877" s="11" t="s">
        <v>3298</v>
      </c>
      <c r="Z877" s="79"/>
      <c r="AA877" s="187">
        <v>865</v>
      </c>
    </row>
    <row r="878" spans="2:27" s="184" customFormat="1" ht="20" x14ac:dyDescent="0.2">
      <c r="B878" s="11" t="s">
        <v>1176</v>
      </c>
      <c r="C878" s="165" t="s">
        <v>4235</v>
      </c>
      <c r="D878" s="22" t="s">
        <v>2379</v>
      </c>
      <c r="E878" s="34">
        <v>1</v>
      </c>
      <c r="F878" s="22" t="s">
        <v>2223</v>
      </c>
      <c r="G878" s="88">
        <v>9</v>
      </c>
      <c r="H878" s="235">
        <f t="shared" si="116"/>
        <v>5.5555555555555554</v>
      </c>
      <c r="I878" s="88">
        <v>49</v>
      </c>
      <c r="J878" s="235">
        <f t="shared" si="117"/>
        <v>30.246913580246911</v>
      </c>
      <c r="K878" s="215">
        <v>138</v>
      </c>
      <c r="L878" s="252">
        <f>_xlfn.XLOOKUP($K878,Inputs!$C$6:$C$23,Inputs!$D$6:$D$23)*$I878</f>
        <v>21.245000000000001</v>
      </c>
      <c r="M878" s="68"/>
      <c r="N878" s="68"/>
      <c r="O878" s="215">
        <v>121</v>
      </c>
      <c r="P878" s="215">
        <v>148</v>
      </c>
      <c r="Q878" s="94">
        <v>0.9</v>
      </c>
      <c r="R878" s="68" t="s">
        <v>115</v>
      </c>
      <c r="S878" s="182">
        <f>O878*Q878</f>
        <v>108.9</v>
      </c>
      <c r="T878" s="182">
        <f>P878*Q878</f>
        <v>133.20000000000002</v>
      </c>
      <c r="U878" s="96" t="s">
        <v>3900</v>
      </c>
      <c r="V878" s="22" t="s">
        <v>3161</v>
      </c>
      <c r="W878" s="96" t="s">
        <v>3483</v>
      </c>
      <c r="X878" s="22" t="s">
        <v>2647</v>
      </c>
      <c r="Y878" s="11" t="s">
        <v>3298</v>
      </c>
      <c r="Z878" s="79"/>
      <c r="AA878" s="187">
        <v>866</v>
      </c>
    </row>
    <row r="879" spans="2:27" s="184" customFormat="1" ht="20" x14ac:dyDescent="0.2">
      <c r="B879" s="11" t="s">
        <v>1605</v>
      </c>
      <c r="C879" s="165" t="s">
        <v>4235</v>
      </c>
      <c r="D879" s="22" t="s">
        <v>2379</v>
      </c>
      <c r="E879" s="34">
        <v>1</v>
      </c>
      <c r="F879" s="22" t="s">
        <v>2223</v>
      </c>
      <c r="G879" s="235">
        <v>35</v>
      </c>
      <c r="H879" s="235">
        <f t="shared" si="116"/>
        <v>21.604938271604937</v>
      </c>
      <c r="I879" s="235">
        <v>47</v>
      </c>
      <c r="J879" s="235">
        <f t="shared" si="117"/>
        <v>29.012345679012345</v>
      </c>
      <c r="K879" s="201">
        <v>144</v>
      </c>
      <c r="L879" s="252">
        <f>_xlfn.XLOOKUP($K879,Inputs!$C$6:$C$23,Inputs!$D$6:$D$23)*$I879</f>
        <v>20.579285714285717</v>
      </c>
      <c r="M879" s="68"/>
      <c r="N879" s="68"/>
      <c r="O879" s="187"/>
      <c r="P879" s="187"/>
      <c r="Q879" s="94">
        <v>0.9</v>
      </c>
      <c r="R879" s="68">
        <f>IF((42.4*(J879)^(-0.6595))&gt;=3,3,(IF(42.4*(J879)^(-0.6595)&lt;=0.5,0.5,(42.4*(J879)^(-0.6595)))))</f>
        <v>3</v>
      </c>
      <c r="S879" s="276">
        <f>_xlfn.XLOOKUP($K879,Inputs!$G$6:$G$23,Inputs!J$6:J$23)*$R879</f>
        <v>153.60000000000002</v>
      </c>
      <c r="T879" s="276">
        <f>_xlfn.XLOOKUP($K879,Inputs!$G$6:$G$23,Inputs!K$6:K$23)*$R879</f>
        <v>169.96721311475409</v>
      </c>
      <c r="U879" s="96" t="s">
        <v>3383</v>
      </c>
      <c r="V879" s="22" t="s">
        <v>2747</v>
      </c>
      <c r="W879" s="96" t="s">
        <v>3995</v>
      </c>
      <c r="X879" s="22" t="s">
        <v>2190</v>
      </c>
      <c r="Y879" s="11" t="s">
        <v>3331</v>
      </c>
      <c r="Z879" s="79"/>
      <c r="AA879" s="187">
        <v>867</v>
      </c>
    </row>
    <row r="880" spans="2:27" s="184" customFormat="1" ht="20" x14ac:dyDescent="0.2">
      <c r="B880" s="11" t="s">
        <v>1605</v>
      </c>
      <c r="C880" s="165" t="s">
        <v>4235</v>
      </c>
      <c r="D880" s="22" t="s">
        <v>2379</v>
      </c>
      <c r="E880" s="34">
        <v>1</v>
      </c>
      <c r="F880" s="22" t="s">
        <v>2223</v>
      </c>
      <c r="G880" s="88">
        <v>12</v>
      </c>
      <c r="H880" s="235">
        <f t="shared" si="116"/>
        <v>7.4074074074074066</v>
      </c>
      <c r="I880" s="88">
        <v>47</v>
      </c>
      <c r="J880" s="235">
        <f t="shared" si="117"/>
        <v>29.012345679012345</v>
      </c>
      <c r="K880" s="201">
        <v>144</v>
      </c>
      <c r="L880" s="252">
        <f>_xlfn.XLOOKUP($K880,Inputs!$C$6:$C$23,Inputs!$D$6:$D$23)*$I880</f>
        <v>20.579285714285717</v>
      </c>
      <c r="M880" s="68"/>
      <c r="N880" s="68"/>
      <c r="O880" s="187"/>
      <c r="P880" s="187"/>
      <c r="Q880" s="94">
        <v>0.9</v>
      </c>
      <c r="R880" s="68">
        <f>IF((42.4*(J880)^(-0.6595))&gt;=3,3,(IF(42.4*(J880)^(-0.6595)&lt;=0.5,0.5,(42.4*(J880)^(-0.6595)))))</f>
        <v>3</v>
      </c>
      <c r="S880" s="276">
        <f>_xlfn.XLOOKUP($K880,Inputs!$G$6:$G$23,Inputs!J$6:J$23)*$R880</f>
        <v>153.60000000000002</v>
      </c>
      <c r="T880" s="276">
        <f>_xlfn.XLOOKUP($K880,Inputs!$G$6:$G$23,Inputs!K$6:K$23)*$R880</f>
        <v>169.96721311475409</v>
      </c>
      <c r="U880" s="96" t="s">
        <v>3995</v>
      </c>
      <c r="V880" s="22" t="s">
        <v>2190</v>
      </c>
      <c r="W880" s="96" t="s">
        <v>3449</v>
      </c>
      <c r="X880" s="22" t="s">
        <v>2712</v>
      </c>
      <c r="Y880" s="11" t="s">
        <v>3331</v>
      </c>
      <c r="Z880" s="79"/>
      <c r="AA880" s="187">
        <v>868</v>
      </c>
    </row>
    <row r="881" spans="1:27" s="184" customFormat="1" ht="20" x14ac:dyDescent="0.2">
      <c r="B881" s="11" t="s">
        <v>1607</v>
      </c>
      <c r="C881" s="165" t="s">
        <v>4235</v>
      </c>
      <c r="D881" s="22" t="s">
        <v>2379</v>
      </c>
      <c r="E881" s="34">
        <v>1</v>
      </c>
      <c r="F881" s="22" t="s">
        <v>2223</v>
      </c>
      <c r="G881" s="88">
        <v>7.1999999999999993</v>
      </c>
      <c r="H881" s="235">
        <f t="shared" si="116"/>
        <v>4.4444444444444438</v>
      </c>
      <c r="I881" s="88">
        <v>7.1999999999999993</v>
      </c>
      <c r="J881" s="235">
        <f t="shared" si="117"/>
        <v>4.4444444444444438</v>
      </c>
      <c r="K881" s="221">
        <v>144</v>
      </c>
      <c r="L881" s="252">
        <f>_xlfn.XLOOKUP($K881,Inputs!$C$6:$C$23,Inputs!$D$6:$D$23)*$I881</f>
        <v>3.1525714285714286</v>
      </c>
      <c r="M881" s="68"/>
      <c r="N881" s="68"/>
      <c r="O881" s="206"/>
      <c r="P881" s="206"/>
      <c r="Q881" s="94">
        <v>0.9</v>
      </c>
      <c r="R881" s="68">
        <f>IF((42.4*(J881)^(-0.6595))&gt;=3,3,(IF(42.4*(J881)^(-0.6595)&lt;=0.5,0.5,(42.4*(J881)^(-0.6595)))))</f>
        <v>3</v>
      </c>
      <c r="S881" s="276">
        <f>_xlfn.XLOOKUP($K881,Inputs!$G$6:$G$23,Inputs!J$6:J$23)*$R881</f>
        <v>153.60000000000002</v>
      </c>
      <c r="T881" s="276">
        <f>_xlfn.XLOOKUP($K881,Inputs!$G$6:$G$23,Inputs!K$6:K$23)*$R881</f>
        <v>169.96721311475409</v>
      </c>
      <c r="U881" s="96" t="s">
        <v>3995</v>
      </c>
      <c r="V881" s="22" t="s">
        <v>2190</v>
      </c>
      <c r="W881" s="96" t="s">
        <v>3820</v>
      </c>
      <c r="X881" s="22" t="s">
        <v>3067</v>
      </c>
      <c r="Y881" s="11" t="s">
        <v>3331</v>
      </c>
      <c r="Z881" s="79"/>
      <c r="AA881" s="187">
        <v>869</v>
      </c>
    </row>
    <row r="882" spans="1:27" s="184" customFormat="1" ht="20" x14ac:dyDescent="0.2">
      <c r="B882" s="11" t="s">
        <v>1699</v>
      </c>
      <c r="C882" s="165" t="s">
        <v>4235</v>
      </c>
      <c r="D882" s="22" t="s">
        <v>2379</v>
      </c>
      <c r="E882" s="34">
        <v>1</v>
      </c>
      <c r="F882" s="22" t="s">
        <v>2223</v>
      </c>
      <c r="G882" s="88">
        <v>12.6</v>
      </c>
      <c r="H882" s="235">
        <f t="shared" si="116"/>
        <v>7.7777777777777768</v>
      </c>
      <c r="I882" s="88">
        <v>12.6</v>
      </c>
      <c r="J882" s="235">
        <f t="shared" si="117"/>
        <v>7.7777777777777768</v>
      </c>
      <c r="K882" s="215">
        <v>138</v>
      </c>
      <c r="L882" s="252">
        <f>_xlfn.XLOOKUP($K882,Inputs!$C$6:$C$23,Inputs!$D$6:$D$23)*$I882</f>
        <v>5.4630000000000001</v>
      </c>
      <c r="M882" s="68"/>
      <c r="N882" s="68"/>
      <c r="O882" s="215">
        <v>98</v>
      </c>
      <c r="P882" s="215">
        <v>132</v>
      </c>
      <c r="Q882" s="94">
        <v>0.9</v>
      </c>
      <c r="R882" s="68" t="s">
        <v>115</v>
      </c>
      <c r="S882" s="182">
        <f>O882*Q882</f>
        <v>88.2</v>
      </c>
      <c r="T882" s="182">
        <f>P882*Q882</f>
        <v>118.8</v>
      </c>
      <c r="U882" s="96" t="s">
        <v>3808</v>
      </c>
      <c r="V882" s="22" t="s">
        <v>2708</v>
      </c>
      <c r="W882" s="96" t="s">
        <v>3840</v>
      </c>
      <c r="X882" s="22" t="s">
        <v>2716</v>
      </c>
      <c r="Y882" s="11" t="s">
        <v>3296</v>
      </c>
      <c r="Z882" s="79"/>
      <c r="AA882" s="187">
        <v>870</v>
      </c>
    </row>
    <row r="883" spans="1:27" s="184" customFormat="1" ht="20" x14ac:dyDescent="0.2">
      <c r="A883" s="298"/>
      <c r="B883" s="11" t="s">
        <v>1842</v>
      </c>
      <c r="C883" s="165" t="s">
        <v>4235</v>
      </c>
      <c r="D883" s="22" t="s">
        <v>2379</v>
      </c>
      <c r="E883" s="34">
        <v>1</v>
      </c>
      <c r="F883" s="22" t="s">
        <v>2223</v>
      </c>
      <c r="G883" s="88">
        <v>35</v>
      </c>
      <c r="H883" s="235">
        <f t="shared" si="116"/>
        <v>21.604938271604937</v>
      </c>
      <c r="I883" s="88">
        <v>35</v>
      </c>
      <c r="J883" s="235">
        <f t="shared" si="117"/>
        <v>21.604938271604937</v>
      </c>
      <c r="K883" s="215">
        <v>138</v>
      </c>
      <c r="L883" s="252">
        <f>_xlfn.XLOOKUP($K883,Inputs!$C$6:$C$23,Inputs!$D$6:$D$23)*$I883</f>
        <v>15.175000000000001</v>
      </c>
      <c r="M883" s="68"/>
      <c r="N883" s="68"/>
      <c r="O883" s="215">
        <v>89</v>
      </c>
      <c r="P883" s="215">
        <v>109</v>
      </c>
      <c r="Q883" s="94">
        <v>0.9</v>
      </c>
      <c r="R883" s="68" t="s">
        <v>115</v>
      </c>
      <c r="S883" s="182">
        <f>O883*Q883</f>
        <v>80.100000000000009</v>
      </c>
      <c r="T883" s="182">
        <f>P883*Q883</f>
        <v>98.100000000000009</v>
      </c>
      <c r="U883" s="96" t="s">
        <v>3450</v>
      </c>
      <c r="V883" s="22" t="s">
        <v>4374</v>
      </c>
      <c r="W883" s="96" t="s">
        <v>3757</v>
      </c>
      <c r="X883" s="22" t="s">
        <v>3015</v>
      </c>
      <c r="Y883" s="11" t="s">
        <v>3285</v>
      </c>
      <c r="Z883" s="79"/>
      <c r="AA883" s="187">
        <v>871</v>
      </c>
    </row>
    <row r="884" spans="1:27" s="184" customFormat="1" ht="20" x14ac:dyDescent="0.2">
      <c r="A884" s="298"/>
      <c r="B884" s="11" t="s">
        <v>1840</v>
      </c>
      <c r="C884" s="165" t="s">
        <v>4235</v>
      </c>
      <c r="D884" s="22" t="s">
        <v>2379</v>
      </c>
      <c r="E884" s="34">
        <v>1</v>
      </c>
      <c r="F884" s="22" t="s">
        <v>2223</v>
      </c>
      <c r="G884" s="88">
        <v>31.5</v>
      </c>
      <c r="H884" s="235">
        <f t="shared" si="116"/>
        <v>19.444444444444443</v>
      </c>
      <c r="I884" s="88">
        <v>31.5</v>
      </c>
      <c r="J884" s="235">
        <f t="shared" si="117"/>
        <v>19.444444444444443</v>
      </c>
      <c r="K884" s="215">
        <v>138</v>
      </c>
      <c r="L884" s="252">
        <f>_xlfn.XLOOKUP($K884,Inputs!$C$6:$C$23,Inputs!$D$6:$D$23)*$I884</f>
        <v>13.657500000000001</v>
      </c>
      <c r="M884" s="68"/>
      <c r="N884" s="68"/>
      <c r="O884" s="215">
        <v>85</v>
      </c>
      <c r="P884" s="215">
        <v>90</v>
      </c>
      <c r="Q884" s="94">
        <v>0.9</v>
      </c>
      <c r="R884" s="68" t="s">
        <v>115</v>
      </c>
      <c r="S884" s="182">
        <f>O884*Q884</f>
        <v>76.5</v>
      </c>
      <c r="T884" s="182">
        <f>P884*Q884</f>
        <v>81</v>
      </c>
      <c r="U884" s="96" t="s">
        <v>3450</v>
      </c>
      <c r="V884" s="22" t="s">
        <v>4374</v>
      </c>
      <c r="W884" s="96" t="s">
        <v>3403</v>
      </c>
      <c r="X884" s="22" t="s">
        <v>2760</v>
      </c>
      <c r="Y884" s="11" t="s">
        <v>3285</v>
      </c>
      <c r="Z884" s="79"/>
      <c r="AA884" s="187">
        <v>872</v>
      </c>
    </row>
    <row r="885" spans="1:27" s="184" customFormat="1" ht="20" x14ac:dyDescent="0.2">
      <c r="B885" s="11" t="s">
        <v>1946</v>
      </c>
      <c r="C885" s="165" t="s">
        <v>4235</v>
      </c>
      <c r="D885" s="22" t="s">
        <v>2379</v>
      </c>
      <c r="E885" s="34">
        <v>1</v>
      </c>
      <c r="F885" s="22" t="s">
        <v>2223</v>
      </c>
      <c r="G885" s="235">
        <v>56</v>
      </c>
      <c r="H885" s="235">
        <f t="shared" si="116"/>
        <v>34.567901234567898</v>
      </c>
      <c r="I885" s="235">
        <v>80.5</v>
      </c>
      <c r="J885" s="235">
        <f t="shared" si="117"/>
        <v>49.691358024691354</v>
      </c>
      <c r="K885" s="215">
        <v>138</v>
      </c>
      <c r="L885" s="252">
        <f>_xlfn.XLOOKUP($K885,Inputs!$C$6:$C$23,Inputs!$D$6:$D$23)*$I885</f>
        <v>34.902500000000003</v>
      </c>
      <c r="M885" s="68"/>
      <c r="N885" s="68"/>
      <c r="O885" s="215">
        <v>121</v>
      </c>
      <c r="P885" s="215">
        <v>148</v>
      </c>
      <c r="Q885" s="94">
        <v>0.9</v>
      </c>
      <c r="R885" s="68" t="s">
        <v>115</v>
      </c>
      <c r="S885" s="182">
        <f>O885*Q885</f>
        <v>108.9</v>
      </c>
      <c r="T885" s="182">
        <f>P885*Q885</f>
        <v>133.20000000000002</v>
      </c>
      <c r="U885" s="96" t="s">
        <v>3787</v>
      </c>
      <c r="V885" s="22" t="s">
        <v>3038</v>
      </c>
      <c r="W885" s="96" t="s">
        <v>3371</v>
      </c>
      <c r="X885" s="22" t="s">
        <v>2191</v>
      </c>
      <c r="Y885" s="11" t="s">
        <v>3303</v>
      </c>
      <c r="Z885" s="79"/>
      <c r="AA885" s="187">
        <v>873</v>
      </c>
    </row>
    <row r="886" spans="1:27" s="184" customFormat="1" ht="20" x14ac:dyDescent="0.2">
      <c r="B886" s="11" t="s">
        <v>1946</v>
      </c>
      <c r="C886" s="165" t="s">
        <v>4235</v>
      </c>
      <c r="D886" s="22" t="s">
        <v>2379</v>
      </c>
      <c r="E886" s="34">
        <v>1</v>
      </c>
      <c r="F886" s="22" t="s">
        <v>2223</v>
      </c>
      <c r="G886" s="88">
        <v>24.5</v>
      </c>
      <c r="H886" s="235">
        <f t="shared" si="116"/>
        <v>15.123456790123456</v>
      </c>
      <c r="I886" s="88">
        <v>80.5</v>
      </c>
      <c r="J886" s="235">
        <f t="shared" si="117"/>
        <v>49.691358024691354</v>
      </c>
      <c r="K886" s="215">
        <v>138</v>
      </c>
      <c r="L886" s="252">
        <f>_xlfn.XLOOKUP($K886,Inputs!$C$6:$C$23,Inputs!$D$6:$D$23)*$I886</f>
        <v>34.902500000000003</v>
      </c>
      <c r="M886" s="68"/>
      <c r="N886" s="68"/>
      <c r="O886" s="215">
        <v>121</v>
      </c>
      <c r="P886" s="215">
        <v>148</v>
      </c>
      <c r="Q886" s="94">
        <v>0.9</v>
      </c>
      <c r="R886" s="68" t="s">
        <v>115</v>
      </c>
      <c r="S886" s="182">
        <f>O886*Q886</f>
        <v>108.9</v>
      </c>
      <c r="T886" s="182">
        <f>P886*Q886</f>
        <v>133.20000000000002</v>
      </c>
      <c r="U886" s="96" t="s">
        <v>3371</v>
      </c>
      <c r="V886" s="22" t="s">
        <v>2191</v>
      </c>
      <c r="W886" s="96" t="s">
        <v>3918</v>
      </c>
      <c r="X886" s="22" t="s">
        <v>3179</v>
      </c>
      <c r="Y886" s="11" t="s">
        <v>3303</v>
      </c>
      <c r="Z886" s="79"/>
      <c r="AA886" s="187">
        <v>874</v>
      </c>
    </row>
    <row r="887" spans="1:27" s="184" customFormat="1" ht="20" x14ac:dyDescent="0.2">
      <c r="B887" s="11" t="s">
        <v>1948</v>
      </c>
      <c r="C887" s="165" t="s">
        <v>4235</v>
      </c>
      <c r="D887" s="22" t="s">
        <v>2379</v>
      </c>
      <c r="E887" s="34">
        <v>1</v>
      </c>
      <c r="F887" s="22" t="s">
        <v>2223</v>
      </c>
      <c r="G887" s="88">
        <v>17.5</v>
      </c>
      <c r="H887" s="235">
        <f t="shared" si="116"/>
        <v>10.802469135802468</v>
      </c>
      <c r="I887" s="88">
        <v>17.5</v>
      </c>
      <c r="J887" s="235">
        <f t="shared" si="117"/>
        <v>10.802469135802468</v>
      </c>
      <c r="K887" s="201">
        <v>144</v>
      </c>
      <c r="L887" s="252">
        <f>_xlfn.XLOOKUP($K887,Inputs!$C$6:$C$23,Inputs!$D$6:$D$23)*$I887</f>
        <v>7.6625000000000005</v>
      </c>
      <c r="M887" s="68"/>
      <c r="N887" s="68"/>
      <c r="O887" s="187"/>
      <c r="P887" s="187"/>
      <c r="Q887" s="94">
        <v>0.9</v>
      </c>
      <c r="R887" s="68">
        <f>IF((42.4*(J887)^(-0.6595))&gt;=3,3,(IF(42.4*(J887)^(-0.6595)&lt;=0.5,0.5,(42.4*(J887)^(-0.6595)))))</f>
        <v>3</v>
      </c>
      <c r="S887" s="276">
        <f>_xlfn.XLOOKUP($K887,Inputs!$G$6:$G$23,Inputs!J$6:J$23)*$R887</f>
        <v>153.60000000000002</v>
      </c>
      <c r="T887" s="276">
        <f>_xlfn.XLOOKUP($K887,Inputs!$G$6:$G$23,Inputs!K$6:K$23)*$R887</f>
        <v>169.96721311475409</v>
      </c>
      <c r="U887" s="96" t="s">
        <v>3371</v>
      </c>
      <c r="V887" s="22" t="s">
        <v>2191</v>
      </c>
      <c r="W887" s="96" t="s">
        <v>3370</v>
      </c>
      <c r="X887" s="22" t="s">
        <v>2626</v>
      </c>
      <c r="Y887" s="11" t="s">
        <v>3331</v>
      </c>
      <c r="Z887" s="79"/>
      <c r="AA887" s="187">
        <v>875</v>
      </c>
    </row>
    <row r="888" spans="1:27" s="184" customFormat="1" ht="20" x14ac:dyDescent="0.2">
      <c r="B888" s="11" t="s">
        <v>972</v>
      </c>
      <c r="C888" s="165" t="s">
        <v>4235</v>
      </c>
      <c r="D888" s="22" t="s">
        <v>2379</v>
      </c>
      <c r="E888" s="34">
        <v>1</v>
      </c>
      <c r="F888" s="22" t="s">
        <v>2223</v>
      </c>
      <c r="G888" s="88">
        <v>10</v>
      </c>
      <c r="H888" s="235">
        <f t="shared" si="116"/>
        <v>6.1728395061728394</v>
      </c>
      <c r="I888" s="88">
        <v>35</v>
      </c>
      <c r="J888" s="235">
        <f t="shared" si="117"/>
        <v>21.604938271604937</v>
      </c>
      <c r="K888" s="215">
        <v>138</v>
      </c>
      <c r="L888" s="252">
        <f>_xlfn.XLOOKUP($K888,Inputs!$C$6:$C$23,Inputs!$D$6:$D$23)*$I888</f>
        <v>15.175000000000001</v>
      </c>
      <c r="M888" s="68"/>
      <c r="N888" s="68"/>
      <c r="O888" s="215">
        <v>263</v>
      </c>
      <c r="P888" s="215">
        <v>263</v>
      </c>
      <c r="Q888" s="94">
        <v>0.9</v>
      </c>
      <c r="R888" s="68" t="s">
        <v>115</v>
      </c>
      <c r="S888" s="182">
        <f>O888*Q888</f>
        <v>236.70000000000002</v>
      </c>
      <c r="T888" s="182">
        <f>P888*Q888</f>
        <v>236.70000000000002</v>
      </c>
      <c r="U888" s="96" t="s">
        <v>3387</v>
      </c>
      <c r="V888" s="22" t="s">
        <v>2610</v>
      </c>
      <c r="W888" s="96" t="s">
        <v>3971</v>
      </c>
      <c r="X888" s="22" t="s">
        <v>2192</v>
      </c>
      <c r="Y888" s="11" t="s">
        <v>3328</v>
      </c>
      <c r="Z888" s="79"/>
      <c r="AA888" s="187">
        <v>876</v>
      </c>
    </row>
    <row r="889" spans="1:27" s="184" customFormat="1" ht="20" x14ac:dyDescent="0.2">
      <c r="B889" s="11" t="s">
        <v>972</v>
      </c>
      <c r="C889" s="165" t="s">
        <v>4235</v>
      </c>
      <c r="D889" s="22" t="s">
        <v>2379</v>
      </c>
      <c r="E889" s="34">
        <v>1</v>
      </c>
      <c r="F889" s="22" t="s">
        <v>2223</v>
      </c>
      <c r="G889" s="235">
        <v>25</v>
      </c>
      <c r="H889" s="235">
        <f t="shared" si="116"/>
        <v>15.432098765432098</v>
      </c>
      <c r="I889" s="235">
        <v>35</v>
      </c>
      <c r="J889" s="235">
        <f t="shared" si="117"/>
        <v>21.604938271604937</v>
      </c>
      <c r="K889" s="215">
        <v>138</v>
      </c>
      <c r="L889" s="252">
        <f>_xlfn.XLOOKUP($K889,Inputs!$C$6:$C$23,Inputs!$D$6:$D$23)*$I889</f>
        <v>15.175000000000001</v>
      </c>
      <c r="M889" s="68"/>
      <c r="N889" s="68"/>
      <c r="O889" s="215">
        <v>283</v>
      </c>
      <c r="P889" s="215">
        <v>287</v>
      </c>
      <c r="Q889" s="94">
        <v>0.9</v>
      </c>
      <c r="R889" s="68" t="s">
        <v>115</v>
      </c>
      <c r="S889" s="182">
        <f>O889*Q889</f>
        <v>254.70000000000002</v>
      </c>
      <c r="T889" s="182">
        <f>P889*Q889</f>
        <v>258.3</v>
      </c>
      <c r="U889" s="96" t="s">
        <v>3971</v>
      </c>
      <c r="V889" s="22" t="s">
        <v>2192</v>
      </c>
      <c r="W889" s="96" t="s">
        <v>3506</v>
      </c>
      <c r="X889" s="22" t="s">
        <v>2822</v>
      </c>
      <c r="Y889" s="11" t="s">
        <v>3328</v>
      </c>
      <c r="Z889" s="79"/>
      <c r="AA889" s="187">
        <v>877</v>
      </c>
    </row>
    <row r="890" spans="1:27" s="184" customFormat="1" ht="20" x14ac:dyDescent="0.2">
      <c r="B890" s="11" t="s">
        <v>1203</v>
      </c>
      <c r="C890" s="165" t="s">
        <v>4235</v>
      </c>
      <c r="D890" s="22" t="s">
        <v>2379</v>
      </c>
      <c r="E890" s="34">
        <v>1</v>
      </c>
      <c r="F890" s="22" t="s">
        <v>2223</v>
      </c>
      <c r="G890" s="235">
        <v>18</v>
      </c>
      <c r="H890" s="235">
        <f t="shared" si="116"/>
        <v>11.111111111111111</v>
      </c>
      <c r="I890" s="235">
        <v>18</v>
      </c>
      <c r="J890" s="235">
        <f t="shared" si="117"/>
        <v>11.111111111111111</v>
      </c>
      <c r="K890" s="221">
        <v>144</v>
      </c>
      <c r="L890" s="252">
        <f>_xlfn.XLOOKUP($K890,Inputs!$C$6:$C$23,Inputs!$D$6:$D$23)*$I890</f>
        <v>7.8814285714285717</v>
      </c>
      <c r="M890" s="68"/>
      <c r="N890" s="68"/>
      <c r="O890" s="206"/>
      <c r="P890" s="206"/>
      <c r="Q890" s="94">
        <v>0.9</v>
      </c>
      <c r="R890" s="68">
        <f>IF((42.4*(J890)^(-0.6595))&gt;=3,3,(IF(42.4*(J890)^(-0.6595)&lt;=0.5,0.5,(42.4*(J890)^(-0.6595)))))</f>
        <v>3</v>
      </c>
      <c r="S890" s="276">
        <f>_xlfn.XLOOKUP($K890,Inputs!$G$6:$G$23,Inputs!J$6:J$23)*$R890</f>
        <v>153.60000000000002</v>
      </c>
      <c r="T890" s="276">
        <f>_xlfn.XLOOKUP($K890,Inputs!$G$6:$G$23,Inputs!K$6:K$23)*$R890</f>
        <v>169.96721311475409</v>
      </c>
      <c r="U890" s="96" t="s">
        <v>3971</v>
      </c>
      <c r="V890" s="22" t="s">
        <v>2192</v>
      </c>
      <c r="W890" s="96" t="s">
        <v>3707</v>
      </c>
      <c r="X890" s="22" t="s">
        <v>2973</v>
      </c>
      <c r="Y890" s="11" t="s">
        <v>3331</v>
      </c>
      <c r="Z890" s="79"/>
      <c r="AA890" s="187">
        <v>878</v>
      </c>
    </row>
    <row r="891" spans="1:27" s="184" customFormat="1" ht="20" x14ac:dyDescent="0.2">
      <c r="B891" s="11" t="s">
        <v>973</v>
      </c>
      <c r="C891" s="165" t="s">
        <v>4235</v>
      </c>
      <c r="D891" s="22" t="s">
        <v>2379</v>
      </c>
      <c r="E891" s="34">
        <v>1</v>
      </c>
      <c r="F891" s="22" t="s">
        <v>2223</v>
      </c>
      <c r="G891" s="235">
        <v>5</v>
      </c>
      <c r="H891" s="235">
        <f t="shared" si="116"/>
        <v>3.0864197530864197</v>
      </c>
      <c r="I891" s="235">
        <v>5</v>
      </c>
      <c r="J891" s="235">
        <f t="shared" si="117"/>
        <v>3.0864197530864197</v>
      </c>
      <c r="K891" s="215">
        <v>138</v>
      </c>
      <c r="L891" s="252">
        <f>_xlfn.XLOOKUP($K891,Inputs!$C$6:$C$23,Inputs!$D$6:$D$23)*$I891</f>
        <v>2.1678571428571431</v>
      </c>
      <c r="M891" s="68"/>
      <c r="N891" s="68"/>
      <c r="O891" s="215">
        <v>229</v>
      </c>
      <c r="P891" s="215">
        <v>275</v>
      </c>
      <c r="Q891" s="94">
        <v>0.9</v>
      </c>
      <c r="R891" s="68" t="s">
        <v>115</v>
      </c>
      <c r="S891" s="182">
        <f t="shared" ref="S891:S897" si="121">O891*Q891</f>
        <v>206.1</v>
      </c>
      <c r="T891" s="182">
        <f t="shared" ref="T891:T897" si="122">P891*Q891</f>
        <v>247.5</v>
      </c>
      <c r="U891" s="96" t="s">
        <v>3645</v>
      </c>
      <c r="V891" s="22" t="s">
        <v>2922</v>
      </c>
      <c r="W891" s="96" t="s">
        <v>3822</v>
      </c>
      <c r="X891" s="22" t="s">
        <v>2710</v>
      </c>
      <c r="Y891" s="11" t="s">
        <v>3300</v>
      </c>
      <c r="Z891" s="79"/>
      <c r="AA891" s="187">
        <v>879</v>
      </c>
    </row>
    <row r="892" spans="1:27" s="184" customFormat="1" ht="20" x14ac:dyDescent="0.2">
      <c r="B892" s="11" t="s">
        <v>975</v>
      </c>
      <c r="C892" s="165" t="s">
        <v>4235</v>
      </c>
      <c r="D892" s="22" t="s">
        <v>2379</v>
      </c>
      <c r="E892" s="34">
        <v>1</v>
      </c>
      <c r="F892" s="22" t="s">
        <v>2223</v>
      </c>
      <c r="G892" s="235">
        <v>5</v>
      </c>
      <c r="H892" s="235">
        <f t="shared" si="116"/>
        <v>3.0864197530864197</v>
      </c>
      <c r="I892" s="235">
        <v>5</v>
      </c>
      <c r="J892" s="235">
        <f t="shared" si="117"/>
        <v>3.0864197530864197</v>
      </c>
      <c r="K892" s="215">
        <v>138</v>
      </c>
      <c r="L892" s="252">
        <f>_xlfn.XLOOKUP($K892,Inputs!$C$6:$C$23,Inputs!$D$6:$D$23)*$I892</f>
        <v>2.1678571428571431</v>
      </c>
      <c r="M892" s="68"/>
      <c r="N892" s="68"/>
      <c r="O892" s="215">
        <v>246</v>
      </c>
      <c r="P892" s="215">
        <v>287</v>
      </c>
      <c r="Q892" s="94">
        <v>0.9</v>
      </c>
      <c r="R892" s="68" t="s">
        <v>115</v>
      </c>
      <c r="S892" s="182">
        <f t="shared" si="121"/>
        <v>221.4</v>
      </c>
      <c r="T892" s="182">
        <f t="shared" si="122"/>
        <v>258.3</v>
      </c>
      <c r="U892" s="96" t="s">
        <v>3645</v>
      </c>
      <c r="V892" s="22" t="s">
        <v>2922</v>
      </c>
      <c r="W892" s="96" t="s">
        <v>3822</v>
      </c>
      <c r="X892" s="22" t="s">
        <v>2710</v>
      </c>
      <c r="Y892" s="11" t="s">
        <v>3300</v>
      </c>
      <c r="Z892" s="79"/>
      <c r="AA892" s="187">
        <v>880</v>
      </c>
    </row>
    <row r="893" spans="1:27" s="184" customFormat="1" ht="20" x14ac:dyDescent="0.2">
      <c r="B893" s="11" t="s">
        <v>1391</v>
      </c>
      <c r="C893" s="165" t="s">
        <v>4235</v>
      </c>
      <c r="D893" s="22" t="s">
        <v>2379</v>
      </c>
      <c r="E893" s="34">
        <v>1</v>
      </c>
      <c r="F893" s="22" t="s">
        <v>2223</v>
      </c>
      <c r="G893" s="235">
        <v>25</v>
      </c>
      <c r="H893" s="235">
        <f t="shared" si="116"/>
        <v>15.432098765432098</v>
      </c>
      <c r="I893" s="235">
        <v>46</v>
      </c>
      <c r="J893" s="235">
        <f t="shared" si="117"/>
        <v>28.39506172839506</v>
      </c>
      <c r="K893" s="215">
        <v>138</v>
      </c>
      <c r="L893" s="252">
        <f>_xlfn.XLOOKUP($K893,Inputs!$C$6:$C$23,Inputs!$D$6:$D$23)*$I893</f>
        <v>19.944285714285716</v>
      </c>
      <c r="M893" s="68"/>
      <c r="N893" s="68"/>
      <c r="O893" s="215">
        <v>121.9</v>
      </c>
      <c r="P893" s="215">
        <v>147</v>
      </c>
      <c r="Q893" s="94">
        <v>0.9</v>
      </c>
      <c r="R893" s="68" t="s">
        <v>115</v>
      </c>
      <c r="S893" s="182">
        <f t="shared" si="121"/>
        <v>109.71000000000001</v>
      </c>
      <c r="T893" s="182">
        <f t="shared" si="122"/>
        <v>132.30000000000001</v>
      </c>
      <c r="U893" s="96" t="s">
        <v>3819</v>
      </c>
      <c r="V893" s="22" t="s">
        <v>3065</v>
      </c>
      <c r="W893" s="96" t="s">
        <v>4013</v>
      </c>
      <c r="X893" s="22" t="s">
        <v>2183</v>
      </c>
      <c r="Y893" s="11" t="s">
        <v>3277</v>
      </c>
      <c r="Z893" s="79"/>
      <c r="AA893" s="187">
        <v>881</v>
      </c>
    </row>
    <row r="894" spans="1:27" s="184" customFormat="1" ht="20" x14ac:dyDescent="0.2">
      <c r="B894" s="11" t="s">
        <v>1391</v>
      </c>
      <c r="C894" s="165" t="s">
        <v>4235</v>
      </c>
      <c r="D894" s="22" t="s">
        <v>2379</v>
      </c>
      <c r="E894" s="34">
        <v>1</v>
      </c>
      <c r="F894" s="22" t="s">
        <v>2223</v>
      </c>
      <c r="G894" s="88">
        <v>21</v>
      </c>
      <c r="H894" s="235">
        <f t="shared" si="116"/>
        <v>12.962962962962962</v>
      </c>
      <c r="I894" s="88">
        <v>46</v>
      </c>
      <c r="J894" s="235">
        <f t="shared" si="117"/>
        <v>28.39506172839506</v>
      </c>
      <c r="K894" s="215">
        <v>138</v>
      </c>
      <c r="L894" s="252">
        <f>_xlfn.XLOOKUP($K894,Inputs!$C$6:$C$23,Inputs!$D$6:$D$23)*$I894</f>
        <v>19.944285714285716</v>
      </c>
      <c r="M894" s="68"/>
      <c r="N894" s="68"/>
      <c r="O894" s="215">
        <v>121.9</v>
      </c>
      <c r="P894" s="215">
        <v>147</v>
      </c>
      <c r="Q894" s="94">
        <v>0.9</v>
      </c>
      <c r="R894" s="68" t="s">
        <v>115</v>
      </c>
      <c r="S894" s="182">
        <f t="shared" si="121"/>
        <v>109.71000000000001</v>
      </c>
      <c r="T894" s="182">
        <f t="shared" si="122"/>
        <v>132.30000000000001</v>
      </c>
      <c r="U894" s="96" t="s">
        <v>4013</v>
      </c>
      <c r="V894" s="22" t="s">
        <v>2183</v>
      </c>
      <c r="W894" s="96" t="s">
        <v>3927</v>
      </c>
      <c r="X894" s="22" t="s">
        <v>3186</v>
      </c>
      <c r="Y894" s="11" t="s">
        <v>3277</v>
      </c>
      <c r="Z894" s="79"/>
      <c r="AA894" s="187">
        <v>882</v>
      </c>
    </row>
    <row r="895" spans="1:27" s="184" customFormat="1" ht="20" x14ac:dyDescent="0.2">
      <c r="B895" s="11" t="s">
        <v>1667</v>
      </c>
      <c r="C895" s="165" t="s">
        <v>4235</v>
      </c>
      <c r="D895" s="22" t="s">
        <v>2379</v>
      </c>
      <c r="E895" s="34">
        <v>1</v>
      </c>
      <c r="F895" s="22" t="s">
        <v>2223</v>
      </c>
      <c r="G895" s="88">
        <v>14</v>
      </c>
      <c r="H895" s="235">
        <f t="shared" si="116"/>
        <v>8.6419753086419746</v>
      </c>
      <c r="I895" s="88">
        <v>14</v>
      </c>
      <c r="J895" s="235">
        <f t="shared" si="117"/>
        <v>8.6419753086419746</v>
      </c>
      <c r="K895" s="216">
        <v>138</v>
      </c>
      <c r="L895" s="252">
        <f>_xlfn.XLOOKUP($K895,Inputs!$C$6:$C$23,Inputs!$D$6:$D$23)*$I895</f>
        <v>6.07</v>
      </c>
      <c r="M895" s="68"/>
      <c r="N895" s="68"/>
      <c r="O895" s="216">
        <v>120</v>
      </c>
      <c r="P895" s="216">
        <v>143</v>
      </c>
      <c r="Q895" s="94">
        <v>0.9</v>
      </c>
      <c r="R895" s="68" t="s">
        <v>115</v>
      </c>
      <c r="S895" s="182">
        <f t="shared" si="121"/>
        <v>108</v>
      </c>
      <c r="T895" s="182">
        <f t="shared" si="122"/>
        <v>128.70000000000002</v>
      </c>
      <c r="U895" s="96" t="s">
        <v>3579</v>
      </c>
      <c r="V895" s="22" t="s">
        <v>2675</v>
      </c>
      <c r="W895" s="96" t="s">
        <v>3621</v>
      </c>
      <c r="X895" s="22" t="s">
        <v>2906</v>
      </c>
      <c r="Y895" s="11" t="s">
        <v>3296</v>
      </c>
      <c r="Z895" s="79"/>
      <c r="AA895" s="187">
        <v>883</v>
      </c>
    </row>
    <row r="896" spans="1:27" s="184" customFormat="1" ht="20" x14ac:dyDescent="0.2">
      <c r="B896" s="11" t="s">
        <v>1697</v>
      </c>
      <c r="C896" s="165" t="s">
        <v>4235</v>
      </c>
      <c r="D896" s="22" t="s">
        <v>2379</v>
      </c>
      <c r="E896" s="34">
        <v>1</v>
      </c>
      <c r="F896" s="22" t="s">
        <v>2223</v>
      </c>
      <c r="G896" s="88">
        <v>10.5</v>
      </c>
      <c r="H896" s="235">
        <f t="shared" si="116"/>
        <v>6.481481481481481</v>
      </c>
      <c r="I896" s="88">
        <v>10.5</v>
      </c>
      <c r="J896" s="235">
        <f t="shared" si="117"/>
        <v>6.481481481481481</v>
      </c>
      <c r="K896" s="215">
        <v>138</v>
      </c>
      <c r="L896" s="252">
        <f>_xlfn.XLOOKUP($K896,Inputs!$C$6:$C$23,Inputs!$D$6:$D$23)*$I896</f>
        <v>4.5525000000000002</v>
      </c>
      <c r="M896" s="68"/>
      <c r="N896" s="68"/>
      <c r="O896" s="215">
        <v>96</v>
      </c>
      <c r="P896" s="215">
        <v>96</v>
      </c>
      <c r="Q896" s="94">
        <v>0.9</v>
      </c>
      <c r="R896" s="68" t="s">
        <v>115</v>
      </c>
      <c r="S896" s="182">
        <f t="shared" si="121"/>
        <v>86.4</v>
      </c>
      <c r="T896" s="182">
        <f t="shared" si="122"/>
        <v>86.4</v>
      </c>
      <c r="U896" s="96" t="s">
        <v>3993</v>
      </c>
      <c r="V896" s="22" t="s">
        <v>2117</v>
      </c>
      <c r="W896" s="96" t="s">
        <v>3808</v>
      </c>
      <c r="X896" s="22" t="s">
        <v>2708</v>
      </c>
      <c r="Y896" s="11" t="s">
        <v>3296</v>
      </c>
      <c r="Z896" s="79"/>
      <c r="AA896" s="187">
        <v>884</v>
      </c>
    </row>
    <row r="897" spans="2:27" s="184" customFormat="1" ht="20" x14ac:dyDescent="0.2">
      <c r="B897" s="11" t="s">
        <v>1671</v>
      </c>
      <c r="C897" s="165" t="s">
        <v>4235</v>
      </c>
      <c r="D897" s="22" t="s">
        <v>2379</v>
      </c>
      <c r="E897" s="34">
        <v>1</v>
      </c>
      <c r="F897" s="22" t="s">
        <v>2223</v>
      </c>
      <c r="G897" s="88">
        <v>17.5</v>
      </c>
      <c r="H897" s="235">
        <f t="shared" si="116"/>
        <v>10.802469135802468</v>
      </c>
      <c r="I897" s="88">
        <v>17.5</v>
      </c>
      <c r="J897" s="235">
        <f t="shared" si="117"/>
        <v>10.802469135802468</v>
      </c>
      <c r="K897" s="215">
        <v>138</v>
      </c>
      <c r="L897" s="252">
        <f>_xlfn.XLOOKUP($K897,Inputs!$C$6:$C$23,Inputs!$D$6:$D$23)*$I897</f>
        <v>7.5875000000000004</v>
      </c>
      <c r="M897" s="68"/>
      <c r="N897" s="68"/>
      <c r="O897" s="215">
        <v>108</v>
      </c>
      <c r="P897" s="215">
        <v>139</v>
      </c>
      <c r="Q897" s="94">
        <v>0.9</v>
      </c>
      <c r="R897" s="68" t="s">
        <v>115</v>
      </c>
      <c r="S897" s="182">
        <f t="shared" si="121"/>
        <v>97.2</v>
      </c>
      <c r="T897" s="182">
        <f t="shared" si="122"/>
        <v>125.10000000000001</v>
      </c>
      <c r="U897" s="96" t="s">
        <v>3482</v>
      </c>
      <c r="V897" s="22" t="s">
        <v>2806</v>
      </c>
      <c r="W897" s="96" t="s">
        <v>3380</v>
      </c>
      <c r="X897" s="22" t="s">
        <v>2657</v>
      </c>
      <c r="Y897" s="11" t="s">
        <v>3296</v>
      </c>
      <c r="Z897" s="79"/>
      <c r="AA897" s="187">
        <v>885</v>
      </c>
    </row>
    <row r="898" spans="2:27" s="184" customFormat="1" ht="20" x14ac:dyDescent="0.2">
      <c r="B898" s="11" t="s">
        <v>976</v>
      </c>
      <c r="C898" s="165" t="s">
        <v>4235</v>
      </c>
      <c r="D898" s="22" t="s">
        <v>2379</v>
      </c>
      <c r="E898" s="34">
        <v>1</v>
      </c>
      <c r="F898" s="22" t="s">
        <v>2223</v>
      </c>
      <c r="G898" s="235">
        <v>10</v>
      </c>
      <c r="H898" s="235">
        <f t="shared" si="116"/>
        <v>6.1728395061728394</v>
      </c>
      <c r="I898" s="235">
        <v>25</v>
      </c>
      <c r="J898" s="235">
        <f t="shared" si="117"/>
        <v>15.432098765432098</v>
      </c>
      <c r="K898" s="201">
        <v>144</v>
      </c>
      <c r="L898" s="252">
        <f>_xlfn.XLOOKUP($K898,Inputs!$C$6:$C$23,Inputs!$D$6:$D$23)*$I898</f>
        <v>10.946428571428573</v>
      </c>
      <c r="M898" s="68"/>
      <c r="N898" s="68"/>
      <c r="O898" s="187"/>
      <c r="P898" s="187"/>
      <c r="Q898" s="94">
        <v>0.9</v>
      </c>
      <c r="R898" s="68">
        <f>IF((42.4*(J898)^(-0.6595))&gt;=3,3,(IF(42.4*(J898)^(-0.6595)&lt;=0.5,0.5,(42.4*(J898)^(-0.6595)))))</f>
        <v>3</v>
      </c>
      <c r="S898" s="276">
        <f>_xlfn.XLOOKUP($K898,Inputs!$G$6:$G$23,Inputs!J$6:J$23)*$R898</f>
        <v>153.60000000000002</v>
      </c>
      <c r="T898" s="276">
        <f>_xlfn.XLOOKUP($K898,Inputs!$G$6:$G$23,Inputs!K$6:K$23)*$R898</f>
        <v>169.96721311475409</v>
      </c>
      <c r="U898" s="96" t="s">
        <v>3674</v>
      </c>
      <c r="V898" s="22" t="s">
        <v>2947</v>
      </c>
      <c r="W898" s="96" t="s">
        <v>3514</v>
      </c>
      <c r="X898" s="22" t="s">
        <v>3252</v>
      </c>
      <c r="Y898" s="11" t="s">
        <v>3331</v>
      </c>
      <c r="Z898" s="79"/>
      <c r="AA898" s="187">
        <v>886</v>
      </c>
    </row>
    <row r="899" spans="2:27" s="184" customFormat="1" ht="20" x14ac:dyDescent="0.2">
      <c r="B899" s="11" t="s">
        <v>976</v>
      </c>
      <c r="C899" s="165" t="s">
        <v>4235</v>
      </c>
      <c r="D899" s="22" t="s">
        <v>2379</v>
      </c>
      <c r="E899" s="34">
        <v>1</v>
      </c>
      <c r="F899" s="22" t="s">
        <v>2223</v>
      </c>
      <c r="G899" s="235">
        <v>15</v>
      </c>
      <c r="H899" s="235">
        <f t="shared" si="116"/>
        <v>9.2592592592592595</v>
      </c>
      <c r="I899" s="235">
        <v>25</v>
      </c>
      <c r="J899" s="235">
        <f t="shared" si="117"/>
        <v>15.432098765432098</v>
      </c>
      <c r="K899" s="201">
        <v>240</v>
      </c>
      <c r="L899" s="252">
        <f>_xlfn.XLOOKUP($K899,Inputs!$C$6:$C$23,Inputs!$D$6:$D$23)*$I899</f>
        <v>11.921296296296296</v>
      </c>
      <c r="M899" s="68"/>
      <c r="N899" s="68"/>
      <c r="O899" s="187"/>
      <c r="P899" s="187"/>
      <c r="Q899" s="94">
        <v>0.9</v>
      </c>
      <c r="R899" s="68">
        <f>IF((42.4*(J899)^(-0.6595))&gt;=3,3,(IF(42.4*(J899)^(-0.6595)&lt;=0.5,0.5,(42.4*(J899)^(-0.6595)))))</f>
        <v>3</v>
      </c>
      <c r="S899" s="276">
        <f>_xlfn.XLOOKUP($K899,Inputs!$G$6:$G$23,Inputs!J$6:J$23)*$R899</f>
        <v>438.57868020304568</v>
      </c>
      <c r="T899" s="276">
        <f>_xlfn.XLOOKUP($K899,Inputs!$G$6:$G$23,Inputs!K$6:K$23)*$R899</f>
        <v>476.03305785123973</v>
      </c>
      <c r="U899" s="96" t="s">
        <v>3674</v>
      </c>
      <c r="V899" s="22" t="s">
        <v>2947</v>
      </c>
      <c r="W899" s="96" t="s">
        <v>3645</v>
      </c>
      <c r="X899" s="22" t="s">
        <v>2922</v>
      </c>
      <c r="Y899" s="11" t="s">
        <v>3331</v>
      </c>
      <c r="Z899" s="79"/>
      <c r="AA899" s="187">
        <v>887</v>
      </c>
    </row>
    <row r="900" spans="2:27" s="184" customFormat="1" ht="20" x14ac:dyDescent="0.2">
      <c r="B900" s="11" t="s">
        <v>978</v>
      </c>
      <c r="C900" s="165" t="s">
        <v>4235</v>
      </c>
      <c r="D900" s="22" t="s">
        <v>2379</v>
      </c>
      <c r="E900" s="34">
        <v>1</v>
      </c>
      <c r="F900" s="22" t="s">
        <v>2223</v>
      </c>
      <c r="G900" s="235">
        <v>5</v>
      </c>
      <c r="H900" s="235">
        <f t="shared" si="116"/>
        <v>3.0864197530864197</v>
      </c>
      <c r="I900" s="235">
        <v>5</v>
      </c>
      <c r="J900" s="235">
        <f t="shared" si="117"/>
        <v>3.0864197530864197</v>
      </c>
      <c r="K900" s="201">
        <v>144</v>
      </c>
      <c r="L900" s="252">
        <f>_xlfn.XLOOKUP($K900,Inputs!$C$6:$C$23,Inputs!$D$6:$D$23)*$I900</f>
        <v>2.1892857142857145</v>
      </c>
      <c r="M900" s="68"/>
      <c r="N900" s="68"/>
      <c r="O900" s="187"/>
      <c r="P900" s="187"/>
      <c r="Q900" s="94">
        <v>0.9</v>
      </c>
      <c r="R900" s="68">
        <f>IF((42.4*(J900)^(-0.6595))&gt;=3,3,(IF(42.4*(J900)^(-0.6595)&lt;=0.5,0.5,(42.4*(J900)^(-0.6595)))))</f>
        <v>3</v>
      </c>
      <c r="S900" s="276">
        <f>_xlfn.XLOOKUP($K900,Inputs!$G$6:$G$23,Inputs!J$6:J$23)*$R900</f>
        <v>153.60000000000002</v>
      </c>
      <c r="T900" s="276">
        <f>_xlfn.XLOOKUP($K900,Inputs!$G$6:$G$23,Inputs!K$6:K$23)*$R900</f>
        <v>169.96721311475409</v>
      </c>
      <c r="U900" s="96" t="s">
        <v>3513</v>
      </c>
      <c r="V900" s="205" t="s">
        <v>3251</v>
      </c>
      <c r="W900" s="96" t="s">
        <v>3514</v>
      </c>
      <c r="X900" s="22" t="s">
        <v>3252</v>
      </c>
      <c r="Y900" s="11" t="s">
        <v>3331</v>
      </c>
      <c r="Z900" s="79"/>
      <c r="AA900" s="187">
        <v>888</v>
      </c>
    </row>
    <row r="901" spans="2:27" s="184" customFormat="1" ht="20" x14ac:dyDescent="0.2">
      <c r="B901" s="11" t="s">
        <v>1901</v>
      </c>
      <c r="C901" s="165" t="s">
        <v>4235</v>
      </c>
      <c r="D901" s="22" t="s">
        <v>2379</v>
      </c>
      <c r="E901" s="34">
        <v>1</v>
      </c>
      <c r="F901" s="22" t="s">
        <v>2223</v>
      </c>
      <c r="G901" s="88">
        <v>10.5</v>
      </c>
      <c r="H901" s="235">
        <f t="shared" si="116"/>
        <v>6.481481481481481</v>
      </c>
      <c r="I901" s="88">
        <v>24.5</v>
      </c>
      <c r="J901" s="235">
        <f t="shared" si="117"/>
        <v>15.123456790123456</v>
      </c>
      <c r="K901" s="215">
        <v>138</v>
      </c>
      <c r="L901" s="252">
        <f>_xlfn.XLOOKUP($K901,Inputs!$C$6:$C$23,Inputs!$D$6:$D$23)*$I901</f>
        <v>10.6225</v>
      </c>
      <c r="M901" s="68"/>
      <c r="N901" s="68"/>
      <c r="O901" s="215">
        <v>120</v>
      </c>
      <c r="P901" s="215">
        <v>148</v>
      </c>
      <c r="Q901" s="94">
        <v>0.9</v>
      </c>
      <c r="R901" s="68" t="s">
        <v>115</v>
      </c>
      <c r="S901" s="182">
        <f t="shared" ref="S901:S908" si="123">O901*Q901</f>
        <v>108</v>
      </c>
      <c r="T901" s="182">
        <f t="shared" ref="T901:T908" si="124">P901*Q901</f>
        <v>133.20000000000002</v>
      </c>
      <c r="U901" s="96" t="s">
        <v>3698</v>
      </c>
      <c r="V901" s="22" t="s">
        <v>2694</v>
      </c>
      <c r="W901" s="96" t="s">
        <v>3948</v>
      </c>
      <c r="X901" s="22" t="s">
        <v>2193</v>
      </c>
      <c r="Y901" s="11" t="s">
        <v>3301</v>
      </c>
      <c r="Z901" s="79"/>
      <c r="AA901" s="187">
        <v>889</v>
      </c>
    </row>
    <row r="902" spans="2:27" s="184" customFormat="1" ht="20" x14ac:dyDescent="0.2">
      <c r="B902" s="11" t="s">
        <v>1901</v>
      </c>
      <c r="C902" s="165" t="s">
        <v>4235</v>
      </c>
      <c r="D902" s="22" t="s">
        <v>2379</v>
      </c>
      <c r="E902" s="34">
        <v>1</v>
      </c>
      <c r="F902" s="22" t="s">
        <v>2223</v>
      </c>
      <c r="G902" s="88">
        <v>14</v>
      </c>
      <c r="H902" s="235">
        <f t="shared" ref="H902:H965" si="125">G902/1.62</f>
        <v>8.6419753086419746</v>
      </c>
      <c r="I902" s="88">
        <v>24.5</v>
      </c>
      <c r="J902" s="235">
        <f t="shared" ref="J902:J965" si="126">I902/1.62</f>
        <v>15.123456790123456</v>
      </c>
      <c r="K902" s="215">
        <v>138</v>
      </c>
      <c r="L902" s="252">
        <f>_xlfn.XLOOKUP($K902,Inputs!$C$6:$C$23,Inputs!$D$6:$D$23)*$I902</f>
        <v>10.6225</v>
      </c>
      <c r="M902" s="68"/>
      <c r="N902" s="68"/>
      <c r="O902" s="215">
        <v>120</v>
      </c>
      <c r="P902" s="215">
        <v>148</v>
      </c>
      <c r="Q902" s="94">
        <v>0.9</v>
      </c>
      <c r="R902" s="68" t="s">
        <v>115</v>
      </c>
      <c r="S902" s="182">
        <f t="shared" si="123"/>
        <v>108</v>
      </c>
      <c r="T902" s="182">
        <f t="shared" si="124"/>
        <v>133.20000000000002</v>
      </c>
      <c r="U902" s="96" t="s">
        <v>3948</v>
      </c>
      <c r="V902" s="205" t="s">
        <v>2193</v>
      </c>
      <c r="W902" s="96" t="s">
        <v>3800</v>
      </c>
      <c r="X902" s="22" t="s">
        <v>3050</v>
      </c>
      <c r="Y902" s="11" t="s">
        <v>3301</v>
      </c>
      <c r="Z902" s="79"/>
      <c r="AA902" s="187">
        <v>890</v>
      </c>
    </row>
    <row r="903" spans="2:27" s="184" customFormat="1" ht="20" x14ac:dyDescent="0.2">
      <c r="B903" s="11" t="s">
        <v>1196</v>
      </c>
      <c r="C903" s="165" t="s">
        <v>4235</v>
      </c>
      <c r="D903" s="22" t="s">
        <v>2379</v>
      </c>
      <c r="E903" s="34">
        <v>1</v>
      </c>
      <c r="F903" s="22" t="s">
        <v>2223</v>
      </c>
      <c r="G903" s="88">
        <v>5</v>
      </c>
      <c r="H903" s="235">
        <f t="shared" si="125"/>
        <v>3.0864197530864197</v>
      </c>
      <c r="I903" s="88">
        <v>23</v>
      </c>
      <c r="J903" s="235">
        <f t="shared" si="126"/>
        <v>14.19753086419753</v>
      </c>
      <c r="K903" s="201">
        <v>144</v>
      </c>
      <c r="L903" s="252">
        <f>_xlfn.XLOOKUP($K903,Inputs!$C$6:$C$23,Inputs!$D$6:$D$23)*$I903</f>
        <v>10.070714285714287</v>
      </c>
      <c r="M903" s="68"/>
      <c r="N903" s="68"/>
      <c r="O903" s="215">
        <v>86</v>
      </c>
      <c r="P903" s="215">
        <v>91</v>
      </c>
      <c r="Q903" s="94">
        <v>0.9</v>
      </c>
      <c r="R903" s="68" t="s">
        <v>115</v>
      </c>
      <c r="S903" s="182">
        <f t="shared" si="123"/>
        <v>77.400000000000006</v>
      </c>
      <c r="T903" s="182">
        <f t="shared" si="124"/>
        <v>81.900000000000006</v>
      </c>
      <c r="U903" s="96" t="s">
        <v>3384</v>
      </c>
      <c r="V903" s="22" t="s">
        <v>2748</v>
      </c>
      <c r="W903" s="96" t="s">
        <v>3961</v>
      </c>
      <c r="X903" s="22" t="s">
        <v>2194</v>
      </c>
      <c r="Y903" s="11" t="s">
        <v>3311</v>
      </c>
      <c r="Z903" s="79"/>
      <c r="AA903" s="187">
        <v>891</v>
      </c>
    </row>
    <row r="904" spans="2:27" s="184" customFormat="1" ht="20" x14ac:dyDescent="0.2">
      <c r="B904" s="11" t="s">
        <v>1196</v>
      </c>
      <c r="C904" s="165" t="s">
        <v>4235</v>
      </c>
      <c r="D904" s="22" t="s">
        <v>2379</v>
      </c>
      <c r="E904" s="34">
        <v>1</v>
      </c>
      <c r="F904" s="22" t="s">
        <v>2223</v>
      </c>
      <c r="G904" s="88">
        <v>8</v>
      </c>
      <c r="H904" s="235">
        <f t="shared" si="125"/>
        <v>4.9382716049382713</v>
      </c>
      <c r="I904" s="88">
        <v>23</v>
      </c>
      <c r="J904" s="235">
        <f t="shared" si="126"/>
        <v>14.19753086419753</v>
      </c>
      <c r="K904" s="201">
        <v>144</v>
      </c>
      <c r="L904" s="252">
        <f>_xlfn.XLOOKUP($K904,Inputs!$C$6:$C$23,Inputs!$D$6:$D$23)*$I904</f>
        <v>10.070714285714287</v>
      </c>
      <c r="M904" s="68"/>
      <c r="N904" s="68"/>
      <c r="O904" s="215">
        <v>99</v>
      </c>
      <c r="P904" s="215">
        <v>133</v>
      </c>
      <c r="Q904" s="94">
        <v>0.9</v>
      </c>
      <c r="R904" s="68" t="s">
        <v>115</v>
      </c>
      <c r="S904" s="182">
        <f t="shared" si="123"/>
        <v>89.100000000000009</v>
      </c>
      <c r="T904" s="182">
        <f t="shared" si="124"/>
        <v>119.7</v>
      </c>
      <c r="U904" s="96" t="s">
        <v>3961</v>
      </c>
      <c r="V904" s="204" t="s">
        <v>2194</v>
      </c>
      <c r="W904" s="96" t="s">
        <v>3467</v>
      </c>
      <c r="X904" s="22" t="s">
        <v>2195</v>
      </c>
      <c r="Y904" s="11" t="s">
        <v>3311</v>
      </c>
      <c r="Z904" s="79"/>
      <c r="AA904" s="187">
        <v>892</v>
      </c>
    </row>
    <row r="905" spans="2:27" s="184" customFormat="1" ht="20" x14ac:dyDescent="0.2">
      <c r="B905" s="11" t="s">
        <v>1196</v>
      </c>
      <c r="C905" s="165" t="s">
        <v>4235</v>
      </c>
      <c r="D905" s="22" t="s">
        <v>2379</v>
      </c>
      <c r="E905" s="34">
        <v>1</v>
      </c>
      <c r="F905" s="22" t="s">
        <v>2223</v>
      </c>
      <c r="G905" s="88">
        <v>10</v>
      </c>
      <c r="H905" s="235">
        <f t="shared" si="125"/>
        <v>6.1728395061728394</v>
      </c>
      <c r="I905" s="88">
        <v>23</v>
      </c>
      <c r="J905" s="235">
        <f t="shared" si="126"/>
        <v>14.19753086419753</v>
      </c>
      <c r="K905" s="201">
        <v>144</v>
      </c>
      <c r="L905" s="252">
        <f>_xlfn.XLOOKUP($K905,Inputs!$C$6:$C$23,Inputs!$D$6:$D$23)*$I905</f>
        <v>10.070714285714287</v>
      </c>
      <c r="M905" s="68"/>
      <c r="N905" s="68"/>
      <c r="O905" s="215">
        <v>99</v>
      </c>
      <c r="P905" s="215">
        <v>133</v>
      </c>
      <c r="Q905" s="94">
        <v>0.9</v>
      </c>
      <c r="R905" s="68" t="s">
        <v>115</v>
      </c>
      <c r="S905" s="182">
        <f t="shared" si="123"/>
        <v>89.100000000000009</v>
      </c>
      <c r="T905" s="182">
        <f t="shared" si="124"/>
        <v>119.7</v>
      </c>
      <c r="U905" s="96" t="s">
        <v>3467</v>
      </c>
      <c r="V905" s="22" t="s">
        <v>2195</v>
      </c>
      <c r="W905" s="96" t="s">
        <v>3465</v>
      </c>
      <c r="X905" s="22" t="s">
        <v>3249</v>
      </c>
      <c r="Y905" s="11" t="s">
        <v>3311</v>
      </c>
      <c r="Z905" s="79"/>
      <c r="AA905" s="187">
        <v>893</v>
      </c>
    </row>
    <row r="906" spans="2:27" s="184" customFormat="1" ht="20" x14ac:dyDescent="0.2">
      <c r="B906" s="11" t="s">
        <v>1198</v>
      </c>
      <c r="C906" s="165" t="s">
        <v>4235</v>
      </c>
      <c r="D906" s="22" t="s">
        <v>2379</v>
      </c>
      <c r="E906" s="34">
        <v>1</v>
      </c>
      <c r="F906" s="22" t="s">
        <v>2223</v>
      </c>
      <c r="G906" s="88">
        <v>15</v>
      </c>
      <c r="H906" s="235">
        <f t="shared" si="125"/>
        <v>9.2592592592592595</v>
      </c>
      <c r="I906" s="88">
        <v>15</v>
      </c>
      <c r="J906" s="235">
        <f t="shared" si="126"/>
        <v>9.2592592592592595</v>
      </c>
      <c r="K906" s="201">
        <v>144</v>
      </c>
      <c r="L906" s="252">
        <f>_xlfn.XLOOKUP($K906,Inputs!$C$6:$C$23,Inputs!$D$6:$D$23)*$I906</f>
        <v>6.5678571428571431</v>
      </c>
      <c r="M906" s="68"/>
      <c r="N906" s="68"/>
      <c r="O906" s="215">
        <v>99</v>
      </c>
      <c r="P906" s="215">
        <v>133</v>
      </c>
      <c r="Q906" s="94">
        <v>0.9</v>
      </c>
      <c r="R906" s="68" t="s">
        <v>115</v>
      </c>
      <c r="S906" s="182">
        <f t="shared" si="123"/>
        <v>89.100000000000009</v>
      </c>
      <c r="T906" s="182">
        <f t="shared" si="124"/>
        <v>119.7</v>
      </c>
      <c r="U906" s="96" t="s">
        <v>3961</v>
      </c>
      <c r="V906" s="205" t="s">
        <v>2194</v>
      </c>
      <c r="W906" s="96" t="s">
        <v>3652</v>
      </c>
      <c r="X906" s="22" t="s">
        <v>2686</v>
      </c>
      <c r="Y906" s="11" t="s">
        <v>3311</v>
      </c>
      <c r="Z906" s="79"/>
      <c r="AA906" s="187">
        <v>894</v>
      </c>
    </row>
    <row r="907" spans="2:27" s="184" customFormat="1" ht="20" x14ac:dyDescent="0.2">
      <c r="B907" s="11" t="s">
        <v>1199</v>
      </c>
      <c r="C907" s="165" t="s">
        <v>4235</v>
      </c>
      <c r="D907" s="22" t="s">
        <v>2379</v>
      </c>
      <c r="E907" s="34">
        <v>1</v>
      </c>
      <c r="F907" s="22" t="s">
        <v>2223</v>
      </c>
      <c r="G907" s="88">
        <v>15</v>
      </c>
      <c r="H907" s="235">
        <f t="shared" si="125"/>
        <v>9.2592592592592595</v>
      </c>
      <c r="I907" s="88">
        <v>15</v>
      </c>
      <c r="J907" s="235">
        <f t="shared" si="126"/>
        <v>9.2592592592592595</v>
      </c>
      <c r="K907" s="201">
        <v>144</v>
      </c>
      <c r="L907" s="252">
        <f>_xlfn.XLOOKUP($K907,Inputs!$C$6:$C$23,Inputs!$D$6:$D$23)*$I907</f>
        <v>6.5678571428571431</v>
      </c>
      <c r="M907" s="68"/>
      <c r="N907" s="68"/>
      <c r="O907" s="215">
        <v>99</v>
      </c>
      <c r="P907" s="215">
        <v>133</v>
      </c>
      <c r="Q907" s="94">
        <v>0.9</v>
      </c>
      <c r="R907" s="68" t="s">
        <v>115</v>
      </c>
      <c r="S907" s="182">
        <f t="shared" si="123"/>
        <v>89.100000000000009</v>
      </c>
      <c r="T907" s="182">
        <f t="shared" si="124"/>
        <v>119.7</v>
      </c>
      <c r="U907" s="96" t="s">
        <v>3467</v>
      </c>
      <c r="V907" s="205" t="s">
        <v>2195</v>
      </c>
      <c r="W907" s="96" t="s">
        <v>3466</v>
      </c>
      <c r="X907" s="22" t="s">
        <v>3250</v>
      </c>
      <c r="Y907" s="11" t="s">
        <v>3311</v>
      </c>
      <c r="Z907" s="79"/>
      <c r="AA907" s="187">
        <v>895</v>
      </c>
    </row>
    <row r="908" spans="2:27" s="184" customFormat="1" ht="20" x14ac:dyDescent="0.2">
      <c r="B908" s="11" t="s">
        <v>1309</v>
      </c>
      <c r="C908" s="165" t="s">
        <v>4235</v>
      </c>
      <c r="D908" s="22" t="s">
        <v>2379</v>
      </c>
      <c r="E908" s="34">
        <v>1</v>
      </c>
      <c r="F908" s="22" t="s">
        <v>2223</v>
      </c>
      <c r="G908" s="88">
        <v>4.5999999999999996</v>
      </c>
      <c r="H908" s="235">
        <f t="shared" si="125"/>
        <v>2.8395061728395059</v>
      </c>
      <c r="I908" s="88">
        <v>4.5999999999999996</v>
      </c>
      <c r="J908" s="235">
        <f t="shared" si="126"/>
        <v>2.8395061728395059</v>
      </c>
      <c r="K908" s="215">
        <v>138</v>
      </c>
      <c r="L908" s="252">
        <f>_xlfn.XLOOKUP($K908,Inputs!$C$6:$C$23,Inputs!$D$6:$D$23)*$I908</f>
        <v>1.9944285714285714</v>
      </c>
      <c r="M908" s="68"/>
      <c r="N908" s="68"/>
      <c r="O908" s="215">
        <v>119</v>
      </c>
      <c r="P908" s="215">
        <v>146</v>
      </c>
      <c r="Q908" s="94">
        <v>0.9</v>
      </c>
      <c r="R908" s="68" t="s">
        <v>115</v>
      </c>
      <c r="S908" s="182">
        <f t="shared" si="123"/>
        <v>107.10000000000001</v>
      </c>
      <c r="T908" s="182">
        <f t="shared" si="124"/>
        <v>131.4</v>
      </c>
      <c r="U908" s="96" t="s">
        <v>3524</v>
      </c>
      <c r="V908" s="22" t="s">
        <v>2837</v>
      </c>
      <c r="W908" s="96" t="s">
        <v>3667</v>
      </c>
      <c r="X908" s="22" t="s">
        <v>2939</v>
      </c>
      <c r="Y908" s="11" t="s">
        <v>3281</v>
      </c>
      <c r="Z908" s="79"/>
      <c r="AA908" s="187">
        <v>896</v>
      </c>
    </row>
    <row r="909" spans="2:27" s="184" customFormat="1" ht="20" x14ac:dyDescent="0.2">
      <c r="B909" s="11" t="s">
        <v>1999</v>
      </c>
      <c r="C909" s="165" t="s">
        <v>4235</v>
      </c>
      <c r="D909" s="22" t="s">
        <v>2379</v>
      </c>
      <c r="E909" s="34">
        <v>1</v>
      </c>
      <c r="F909" s="22" t="s">
        <v>2223</v>
      </c>
      <c r="G909" s="88">
        <v>17.5</v>
      </c>
      <c r="H909" s="235">
        <f t="shared" si="125"/>
        <v>10.802469135802468</v>
      </c>
      <c r="I909" s="88">
        <v>17.5</v>
      </c>
      <c r="J909" s="235">
        <f t="shared" si="126"/>
        <v>10.802469135802468</v>
      </c>
      <c r="K909" s="201">
        <v>144</v>
      </c>
      <c r="L909" s="252">
        <f>_xlfn.XLOOKUP($K909,Inputs!$C$6:$C$23,Inputs!$D$6:$D$23)*$I909</f>
        <v>7.6625000000000005</v>
      </c>
      <c r="M909" s="68"/>
      <c r="N909" s="68"/>
      <c r="O909" s="187"/>
      <c r="P909" s="187"/>
      <c r="Q909" s="94">
        <v>0.9</v>
      </c>
      <c r="R909" s="68">
        <f>IF((42.4*(J909)^(-0.6595))&gt;=3,3,(IF(42.4*(J909)^(-0.6595)&lt;=0.5,0.5,(42.4*(J909)^(-0.6595)))))</f>
        <v>3</v>
      </c>
      <c r="S909" s="276">
        <f>_xlfn.XLOOKUP($K909,Inputs!$G$6:$G$23,Inputs!J$6:J$23)*$R909</f>
        <v>153.60000000000002</v>
      </c>
      <c r="T909" s="276">
        <f>_xlfn.XLOOKUP($K909,Inputs!$G$6:$G$23,Inputs!K$6:K$23)*$R909</f>
        <v>169.96721311475409</v>
      </c>
      <c r="U909" s="96" t="s">
        <v>3356</v>
      </c>
      <c r="V909" s="22" t="s">
        <v>3204</v>
      </c>
      <c r="W909" s="96" t="s">
        <v>3816</v>
      </c>
      <c r="X909" s="22" t="s">
        <v>3062</v>
      </c>
      <c r="Y909" s="11" t="s">
        <v>3331</v>
      </c>
      <c r="Z909" s="79"/>
      <c r="AA909" s="187">
        <v>897</v>
      </c>
    </row>
    <row r="910" spans="2:27" s="184" customFormat="1" ht="20" x14ac:dyDescent="0.2">
      <c r="B910" s="11" t="s">
        <v>1597</v>
      </c>
      <c r="C910" s="165" t="s">
        <v>4235</v>
      </c>
      <c r="D910" s="22" t="s">
        <v>2379</v>
      </c>
      <c r="E910" s="34">
        <v>1</v>
      </c>
      <c r="F910" s="22" t="s">
        <v>2223</v>
      </c>
      <c r="G910" s="88">
        <v>24</v>
      </c>
      <c r="H910" s="235">
        <f t="shared" si="125"/>
        <v>14.814814814814813</v>
      </c>
      <c r="I910" s="88">
        <v>24</v>
      </c>
      <c r="J910" s="235">
        <f t="shared" si="126"/>
        <v>14.814814814814813</v>
      </c>
      <c r="K910" s="201">
        <v>144</v>
      </c>
      <c r="L910" s="252">
        <f>_xlfn.XLOOKUP($K910,Inputs!$C$6:$C$23,Inputs!$D$6:$D$23)*$I910</f>
        <v>10.508571428571429</v>
      </c>
      <c r="M910" s="68"/>
      <c r="N910" s="68"/>
      <c r="O910" s="187"/>
      <c r="P910" s="187"/>
      <c r="Q910" s="94">
        <v>0.9</v>
      </c>
      <c r="R910" s="68">
        <f>IF((42.4*(J910)^(-0.6595))&gt;=3,3,(IF(42.4*(J910)^(-0.6595)&lt;=0.5,0.5,(42.4*(J910)^(-0.6595)))))</f>
        <v>3</v>
      </c>
      <c r="S910" s="276">
        <f>_xlfn.XLOOKUP($K910,Inputs!$G$6:$G$23,Inputs!J$6:J$23)*$R910</f>
        <v>153.60000000000002</v>
      </c>
      <c r="T910" s="276">
        <f>_xlfn.XLOOKUP($K910,Inputs!$G$6:$G$23,Inputs!K$6:K$23)*$R910</f>
        <v>169.96721311475409</v>
      </c>
      <c r="U910" s="96" t="s">
        <v>3802</v>
      </c>
      <c r="V910" s="22" t="s">
        <v>3051</v>
      </c>
      <c r="W910" s="96" t="s">
        <v>3850</v>
      </c>
      <c r="X910" s="22" t="s">
        <v>3122</v>
      </c>
      <c r="Y910" s="11" t="s">
        <v>3331</v>
      </c>
      <c r="Z910" s="79"/>
      <c r="AA910" s="187">
        <v>898</v>
      </c>
    </row>
    <row r="911" spans="2:27" s="184" customFormat="1" ht="20" x14ac:dyDescent="0.2">
      <c r="B911" s="11" t="s">
        <v>2001</v>
      </c>
      <c r="C911" s="165" t="s">
        <v>4235</v>
      </c>
      <c r="D911" s="22" t="s">
        <v>2379</v>
      </c>
      <c r="E911" s="34">
        <v>1</v>
      </c>
      <c r="F911" s="22" t="s">
        <v>2223</v>
      </c>
      <c r="G911" s="88">
        <v>17.5</v>
      </c>
      <c r="H911" s="235">
        <f t="shared" si="125"/>
        <v>10.802469135802468</v>
      </c>
      <c r="I911" s="88">
        <v>17.5</v>
      </c>
      <c r="J911" s="235">
        <f t="shared" si="126"/>
        <v>10.802469135802468</v>
      </c>
      <c r="K911" s="201">
        <v>144</v>
      </c>
      <c r="L911" s="252">
        <f>_xlfn.XLOOKUP($K911,Inputs!$C$6:$C$23,Inputs!$D$6:$D$23)*$I911</f>
        <v>7.6625000000000005</v>
      </c>
      <c r="M911" s="68"/>
      <c r="N911" s="68"/>
      <c r="O911" s="187"/>
      <c r="P911" s="187"/>
      <c r="Q911" s="94">
        <v>0.9</v>
      </c>
      <c r="R911" s="68">
        <f>IF((42.4*(J911)^(-0.6595))&gt;=3,3,(IF(42.4*(J911)^(-0.6595)&lt;=0.5,0.5,(42.4*(J911)^(-0.6595)))))</f>
        <v>3</v>
      </c>
      <c r="S911" s="276">
        <f>_xlfn.XLOOKUP($K911,Inputs!$G$6:$G$23,Inputs!J$6:J$23)*$R911</f>
        <v>153.60000000000002</v>
      </c>
      <c r="T911" s="276">
        <f>_xlfn.XLOOKUP($K911,Inputs!$G$6:$G$23,Inputs!K$6:K$23)*$R911</f>
        <v>169.96721311475409</v>
      </c>
      <c r="U911" s="96" t="s">
        <v>3356</v>
      </c>
      <c r="V911" s="22" t="s">
        <v>3204</v>
      </c>
      <c r="W911" s="96" t="s">
        <v>3815</v>
      </c>
      <c r="X911" s="22" t="s">
        <v>3061</v>
      </c>
      <c r="Y911" s="11" t="s">
        <v>3331</v>
      </c>
      <c r="Z911" s="79"/>
      <c r="AA911" s="187">
        <v>899</v>
      </c>
    </row>
    <row r="912" spans="2:27" s="184" customFormat="1" ht="20" x14ac:dyDescent="0.2">
      <c r="B912" s="11" t="s">
        <v>1304</v>
      </c>
      <c r="C912" s="165" t="s">
        <v>4235</v>
      </c>
      <c r="D912" s="22" t="s">
        <v>2379</v>
      </c>
      <c r="E912" s="34">
        <v>1</v>
      </c>
      <c r="F912" s="22" t="s">
        <v>2223</v>
      </c>
      <c r="G912" s="88">
        <v>12</v>
      </c>
      <c r="H912" s="235">
        <f t="shared" si="125"/>
        <v>7.4074074074074066</v>
      </c>
      <c r="I912" s="88">
        <v>12</v>
      </c>
      <c r="J912" s="235">
        <f t="shared" si="126"/>
        <v>7.4074074074074066</v>
      </c>
      <c r="K912" s="215">
        <v>138</v>
      </c>
      <c r="L912" s="252">
        <f>_xlfn.XLOOKUP($K912,Inputs!$C$6:$C$23,Inputs!$D$6:$D$23)*$I912</f>
        <v>5.2028571428571428</v>
      </c>
      <c r="M912" s="68"/>
      <c r="N912" s="68"/>
      <c r="O912" s="215">
        <v>85.1</v>
      </c>
      <c r="P912" s="215">
        <v>90.1</v>
      </c>
      <c r="Q912" s="94">
        <v>0.9</v>
      </c>
      <c r="R912" s="68" t="s">
        <v>115</v>
      </c>
      <c r="S912" s="182">
        <f t="shared" ref="S912:S917" si="127">O912*Q912</f>
        <v>76.59</v>
      </c>
      <c r="T912" s="182">
        <f t="shared" ref="T912:T917" si="128">P912*Q912</f>
        <v>81.09</v>
      </c>
      <c r="U912" s="96" t="s">
        <v>4386</v>
      </c>
      <c r="V912" s="22" t="s">
        <v>2772</v>
      </c>
      <c r="W912" s="96" t="s">
        <v>3488</v>
      </c>
      <c r="X912" s="22" t="s">
        <v>2809</v>
      </c>
      <c r="Y912" s="11" t="s">
        <v>3277</v>
      </c>
      <c r="Z912" s="79"/>
      <c r="AA912" s="187">
        <v>900</v>
      </c>
    </row>
    <row r="913" spans="2:27" s="184" customFormat="1" ht="20" x14ac:dyDescent="0.2">
      <c r="B913" s="11" t="s">
        <v>1838</v>
      </c>
      <c r="C913" s="165" t="s">
        <v>4235</v>
      </c>
      <c r="D913" s="22" t="s">
        <v>2379</v>
      </c>
      <c r="E913" s="34">
        <v>1</v>
      </c>
      <c r="F913" s="22" t="s">
        <v>2223</v>
      </c>
      <c r="G913" s="235">
        <v>49</v>
      </c>
      <c r="H913" s="235">
        <f t="shared" si="125"/>
        <v>30.246913580246911</v>
      </c>
      <c r="I913" s="235">
        <v>49</v>
      </c>
      <c r="J913" s="235">
        <f t="shared" si="126"/>
        <v>30.246913580246911</v>
      </c>
      <c r="K913" s="215">
        <v>138</v>
      </c>
      <c r="L913" s="252">
        <f>_xlfn.XLOOKUP($K913,Inputs!$C$6:$C$23,Inputs!$D$6:$D$23)*$I913</f>
        <v>21.245000000000001</v>
      </c>
      <c r="M913" s="68"/>
      <c r="N913" s="68"/>
      <c r="O913" s="215">
        <v>85</v>
      </c>
      <c r="P913" s="215">
        <v>90</v>
      </c>
      <c r="Q913" s="94">
        <v>0.9</v>
      </c>
      <c r="R913" s="68" t="s">
        <v>115</v>
      </c>
      <c r="S913" s="182">
        <f t="shared" si="127"/>
        <v>76.5</v>
      </c>
      <c r="T913" s="182">
        <f t="shared" si="128"/>
        <v>81</v>
      </c>
      <c r="U913" s="96" t="s">
        <v>3581</v>
      </c>
      <c r="V913" s="22" t="s">
        <v>2874</v>
      </c>
      <c r="W913" s="96" t="s">
        <v>3403</v>
      </c>
      <c r="X913" s="22" t="s">
        <v>2760</v>
      </c>
      <c r="Y913" s="11" t="s">
        <v>3285</v>
      </c>
      <c r="Z913" s="79"/>
      <c r="AA913" s="187">
        <v>901</v>
      </c>
    </row>
    <row r="914" spans="2:27" s="184" customFormat="1" ht="20" x14ac:dyDescent="0.2">
      <c r="B914" s="11" t="s">
        <v>1979</v>
      </c>
      <c r="C914" s="165" t="s">
        <v>4235</v>
      </c>
      <c r="D914" s="22" t="s">
        <v>2379</v>
      </c>
      <c r="E914" s="34">
        <v>1</v>
      </c>
      <c r="F914" s="22" t="s">
        <v>2223</v>
      </c>
      <c r="G914" s="235">
        <v>112</v>
      </c>
      <c r="H914" s="235">
        <f t="shared" si="125"/>
        <v>69.135802469135797</v>
      </c>
      <c r="I914" s="235">
        <v>112</v>
      </c>
      <c r="J914" s="235">
        <f t="shared" si="126"/>
        <v>69.135802469135797</v>
      </c>
      <c r="K914" s="215">
        <v>138</v>
      </c>
      <c r="L914" s="252">
        <f>_xlfn.XLOOKUP($K914,Inputs!$C$6:$C$23,Inputs!$D$6:$D$23)*$I914</f>
        <v>48.56</v>
      </c>
      <c r="M914" s="68"/>
      <c r="N914" s="68"/>
      <c r="O914" s="215">
        <v>85</v>
      </c>
      <c r="P914" s="215">
        <v>94</v>
      </c>
      <c r="Q914" s="94">
        <v>0.9</v>
      </c>
      <c r="R914" s="68" t="s">
        <v>115</v>
      </c>
      <c r="S914" s="182">
        <f t="shared" si="127"/>
        <v>76.5</v>
      </c>
      <c r="T914" s="182">
        <f t="shared" si="128"/>
        <v>84.600000000000009</v>
      </c>
      <c r="U914" s="96" t="s">
        <v>3438</v>
      </c>
      <c r="V914" s="22" t="s">
        <v>2690</v>
      </c>
      <c r="W914" s="96" t="s">
        <v>3415</v>
      </c>
      <c r="X914" s="22" t="s">
        <v>2768</v>
      </c>
      <c r="Y914" s="11" t="s">
        <v>3323</v>
      </c>
      <c r="Z914" s="79"/>
      <c r="AA914" s="187">
        <v>902</v>
      </c>
    </row>
    <row r="915" spans="2:27" s="184" customFormat="1" ht="20" x14ac:dyDescent="0.2">
      <c r="B915" s="11" t="s">
        <v>1708</v>
      </c>
      <c r="C915" s="165" t="s">
        <v>4235</v>
      </c>
      <c r="D915" s="22" t="s">
        <v>2379</v>
      </c>
      <c r="E915" s="34">
        <v>1</v>
      </c>
      <c r="F915" s="22" t="s">
        <v>2223</v>
      </c>
      <c r="G915" s="88">
        <v>10.5</v>
      </c>
      <c r="H915" s="235">
        <f t="shared" si="125"/>
        <v>6.481481481481481</v>
      </c>
      <c r="I915" s="88">
        <v>10.5</v>
      </c>
      <c r="J915" s="235">
        <f t="shared" si="126"/>
        <v>6.481481481481481</v>
      </c>
      <c r="K915" s="215">
        <v>138</v>
      </c>
      <c r="L915" s="252">
        <f>_xlfn.XLOOKUP($K915,Inputs!$C$6:$C$23,Inputs!$D$6:$D$23)*$I915</f>
        <v>4.5525000000000002</v>
      </c>
      <c r="M915" s="68"/>
      <c r="N915" s="68"/>
      <c r="O915" s="215">
        <v>98</v>
      </c>
      <c r="P915" s="215">
        <v>132</v>
      </c>
      <c r="Q915" s="94">
        <v>0.9</v>
      </c>
      <c r="R915" s="68" t="s">
        <v>115</v>
      </c>
      <c r="S915" s="182">
        <f t="shared" si="127"/>
        <v>88.2</v>
      </c>
      <c r="T915" s="182">
        <f t="shared" si="128"/>
        <v>118.8</v>
      </c>
      <c r="U915" s="96" t="s">
        <v>3827</v>
      </c>
      <c r="V915" s="22" t="s">
        <v>3071</v>
      </c>
      <c r="W915" s="96" t="s">
        <v>3651</v>
      </c>
      <c r="X915" s="22" t="s">
        <v>2685</v>
      </c>
      <c r="Y915" s="11" t="s">
        <v>3296</v>
      </c>
      <c r="Z915" s="79"/>
      <c r="AA915" s="187">
        <v>903</v>
      </c>
    </row>
    <row r="916" spans="2:27" s="184" customFormat="1" ht="20" x14ac:dyDescent="0.2">
      <c r="B916" s="11" t="s">
        <v>1985</v>
      </c>
      <c r="C916" s="165" t="s">
        <v>4235</v>
      </c>
      <c r="D916" s="22" t="s">
        <v>2379</v>
      </c>
      <c r="E916" s="34">
        <v>1</v>
      </c>
      <c r="F916" s="22" t="s">
        <v>2223</v>
      </c>
      <c r="G916" s="88">
        <v>14</v>
      </c>
      <c r="H916" s="235">
        <f t="shared" si="125"/>
        <v>8.6419753086419746</v>
      </c>
      <c r="I916" s="88">
        <v>21</v>
      </c>
      <c r="J916" s="235">
        <f t="shared" si="126"/>
        <v>12.962962962962962</v>
      </c>
      <c r="K916" s="215">
        <v>138</v>
      </c>
      <c r="L916" s="252">
        <f>_xlfn.XLOOKUP($K916,Inputs!$C$6:$C$23,Inputs!$D$6:$D$23)*$I916</f>
        <v>9.1050000000000004</v>
      </c>
      <c r="M916" s="68"/>
      <c r="N916" s="68"/>
      <c r="O916" s="215">
        <v>123</v>
      </c>
      <c r="P916" s="215">
        <v>135</v>
      </c>
      <c r="Q916" s="94">
        <v>0.9</v>
      </c>
      <c r="R916" s="68" t="s">
        <v>115</v>
      </c>
      <c r="S916" s="182">
        <f t="shared" si="127"/>
        <v>110.7</v>
      </c>
      <c r="T916" s="182">
        <f t="shared" si="128"/>
        <v>121.5</v>
      </c>
      <c r="U916" s="96" t="s">
        <v>3437</v>
      </c>
      <c r="V916" s="22" t="s">
        <v>2783</v>
      </c>
      <c r="W916" s="96" t="s">
        <v>3350</v>
      </c>
      <c r="X916" s="22" t="s">
        <v>2731</v>
      </c>
      <c r="Y916" s="11" t="s">
        <v>3323</v>
      </c>
      <c r="Z916" s="79"/>
      <c r="AA916" s="187">
        <v>904</v>
      </c>
    </row>
    <row r="917" spans="2:27" s="184" customFormat="1" ht="20" x14ac:dyDescent="0.2">
      <c r="B917" s="11" t="s">
        <v>1985</v>
      </c>
      <c r="C917" s="165" t="s">
        <v>4235</v>
      </c>
      <c r="D917" s="22" t="s">
        <v>2379</v>
      </c>
      <c r="E917" s="34">
        <v>1</v>
      </c>
      <c r="F917" s="22" t="s">
        <v>2223</v>
      </c>
      <c r="G917" s="88">
        <v>7</v>
      </c>
      <c r="H917" s="235">
        <f t="shared" si="125"/>
        <v>4.3209876543209873</v>
      </c>
      <c r="I917" s="88">
        <v>21</v>
      </c>
      <c r="J917" s="235">
        <f t="shared" si="126"/>
        <v>12.962962962962962</v>
      </c>
      <c r="K917" s="215">
        <v>138</v>
      </c>
      <c r="L917" s="252">
        <f>_xlfn.XLOOKUP($K917,Inputs!$C$6:$C$23,Inputs!$D$6:$D$23)*$I917</f>
        <v>9.1050000000000004</v>
      </c>
      <c r="M917" s="68"/>
      <c r="N917" s="68"/>
      <c r="O917" s="215">
        <v>123</v>
      </c>
      <c r="P917" s="215">
        <v>135</v>
      </c>
      <c r="Q917" s="94">
        <v>0.9</v>
      </c>
      <c r="R917" s="68" t="s">
        <v>115</v>
      </c>
      <c r="S917" s="182">
        <f t="shared" si="127"/>
        <v>110.7</v>
      </c>
      <c r="T917" s="182">
        <f t="shared" si="128"/>
        <v>121.5</v>
      </c>
      <c r="U917" s="96" t="s">
        <v>3350</v>
      </c>
      <c r="V917" s="205" t="s">
        <v>2731</v>
      </c>
      <c r="W917" s="96" t="s">
        <v>3714</v>
      </c>
      <c r="X917" s="22" t="s">
        <v>2697</v>
      </c>
      <c r="Y917" s="11" t="s">
        <v>3323</v>
      </c>
      <c r="Z917" s="79" t="s">
        <v>2596</v>
      </c>
      <c r="AA917" s="187">
        <v>905</v>
      </c>
    </row>
    <row r="918" spans="2:27" s="184" customFormat="1" ht="20" x14ac:dyDescent="0.2">
      <c r="B918" s="11" t="s">
        <v>1392</v>
      </c>
      <c r="C918" s="165" t="s">
        <v>4235</v>
      </c>
      <c r="D918" s="22" t="s">
        <v>2379</v>
      </c>
      <c r="E918" s="34">
        <v>1</v>
      </c>
      <c r="F918" s="22" t="s">
        <v>2223</v>
      </c>
      <c r="G918" s="88">
        <v>33</v>
      </c>
      <c r="H918" s="235">
        <f t="shared" si="125"/>
        <v>20.37037037037037</v>
      </c>
      <c r="I918" s="88">
        <v>33</v>
      </c>
      <c r="J918" s="235">
        <f t="shared" si="126"/>
        <v>20.37037037037037</v>
      </c>
      <c r="K918" s="201">
        <v>144</v>
      </c>
      <c r="L918" s="252">
        <f>_xlfn.XLOOKUP($K918,Inputs!$C$6:$C$23,Inputs!$D$6:$D$23)*$I918</f>
        <v>14.449285714285715</v>
      </c>
      <c r="M918" s="68"/>
      <c r="N918" s="68"/>
      <c r="O918" s="187"/>
      <c r="P918" s="187"/>
      <c r="Q918" s="94">
        <v>0.9</v>
      </c>
      <c r="R918" s="68">
        <f>IF((42.4*(J918)^(-0.6595))&gt;=3,3,(IF(42.4*(J918)^(-0.6595)&lt;=0.5,0.5,(42.4*(J918)^(-0.6595)))))</f>
        <v>3</v>
      </c>
      <c r="S918" s="276">
        <f>_xlfn.XLOOKUP($K918,Inputs!$G$6:$G$23,Inputs!J$6:J$23)*$R918</f>
        <v>153.60000000000002</v>
      </c>
      <c r="T918" s="276">
        <f>_xlfn.XLOOKUP($K918,Inputs!$G$6:$G$23,Inputs!K$6:K$23)*$R918</f>
        <v>169.96721311475409</v>
      </c>
      <c r="U918" s="96" t="s">
        <v>3941</v>
      </c>
      <c r="V918" s="22" t="s">
        <v>3193</v>
      </c>
      <c r="W918" s="96" t="s">
        <v>3740</v>
      </c>
      <c r="X918" s="22" t="s">
        <v>2998</v>
      </c>
      <c r="Y918" s="11" t="s">
        <v>3331</v>
      </c>
      <c r="Z918" s="79"/>
      <c r="AA918" s="187">
        <v>906</v>
      </c>
    </row>
    <row r="919" spans="2:27" s="184" customFormat="1" ht="20" x14ac:dyDescent="0.2">
      <c r="B919" s="11" t="s">
        <v>979</v>
      </c>
      <c r="C919" s="165" t="s">
        <v>4235</v>
      </c>
      <c r="D919" s="22" t="s">
        <v>2379</v>
      </c>
      <c r="E919" s="34">
        <v>1</v>
      </c>
      <c r="F919" s="22" t="s">
        <v>2223</v>
      </c>
      <c r="G919" s="88">
        <v>6</v>
      </c>
      <c r="H919" s="235">
        <f t="shared" si="125"/>
        <v>3.7037037037037033</v>
      </c>
      <c r="I919" s="88">
        <v>6</v>
      </c>
      <c r="J919" s="235">
        <f t="shared" si="126"/>
        <v>3.7037037037037033</v>
      </c>
      <c r="K919" s="215">
        <v>138</v>
      </c>
      <c r="L919" s="252">
        <f>_xlfn.XLOOKUP($K919,Inputs!$C$6:$C$23,Inputs!$D$6:$D$23)*$I919</f>
        <v>2.6014285714285714</v>
      </c>
      <c r="M919" s="68"/>
      <c r="N919" s="68"/>
      <c r="O919" s="215">
        <v>287</v>
      </c>
      <c r="P919" s="215">
        <v>287</v>
      </c>
      <c r="Q919" s="94">
        <v>0.9</v>
      </c>
      <c r="R919" s="68" t="s">
        <v>115</v>
      </c>
      <c r="S919" s="182">
        <f>O919*Q919</f>
        <v>258.3</v>
      </c>
      <c r="T919" s="182">
        <f>P919*Q919</f>
        <v>258.3</v>
      </c>
      <c r="U919" s="96" t="s">
        <v>3718</v>
      </c>
      <c r="V919" s="22" t="s">
        <v>2982</v>
      </c>
      <c r="W919" s="96" t="s">
        <v>3599</v>
      </c>
      <c r="X919" s="22" t="s">
        <v>2888</v>
      </c>
      <c r="Y919" s="11" t="s">
        <v>3282</v>
      </c>
      <c r="Z919" s="79"/>
      <c r="AA919" s="187">
        <v>907</v>
      </c>
    </row>
    <row r="920" spans="2:27" s="184" customFormat="1" ht="20" x14ac:dyDescent="0.2">
      <c r="B920" s="11" t="s">
        <v>1835</v>
      </c>
      <c r="C920" s="165" t="s">
        <v>4235</v>
      </c>
      <c r="D920" s="22" t="s">
        <v>2379</v>
      </c>
      <c r="E920" s="34">
        <v>1</v>
      </c>
      <c r="F920" s="22" t="s">
        <v>2223</v>
      </c>
      <c r="G920" s="235">
        <v>49</v>
      </c>
      <c r="H920" s="235">
        <f t="shared" si="125"/>
        <v>30.246913580246911</v>
      </c>
      <c r="I920" s="235">
        <v>49</v>
      </c>
      <c r="J920" s="235">
        <f t="shared" si="126"/>
        <v>30.246913580246911</v>
      </c>
      <c r="K920" s="216">
        <v>138</v>
      </c>
      <c r="L920" s="252">
        <f>_xlfn.XLOOKUP($K920,Inputs!$C$6:$C$23,Inputs!$D$6:$D$23)*$I920</f>
        <v>21.245000000000001</v>
      </c>
      <c r="M920" s="68"/>
      <c r="N920" s="68"/>
      <c r="O920" s="216">
        <v>119</v>
      </c>
      <c r="P920" s="216">
        <v>147</v>
      </c>
      <c r="Q920" s="94">
        <v>0.9</v>
      </c>
      <c r="R920" s="68" t="s">
        <v>115</v>
      </c>
      <c r="S920" s="182">
        <f>O920*Q920</f>
        <v>107.10000000000001</v>
      </c>
      <c r="T920" s="182">
        <f>P920*Q920</f>
        <v>132.30000000000001</v>
      </c>
      <c r="U920" s="96" t="s">
        <v>3737</v>
      </c>
      <c r="V920" s="22" t="s">
        <v>2621</v>
      </c>
      <c r="W920" s="96" t="s">
        <v>3628</v>
      </c>
      <c r="X920" s="22" t="s">
        <v>2913</v>
      </c>
      <c r="Y920" s="11" t="s">
        <v>3315</v>
      </c>
      <c r="Z920" s="79"/>
      <c r="AA920" s="187">
        <v>908</v>
      </c>
    </row>
    <row r="921" spans="2:27" s="184" customFormat="1" ht="20" x14ac:dyDescent="0.2">
      <c r="B921" s="11" t="s">
        <v>1713</v>
      </c>
      <c r="C921" s="165" t="s">
        <v>4235</v>
      </c>
      <c r="D921" s="22" t="s">
        <v>2379</v>
      </c>
      <c r="E921" s="34">
        <v>1</v>
      </c>
      <c r="F921" s="22" t="s">
        <v>2223</v>
      </c>
      <c r="G921" s="88">
        <v>17.5</v>
      </c>
      <c r="H921" s="235">
        <f t="shared" si="125"/>
        <v>10.802469135802468</v>
      </c>
      <c r="I921" s="88">
        <v>17.5</v>
      </c>
      <c r="J921" s="235">
        <f t="shared" si="126"/>
        <v>10.802469135802468</v>
      </c>
      <c r="K921" s="215">
        <v>138</v>
      </c>
      <c r="L921" s="252">
        <f>_xlfn.XLOOKUP($K921,Inputs!$C$6:$C$23,Inputs!$D$6:$D$23)*$I921</f>
        <v>7.5875000000000004</v>
      </c>
      <c r="M921" s="68"/>
      <c r="N921" s="68"/>
      <c r="O921" s="215">
        <v>72</v>
      </c>
      <c r="P921" s="215">
        <v>72</v>
      </c>
      <c r="Q921" s="94">
        <v>0.9</v>
      </c>
      <c r="R921" s="68" t="s">
        <v>115</v>
      </c>
      <c r="S921" s="182">
        <f>O921*Q921</f>
        <v>64.8</v>
      </c>
      <c r="T921" s="182">
        <f>P921*Q921</f>
        <v>64.8</v>
      </c>
      <c r="U921" s="96" t="s">
        <v>3780</v>
      </c>
      <c r="V921" s="22" t="s">
        <v>2702</v>
      </c>
      <c r="W921" s="96" t="s">
        <v>3339</v>
      </c>
      <c r="X921" s="22" t="s">
        <v>2203</v>
      </c>
      <c r="Y921" s="11" t="s">
        <v>3296</v>
      </c>
      <c r="Z921" s="79"/>
      <c r="AA921" s="187">
        <v>909</v>
      </c>
    </row>
    <row r="922" spans="2:27" s="184" customFormat="1" ht="20" x14ac:dyDescent="0.2">
      <c r="B922" s="11" t="s">
        <v>1188</v>
      </c>
      <c r="C922" s="165" t="s">
        <v>4235</v>
      </c>
      <c r="D922" s="22" t="s">
        <v>2379</v>
      </c>
      <c r="E922" s="34">
        <v>1</v>
      </c>
      <c r="F922" s="22" t="s">
        <v>2223</v>
      </c>
      <c r="G922" s="88">
        <v>5</v>
      </c>
      <c r="H922" s="235">
        <f t="shared" si="125"/>
        <v>3.0864197530864197</v>
      </c>
      <c r="I922" s="88">
        <v>5</v>
      </c>
      <c r="J922" s="235">
        <f t="shared" si="126"/>
        <v>3.0864197530864197</v>
      </c>
      <c r="K922" s="215">
        <v>138</v>
      </c>
      <c r="L922" s="252">
        <f>_xlfn.XLOOKUP($K922,Inputs!$C$6:$C$23,Inputs!$D$6:$D$23)*$I922</f>
        <v>2.1678571428571431</v>
      </c>
      <c r="M922" s="68"/>
      <c r="N922" s="68"/>
      <c r="O922" s="215">
        <v>123</v>
      </c>
      <c r="P922" s="215">
        <v>150</v>
      </c>
      <c r="Q922" s="94">
        <v>0.9</v>
      </c>
      <c r="R922" s="68" t="s">
        <v>115</v>
      </c>
      <c r="S922" s="182">
        <f>O922*Q922</f>
        <v>110.7</v>
      </c>
      <c r="T922" s="182">
        <f>P922*Q922</f>
        <v>135</v>
      </c>
      <c r="U922" s="96" t="s">
        <v>3565</v>
      </c>
      <c r="V922" s="22" t="s">
        <v>2168</v>
      </c>
      <c r="W922" s="96" t="s">
        <v>3564</v>
      </c>
      <c r="X922" s="22" t="s">
        <v>2863</v>
      </c>
      <c r="Y922" s="11" t="s">
        <v>3280</v>
      </c>
      <c r="Z922" s="79"/>
      <c r="AA922" s="187">
        <v>910</v>
      </c>
    </row>
    <row r="923" spans="2:27" s="184" customFormat="1" ht="20" x14ac:dyDescent="0.2">
      <c r="B923" s="11" t="s">
        <v>1622</v>
      </c>
      <c r="C923" s="165" t="s">
        <v>4235</v>
      </c>
      <c r="D923" s="22" t="s">
        <v>2379</v>
      </c>
      <c r="E923" s="34">
        <v>1</v>
      </c>
      <c r="F923" s="22" t="s">
        <v>2223</v>
      </c>
      <c r="G923" s="88">
        <v>10</v>
      </c>
      <c r="H923" s="235">
        <f t="shared" si="125"/>
        <v>6.1728395061728394</v>
      </c>
      <c r="I923" s="88">
        <v>10</v>
      </c>
      <c r="J923" s="235">
        <f t="shared" si="126"/>
        <v>6.1728395061728394</v>
      </c>
      <c r="K923" s="201">
        <v>144</v>
      </c>
      <c r="L923" s="252">
        <f>_xlfn.XLOOKUP($K923,Inputs!$C$6:$C$23,Inputs!$D$6:$D$23)*$I923</f>
        <v>4.378571428571429</v>
      </c>
      <c r="M923" s="68"/>
      <c r="N923" s="68"/>
      <c r="O923" s="187"/>
      <c r="P923" s="187"/>
      <c r="Q923" s="94">
        <v>0.9</v>
      </c>
      <c r="R923" s="68">
        <f>IF((42.4*(J923)^(-0.6595))&gt;=3,3,(IF(42.4*(J923)^(-0.6595)&lt;=0.5,0.5,(42.4*(J923)^(-0.6595)))))</f>
        <v>3</v>
      </c>
      <c r="S923" s="276">
        <f>_xlfn.XLOOKUP($K923,Inputs!$G$6:$G$23,Inputs!J$6:J$23)*$R923</f>
        <v>153.60000000000002</v>
      </c>
      <c r="T923" s="276">
        <f>_xlfn.XLOOKUP($K923,Inputs!$G$6:$G$23,Inputs!K$6:K$23)*$R923</f>
        <v>169.96721311475409</v>
      </c>
      <c r="U923" s="96" t="s">
        <v>3643</v>
      </c>
      <c r="V923" s="22" t="s">
        <v>2684</v>
      </c>
      <c r="W923" s="96" t="s">
        <v>3428</v>
      </c>
      <c r="X923" s="22" t="s">
        <v>4357</v>
      </c>
      <c r="Y923" s="11" t="s">
        <v>3331</v>
      </c>
      <c r="Z923" s="79"/>
      <c r="AA923" s="187">
        <v>911</v>
      </c>
    </row>
    <row r="924" spans="2:27" s="184" customFormat="1" ht="20" x14ac:dyDescent="0.2">
      <c r="B924" s="11" t="s">
        <v>981</v>
      </c>
      <c r="C924" s="165" t="s">
        <v>4235</v>
      </c>
      <c r="D924" s="22" t="s">
        <v>2379</v>
      </c>
      <c r="E924" s="34">
        <v>1</v>
      </c>
      <c r="F924" s="22" t="s">
        <v>2223</v>
      </c>
      <c r="G924" s="88">
        <v>20</v>
      </c>
      <c r="H924" s="235">
        <f t="shared" si="125"/>
        <v>12.345679012345679</v>
      </c>
      <c r="I924" s="88">
        <v>20</v>
      </c>
      <c r="J924" s="235">
        <f t="shared" si="126"/>
        <v>12.345679012345679</v>
      </c>
      <c r="K924" s="215">
        <v>138</v>
      </c>
      <c r="L924" s="252">
        <f>_xlfn.XLOOKUP($K924,Inputs!$C$6:$C$23,Inputs!$D$6:$D$23)*$I924</f>
        <v>8.6714285714285726</v>
      </c>
      <c r="M924" s="68"/>
      <c r="N924" s="68"/>
      <c r="O924" s="215">
        <v>75</v>
      </c>
      <c r="P924" s="215">
        <v>79</v>
      </c>
      <c r="Q924" s="94">
        <v>0.9</v>
      </c>
      <c r="R924" s="68" t="s">
        <v>115</v>
      </c>
      <c r="S924" s="182">
        <f>O924*Q924</f>
        <v>67.5</v>
      </c>
      <c r="T924" s="182">
        <f>P924*Q924</f>
        <v>71.100000000000009</v>
      </c>
      <c r="U924" s="96" t="s">
        <v>3777</v>
      </c>
      <c r="V924" s="22" t="s">
        <v>3030</v>
      </c>
      <c r="W924" s="96" t="s">
        <v>3532</v>
      </c>
      <c r="X924" s="22" t="s">
        <v>2672</v>
      </c>
      <c r="Y924" s="11" t="s">
        <v>3328</v>
      </c>
      <c r="Z924" s="79"/>
      <c r="AA924" s="187">
        <v>912</v>
      </c>
    </row>
    <row r="925" spans="2:27" s="188" customFormat="1" ht="20" x14ac:dyDescent="0.2">
      <c r="B925" s="11" t="s">
        <v>1903</v>
      </c>
      <c r="C925" s="165" t="s">
        <v>4235</v>
      </c>
      <c r="D925" s="22" t="s">
        <v>2379</v>
      </c>
      <c r="E925" s="34">
        <v>1</v>
      </c>
      <c r="F925" s="22" t="s">
        <v>2223</v>
      </c>
      <c r="G925" s="88">
        <v>17.5</v>
      </c>
      <c r="H925" s="235">
        <f t="shared" si="125"/>
        <v>10.802469135802468</v>
      </c>
      <c r="I925" s="88">
        <v>17.5</v>
      </c>
      <c r="J925" s="235">
        <f t="shared" si="126"/>
        <v>10.802469135802468</v>
      </c>
      <c r="K925" s="215">
        <v>138</v>
      </c>
      <c r="L925" s="252">
        <f>_xlfn.XLOOKUP($K925,Inputs!$C$6:$C$23,Inputs!$D$6:$D$23)*$I925</f>
        <v>7.5875000000000004</v>
      </c>
      <c r="M925" s="68"/>
      <c r="N925" s="68"/>
      <c r="O925" s="215">
        <v>120</v>
      </c>
      <c r="P925" s="215">
        <v>145</v>
      </c>
      <c r="Q925" s="94">
        <v>0.9</v>
      </c>
      <c r="R925" s="68" t="s">
        <v>115</v>
      </c>
      <c r="S925" s="182">
        <f>O925*Q925</f>
        <v>108</v>
      </c>
      <c r="T925" s="182">
        <f>P925*Q925</f>
        <v>130.5</v>
      </c>
      <c r="U925" s="96" t="s">
        <v>3948</v>
      </c>
      <c r="V925" s="22" t="s">
        <v>2193</v>
      </c>
      <c r="W925" s="96" t="s">
        <v>3575</v>
      </c>
      <c r="X925" s="22" t="s">
        <v>2870</v>
      </c>
      <c r="Y925" s="11" t="s">
        <v>3293</v>
      </c>
      <c r="Z925" s="79"/>
      <c r="AA925" s="187">
        <v>913</v>
      </c>
    </row>
    <row r="926" spans="2:27" s="184" customFormat="1" ht="20" x14ac:dyDescent="0.2">
      <c r="B926" s="11" t="s">
        <v>1968</v>
      </c>
      <c r="C926" s="165" t="s">
        <v>4235</v>
      </c>
      <c r="D926" s="22" t="s">
        <v>2379</v>
      </c>
      <c r="E926" s="34">
        <v>1</v>
      </c>
      <c r="F926" s="22" t="s">
        <v>2223</v>
      </c>
      <c r="G926" s="235">
        <v>50</v>
      </c>
      <c r="H926" s="235">
        <f t="shared" si="125"/>
        <v>30.864197530864196</v>
      </c>
      <c r="I926" s="235">
        <v>50</v>
      </c>
      <c r="J926" s="235">
        <f t="shared" si="126"/>
        <v>30.864197530864196</v>
      </c>
      <c r="K926" s="215">
        <v>138</v>
      </c>
      <c r="L926" s="252">
        <f>_xlfn.XLOOKUP($K926,Inputs!$C$6:$C$23,Inputs!$D$6:$D$23)*$I926</f>
        <v>21.678571428571431</v>
      </c>
      <c r="M926" s="68"/>
      <c r="N926" s="68"/>
      <c r="O926" s="215">
        <v>67</v>
      </c>
      <c r="P926" s="215">
        <v>74</v>
      </c>
      <c r="Q926" s="94">
        <v>0.9</v>
      </c>
      <c r="R926" s="68" t="s">
        <v>115</v>
      </c>
      <c r="S926" s="182">
        <f>O926*Q926</f>
        <v>60.300000000000004</v>
      </c>
      <c r="T926" s="182">
        <f>P926*Q926</f>
        <v>66.600000000000009</v>
      </c>
      <c r="U926" s="96" t="s">
        <v>3855</v>
      </c>
      <c r="V926" s="22" t="s">
        <v>2721</v>
      </c>
      <c r="W926" s="96" t="s">
        <v>3415</v>
      </c>
      <c r="X926" s="22" t="s">
        <v>2768</v>
      </c>
      <c r="Y926" s="11" t="s">
        <v>3323</v>
      </c>
      <c r="Z926" s="79"/>
      <c r="AA926" s="187">
        <v>914</v>
      </c>
    </row>
    <row r="927" spans="2:27" s="184" customFormat="1" ht="20" x14ac:dyDescent="0.2">
      <c r="B927" s="11" t="s">
        <v>1887</v>
      </c>
      <c r="C927" s="165" t="s">
        <v>4235</v>
      </c>
      <c r="D927" s="22" t="s">
        <v>2379</v>
      </c>
      <c r="E927" s="34">
        <v>1</v>
      </c>
      <c r="F927" s="22" t="s">
        <v>2223</v>
      </c>
      <c r="G927" s="88">
        <v>17.5</v>
      </c>
      <c r="H927" s="235">
        <f t="shared" si="125"/>
        <v>10.802469135802468</v>
      </c>
      <c r="I927" s="88">
        <v>52.5</v>
      </c>
      <c r="J927" s="235">
        <f t="shared" si="126"/>
        <v>32.407407407407405</v>
      </c>
      <c r="K927" s="201">
        <v>144</v>
      </c>
      <c r="L927" s="252">
        <f>_xlfn.XLOOKUP($K927,Inputs!$C$6:$C$23,Inputs!$D$6:$D$23)*$I927</f>
        <v>22.987500000000001</v>
      </c>
      <c r="M927" s="68"/>
      <c r="N927" s="68"/>
      <c r="O927" s="187"/>
      <c r="P927" s="187"/>
      <c r="Q927" s="94">
        <v>0.9</v>
      </c>
      <c r="R927" s="68">
        <f>IF((42.4*(J927)^(-0.6595))&gt;=3,3,(IF(42.4*(J927)^(-0.6595)&lt;=0.5,0.5,(42.4*(J927)^(-0.6595)))))</f>
        <v>3</v>
      </c>
      <c r="S927" s="276">
        <f>_xlfn.XLOOKUP($K927,Inputs!$G$6:$G$23,Inputs!J$6:J$23)*$R927</f>
        <v>153.60000000000002</v>
      </c>
      <c r="T927" s="276">
        <f>_xlfn.XLOOKUP($K927,Inputs!$G$6:$G$23,Inputs!K$6:K$23)*$R927</f>
        <v>169.96721311475409</v>
      </c>
      <c r="U927" s="96" t="s">
        <v>3555</v>
      </c>
      <c r="V927" s="22" t="s">
        <v>2857</v>
      </c>
      <c r="W927" s="96" t="s">
        <v>4015</v>
      </c>
      <c r="X927" s="22" t="s">
        <v>2196</v>
      </c>
      <c r="Y927" s="11" t="s">
        <v>3331</v>
      </c>
      <c r="Z927" s="79"/>
      <c r="AA927" s="187">
        <v>915</v>
      </c>
    </row>
    <row r="928" spans="2:27" s="184" customFormat="1" ht="20" x14ac:dyDescent="0.2">
      <c r="B928" s="11" t="s">
        <v>1887</v>
      </c>
      <c r="C928" s="165" t="s">
        <v>4235</v>
      </c>
      <c r="D928" s="22" t="s">
        <v>2379</v>
      </c>
      <c r="E928" s="34">
        <v>1</v>
      </c>
      <c r="F928" s="22" t="s">
        <v>2223</v>
      </c>
      <c r="G928" s="88">
        <v>35</v>
      </c>
      <c r="H928" s="235">
        <f t="shared" si="125"/>
        <v>21.604938271604937</v>
      </c>
      <c r="I928" s="88">
        <v>52.5</v>
      </c>
      <c r="J928" s="235">
        <f t="shared" si="126"/>
        <v>32.407407407407405</v>
      </c>
      <c r="K928" s="201">
        <v>144</v>
      </c>
      <c r="L928" s="252">
        <f>_xlfn.XLOOKUP($K928,Inputs!$C$6:$C$23,Inputs!$D$6:$D$23)*$I928</f>
        <v>22.987500000000001</v>
      </c>
      <c r="M928" s="68"/>
      <c r="N928" s="68"/>
      <c r="O928" s="187"/>
      <c r="P928" s="187"/>
      <c r="Q928" s="94">
        <v>0.9</v>
      </c>
      <c r="R928" s="68">
        <f>IF((42.4*(J928)^(-0.6595))&gt;=3,3,(IF(42.4*(J928)^(-0.6595)&lt;=0.5,0.5,(42.4*(J928)^(-0.6595)))))</f>
        <v>3</v>
      </c>
      <c r="S928" s="276">
        <f>_xlfn.XLOOKUP($K928,Inputs!$G$6:$G$23,Inputs!J$6:J$23)*$R928</f>
        <v>153.60000000000002</v>
      </c>
      <c r="T928" s="276">
        <f>_xlfn.XLOOKUP($K928,Inputs!$G$6:$G$23,Inputs!K$6:K$23)*$R928</f>
        <v>169.96721311475409</v>
      </c>
      <c r="U928" s="96" t="s">
        <v>4015</v>
      </c>
      <c r="V928" s="22" t="s">
        <v>2196</v>
      </c>
      <c r="W928" s="96" t="s">
        <v>3584</v>
      </c>
      <c r="X928" s="22" t="s">
        <v>2620</v>
      </c>
      <c r="Y928" s="11" t="s">
        <v>3331</v>
      </c>
      <c r="Z928" s="79"/>
      <c r="AA928" s="187">
        <v>916</v>
      </c>
    </row>
    <row r="929" spans="2:27" s="184" customFormat="1" ht="20" x14ac:dyDescent="0.2">
      <c r="B929" s="11" t="s">
        <v>1888</v>
      </c>
      <c r="C929" s="165" t="s">
        <v>4235</v>
      </c>
      <c r="D929" s="22" t="s">
        <v>2379</v>
      </c>
      <c r="E929" s="34">
        <v>1</v>
      </c>
      <c r="F929" s="22" t="s">
        <v>2223</v>
      </c>
      <c r="G929" s="88">
        <v>5.6000000000000005</v>
      </c>
      <c r="H929" s="235">
        <f t="shared" si="125"/>
        <v>3.4567901234567904</v>
      </c>
      <c r="I929" s="88">
        <v>5.6000000000000005</v>
      </c>
      <c r="J929" s="235">
        <f t="shared" si="126"/>
        <v>3.4567901234567904</v>
      </c>
      <c r="K929" s="201">
        <v>144</v>
      </c>
      <c r="L929" s="252">
        <f>_xlfn.XLOOKUP($K929,Inputs!$C$6:$C$23,Inputs!$D$6:$D$23)*$I929</f>
        <v>2.4520000000000004</v>
      </c>
      <c r="M929" s="68"/>
      <c r="N929" s="68"/>
      <c r="O929" s="187"/>
      <c r="P929" s="187"/>
      <c r="Q929" s="94">
        <v>0.9</v>
      </c>
      <c r="R929" s="68">
        <f>IF((42.4*(J929)^(-0.6595))&gt;=3,3,(IF(42.4*(J929)^(-0.6595)&lt;=0.5,0.5,(42.4*(J929)^(-0.6595)))))</f>
        <v>3</v>
      </c>
      <c r="S929" s="276">
        <f>_xlfn.XLOOKUP($K929,Inputs!$G$6:$G$23,Inputs!J$6:J$23)*$R929</f>
        <v>153.60000000000002</v>
      </c>
      <c r="T929" s="276">
        <f>_xlfn.XLOOKUP($K929,Inputs!$G$6:$G$23,Inputs!K$6:K$23)*$R929</f>
        <v>169.96721311475409</v>
      </c>
      <c r="U929" s="96" t="s">
        <v>4015</v>
      </c>
      <c r="V929" s="22" t="s">
        <v>2196</v>
      </c>
      <c r="W929" s="96" t="s">
        <v>3938</v>
      </c>
      <c r="X929" s="22" t="s">
        <v>2634</v>
      </c>
      <c r="Y929" s="11" t="s">
        <v>3331</v>
      </c>
      <c r="Z929" s="79"/>
      <c r="AA929" s="187">
        <v>917</v>
      </c>
    </row>
    <row r="930" spans="2:27" s="184" customFormat="1" ht="20" x14ac:dyDescent="0.2">
      <c r="B930" s="11" t="s">
        <v>1889</v>
      </c>
      <c r="C930" s="165" t="s">
        <v>4235</v>
      </c>
      <c r="D930" s="22" t="s">
        <v>2379</v>
      </c>
      <c r="E930" s="34">
        <v>1</v>
      </c>
      <c r="F930" s="22" t="s">
        <v>2223</v>
      </c>
      <c r="G930" s="88">
        <v>8.4</v>
      </c>
      <c r="H930" s="235">
        <f t="shared" si="125"/>
        <v>5.1851851851851851</v>
      </c>
      <c r="I930" s="88">
        <v>8.4</v>
      </c>
      <c r="J930" s="235">
        <f t="shared" si="126"/>
        <v>5.1851851851851851</v>
      </c>
      <c r="K930" s="201">
        <v>144</v>
      </c>
      <c r="L930" s="252">
        <f>_xlfn.XLOOKUP($K930,Inputs!$C$6:$C$23,Inputs!$D$6:$D$23)*$I930</f>
        <v>3.6780000000000004</v>
      </c>
      <c r="M930" s="68"/>
      <c r="N930" s="68"/>
      <c r="O930" s="187"/>
      <c r="P930" s="187"/>
      <c r="Q930" s="94">
        <v>0.9</v>
      </c>
      <c r="R930" s="68">
        <f>IF((42.4*(J930)^(-0.6595))&gt;=3,3,(IF(42.4*(J930)^(-0.6595)&lt;=0.5,0.5,(42.4*(J930)^(-0.6595)))))</f>
        <v>3</v>
      </c>
      <c r="S930" s="276">
        <f>_xlfn.XLOOKUP($K930,Inputs!$G$6:$G$23,Inputs!J$6:J$23)*$R930</f>
        <v>153.60000000000002</v>
      </c>
      <c r="T930" s="276">
        <f>_xlfn.XLOOKUP($K930,Inputs!$G$6:$G$23,Inputs!K$6:K$23)*$R930</f>
        <v>169.96721311475409</v>
      </c>
      <c r="U930" s="96" t="s">
        <v>4015</v>
      </c>
      <c r="V930" s="22" t="s">
        <v>2196</v>
      </c>
      <c r="W930" s="96" t="s">
        <v>3758</v>
      </c>
      <c r="X930" s="22" t="s">
        <v>2701</v>
      </c>
      <c r="Y930" s="11" t="s">
        <v>3331</v>
      </c>
      <c r="Z930" s="79"/>
      <c r="AA930" s="187">
        <v>918</v>
      </c>
    </row>
    <row r="931" spans="2:27" s="184" customFormat="1" ht="20" x14ac:dyDescent="0.2">
      <c r="B931" s="11" t="s">
        <v>1216</v>
      </c>
      <c r="C931" s="165" t="s">
        <v>4235</v>
      </c>
      <c r="D931" s="22" t="s">
        <v>2379</v>
      </c>
      <c r="E931" s="34">
        <v>1</v>
      </c>
      <c r="F931" s="22" t="s">
        <v>2223</v>
      </c>
      <c r="G931" s="235">
        <v>20</v>
      </c>
      <c r="H931" s="235">
        <f t="shared" si="125"/>
        <v>12.345679012345679</v>
      </c>
      <c r="I931" s="235">
        <v>20</v>
      </c>
      <c r="J931" s="235">
        <f t="shared" si="126"/>
        <v>12.345679012345679</v>
      </c>
      <c r="K931" s="215">
        <v>138</v>
      </c>
      <c r="L931" s="252">
        <f>_xlfn.XLOOKUP($K931,Inputs!$C$6:$C$23,Inputs!$D$6:$D$23)*$I931</f>
        <v>8.6714285714285726</v>
      </c>
      <c r="M931" s="68"/>
      <c r="N931" s="68"/>
      <c r="O931" s="215">
        <v>121</v>
      </c>
      <c r="P931" s="215">
        <v>149</v>
      </c>
      <c r="Q931" s="94">
        <v>0.9</v>
      </c>
      <c r="R931" s="68" t="s">
        <v>115</v>
      </c>
      <c r="S931" s="182">
        <f>O931*Q931</f>
        <v>108.9</v>
      </c>
      <c r="T931" s="182">
        <f>P931*Q931</f>
        <v>134.1</v>
      </c>
      <c r="U931" s="96" t="s">
        <v>3902</v>
      </c>
      <c r="V931" s="22" t="s">
        <v>3163</v>
      </c>
      <c r="W931" s="96" t="s">
        <v>3451</v>
      </c>
      <c r="X931" s="22" t="s">
        <v>2788</v>
      </c>
      <c r="Y931" s="11" t="s">
        <v>3280</v>
      </c>
      <c r="Z931" s="79"/>
      <c r="AA931" s="187">
        <v>919</v>
      </c>
    </row>
    <row r="932" spans="2:27" s="184" customFormat="1" ht="20" x14ac:dyDescent="0.2">
      <c r="B932" s="11" t="s">
        <v>1302</v>
      </c>
      <c r="C932" s="165" t="s">
        <v>4235</v>
      </c>
      <c r="D932" s="22" t="s">
        <v>2379</v>
      </c>
      <c r="E932" s="34">
        <v>1</v>
      </c>
      <c r="F932" s="22" t="s">
        <v>2223</v>
      </c>
      <c r="G932" s="88">
        <v>9.7749999999999986</v>
      </c>
      <c r="H932" s="235">
        <f t="shared" si="125"/>
        <v>6.0339506172839492</v>
      </c>
      <c r="I932" s="88">
        <v>9.7749999999999986</v>
      </c>
      <c r="J932" s="235">
        <f t="shared" si="126"/>
        <v>6.0339506172839492</v>
      </c>
      <c r="K932" s="215">
        <v>138</v>
      </c>
      <c r="L932" s="252">
        <f>_xlfn.XLOOKUP($K932,Inputs!$C$6:$C$23,Inputs!$D$6:$D$23)*$I932</f>
        <v>4.2381607142857138</v>
      </c>
      <c r="M932" s="68"/>
      <c r="N932" s="68"/>
      <c r="O932" s="215">
        <v>85</v>
      </c>
      <c r="P932" s="215">
        <v>90</v>
      </c>
      <c r="Q932" s="94">
        <v>0.9</v>
      </c>
      <c r="R932" s="68" t="s">
        <v>115</v>
      </c>
      <c r="S932" s="182">
        <f>O932*Q932</f>
        <v>76.5</v>
      </c>
      <c r="T932" s="182">
        <f>P932*Q932</f>
        <v>81</v>
      </c>
      <c r="U932" s="96" t="s">
        <v>3524</v>
      </c>
      <c r="V932" s="22" t="s">
        <v>2837</v>
      </c>
      <c r="W932" s="96" t="s">
        <v>4386</v>
      </c>
      <c r="X932" s="22" t="s">
        <v>2772</v>
      </c>
      <c r="Y932" s="11" t="s">
        <v>3281</v>
      </c>
      <c r="Z932" s="79"/>
      <c r="AA932" s="187">
        <v>920</v>
      </c>
    </row>
    <row r="933" spans="2:27" s="184" customFormat="1" ht="20" x14ac:dyDescent="0.2">
      <c r="B933" s="11" t="s">
        <v>1282</v>
      </c>
      <c r="C933" s="165" t="s">
        <v>4235</v>
      </c>
      <c r="D933" s="22" t="s">
        <v>2379</v>
      </c>
      <c r="E933" s="34">
        <v>1</v>
      </c>
      <c r="F933" s="22" t="s">
        <v>2223</v>
      </c>
      <c r="G933" s="88">
        <v>9</v>
      </c>
      <c r="H933" s="235">
        <f t="shared" si="125"/>
        <v>5.5555555555555554</v>
      </c>
      <c r="I933" s="88">
        <v>9</v>
      </c>
      <c r="J933" s="235">
        <f t="shared" si="126"/>
        <v>5.5555555555555554</v>
      </c>
      <c r="K933" s="215">
        <v>138</v>
      </c>
      <c r="L933" s="252">
        <f>_xlfn.XLOOKUP($K933,Inputs!$C$6:$C$23,Inputs!$D$6:$D$23)*$I933</f>
        <v>3.9021428571428576</v>
      </c>
      <c r="M933" s="68"/>
      <c r="N933" s="68"/>
      <c r="O933" s="215">
        <v>85</v>
      </c>
      <c r="P933" s="215">
        <v>90</v>
      </c>
      <c r="Q933" s="94">
        <v>0.9</v>
      </c>
      <c r="R933" s="68" t="s">
        <v>115</v>
      </c>
      <c r="S933" s="182">
        <f>O933*Q933</f>
        <v>76.5</v>
      </c>
      <c r="T933" s="182">
        <f>P933*Q933</f>
        <v>81</v>
      </c>
      <c r="U933" s="96" t="s">
        <v>3899</v>
      </c>
      <c r="V933" s="22" t="s">
        <v>3160</v>
      </c>
      <c r="W933" s="96" t="s">
        <v>3750</v>
      </c>
      <c r="X933" s="205" t="s">
        <v>3008</v>
      </c>
      <c r="Y933" s="11" t="s">
        <v>3289</v>
      </c>
      <c r="Z933" s="79"/>
      <c r="AA933" s="187">
        <v>921</v>
      </c>
    </row>
    <row r="934" spans="2:27" s="184" customFormat="1" ht="20" x14ac:dyDescent="0.2">
      <c r="B934" s="11" t="s">
        <v>982</v>
      </c>
      <c r="C934" s="165" t="s">
        <v>4235</v>
      </c>
      <c r="D934" s="22" t="s">
        <v>2379</v>
      </c>
      <c r="E934" s="34">
        <v>1</v>
      </c>
      <c r="F934" s="22" t="s">
        <v>2223</v>
      </c>
      <c r="G934" s="235">
        <v>5</v>
      </c>
      <c r="H934" s="235">
        <f t="shared" si="125"/>
        <v>3.0864197530864197</v>
      </c>
      <c r="I934" s="235">
        <v>5</v>
      </c>
      <c r="J934" s="235">
        <f t="shared" si="126"/>
        <v>3.0864197530864197</v>
      </c>
      <c r="K934" s="201">
        <v>144</v>
      </c>
      <c r="L934" s="252">
        <f>_xlfn.XLOOKUP($K934,Inputs!$C$6:$C$23,Inputs!$D$6:$D$23)*$I934</f>
        <v>2.1892857142857145</v>
      </c>
      <c r="M934" s="68"/>
      <c r="N934" s="68"/>
      <c r="O934" s="187"/>
      <c r="P934" s="187"/>
      <c r="Q934" s="94">
        <v>0.9</v>
      </c>
      <c r="R934" s="68">
        <f>IF((42.4*(J934)^(-0.6595))&gt;=3,3,(IF(42.4*(J934)^(-0.6595)&lt;=0.5,0.5,(42.4*(J934)^(-0.6595)))))</f>
        <v>3</v>
      </c>
      <c r="S934" s="276">
        <f>_xlfn.XLOOKUP($K934,Inputs!$G$6:$G$23,Inputs!J$6:J$23)*$R934</f>
        <v>153.60000000000002</v>
      </c>
      <c r="T934" s="276">
        <f>_xlfn.XLOOKUP($K934,Inputs!$G$6:$G$23,Inputs!K$6:K$23)*$R934</f>
        <v>169.96721311475409</v>
      </c>
      <c r="U934" s="96" t="s">
        <v>4030</v>
      </c>
      <c r="V934" s="22" t="s">
        <v>3256</v>
      </c>
      <c r="W934" s="96" t="s">
        <v>3513</v>
      </c>
      <c r="X934" s="22" t="s">
        <v>3251</v>
      </c>
      <c r="Y934" s="11" t="s">
        <v>3331</v>
      </c>
      <c r="Z934" s="79"/>
      <c r="AA934" s="187">
        <v>922</v>
      </c>
    </row>
    <row r="935" spans="2:27" s="184" customFormat="1" ht="20" x14ac:dyDescent="0.2">
      <c r="B935" s="11" t="s">
        <v>1817</v>
      </c>
      <c r="C935" s="165" t="s">
        <v>4236</v>
      </c>
      <c r="D935" s="22" t="s">
        <v>2379</v>
      </c>
      <c r="E935" s="34">
        <v>1</v>
      </c>
      <c r="F935" s="22" t="s">
        <v>2223</v>
      </c>
      <c r="G935" s="88">
        <v>5.0999999999999996</v>
      </c>
      <c r="H935" s="235">
        <f t="shared" si="125"/>
        <v>3.1481481481481479</v>
      </c>
      <c r="I935" s="88">
        <v>5.0999999999999996</v>
      </c>
      <c r="J935" s="235">
        <f t="shared" si="126"/>
        <v>3.1481481481481479</v>
      </c>
      <c r="K935" s="215">
        <v>138</v>
      </c>
      <c r="L935" s="252">
        <f>_xlfn.XLOOKUP($K935,Inputs!$C$6:$C$23,Inputs!$D$6:$D$23)*$I935</f>
        <v>2.2112142857142856</v>
      </c>
      <c r="M935" s="68"/>
      <c r="N935" s="68"/>
      <c r="O935" s="215">
        <v>287</v>
      </c>
      <c r="P935" s="215">
        <v>287</v>
      </c>
      <c r="Q935" s="94">
        <v>0.9</v>
      </c>
      <c r="R935" s="68" t="s">
        <v>115</v>
      </c>
      <c r="S935" s="182">
        <f>O935*Q935</f>
        <v>258.3</v>
      </c>
      <c r="T935" s="182">
        <f>P935*Q935</f>
        <v>258.3</v>
      </c>
      <c r="U935" s="96" t="s">
        <v>1805</v>
      </c>
      <c r="V935" s="22" t="s">
        <v>3098</v>
      </c>
      <c r="W935" s="96" t="s">
        <v>1801</v>
      </c>
      <c r="X935" s="22" t="s">
        <v>4290</v>
      </c>
      <c r="Y935" s="11" t="s">
        <v>4298</v>
      </c>
      <c r="Z935" s="79"/>
      <c r="AA935" s="187">
        <v>923</v>
      </c>
    </row>
    <row r="936" spans="2:27" s="184" customFormat="1" ht="20" x14ac:dyDescent="0.2">
      <c r="B936" s="11" t="s">
        <v>1816</v>
      </c>
      <c r="C936" s="165" t="s">
        <v>4236</v>
      </c>
      <c r="D936" s="22" t="s">
        <v>2379</v>
      </c>
      <c r="E936" s="34">
        <v>1</v>
      </c>
      <c r="F936" s="22" t="s">
        <v>2223</v>
      </c>
      <c r="G936" s="88">
        <v>5.95</v>
      </c>
      <c r="H936" s="235">
        <f t="shared" si="125"/>
        <v>3.6728395061728394</v>
      </c>
      <c r="I936" s="88">
        <v>5.95</v>
      </c>
      <c r="J936" s="235">
        <f t="shared" si="126"/>
        <v>3.6728395061728394</v>
      </c>
      <c r="K936" s="215">
        <v>138</v>
      </c>
      <c r="L936" s="252">
        <f>_xlfn.XLOOKUP($K936,Inputs!$C$6:$C$23,Inputs!$D$6:$D$23)*$I936</f>
        <v>2.5797500000000002</v>
      </c>
      <c r="M936" s="68"/>
      <c r="N936" s="68"/>
      <c r="O936" s="215">
        <v>191</v>
      </c>
      <c r="P936" s="215">
        <v>191</v>
      </c>
      <c r="Q936" s="94">
        <v>0.9</v>
      </c>
      <c r="R936" s="68" t="s">
        <v>115</v>
      </c>
      <c r="S936" s="182">
        <f>O936*Q936</f>
        <v>171.9</v>
      </c>
      <c r="T936" s="182">
        <f>P936*Q936</f>
        <v>171.9</v>
      </c>
      <c r="U936" s="96" t="s">
        <v>1818</v>
      </c>
      <c r="V936" s="22" t="s">
        <v>3108</v>
      </c>
      <c r="W936" s="96" t="s">
        <v>1801</v>
      </c>
      <c r="X936" s="22" t="s">
        <v>4290</v>
      </c>
      <c r="Y936" s="11" t="s">
        <v>4298</v>
      </c>
      <c r="Z936" s="79"/>
      <c r="AA936" s="187">
        <v>924</v>
      </c>
    </row>
    <row r="937" spans="2:27" s="184" customFormat="1" ht="20" x14ac:dyDescent="0.2">
      <c r="B937" s="11" t="s">
        <v>984</v>
      </c>
      <c r="C937" s="165" t="s">
        <v>4235</v>
      </c>
      <c r="D937" s="22" t="s">
        <v>2379</v>
      </c>
      <c r="E937" s="34">
        <v>1</v>
      </c>
      <c r="F937" s="22" t="s">
        <v>2223</v>
      </c>
      <c r="G937" s="235">
        <v>37.5</v>
      </c>
      <c r="H937" s="235">
        <f t="shared" si="125"/>
        <v>23.148148148148145</v>
      </c>
      <c r="I937" s="235">
        <v>37.5</v>
      </c>
      <c r="J937" s="235">
        <f t="shared" si="126"/>
        <v>23.148148148148145</v>
      </c>
      <c r="K937" s="201">
        <v>240</v>
      </c>
      <c r="L937" s="252">
        <f>_xlfn.XLOOKUP($K937,Inputs!$C$6:$C$23,Inputs!$D$6:$D$23)*$I937</f>
        <v>17.881944444444446</v>
      </c>
      <c r="M937" s="68"/>
      <c r="N937" s="68"/>
      <c r="O937" s="187"/>
      <c r="P937" s="187"/>
      <c r="Q937" s="94">
        <v>0.9</v>
      </c>
      <c r="R937" s="68">
        <f>IF((42.4*(J937)^(-0.6595))&gt;=3,3,(IF(42.4*(J937)^(-0.6595)&lt;=0.5,0.5,(42.4*(J937)^(-0.6595)))))</f>
        <v>3</v>
      </c>
      <c r="S937" s="276">
        <f>_xlfn.XLOOKUP($K937,Inputs!$G$6:$G$23,Inputs!J$6:J$23)*$R937</f>
        <v>438.57868020304568</v>
      </c>
      <c r="T937" s="276">
        <f>_xlfn.XLOOKUP($K937,Inputs!$G$6:$G$23,Inputs!K$6:K$23)*$R937</f>
        <v>476.03305785123973</v>
      </c>
      <c r="U937" s="96" t="s">
        <v>3383</v>
      </c>
      <c r="V937" s="22" t="s">
        <v>2747</v>
      </c>
      <c r="W937" s="96" t="s">
        <v>3793</v>
      </c>
      <c r="X937" s="22" t="s">
        <v>2618</v>
      </c>
      <c r="Y937" s="11" t="s">
        <v>3331</v>
      </c>
      <c r="Z937" s="79"/>
      <c r="AA937" s="187">
        <v>925</v>
      </c>
    </row>
    <row r="938" spans="2:27" s="184" customFormat="1" ht="20" x14ac:dyDescent="0.2">
      <c r="B938" s="11" t="s">
        <v>985</v>
      </c>
      <c r="C938" s="165" t="s">
        <v>4235</v>
      </c>
      <c r="D938" s="22" t="s">
        <v>2379</v>
      </c>
      <c r="E938" s="34">
        <v>1</v>
      </c>
      <c r="F938" s="22" t="s">
        <v>2223</v>
      </c>
      <c r="G938" s="88">
        <v>35.699999999999996</v>
      </c>
      <c r="H938" s="235">
        <f t="shared" si="125"/>
        <v>22.037037037037035</v>
      </c>
      <c r="I938" s="88">
        <v>145.69999999999999</v>
      </c>
      <c r="J938" s="235">
        <f t="shared" si="126"/>
        <v>89.938271604938265</v>
      </c>
      <c r="K938" s="201">
        <v>240</v>
      </c>
      <c r="L938" s="252">
        <f>_xlfn.XLOOKUP($K938,Inputs!$C$6:$C$23,Inputs!$D$6:$D$23)*$I938</f>
        <v>69.477314814814804</v>
      </c>
      <c r="M938" s="68"/>
      <c r="N938" s="68"/>
      <c r="O938" s="187"/>
      <c r="P938" s="187"/>
      <c r="Q938" s="94">
        <v>0.9</v>
      </c>
      <c r="R938" s="68">
        <f>IF((42.4*(J938)^(-0.6595))&gt;=3,3,(IF(42.4*(J938)^(-0.6595)&lt;=0.5,0.5,(42.4*(J938)^(-0.6595)))))</f>
        <v>2.1814207218623962</v>
      </c>
      <c r="S938" s="276">
        <f>_xlfn.XLOOKUP($K938,Inputs!$G$6:$G$23,Inputs!J$6:J$23)*$R938</f>
        <v>318.908207053995</v>
      </c>
      <c r="T938" s="276">
        <f>_xlfn.XLOOKUP($K938,Inputs!$G$6:$G$23,Inputs!K$6:K$23)*$R938</f>
        <v>346.14279222940502</v>
      </c>
      <c r="U938" s="96" t="s">
        <v>3639</v>
      </c>
      <c r="V938" s="22" t="s">
        <v>2919</v>
      </c>
      <c r="W938" s="96" t="s">
        <v>3523</v>
      </c>
      <c r="X938" s="22" t="s">
        <v>2197</v>
      </c>
      <c r="Y938" s="11" t="s">
        <v>3331</v>
      </c>
      <c r="Z938" s="79"/>
      <c r="AA938" s="187">
        <v>926</v>
      </c>
    </row>
    <row r="939" spans="2:27" s="184" customFormat="1" ht="20" x14ac:dyDescent="0.2">
      <c r="B939" s="11" t="s">
        <v>985</v>
      </c>
      <c r="C939" s="165" t="s">
        <v>4235</v>
      </c>
      <c r="D939" s="22" t="s">
        <v>2379</v>
      </c>
      <c r="E939" s="34">
        <v>1</v>
      </c>
      <c r="F939" s="22" t="s">
        <v>2223</v>
      </c>
      <c r="G939" s="235">
        <v>110</v>
      </c>
      <c r="H939" s="235">
        <f t="shared" si="125"/>
        <v>67.901234567901227</v>
      </c>
      <c r="I939" s="235">
        <v>145.69999999999999</v>
      </c>
      <c r="J939" s="235">
        <f t="shared" si="126"/>
        <v>89.938271604938265</v>
      </c>
      <c r="K939" s="201">
        <v>240</v>
      </c>
      <c r="L939" s="252">
        <f>_xlfn.XLOOKUP($K939,Inputs!$C$6:$C$23,Inputs!$D$6:$D$23)*$I939</f>
        <v>69.477314814814804</v>
      </c>
      <c r="M939" s="68"/>
      <c r="N939" s="68"/>
      <c r="O939" s="187"/>
      <c r="P939" s="187"/>
      <c r="Q939" s="94">
        <v>0.9</v>
      </c>
      <c r="R939" s="68">
        <f>IF((42.4*(J939)^(-0.6595))&gt;=3,3,(IF(42.4*(J939)^(-0.6595)&lt;=0.5,0.5,(42.4*(J939)^(-0.6595)))))</f>
        <v>2.1814207218623962</v>
      </c>
      <c r="S939" s="276">
        <f>_xlfn.XLOOKUP($K939,Inputs!$G$6:$G$23,Inputs!J$6:J$23)*$R939</f>
        <v>318.908207053995</v>
      </c>
      <c r="T939" s="276">
        <f>_xlfn.XLOOKUP($K939,Inputs!$G$6:$G$23,Inputs!K$6:K$23)*$R939</f>
        <v>346.14279222940502</v>
      </c>
      <c r="U939" s="96" t="s">
        <v>3523</v>
      </c>
      <c r="V939" s="22" t="s">
        <v>2197</v>
      </c>
      <c r="W939" s="96" t="s">
        <v>3793</v>
      </c>
      <c r="X939" s="22" t="s">
        <v>2618</v>
      </c>
      <c r="Y939" s="11" t="s">
        <v>3331</v>
      </c>
      <c r="Z939" s="79"/>
      <c r="AA939" s="187">
        <v>927</v>
      </c>
    </row>
    <row r="940" spans="2:27" s="184" customFormat="1" ht="20" x14ac:dyDescent="0.2">
      <c r="B940" s="11" t="s">
        <v>1714</v>
      </c>
      <c r="C940" s="165" t="s">
        <v>4235</v>
      </c>
      <c r="D940" s="22" t="s">
        <v>2379</v>
      </c>
      <c r="E940" s="34">
        <v>1</v>
      </c>
      <c r="F940" s="22" t="s">
        <v>2223</v>
      </c>
      <c r="G940" s="88">
        <v>2.04</v>
      </c>
      <c r="H940" s="235">
        <f t="shared" si="125"/>
        <v>1.2592592592592593</v>
      </c>
      <c r="I940" s="88">
        <v>2.04</v>
      </c>
      <c r="J940" s="235">
        <f t="shared" si="126"/>
        <v>1.2592592592592593</v>
      </c>
      <c r="K940" s="201">
        <v>240</v>
      </c>
      <c r="L940" s="252">
        <f>_xlfn.XLOOKUP($K940,Inputs!$C$6:$C$23,Inputs!$D$6:$D$23)*$I940</f>
        <v>0.97277777777777785</v>
      </c>
      <c r="M940" s="68"/>
      <c r="N940" s="68"/>
      <c r="O940" s="187"/>
      <c r="P940" s="187"/>
      <c r="Q940" s="94">
        <v>0.9</v>
      </c>
      <c r="R940" s="68">
        <f>IF((42.4*(J940)^(-0.6595))&gt;=3,3,(IF(42.4*(J940)^(-0.6595)&lt;=0.5,0.5,(42.4*(J940)^(-0.6595)))))</f>
        <v>3</v>
      </c>
      <c r="S940" s="276">
        <f>_xlfn.XLOOKUP($K940,Inputs!$G$6:$G$23,Inputs!J$6:J$23)*$R940</f>
        <v>438.57868020304568</v>
      </c>
      <c r="T940" s="276">
        <f>_xlfn.XLOOKUP($K940,Inputs!$G$6:$G$23,Inputs!K$6:K$23)*$R940</f>
        <v>476.03305785123973</v>
      </c>
      <c r="U940" s="96" t="s">
        <v>3523</v>
      </c>
      <c r="V940" s="22" t="s">
        <v>2197</v>
      </c>
      <c r="W940" s="96" t="s">
        <v>3522</v>
      </c>
      <c r="X940" s="22" t="s">
        <v>2836</v>
      </c>
      <c r="Y940" s="11" t="s">
        <v>3331</v>
      </c>
      <c r="Z940" s="79"/>
      <c r="AA940" s="187">
        <v>928</v>
      </c>
    </row>
    <row r="941" spans="2:27" s="184" customFormat="1" ht="20" x14ac:dyDescent="0.2">
      <c r="B941" s="11" t="s">
        <v>986</v>
      </c>
      <c r="C941" s="165" t="s">
        <v>4235</v>
      </c>
      <c r="D941" s="22" t="s">
        <v>2379</v>
      </c>
      <c r="E941" s="34">
        <v>1</v>
      </c>
      <c r="F941" s="22" t="s">
        <v>2223</v>
      </c>
      <c r="G941" s="235">
        <v>25</v>
      </c>
      <c r="H941" s="235">
        <f t="shared" si="125"/>
        <v>15.432098765432098</v>
      </c>
      <c r="I941" s="235">
        <v>25</v>
      </c>
      <c r="J941" s="235">
        <f t="shared" si="126"/>
        <v>15.432098765432098</v>
      </c>
      <c r="K941" s="201">
        <v>240</v>
      </c>
      <c r="L941" s="252">
        <f>_xlfn.XLOOKUP($K941,Inputs!$C$6:$C$23,Inputs!$D$6:$D$23)*$I941</f>
        <v>11.921296296296296</v>
      </c>
      <c r="M941" s="68"/>
      <c r="N941" s="68"/>
      <c r="O941" s="215">
        <v>499</v>
      </c>
      <c r="P941" s="215">
        <v>499</v>
      </c>
      <c r="Q941" s="94">
        <v>0.9</v>
      </c>
      <c r="R941" s="68" t="s">
        <v>115</v>
      </c>
      <c r="S941" s="182">
        <f>O941*Q941</f>
        <v>449.1</v>
      </c>
      <c r="T941" s="182">
        <f>P941*Q941</f>
        <v>449.1</v>
      </c>
      <c r="U941" s="96" t="s">
        <v>3861</v>
      </c>
      <c r="V941" s="22" t="s">
        <v>2723</v>
      </c>
      <c r="W941" s="96" t="s">
        <v>3902</v>
      </c>
      <c r="X941" s="22" t="s">
        <v>3163</v>
      </c>
      <c r="Y941" s="11" t="s">
        <v>3280</v>
      </c>
      <c r="Z941" s="79"/>
      <c r="AA941" s="187">
        <v>929</v>
      </c>
    </row>
    <row r="942" spans="2:27" s="184" customFormat="1" ht="20" x14ac:dyDescent="0.2">
      <c r="B942" s="11" t="s">
        <v>987</v>
      </c>
      <c r="C942" s="165" t="s">
        <v>4235</v>
      </c>
      <c r="D942" s="22" t="s">
        <v>2379</v>
      </c>
      <c r="E942" s="34">
        <v>1</v>
      </c>
      <c r="F942" s="22" t="s">
        <v>2223</v>
      </c>
      <c r="G942" s="235">
        <v>140</v>
      </c>
      <c r="H942" s="235">
        <f t="shared" si="125"/>
        <v>86.419753086419746</v>
      </c>
      <c r="I942" s="235">
        <v>140</v>
      </c>
      <c r="J942" s="235">
        <f t="shared" si="126"/>
        <v>86.419753086419746</v>
      </c>
      <c r="K942" s="201">
        <v>240</v>
      </c>
      <c r="L942" s="252">
        <f>_xlfn.XLOOKUP($K942,Inputs!$C$6:$C$23,Inputs!$D$6:$D$23)*$I942</f>
        <v>66.759259259259267</v>
      </c>
      <c r="M942" s="68"/>
      <c r="N942" s="68"/>
      <c r="O942" s="215">
        <v>448</v>
      </c>
      <c r="P942" s="215">
        <v>499</v>
      </c>
      <c r="Q942" s="94">
        <v>0.9</v>
      </c>
      <c r="R942" s="68" t="s">
        <v>115</v>
      </c>
      <c r="S942" s="182">
        <f>O942*Q942</f>
        <v>403.2</v>
      </c>
      <c r="T942" s="182">
        <f>P942*Q942</f>
        <v>449.1</v>
      </c>
      <c r="U942" s="96" t="s">
        <v>3654</v>
      </c>
      <c r="V942" s="22" t="s">
        <v>2688</v>
      </c>
      <c r="W942" s="96" t="s">
        <v>3383</v>
      </c>
      <c r="X942" s="22" t="s">
        <v>2747</v>
      </c>
      <c r="Y942" s="11" t="s">
        <v>3280</v>
      </c>
      <c r="Z942" s="79"/>
      <c r="AA942" s="187">
        <v>930</v>
      </c>
    </row>
    <row r="943" spans="2:27" s="184" customFormat="1" ht="20" x14ac:dyDescent="0.2">
      <c r="B943" s="11" t="s">
        <v>988</v>
      </c>
      <c r="C943" s="165" t="s">
        <v>4235</v>
      </c>
      <c r="D943" s="22" t="s">
        <v>2379</v>
      </c>
      <c r="E943" s="34">
        <v>1</v>
      </c>
      <c r="F943" s="22" t="s">
        <v>2223</v>
      </c>
      <c r="G943" s="235">
        <v>70</v>
      </c>
      <c r="H943" s="235">
        <f t="shared" si="125"/>
        <v>43.209876543209873</v>
      </c>
      <c r="I943" s="235">
        <v>70</v>
      </c>
      <c r="J943" s="235">
        <f t="shared" si="126"/>
        <v>43.209876543209873</v>
      </c>
      <c r="K943" s="201">
        <v>240</v>
      </c>
      <c r="L943" s="252">
        <f>_xlfn.XLOOKUP($K943,Inputs!$C$6:$C$23,Inputs!$D$6:$D$23)*$I943</f>
        <v>33.379629629629633</v>
      </c>
      <c r="M943" s="68"/>
      <c r="N943" s="68"/>
      <c r="O943" s="215">
        <v>299</v>
      </c>
      <c r="P943" s="215">
        <v>437</v>
      </c>
      <c r="Q943" s="94">
        <v>0.9</v>
      </c>
      <c r="R943" s="68" t="s">
        <v>115</v>
      </c>
      <c r="S943" s="182">
        <f>O943*Q943</f>
        <v>269.10000000000002</v>
      </c>
      <c r="T943" s="182">
        <f>P943*Q943</f>
        <v>393.3</v>
      </c>
      <c r="U943" s="96" t="s">
        <v>3750</v>
      </c>
      <c r="V943" s="22" t="s">
        <v>3008</v>
      </c>
      <c r="W943" s="96" t="s">
        <v>3902</v>
      </c>
      <c r="X943" s="22" t="s">
        <v>3163</v>
      </c>
      <c r="Y943" s="11" t="s">
        <v>3289</v>
      </c>
      <c r="Z943" s="79"/>
      <c r="AA943" s="187">
        <v>931</v>
      </c>
    </row>
    <row r="944" spans="2:27" s="184" customFormat="1" ht="20" x14ac:dyDescent="0.2">
      <c r="B944" s="11" t="s">
        <v>990</v>
      </c>
      <c r="C944" s="165" t="s">
        <v>4235</v>
      </c>
      <c r="D944" s="22" t="s">
        <v>2379</v>
      </c>
      <c r="E944" s="34">
        <v>1</v>
      </c>
      <c r="F944" s="22" t="s">
        <v>2223</v>
      </c>
      <c r="G944" s="235">
        <v>180</v>
      </c>
      <c r="H944" s="235">
        <f t="shared" si="125"/>
        <v>111.1111111111111</v>
      </c>
      <c r="I944" s="235">
        <v>180</v>
      </c>
      <c r="J944" s="235">
        <f t="shared" si="126"/>
        <v>111.1111111111111</v>
      </c>
      <c r="K944" s="201">
        <v>240</v>
      </c>
      <c r="L944" s="252">
        <f>_xlfn.XLOOKUP($K944,Inputs!$C$6:$C$23,Inputs!$D$6:$D$23)*$I944</f>
        <v>85.833333333333329</v>
      </c>
      <c r="M944" s="68"/>
      <c r="N944" s="68"/>
      <c r="O944" s="187"/>
      <c r="P944" s="187"/>
      <c r="Q944" s="94">
        <v>0.9</v>
      </c>
      <c r="R944" s="68">
        <f>IF((42.4*(J944)^(-0.6595))&gt;=3,3,(IF(42.4*(J944)^(-0.6595)&lt;=0.5,0.5,(42.4*(J944)^(-0.6595)))))</f>
        <v>1.8975306149195212</v>
      </c>
      <c r="S944" s="276">
        <f>_xlfn.XLOOKUP($K944,Inputs!$G$6:$G$23,Inputs!J$6:J$23)*$R944</f>
        <v>277.40549091209243</v>
      </c>
      <c r="T944" s="276">
        <f>_xlfn.XLOOKUP($K944,Inputs!$G$6:$G$23,Inputs!K$6:K$23)*$R944</f>
        <v>301.09576699549427</v>
      </c>
      <c r="U944" s="96" t="s">
        <v>3383</v>
      </c>
      <c r="V944" s="22" t="s">
        <v>2747</v>
      </c>
      <c r="W944" s="96" t="s">
        <v>3818</v>
      </c>
      <c r="X944" s="22" t="s">
        <v>3064</v>
      </c>
      <c r="Y944" s="11" t="s">
        <v>3331</v>
      </c>
      <c r="Z944" s="79"/>
      <c r="AA944" s="187">
        <v>932</v>
      </c>
    </row>
    <row r="945" spans="2:27" s="184" customFormat="1" ht="20" x14ac:dyDescent="0.2">
      <c r="B945" s="11" t="s">
        <v>992</v>
      </c>
      <c r="C945" s="165" t="s">
        <v>4235</v>
      </c>
      <c r="D945" s="22" t="s">
        <v>2379</v>
      </c>
      <c r="E945" s="34">
        <v>1</v>
      </c>
      <c r="F945" s="22" t="s">
        <v>2223</v>
      </c>
      <c r="G945" s="235">
        <v>10</v>
      </c>
      <c r="H945" s="235">
        <f t="shared" si="125"/>
        <v>6.1728395061728394</v>
      </c>
      <c r="I945" s="235">
        <v>10</v>
      </c>
      <c r="J945" s="235">
        <f t="shared" si="126"/>
        <v>6.1728395061728394</v>
      </c>
      <c r="K945" s="201">
        <v>240</v>
      </c>
      <c r="L945" s="252">
        <f>_xlfn.XLOOKUP($K945,Inputs!$C$6:$C$23,Inputs!$D$6:$D$23)*$I945</f>
        <v>4.768518518518519</v>
      </c>
      <c r="M945" s="68"/>
      <c r="N945" s="68"/>
      <c r="O945" s="187"/>
      <c r="P945" s="187"/>
      <c r="Q945" s="94">
        <v>0.9</v>
      </c>
      <c r="R945" s="68">
        <f>IF((42.4*(J945)^(-0.6595))&gt;=3,3,(IF(42.4*(J945)^(-0.6595)&lt;=0.5,0.5,(42.4*(J945)^(-0.6595)))))</f>
        <v>3</v>
      </c>
      <c r="S945" s="276">
        <f>_xlfn.XLOOKUP($K945,Inputs!$G$6:$G$23,Inputs!J$6:J$23)*$R945</f>
        <v>438.57868020304568</v>
      </c>
      <c r="T945" s="276">
        <f>_xlfn.XLOOKUP($K945,Inputs!$G$6:$G$23,Inputs!K$6:K$23)*$R945</f>
        <v>476.03305785123973</v>
      </c>
      <c r="U945" s="96" t="s">
        <v>3352</v>
      </c>
      <c r="V945" s="22" t="s">
        <v>2653</v>
      </c>
      <c r="W945" s="96" t="s">
        <v>3813</v>
      </c>
      <c r="X945" s="205" t="s">
        <v>3059</v>
      </c>
      <c r="Y945" s="11" t="s">
        <v>3331</v>
      </c>
      <c r="Z945" s="79"/>
      <c r="AA945" s="187">
        <v>933</v>
      </c>
    </row>
    <row r="946" spans="2:27" s="184" customFormat="1" ht="20" x14ac:dyDescent="0.2">
      <c r="B946" s="11" t="s">
        <v>994</v>
      </c>
      <c r="C946" s="165" t="s">
        <v>4235</v>
      </c>
      <c r="D946" s="22" t="s">
        <v>2379</v>
      </c>
      <c r="E946" s="34">
        <v>1</v>
      </c>
      <c r="F946" s="22" t="s">
        <v>2223</v>
      </c>
      <c r="G946" s="88">
        <v>39</v>
      </c>
      <c r="H946" s="235">
        <f t="shared" si="125"/>
        <v>24.074074074074073</v>
      </c>
      <c r="I946" s="88">
        <v>53.375</v>
      </c>
      <c r="J946" s="235">
        <f t="shared" si="126"/>
        <v>32.947530864197532</v>
      </c>
      <c r="K946" s="201">
        <v>240</v>
      </c>
      <c r="L946" s="252">
        <f>_xlfn.XLOOKUP($K946,Inputs!$C$6:$C$23,Inputs!$D$6:$D$23)*$I946</f>
        <v>25.451967592592592</v>
      </c>
      <c r="M946" s="68"/>
      <c r="N946" s="68"/>
      <c r="O946" s="209">
        <v>505</v>
      </c>
      <c r="P946" s="209">
        <v>648</v>
      </c>
      <c r="Q946" s="94">
        <v>0.9</v>
      </c>
      <c r="R946" s="68" t="s">
        <v>115</v>
      </c>
      <c r="S946" s="182">
        <f t="shared" ref="S946:S952" si="129">O946*Q946</f>
        <v>454.5</v>
      </c>
      <c r="T946" s="182">
        <f t="shared" ref="T946:T952" si="130">P946*Q946</f>
        <v>583.20000000000005</v>
      </c>
      <c r="U946" s="96" t="s">
        <v>4262</v>
      </c>
      <c r="V946" s="22" t="s">
        <v>4263</v>
      </c>
      <c r="W946" s="96" t="s">
        <v>3535</v>
      </c>
      <c r="X946" s="22" t="s">
        <v>2843</v>
      </c>
      <c r="Y946" s="11" t="s">
        <v>3304</v>
      </c>
      <c r="Z946" s="79"/>
      <c r="AA946" s="187">
        <v>934</v>
      </c>
    </row>
    <row r="947" spans="2:27" s="184" customFormat="1" ht="20" x14ac:dyDescent="0.2">
      <c r="B947" s="11" t="s">
        <v>994</v>
      </c>
      <c r="C947" s="165" t="s">
        <v>4235</v>
      </c>
      <c r="D947" s="22" t="s">
        <v>2379</v>
      </c>
      <c r="E947" s="34">
        <v>1</v>
      </c>
      <c r="F947" s="22" t="s">
        <v>2223</v>
      </c>
      <c r="G947" s="235">
        <v>11.5</v>
      </c>
      <c r="H947" s="235">
        <f t="shared" si="125"/>
        <v>7.098765432098765</v>
      </c>
      <c r="I947" s="235">
        <v>53.375</v>
      </c>
      <c r="J947" s="235">
        <f t="shared" si="126"/>
        <v>32.947530864197532</v>
      </c>
      <c r="K947" s="201">
        <v>240</v>
      </c>
      <c r="L947" s="252">
        <f>_xlfn.XLOOKUP($K947,Inputs!$C$6:$C$23,Inputs!$D$6:$D$23)*$I947</f>
        <v>25.451967592592592</v>
      </c>
      <c r="M947" s="68"/>
      <c r="N947" s="68"/>
      <c r="O947" s="215">
        <v>505</v>
      </c>
      <c r="P947" s="215">
        <v>648</v>
      </c>
      <c r="Q947" s="94">
        <v>0.9</v>
      </c>
      <c r="R947" s="68" t="s">
        <v>115</v>
      </c>
      <c r="S947" s="182">
        <f t="shared" si="129"/>
        <v>454.5</v>
      </c>
      <c r="T947" s="182">
        <f t="shared" si="130"/>
        <v>583.20000000000005</v>
      </c>
      <c r="U947" s="96" t="s">
        <v>3535</v>
      </c>
      <c r="V947" s="22" t="s">
        <v>2843</v>
      </c>
      <c r="W947" s="96" t="s">
        <v>3526</v>
      </c>
      <c r="X947" s="22" t="s">
        <v>2221</v>
      </c>
      <c r="Y947" s="11" t="s">
        <v>3288</v>
      </c>
      <c r="Z947" s="79"/>
      <c r="AA947" s="187">
        <v>935</v>
      </c>
    </row>
    <row r="948" spans="2:27" s="184" customFormat="1" ht="20" x14ac:dyDescent="0.2">
      <c r="B948" s="11" t="s">
        <v>994</v>
      </c>
      <c r="C948" s="165" t="s">
        <v>4235</v>
      </c>
      <c r="D948" s="22" t="s">
        <v>2379</v>
      </c>
      <c r="E948" s="34">
        <v>1</v>
      </c>
      <c r="F948" s="22" t="s">
        <v>2223</v>
      </c>
      <c r="G948" s="88">
        <v>2.875</v>
      </c>
      <c r="H948" s="235">
        <f t="shared" si="125"/>
        <v>1.7746913580246912</v>
      </c>
      <c r="I948" s="88">
        <v>53.375</v>
      </c>
      <c r="J948" s="235">
        <f t="shared" si="126"/>
        <v>32.947530864197532</v>
      </c>
      <c r="K948" s="201">
        <v>240</v>
      </c>
      <c r="L948" s="252">
        <f>_xlfn.XLOOKUP($K948,Inputs!$C$6:$C$23,Inputs!$D$6:$D$23)*$I948</f>
        <v>25.451967592592592</v>
      </c>
      <c r="M948" s="68"/>
      <c r="N948" s="68"/>
      <c r="O948" s="209">
        <v>499</v>
      </c>
      <c r="P948" s="209">
        <v>499</v>
      </c>
      <c r="Q948" s="94">
        <v>0.9</v>
      </c>
      <c r="R948" s="68" t="s">
        <v>115</v>
      </c>
      <c r="S948" s="182">
        <f t="shared" si="129"/>
        <v>449.1</v>
      </c>
      <c r="T948" s="182">
        <f t="shared" si="130"/>
        <v>449.1</v>
      </c>
      <c r="U948" s="96" t="s">
        <v>3526</v>
      </c>
      <c r="V948" s="22" t="s">
        <v>2221</v>
      </c>
      <c r="W948" s="96" t="s">
        <v>3524</v>
      </c>
      <c r="X948" s="22" t="s">
        <v>2837</v>
      </c>
      <c r="Y948" s="11" t="s">
        <v>3304</v>
      </c>
      <c r="Z948" s="79"/>
      <c r="AA948" s="187">
        <v>936</v>
      </c>
    </row>
    <row r="949" spans="2:27" s="184" customFormat="1" ht="20" x14ac:dyDescent="0.2">
      <c r="B949" s="11" t="s">
        <v>1298</v>
      </c>
      <c r="C949" s="165" t="s">
        <v>4235</v>
      </c>
      <c r="D949" s="22" t="s">
        <v>2379</v>
      </c>
      <c r="E949" s="34">
        <v>1</v>
      </c>
      <c r="F949" s="22" t="s">
        <v>2223</v>
      </c>
      <c r="G949" s="88">
        <v>2.2999999999999998</v>
      </c>
      <c r="H949" s="235">
        <f t="shared" si="125"/>
        <v>1.419753086419753</v>
      </c>
      <c r="I949" s="88">
        <v>2.2999999999999998</v>
      </c>
      <c r="J949" s="235">
        <f t="shared" si="126"/>
        <v>1.419753086419753</v>
      </c>
      <c r="K949" s="201">
        <v>240</v>
      </c>
      <c r="L949" s="252">
        <f>_xlfn.XLOOKUP($K949,Inputs!$C$6:$C$23,Inputs!$D$6:$D$23)*$I949</f>
        <v>1.0967592592592592</v>
      </c>
      <c r="M949" s="68"/>
      <c r="N949" s="68"/>
      <c r="O949" s="209">
        <v>499</v>
      </c>
      <c r="P949" s="209">
        <v>499</v>
      </c>
      <c r="Q949" s="94">
        <v>0.9</v>
      </c>
      <c r="R949" s="68" t="s">
        <v>115</v>
      </c>
      <c r="S949" s="182">
        <f t="shared" si="129"/>
        <v>449.1</v>
      </c>
      <c r="T949" s="182">
        <f t="shared" si="130"/>
        <v>449.1</v>
      </c>
      <c r="U949" s="96" t="s">
        <v>3526</v>
      </c>
      <c r="V949" s="22" t="s">
        <v>2221</v>
      </c>
      <c r="W949" s="212" t="s">
        <v>3525</v>
      </c>
      <c r="X949" s="203" t="s">
        <v>2838</v>
      </c>
      <c r="Y949" s="11" t="s">
        <v>3304</v>
      </c>
      <c r="Z949" s="79"/>
      <c r="AA949" s="187">
        <v>937</v>
      </c>
    </row>
    <row r="950" spans="2:27" s="184" customFormat="1" ht="20" x14ac:dyDescent="0.2">
      <c r="B950" s="11" t="s">
        <v>1615</v>
      </c>
      <c r="C950" s="165" t="s">
        <v>4235</v>
      </c>
      <c r="D950" s="22" t="s">
        <v>2379</v>
      </c>
      <c r="E950" s="34">
        <v>1</v>
      </c>
      <c r="F950" s="22" t="s">
        <v>2223</v>
      </c>
      <c r="G950" s="88">
        <v>27</v>
      </c>
      <c r="H950" s="235">
        <f t="shared" si="125"/>
        <v>16.666666666666664</v>
      </c>
      <c r="I950" s="88">
        <v>82</v>
      </c>
      <c r="J950" s="235">
        <f t="shared" si="126"/>
        <v>50.617283950617278</v>
      </c>
      <c r="K950" s="201">
        <v>240</v>
      </c>
      <c r="L950" s="252">
        <f>_xlfn.XLOOKUP($K950,Inputs!$C$6:$C$23,Inputs!$D$6:$D$23)*$I950</f>
        <v>39.101851851851855</v>
      </c>
      <c r="M950" s="68"/>
      <c r="N950" s="68"/>
      <c r="O950" s="209">
        <v>499</v>
      </c>
      <c r="P950" s="209">
        <v>499</v>
      </c>
      <c r="Q950" s="94">
        <v>0.9</v>
      </c>
      <c r="R950" s="68" t="s">
        <v>115</v>
      </c>
      <c r="S950" s="182">
        <f t="shared" si="129"/>
        <v>449.1</v>
      </c>
      <c r="T950" s="182">
        <f t="shared" si="130"/>
        <v>449.1</v>
      </c>
      <c r="U950" s="96" t="s">
        <v>4275</v>
      </c>
      <c r="V950" s="22" t="s">
        <v>4276</v>
      </c>
      <c r="W950" s="96" t="s">
        <v>3535</v>
      </c>
      <c r="X950" s="22" t="s">
        <v>2843</v>
      </c>
      <c r="Y950" s="11" t="s">
        <v>3304</v>
      </c>
      <c r="Z950" s="79"/>
      <c r="AA950" s="187">
        <v>938</v>
      </c>
    </row>
    <row r="951" spans="2:27" s="184" customFormat="1" ht="20" x14ac:dyDescent="0.2">
      <c r="B951" s="11" t="s">
        <v>1615</v>
      </c>
      <c r="C951" s="165" t="s">
        <v>4235</v>
      </c>
      <c r="D951" s="22" t="s">
        <v>2379</v>
      </c>
      <c r="E951" s="34">
        <v>1</v>
      </c>
      <c r="F951" s="22" t="s">
        <v>2223</v>
      </c>
      <c r="G951" s="235">
        <v>55</v>
      </c>
      <c r="H951" s="235">
        <f t="shared" si="125"/>
        <v>33.950617283950614</v>
      </c>
      <c r="I951" s="235">
        <v>82</v>
      </c>
      <c r="J951" s="235">
        <f t="shared" si="126"/>
        <v>50.617283950617278</v>
      </c>
      <c r="K951" s="201">
        <v>240</v>
      </c>
      <c r="L951" s="252">
        <f>_xlfn.XLOOKUP($K951,Inputs!$C$6:$C$23,Inputs!$D$6:$D$23)*$I951</f>
        <v>39.101851851851855</v>
      </c>
      <c r="M951" s="68"/>
      <c r="N951" s="68"/>
      <c r="O951" s="209">
        <v>481</v>
      </c>
      <c r="P951" s="209">
        <v>499</v>
      </c>
      <c r="Q951" s="94">
        <v>0.9</v>
      </c>
      <c r="R951" s="68" t="s">
        <v>115</v>
      </c>
      <c r="S951" s="182">
        <f t="shared" si="129"/>
        <v>432.90000000000003</v>
      </c>
      <c r="T951" s="182">
        <f t="shared" si="130"/>
        <v>449.1</v>
      </c>
      <c r="U951" s="96" t="s">
        <v>4275</v>
      </c>
      <c r="V951" s="22" t="s">
        <v>4276</v>
      </c>
      <c r="W951" s="96" t="s">
        <v>3861</v>
      </c>
      <c r="X951" s="22" t="s">
        <v>2723</v>
      </c>
      <c r="Y951" s="11" t="s">
        <v>3304</v>
      </c>
      <c r="Z951" s="79"/>
      <c r="AA951" s="187">
        <v>939</v>
      </c>
    </row>
    <row r="952" spans="2:27" s="184" customFormat="1" ht="20" x14ac:dyDescent="0.2">
      <c r="B952" s="11" t="s">
        <v>1704</v>
      </c>
      <c r="C952" s="165" t="s">
        <v>4235</v>
      </c>
      <c r="D952" s="22" t="s">
        <v>2379</v>
      </c>
      <c r="E952" s="34">
        <v>1</v>
      </c>
      <c r="F952" s="22" t="s">
        <v>2223</v>
      </c>
      <c r="G952" s="88">
        <v>21</v>
      </c>
      <c r="H952" s="235">
        <f t="shared" si="125"/>
        <v>12.962962962962962</v>
      </c>
      <c r="I952" s="88">
        <v>31.5</v>
      </c>
      <c r="J952" s="235">
        <f t="shared" si="126"/>
        <v>19.444444444444443</v>
      </c>
      <c r="K952" s="201">
        <v>144</v>
      </c>
      <c r="L952" s="252">
        <f>_xlfn.XLOOKUP($K952,Inputs!$C$6:$C$23,Inputs!$D$6:$D$23)*$I952</f>
        <v>13.7925</v>
      </c>
      <c r="M952" s="68"/>
      <c r="N952" s="68"/>
      <c r="O952" s="215">
        <v>81</v>
      </c>
      <c r="P952" s="215">
        <v>111</v>
      </c>
      <c r="Q952" s="94">
        <v>0.9</v>
      </c>
      <c r="R952" s="68" t="s">
        <v>115</v>
      </c>
      <c r="S952" s="182">
        <f t="shared" si="129"/>
        <v>72.900000000000006</v>
      </c>
      <c r="T952" s="182">
        <f t="shared" si="130"/>
        <v>99.9</v>
      </c>
      <c r="U952" s="96" t="s">
        <v>3731</v>
      </c>
      <c r="V952" s="22" t="s">
        <v>2992</v>
      </c>
      <c r="W952" s="96" t="s">
        <v>3368</v>
      </c>
      <c r="X952" s="22" t="s">
        <v>2655</v>
      </c>
      <c r="Y952" s="11" t="s">
        <v>3296</v>
      </c>
      <c r="Z952" s="79"/>
      <c r="AA952" s="187">
        <v>940</v>
      </c>
    </row>
    <row r="953" spans="2:27" s="184" customFormat="1" ht="20" x14ac:dyDescent="0.2">
      <c r="B953" s="11" t="s">
        <v>1704</v>
      </c>
      <c r="C953" s="165" t="s">
        <v>4235</v>
      </c>
      <c r="D953" s="22" t="s">
        <v>2379</v>
      </c>
      <c r="E953" s="34">
        <v>1</v>
      </c>
      <c r="F953" s="22" t="s">
        <v>2223</v>
      </c>
      <c r="G953" s="88">
        <v>10.5</v>
      </c>
      <c r="H953" s="235">
        <f t="shared" si="125"/>
        <v>6.481481481481481</v>
      </c>
      <c r="I953" s="88">
        <v>31.5</v>
      </c>
      <c r="J953" s="235">
        <f t="shared" si="126"/>
        <v>19.444444444444443</v>
      </c>
      <c r="K953" s="201">
        <v>144</v>
      </c>
      <c r="L953" s="252">
        <f>_xlfn.XLOOKUP($K953,Inputs!$C$6:$C$23,Inputs!$D$6:$D$23)*$I953</f>
        <v>13.7925</v>
      </c>
      <c r="M953" s="68"/>
      <c r="N953" s="68"/>
      <c r="O953" s="187"/>
      <c r="P953" s="187"/>
      <c r="Q953" s="94">
        <v>0.9</v>
      </c>
      <c r="R953" s="68">
        <f>IF((42.4*(J953)^(-0.6595))&gt;=3,3,(IF(42.4*(J953)^(-0.6595)&lt;=0.5,0.5,(42.4*(J953)^(-0.6595)))))</f>
        <v>3</v>
      </c>
      <c r="S953" s="276">
        <f>_xlfn.XLOOKUP($K953,Inputs!$G$6:$G$23,Inputs!J$6:J$23)*$R953</f>
        <v>153.60000000000002</v>
      </c>
      <c r="T953" s="276">
        <f>_xlfn.XLOOKUP($K953,Inputs!$G$6:$G$23,Inputs!K$6:K$23)*$R953</f>
        <v>169.96721311475409</v>
      </c>
      <c r="U953" s="96" t="s">
        <v>3731</v>
      </c>
      <c r="V953" s="22" t="s">
        <v>2992</v>
      </c>
      <c r="W953" s="96" t="s">
        <v>3878</v>
      </c>
      <c r="X953" s="22" t="s">
        <v>2725</v>
      </c>
      <c r="Y953" s="11" t="s">
        <v>3331</v>
      </c>
      <c r="Z953" s="79" t="s">
        <v>2596</v>
      </c>
      <c r="AA953" s="187">
        <v>941</v>
      </c>
    </row>
    <row r="954" spans="2:27" s="184" customFormat="1" ht="20" x14ac:dyDescent="0.2">
      <c r="B954" s="11" t="s">
        <v>996</v>
      </c>
      <c r="C954" s="165" t="s">
        <v>4235</v>
      </c>
      <c r="D954" s="22" t="s">
        <v>2379</v>
      </c>
      <c r="E954" s="34">
        <v>1</v>
      </c>
      <c r="F954" s="22" t="s">
        <v>2223</v>
      </c>
      <c r="G954" s="235">
        <v>70</v>
      </c>
      <c r="H954" s="235">
        <f t="shared" si="125"/>
        <v>43.209876543209873</v>
      </c>
      <c r="I954" s="235">
        <v>70</v>
      </c>
      <c r="J954" s="235">
        <f t="shared" si="126"/>
        <v>43.209876543209873</v>
      </c>
      <c r="K954" s="201">
        <v>240</v>
      </c>
      <c r="L954" s="252">
        <f>_xlfn.XLOOKUP($K954,Inputs!$C$6:$C$23,Inputs!$D$6:$D$23)*$I954</f>
        <v>33.379629629629633</v>
      </c>
      <c r="M954" s="68"/>
      <c r="N954" s="68"/>
      <c r="O954" s="187"/>
      <c r="P954" s="187"/>
      <c r="Q954" s="94">
        <v>0.9</v>
      </c>
      <c r="R954" s="68">
        <f>IF((42.4*(J954)^(-0.6595))&gt;=3,3,(IF(42.4*(J954)^(-0.6595)&lt;=0.5,0.5,(42.4*(J954)^(-0.6595)))))</f>
        <v>3</v>
      </c>
      <c r="S954" s="276">
        <f>_xlfn.XLOOKUP($K954,Inputs!$G$6:$G$23,Inputs!J$6:J$23)*$R954</f>
        <v>438.57868020304568</v>
      </c>
      <c r="T954" s="276">
        <f>_xlfn.XLOOKUP($K954,Inputs!$G$6:$G$23,Inputs!K$6:K$23)*$R954</f>
        <v>476.03305785123973</v>
      </c>
      <c r="U954" s="96" t="s">
        <v>3819</v>
      </c>
      <c r="V954" s="22" t="s">
        <v>3065</v>
      </c>
      <c r="W954" s="96" t="s">
        <v>3941</v>
      </c>
      <c r="X954" s="22" t="s">
        <v>3193</v>
      </c>
      <c r="Y954" s="11" t="s">
        <v>3331</v>
      </c>
      <c r="Z954" s="79"/>
      <c r="AA954" s="187">
        <v>942</v>
      </c>
    </row>
    <row r="955" spans="2:27" s="184" customFormat="1" ht="20" x14ac:dyDescent="0.2">
      <c r="B955" s="11" t="s">
        <v>997</v>
      </c>
      <c r="C955" s="165" t="s">
        <v>4235</v>
      </c>
      <c r="D955" s="22" t="s">
        <v>2379</v>
      </c>
      <c r="E955" s="34">
        <v>1</v>
      </c>
      <c r="F955" s="22" t="s">
        <v>2223</v>
      </c>
      <c r="G955" s="235">
        <v>60</v>
      </c>
      <c r="H955" s="235">
        <f t="shared" si="125"/>
        <v>37.037037037037038</v>
      </c>
      <c r="I955" s="235">
        <v>60</v>
      </c>
      <c r="J955" s="235">
        <f t="shared" si="126"/>
        <v>37.037037037037038</v>
      </c>
      <c r="K955" s="201">
        <v>240</v>
      </c>
      <c r="L955" s="252">
        <f>_xlfn.XLOOKUP($K955,Inputs!$C$6:$C$23,Inputs!$D$6:$D$23)*$I955</f>
        <v>28.611111111111111</v>
      </c>
      <c r="M955" s="68"/>
      <c r="N955" s="68"/>
      <c r="O955" s="215">
        <v>507</v>
      </c>
      <c r="P955" s="215">
        <v>623</v>
      </c>
      <c r="Q955" s="94">
        <v>0.9</v>
      </c>
      <c r="R955" s="68" t="s">
        <v>115</v>
      </c>
      <c r="S955" s="182">
        <f>O955*Q955</f>
        <v>456.3</v>
      </c>
      <c r="T955" s="182">
        <f>P955*Q955</f>
        <v>560.70000000000005</v>
      </c>
      <c r="U955" s="96" t="s">
        <v>3793</v>
      </c>
      <c r="V955" s="22" t="s">
        <v>2618</v>
      </c>
      <c r="W955" s="96" t="s">
        <v>3741</v>
      </c>
      <c r="X955" s="22" t="s">
        <v>2999</v>
      </c>
      <c r="Y955" s="11" t="s">
        <v>3299</v>
      </c>
      <c r="Z955" s="79"/>
      <c r="AA955" s="187">
        <v>943</v>
      </c>
    </row>
    <row r="956" spans="2:27" s="188" customFormat="1" ht="20" x14ac:dyDescent="0.2">
      <c r="B956" s="11" t="s">
        <v>999</v>
      </c>
      <c r="C956" s="165" t="s">
        <v>4235</v>
      </c>
      <c r="D956" s="22" t="s">
        <v>2379</v>
      </c>
      <c r="E956" s="34">
        <v>1</v>
      </c>
      <c r="F956" s="22" t="s">
        <v>2223</v>
      </c>
      <c r="G956" s="88">
        <v>15</v>
      </c>
      <c r="H956" s="235">
        <f t="shared" si="125"/>
        <v>9.2592592592592595</v>
      </c>
      <c r="I956" s="88">
        <v>155</v>
      </c>
      <c r="J956" s="235">
        <f t="shared" si="126"/>
        <v>95.679012345679013</v>
      </c>
      <c r="K956" s="201">
        <v>240</v>
      </c>
      <c r="L956" s="252">
        <f>_xlfn.XLOOKUP($K956,Inputs!$C$6:$C$23,Inputs!$D$6:$D$23)*$I956</f>
        <v>73.912037037037038</v>
      </c>
      <c r="M956" s="68"/>
      <c r="N956" s="68"/>
      <c r="O956" s="215">
        <v>449</v>
      </c>
      <c r="P956" s="215">
        <v>608</v>
      </c>
      <c r="Q956" s="94">
        <v>0.9</v>
      </c>
      <c r="R956" s="68" t="s">
        <v>115</v>
      </c>
      <c r="S956" s="182">
        <f>O956*Q956</f>
        <v>404.1</v>
      </c>
      <c r="T956" s="182">
        <f>P956*Q956</f>
        <v>547.20000000000005</v>
      </c>
      <c r="U956" s="96" t="s">
        <v>3462</v>
      </c>
      <c r="V956" s="22" t="s">
        <v>2795</v>
      </c>
      <c r="W956" s="96" t="s">
        <v>3749</v>
      </c>
      <c r="X956" s="22" t="s">
        <v>3007</v>
      </c>
      <c r="Y956" s="11" t="s">
        <v>3289</v>
      </c>
      <c r="Z956" s="79"/>
      <c r="AA956" s="187">
        <v>944</v>
      </c>
    </row>
    <row r="957" spans="2:27" s="188" customFormat="1" ht="20" x14ac:dyDescent="0.2">
      <c r="B957" s="11" t="s">
        <v>999</v>
      </c>
      <c r="C957" s="165" t="s">
        <v>4235</v>
      </c>
      <c r="D957" s="22" t="s">
        <v>2379</v>
      </c>
      <c r="E957" s="34">
        <v>1</v>
      </c>
      <c r="F957" s="22" t="s">
        <v>2223</v>
      </c>
      <c r="G957" s="235">
        <v>140</v>
      </c>
      <c r="H957" s="235">
        <f t="shared" si="125"/>
        <v>86.419753086419746</v>
      </c>
      <c r="I957" s="235">
        <v>155</v>
      </c>
      <c r="J957" s="235">
        <f t="shared" si="126"/>
        <v>95.679012345679013</v>
      </c>
      <c r="K957" s="201">
        <v>240</v>
      </c>
      <c r="L957" s="252">
        <f>_xlfn.XLOOKUP($K957,Inputs!$C$6:$C$23,Inputs!$D$6:$D$23)*$I957</f>
        <v>73.912037037037038</v>
      </c>
      <c r="M957" s="68"/>
      <c r="N957" s="68"/>
      <c r="O957" s="187"/>
      <c r="P957" s="187"/>
      <c r="Q957" s="94">
        <v>0.9</v>
      </c>
      <c r="R957" s="68">
        <f>IF((42.4*(J957)^(-0.6595))&gt;=3,3,(IF(42.4*(J957)^(-0.6595)&lt;=0.5,0.5,(42.4*(J957)^(-0.6595)))))</f>
        <v>2.0941956528328554</v>
      </c>
      <c r="S957" s="276">
        <f>_xlfn.XLOOKUP($K957,Inputs!$G$6:$G$23,Inputs!J$6:J$23)*$R957</f>
        <v>306.15652183546314</v>
      </c>
      <c r="T957" s="276">
        <f>_xlfn.XLOOKUP($K957,Inputs!$G$6:$G$23,Inputs!K$6:K$23)*$R957</f>
        <v>332.30212011893246</v>
      </c>
      <c r="U957" s="96" t="s">
        <v>3749</v>
      </c>
      <c r="V957" s="205" t="s">
        <v>3007</v>
      </c>
      <c r="W957" s="96" t="s">
        <v>3723</v>
      </c>
      <c r="X957" s="22" t="s">
        <v>2986</v>
      </c>
      <c r="Y957" s="11" t="s">
        <v>3331</v>
      </c>
      <c r="Z957" s="79"/>
      <c r="AA957" s="187">
        <v>945</v>
      </c>
    </row>
    <row r="958" spans="2:27" s="188" customFormat="1" ht="20" x14ac:dyDescent="0.2">
      <c r="B958" s="11" t="s">
        <v>1614</v>
      </c>
      <c r="C958" s="165" t="s">
        <v>4235</v>
      </c>
      <c r="D958" s="22" t="s">
        <v>2379</v>
      </c>
      <c r="E958" s="34">
        <v>1</v>
      </c>
      <c r="F958" s="22" t="s">
        <v>2223</v>
      </c>
      <c r="G958" s="235">
        <v>25</v>
      </c>
      <c r="H958" s="235">
        <f t="shared" si="125"/>
        <v>15.432098765432098</v>
      </c>
      <c r="I958" s="235">
        <v>160</v>
      </c>
      <c r="J958" s="235">
        <f t="shared" si="126"/>
        <v>98.76543209876543</v>
      </c>
      <c r="K958" s="201">
        <v>240</v>
      </c>
      <c r="L958" s="252">
        <f>_xlfn.XLOOKUP($K958,Inputs!$C$6:$C$23,Inputs!$D$6:$D$23)*$I958</f>
        <v>76.296296296296305</v>
      </c>
      <c r="M958" s="68"/>
      <c r="N958" s="68"/>
      <c r="O958" s="187"/>
      <c r="P958" s="187"/>
      <c r="Q958" s="94">
        <v>0.9</v>
      </c>
      <c r="R958" s="68">
        <f>IF((42.4*(J958)^(-0.6595))&gt;=3,3,(IF(42.4*(J958)^(-0.6595)&lt;=0.5,0.5,(42.4*(J958)^(-0.6595)))))</f>
        <v>2.0508026980145795</v>
      </c>
      <c r="S958" s="276">
        <f>_xlfn.XLOOKUP($K958,Inputs!$G$6:$G$23,Inputs!J$6:J$23)*$R958</f>
        <v>299.81278021735983</v>
      </c>
      <c r="T958" s="276">
        <f>_xlfn.XLOOKUP($K958,Inputs!$G$6:$G$23,Inputs!K$6:K$23)*$R958</f>
        <v>325.4166264618176</v>
      </c>
      <c r="U958" s="96" t="s">
        <v>3819</v>
      </c>
      <c r="V958" s="22" t="s">
        <v>3065</v>
      </c>
      <c r="W958" s="96" t="s">
        <v>3392</v>
      </c>
      <c r="X958" s="22" t="s">
        <v>2754</v>
      </c>
      <c r="Y958" s="11" t="s">
        <v>3331</v>
      </c>
      <c r="Z958" s="79"/>
      <c r="AA958" s="187">
        <v>946</v>
      </c>
    </row>
    <row r="959" spans="2:27" s="188" customFormat="1" ht="20" x14ac:dyDescent="0.2">
      <c r="B959" s="11" t="s">
        <v>1614</v>
      </c>
      <c r="C959" s="165" t="s">
        <v>4235</v>
      </c>
      <c r="D959" s="22" t="s">
        <v>2379</v>
      </c>
      <c r="E959" s="34">
        <v>1</v>
      </c>
      <c r="F959" s="22" t="s">
        <v>2223</v>
      </c>
      <c r="G959" s="235">
        <v>100</v>
      </c>
      <c r="H959" s="235">
        <f t="shared" si="125"/>
        <v>61.728395061728392</v>
      </c>
      <c r="I959" s="235">
        <v>160</v>
      </c>
      <c r="J959" s="235">
        <f t="shared" si="126"/>
        <v>98.76543209876543</v>
      </c>
      <c r="K959" s="201">
        <v>240</v>
      </c>
      <c r="L959" s="252">
        <f>_xlfn.XLOOKUP($K959,Inputs!$C$6:$C$23,Inputs!$D$6:$D$23)*$I959</f>
        <v>76.296296296296305</v>
      </c>
      <c r="M959" s="68"/>
      <c r="N959" s="68"/>
      <c r="O959" s="187"/>
      <c r="P959" s="187"/>
      <c r="Q959" s="94">
        <v>0.9</v>
      </c>
      <c r="R959" s="68">
        <f>IF((42.4*(J959)^(-0.6595))&gt;=3,3,(IF(42.4*(J959)^(-0.6595)&lt;=0.5,0.5,(42.4*(J959)^(-0.6595)))))</f>
        <v>2.0508026980145795</v>
      </c>
      <c r="S959" s="276">
        <f>_xlfn.XLOOKUP($K959,Inputs!$G$6:$G$23,Inputs!J$6:J$23)*$R959</f>
        <v>299.81278021735983</v>
      </c>
      <c r="T959" s="276">
        <f>_xlfn.XLOOKUP($K959,Inputs!$G$6:$G$23,Inputs!K$6:K$23)*$R959</f>
        <v>325.4166264618176</v>
      </c>
      <c r="U959" s="96" t="s">
        <v>3392</v>
      </c>
      <c r="V959" s="22" t="s">
        <v>2754</v>
      </c>
      <c r="W959" s="96" t="s">
        <v>3574</v>
      </c>
      <c r="X959" s="205" t="s">
        <v>2869</v>
      </c>
      <c r="Y959" s="11" t="s">
        <v>3331</v>
      </c>
      <c r="Z959" s="79"/>
      <c r="AA959" s="187">
        <v>947</v>
      </c>
    </row>
    <row r="960" spans="2:27" s="188" customFormat="1" ht="20" x14ac:dyDescent="0.2">
      <c r="B960" s="11" t="s">
        <v>1614</v>
      </c>
      <c r="C960" s="165" t="s">
        <v>4235</v>
      </c>
      <c r="D960" s="22" t="s">
        <v>2379</v>
      </c>
      <c r="E960" s="34">
        <v>1</v>
      </c>
      <c r="F960" s="22" t="s">
        <v>2223</v>
      </c>
      <c r="G960" s="88">
        <v>35</v>
      </c>
      <c r="H960" s="235">
        <f t="shared" si="125"/>
        <v>21.604938271604937</v>
      </c>
      <c r="I960" s="88">
        <v>160</v>
      </c>
      <c r="J960" s="235">
        <f t="shared" si="126"/>
        <v>98.76543209876543</v>
      </c>
      <c r="K960" s="201">
        <v>240</v>
      </c>
      <c r="L960" s="252">
        <f>_xlfn.XLOOKUP($K960,Inputs!$C$6:$C$23,Inputs!$D$6:$D$23)*$I960</f>
        <v>76.296296296296305</v>
      </c>
      <c r="M960" s="68"/>
      <c r="N960" s="68"/>
      <c r="O960" s="187"/>
      <c r="P960" s="187"/>
      <c r="Q960" s="94">
        <v>0.9</v>
      </c>
      <c r="R960" s="68">
        <f>IF((42.4*(J960)^(-0.6595))&gt;=3,3,(IF(42.4*(J960)^(-0.6595)&lt;=0.5,0.5,(42.4*(J960)^(-0.6595)))))</f>
        <v>2.0508026980145795</v>
      </c>
      <c r="S960" s="276">
        <f>_xlfn.XLOOKUP($K960,Inputs!$G$6:$G$23,Inputs!J$6:J$23)*$R960</f>
        <v>299.81278021735983</v>
      </c>
      <c r="T960" s="276">
        <f>_xlfn.XLOOKUP($K960,Inputs!$G$6:$G$23,Inputs!K$6:K$23)*$R960</f>
        <v>325.4166264618176</v>
      </c>
      <c r="U960" s="96" t="s">
        <v>3574</v>
      </c>
      <c r="V960" s="22" t="s">
        <v>2869</v>
      </c>
      <c r="W960" s="96" t="s">
        <v>3793</v>
      </c>
      <c r="X960" s="22" t="s">
        <v>2618</v>
      </c>
      <c r="Y960" s="11" t="s">
        <v>3331</v>
      </c>
      <c r="Z960" s="79"/>
      <c r="AA960" s="187">
        <v>948</v>
      </c>
    </row>
    <row r="961" spans="2:27" s="188" customFormat="1" ht="20" x14ac:dyDescent="0.2">
      <c r="B961" s="11" t="s">
        <v>1002</v>
      </c>
      <c r="C961" s="165" t="s">
        <v>4235</v>
      </c>
      <c r="D961" s="22" t="s">
        <v>2379</v>
      </c>
      <c r="E961" s="34">
        <v>1</v>
      </c>
      <c r="F961" s="22" t="s">
        <v>2223</v>
      </c>
      <c r="G961" s="88">
        <v>8.0499999999999989</v>
      </c>
      <c r="H961" s="235">
        <f t="shared" si="125"/>
        <v>4.9691358024691352</v>
      </c>
      <c r="I961" s="88">
        <v>8.0499999999999989</v>
      </c>
      <c r="J961" s="235">
        <f t="shared" si="126"/>
        <v>4.9691358024691352</v>
      </c>
      <c r="K961" s="201">
        <v>240</v>
      </c>
      <c r="L961" s="252">
        <f>_xlfn.XLOOKUP($K961,Inputs!$C$6:$C$23,Inputs!$D$6:$D$23)*$I961</f>
        <v>3.8386574074074069</v>
      </c>
      <c r="M961" s="68"/>
      <c r="N961" s="68"/>
      <c r="O961" s="209">
        <v>492</v>
      </c>
      <c r="P961" s="209">
        <v>499</v>
      </c>
      <c r="Q961" s="94">
        <v>0.9</v>
      </c>
      <c r="R961" s="68" t="s">
        <v>115</v>
      </c>
      <c r="S961" s="182">
        <f>O961*Q961</f>
        <v>442.8</v>
      </c>
      <c r="T961" s="182">
        <f>P961*Q961</f>
        <v>449.1</v>
      </c>
      <c r="U961" s="96" t="s">
        <v>3475</v>
      </c>
      <c r="V961" s="22" t="s">
        <v>2669</v>
      </c>
      <c r="W961" s="96" t="s">
        <v>3524</v>
      </c>
      <c r="X961" s="22" t="s">
        <v>2837</v>
      </c>
      <c r="Y961" s="11" t="s">
        <v>3304</v>
      </c>
      <c r="Z961" s="79"/>
      <c r="AA961" s="187">
        <v>949</v>
      </c>
    </row>
    <row r="962" spans="2:27" s="188" customFormat="1" ht="20" x14ac:dyDescent="0.2">
      <c r="B962" s="11" t="s">
        <v>1004</v>
      </c>
      <c r="C962" s="165" t="s">
        <v>4235</v>
      </c>
      <c r="D962" s="22" t="s">
        <v>2379</v>
      </c>
      <c r="E962" s="34">
        <v>1</v>
      </c>
      <c r="F962" s="22" t="s">
        <v>2223</v>
      </c>
      <c r="G962" s="88">
        <v>22.099999999999998</v>
      </c>
      <c r="H962" s="235">
        <f t="shared" si="125"/>
        <v>13.641975308641973</v>
      </c>
      <c r="I962" s="88">
        <v>22.099999999999998</v>
      </c>
      <c r="J962" s="235">
        <f t="shared" si="126"/>
        <v>13.641975308641973</v>
      </c>
      <c r="K962" s="201">
        <v>240</v>
      </c>
      <c r="L962" s="252">
        <f>_xlfn.XLOOKUP($K962,Inputs!$C$6:$C$23,Inputs!$D$6:$D$23)*$I962</f>
        <v>10.538425925925925</v>
      </c>
      <c r="M962" s="68"/>
      <c r="N962" s="68"/>
      <c r="O962" s="215">
        <v>408</v>
      </c>
      <c r="P962" s="215">
        <v>494</v>
      </c>
      <c r="Q962" s="94">
        <v>0.9</v>
      </c>
      <c r="R962" s="68" t="s">
        <v>115</v>
      </c>
      <c r="S962" s="182">
        <f>O962*Q962</f>
        <v>367.2</v>
      </c>
      <c r="T962" s="182">
        <f>P962*Q962</f>
        <v>444.6</v>
      </c>
      <c r="U962" s="96" t="s">
        <v>3520</v>
      </c>
      <c r="V962" s="22" t="s">
        <v>2835</v>
      </c>
      <c r="W962" s="96" t="s">
        <v>3818</v>
      </c>
      <c r="X962" s="22" t="s">
        <v>3064</v>
      </c>
      <c r="Y962" s="11" t="s">
        <v>4298</v>
      </c>
      <c r="Z962" s="79"/>
      <c r="AA962" s="187">
        <v>950</v>
      </c>
    </row>
    <row r="963" spans="2:27" s="188" customFormat="1" ht="20" x14ac:dyDescent="0.2">
      <c r="B963" s="11" t="s">
        <v>1006</v>
      </c>
      <c r="C963" s="165" t="s">
        <v>4235</v>
      </c>
      <c r="D963" s="22" t="s">
        <v>2379</v>
      </c>
      <c r="E963" s="34">
        <v>1</v>
      </c>
      <c r="F963" s="22" t="s">
        <v>2223</v>
      </c>
      <c r="G963" s="235">
        <v>120</v>
      </c>
      <c r="H963" s="235">
        <f t="shared" si="125"/>
        <v>74.074074074074076</v>
      </c>
      <c r="I963" s="235">
        <v>120.85</v>
      </c>
      <c r="J963" s="235">
        <f t="shared" si="126"/>
        <v>74.598765432098759</v>
      </c>
      <c r="K963" s="201">
        <v>240</v>
      </c>
      <c r="L963" s="252">
        <f>_xlfn.XLOOKUP($K963,Inputs!$C$6:$C$23,Inputs!$D$6:$D$23)*$I963</f>
        <v>57.627546296296295</v>
      </c>
      <c r="M963" s="68"/>
      <c r="N963" s="68"/>
      <c r="O963" s="187"/>
      <c r="P963" s="187"/>
      <c r="Q963" s="94">
        <v>0.9</v>
      </c>
      <c r="R963" s="68">
        <f>IF((42.4*(J963)^(-0.6595))&gt;=3,3,(IF(42.4*(J963)^(-0.6595)&lt;=0.5,0.5,(42.4*(J963)^(-0.6595)))))</f>
        <v>2.4677396544328229</v>
      </c>
      <c r="S963" s="276">
        <f>_xlfn.XLOOKUP($K963,Inputs!$G$6:$G$23,Inputs!J$6:J$23)*$R963</f>
        <v>360.76600024195585</v>
      </c>
      <c r="T963" s="276">
        <f>_xlfn.XLOOKUP($K963,Inputs!$G$6:$G$23,Inputs!K$6:K$23)*$R963</f>
        <v>391.57521789347277</v>
      </c>
      <c r="U963" s="96" t="s">
        <v>3644</v>
      </c>
      <c r="V963" s="22" t="s">
        <v>2921</v>
      </c>
      <c r="W963" s="96" t="s">
        <v>4248</v>
      </c>
      <c r="X963" s="22" t="s">
        <v>4249</v>
      </c>
      <c r="Y963" s="11" t="s">
        <v>3331</v>
      </c>
      <c r="Z963" s="79"/>
      <c r="AA963" s="187">
        <v>951</v>
      </c>
    </row>
    <row r="964" spans="2:27" s="188" customFormat="1" ht="20" x14ac:dyDescent="0.2">
      <c r="B964" s="11" t="s">
        <v>1006</v>
      </c>
      <c r="C964" s="165" t="s">
        <v>4235</v>
      </c>
      <c r="D964" s="22" t="s">
        <v>2379</v>
      </c>
      <c r="E964" s="34">
        <v>1</v>
      </c>
      <c r="F964" s="22" t="s">
        <v>2223</v>
      </c>
      <c r="G964" s="88">
        <v>0.85</v>
      </c>
      <c r="H964" s="235">
        <f t="shared" si="125"/>
        <v>0.52469135802469136</v>
      </c>
      <c r="I964" s="88">
        <v>120.85</v>
      </c>
      <c r="J964" s="235">
        <f t="shared" si="126"/>
        <v>74.598765432098759</v>
      </c>
      <c r="K964" s="201">
        <v>240</v>
      </c>
      <c r="L964" s="252">
        <f>_xlfn.XLOOKUP($K964,Inputs!$C$6:$C$23,Inputs!$D$6:$D$23)*$I964</f>
        <v>57.627546296296295</v>
      </c>
      <c r="M964" s="68"/>
      <c r="N964" s="68"/>
      <c r="O964" s="187"/>
      <c r="P964" s="187"/>
      <c r="Q964" s="94">
        <v>0.9</v>
      </c>
      <c r="R964" s="68">
        <f>IF((42.4*(J964)^(-0.6595))&gt;=3,3,(IF(42.4*(J964)^(-0.6595)&lt;=0.5,0.5,(42.4*(J964)^(-0.6595)))))</f>
        <v>2.4677396544328229</v>
      </c>
      <c r="S964" s="276">
        <f>_xlfn.XLOOKUP($K964,Inputs!$G$6:$G$23,Inputs!J$6:J$23)*$R964</f>
        <v>360.76600024195585</v>
      </c>
      <c r="T964" s="276">
        <f>_xlfn.XLOOKUP($K964,Inputs!$G$6:$G$23,Inputs!K$6:K$23)*$R964</f>
        <v>391.57521789347277</v>
      </c>
      <c r="U964" s="96" t="s">
        <v>4248</v>
      </c>
      <c r="V964" s="22" t="s">
        <v>4249</v>
      </c>
      <c r="W964" s="96" t="s">
        <v>3442</v>
      </c>
      <c r="X964" s="22" t="s">
        <v>3246</v>
      </c>
      <c r="Y964" s="11" t="s">
        <v>3331</v>
      </c>
      <c r="Z964" s="79"/>
      <c r="AA964" s="187">
        <v>952</v>
      </c>
    </row>
    <row r="965" spans="2:27" s="188" customFormat="1" ht="20" x14ac:dyDescent="0.2">
      <c r="B965" s="11" t="s">
        <v>1007</v>
      </c>
      <c r="C965" s="165" t="s">
        <v>4235</v>
      </c>
      <c r="D965" s="22" t="s">
        <v>2379</v>
      </c>
      <c r="E965" s="34">
        <v>1</v>
      </c>
      <c r="F965" s="22" t="s">
        <v>2223</v>
      </c>
      <c r="G965" s="235">
        <v>140</v>
      </c>
      <c r="H965" s="235">
        <f t="shared" si="125"/>
        <v>86.419753086419746</v>
      </c>
      <c r="I965" s="235">
        <v>140</v>
      </c>
      <c r="J965" s="235">
        <f t="shared" si="126"/>
        <v>86.419753086419746</v>
      </c>
      <c r="K965" s="201">
        <v>240</v>
      </c>
      <c r="L965" s="252">
        <f>_xlfn.XLOOKUP($K965,Inputs!$C$6:$C$23,Inputs!$D$6:$D$23)*$I965</f>
        <v>66.759259259259267</v>
      </c>
      <c r="M965" s="68"/>
      <c r="N965" s="68"/>
      <c r="O965" s="215">
        <v>489</v>
      </c>
      <c r="P965" s="215">
        <v>599</v>
      </c>
      <c r="Q965" s="94">
        <v>0.9</v>
      </c>
      <c r="R965" s="68" t="s">
        <v>115</v>
      </c>
      <c r="S965" s="182">
        <f>O965*Q965</f>
        <v>440.1</v>
      </c>
      <c r="T965" s="182">
        <f>P965*Q965</f>
        <v>539.1</v>
      </c>
      <c r="U965" s="96" t="s">
        <v>3861</v>
      </c>
      <c r="V965" s="22" t="s">
        <v>2723</v>
      </c>
      <c r="W965" s="96" t="s">
        <v>3813</v>
      </c>
      <c r="X965" s="205" t="s">
        <v>3059</v>
      </c>
      <c r="Y965" s="11" t="s">
        <v>3280</v>
      </c>
      <c r="Z965" s="79"/>
      <c r="AA965" s="187">
        <v>953</v>
      </c>
    </row>
    <row r="966" spans="2:27" s="188" customFormat="1" ht="20" x14ac:dyDescent="0.2">
      <c r="B966" s="11" t="s">
        <v>1008</v>
      </c>
      <c r="C966" s="165" t="s">
        <v>4235</v>
      </c>
      <c r="D966" s="22" t="s">
        <v>2379</v>
      </c>
      <c r="E966" s="34">
        <v>1</v>
      </c>
      <c r="F966" s="22" t="s">
        <v>2223</v>
      </c>
      <c r="G966" s="235">
        <v>20</v>
      </c>
      <c r="H966" s="235">
        <f t="shared" ref="H966:H1029" si="131">G966/1.62</f>
        <v>12.345679012345679</v>
      </c>
      <c r="I966" s="235">
        <v>32</v>
      </c>
      <c r="J966" s="235">
        <f t="shared" ref="J966:J1029" si="132">I966/1.62</f>
        <v>19.753086419753085</v>
      </c>
      <c r="K966" s="201">
        <v>240</v>
      </c>
      <c r="L966" s="252">
        <f>_xlfn.XLOOKUP($K966,Inputs!$C$6:$C$23,Inputs!$D$6:$D$23)*$I966</f>
        <v>15.25925925925926</v>
      </c>
      <c r="M966" s="68"/>
      <c r="N966" s="68"/>
      <c r="O966" s="187"/>
      <c r="P966" s="187"/>
      <c r="Q966" s="94">
        <v>0.9</v>
      </c>
      <c r="R966" s="68">
        <f>IF((42.4*(J966)^(-0.6595))&gt;=3,3,(IF(42.4*(J966)^(-0.6595)&lt;=0.5,0.5,(42.4*(J966)^(-0.6595)))))</f>
        <v>3</v>
      </c>
      <c r="S966" s="276">
        <f>_xlfn.XLOOKUP($K966,Inputs!$G$6:$G$23,Inputs!J$6:J$23)*$R966</f>
        <v>438.57868020304568</v>
      </c>
      <c r="T966" s="276">
        <f>_xlfn.XLOOKUP($K966,Inputs!$G$6:$G$23,Inputs!K$6:K$23)*$R966</f>
        <v>476.03305785123973</v>
      </c>
      <c r="U966" s="96" t="s">
        <v>3674</v>
      </c>
      <c r="V966" s="22" t="s">
        <v>2947</v>
      </c>
      <c r="W966" s="96" t="s">
        <v>4250</v>
      </c>
      <c r="X966" s="22" t="s">
        <v>4251</v>
      </c>
      <c r="Y966" s="11" t="s">
        <v>3331</v>
      </c>
      <c r="Z966" s="79"/>
      <c r="AA966" s="187">
        <v>954</v>
      </c>
    </row>
    <row r="967" spans="2:27" s="188" customFormat="1" ht="20" x14ac:dyDescent="0.2">
      <c r="B967" s="11" t="s">
        <v>1008</v>
      </c>
      <c r="C967" s="165" t="s">
        <v>4235</v>
      </c>
      <c r="D967" s="22" t="s">
        <v>2379</v>
      </c>
      <c r="E967" s="34">
        <v>1</v>
      </c>
      <c r="F967" s="22" t="s">
        <v>2223</v>
      </c>
      <c r="G967" s="88">
        <v>12</v>
      </c>
      <c r="H967" s="235">
        <f t="shared" si="131"/>
        <v>7.4074074074074066</v>
      </c>
      <c r="I967" s="88">
        <v>32</v>
      </c>
      <c r="J967" s="235">
        <f t="shared" si="132"/>
        <v>19.753086419753085</v>
      </c>
      <c r="K967" s="201">
        <v>240</v>
      </c>
      <c r="L967" s="252">
        <f>_xlfn.XLOOKUP($K967,Inputs!$C$6:$C$23,Inputs!$D$6:$D$23)*$I967</f>
        <v>15.25925925925926</v>
      </c>
      <c r="M967" s="68"/>
      <c r="N967" s="68"/>
      <c r="O967" s="187"/>
      <c r="P967" s="187"/>
      <c r="Q967" s="94">
        <v>0.9</v>
      </c>
      <c r="R967" s="68">
        <f>IF((42.4*(J967)^(-0.6595))&gt;=3,3,(IF(42.4*(J967)^(-0.6595)&lt;=0.5,0.5,(42.4*(J967)^(-0.6595)))))</f>
        <v>3</v>
      </c>
      <c r="S967" s="276">
        <f>_xlfn.XLOOKUP($K967,Inputs!$G$6:$G$23,Inputs!J$6:J$23)*$R967</f>
        <v>438.57868020304568</v>
      </c>
      <c r="T967" s="276">
        <f>_xlfn.XLOOKUP($K967,Inputs!$G$6:$G$23,Inputs!K$6:K$23)*$R967</f>
        <v>476.03305785123973</v>
      </c>
      <c r="U967" s="96" t="s">
        <v>4250</v>
      </c>
      <c r="V967" s="22" t="s">
        <v>4251</v>
      </c>
      <c r="W967" s="96" t="s">
        <v>3750</v>
      </c>
      <c r="X967" s="22" t="s">
        <v>3008</v>
      </c>
      <c r="Y967" s="11" t="s">
        <v>3331</v>
      </c>
      <c r="Z967" s="79"/>
      <c r="AA967" s="187">
        <v>955</v>
      </c>
    </row>
    <row r="968" spans="2:27" s="188" customFormat="1" ht="20" x14ac:dyDescent="0.2">
      <c r="B968" s="11" t="s">
        <v>1009</v>
      </c>
      <c r="C968" s="165" t="s">
        <v>4235</v>
      </c>
      <c r="D968" s="22" t="s">
        <v>2379</v>
      </c>
      <c r="E968" s="34">
        <v>1</v>
      </c>
      <c r="F968" s="22" t="s">
        <v>2223</v>
      </c>
      <c r="G968" s="235">
        <v>20</v>
      </c>
      <c r="H968" s="235">
        <f t="shared" si="131"/>
        <v>12.345679012345679</v>
      </c>
      <c r="I968" s="235">
        <v>20</v>
      </c>
      <c r="J968" s="235">
        <f t="shared" si="132"/>
        <v>12.345679012345679</v>
      </c>
      <c r="K968" s="201">
        <v>240</v>
      </c>
      <c r="L968" s="252">
        <f>_xlfn.XLOOKUP($K968,Inputs!$C$6:$C$23,Inputs!$D$6:$D$23)*$I968</f>
        <v>9.5370370370370381</v>
      </c>
      <c r="M968" s="68"/>
      <c r="N968" s="68"/>
      <c r="O968" s="209">
        <v>417</v>
      </c>
      <c r="P968" s="209">
        <v>499</v>
      </c>
      <c r="Q968" s="94">
        <v>0.9</v>
      </c>
      <c r="R968" s="68" t="s">
        <v>115</v>
      </c>
      <c r="S968" s="182">
        <f>O968*Q968</f>
        <v>375.3</v>
      </c>
      <c r="T968" s="182">
        <f>P968*Q968</f>
        <v>449.1</v>
      </c>
      <c r="U968" s="96" t="s">
        <v>3674</v>
      </c>
      <c r="V968" s="22" t="s">
        <v>2947</v>
      </c>
      <c r="W968" s="96" t="s">
        <v>3475</v>
      </c>
      <c r="X968" s="22" t="s">
        <v>2669</v>
      </c>
      <c r="Y968" s="11" t="s">
        <v>3304</v>
      </c>
      <c r="Z968" s="79"/>
      <c r="AA968" s="187">
        <v>956</v>
      </c>
    </row>
    <row r="969" spans="2:27" s="188" customFormat="1" ht="20" x14ac:dyDescent="0.2">
      <c r="B969" s="11" t="s">
        <v>1010</v>
      </c>
      <c r="C969" s="165" t="s">
        <v>4235</v>
      </c>
      <c r="D969" s="22" t="s">
        <v>2379</v>
      </c>
      <c r="E969" s="34">
        <v>1</v>
      </c>
      <c r="F969" s="22" t="s">
        <v>2223</v>
      </c>
      <c r="G969" s="235">
        <v>145</v>
      </c>
      <c r="H969" s="235">
        <f t="shared" si="131"/>
        <v>89.506172839506164</v>
      </c>
      <c r="I969" s="235">
        <v>145</v>
      </c>
      <c r="J969" s="235">
        <f t="shared" si="132"/>
        <v>89.506172839506164</v>
      </c>
      <c r="K969" s="201">
        <v>240</v>
      </c>
      <c r="L969" s="252">
        <f>_xlfn.XLOOKUP($K969,Inputs!$C$6:$C$23,Inputs!$D$6:$D$23)*$I969</f>
        <v>69.143518518518519</v>
      </c>
      <c r="M969" s="68"/>
      <c r="N969" s="68"/>
      <c r="O969" s="215">
        <v>466</v>
      </c>
      <c r="P969" s="215">
        <v>499</v>
      </c>
      <c r="Q969" s="94">
        <v>0.9</v>
      </c>
      <c r="R969" s="68" t="s">
        <v>115</v>
      </c>
      <c r="S969" s="182">
        <f>O969*Q969</f>
        <v>419.40000000000003</v>
      </c>
      <c r="T969" s="182">
        <f>P969*Q969</f>
        <v>449.1</v>
      </c>
      <c r="U969" s="96" t="s">
        <v>3861</v>
      </c>
      <c r="V969" s="22" t="s">
        <v>2723</v>
      </c>
      <c r="W969" s="96" t="s">
        <v>3383</v>
      </c>
      <c r="X969" s="22" t="s">
        <v>2747</v>
      </c>
      <c r="Y969" s="11" t="s">
        <v>3280</v>
      </c>
      <c r="Z969" s="79"/>
      <c r="AA969" s="187">
        <v>957</v>
      </c>
    </row>
    <row r="970" spans="2:27" s="188" customFormat="1" ht="20" x14ac:dyDescent="0.2">
      <c r="B970" s="11" t="s">
        <v>1011</v>
      </c>
      <c r="C970" s="165" t="s">
        <v>4235</v>
      </c>
      <c r="D970" s="22" t="s">
        <v>2379</v>
      </c>
      <c r="E970" s="34">
        <v>1</v>
      </c>
      <c r="F970" s="22" t="s">
        <v>2223</v>
      </c>
      <c r="G970" s="235">
        <v>50</v>
      </c>
      <c r="H970" s="235">
        <f t="shared" si="131"/>
        <v>30.864197530864196</v>
      </c>
      <c r="I970" s="235">
        <v>50</v>
      </c>
      <c r="J970" s="235">
        <f t="shared" si="132"/>
        <v>30.864197530864196</v>
      </c>
      <c r="K970" s="201">
        <v>240</v>
      </c>
      <c r="L970" s="252">
        <f>_xlfn.XLOOKUP($K970,Inputs!$C$6:$C$23,Inputs!$D$6:$D$23)*$I970</f>
        <v>23.842592592592592</v>
      </c>
      <c r="M970" s="68"/>
      <c r="N970" s="68"/>
      <c r="O970" s="215">
        <v>547</v>
      </c>
      <c r="P970" s="215">
        <v>676</v>
      </c>
      <c r="Q970" s="94">
        <v>0.9</v>
      </c>
      <c r="R970" s="68" t="s">
        <v>115</v>
      </c>
      <c r="S970" s="182">
        <f>O970*Q970</f>
        <v>492.3</v>
      </c>
      <c r="T970" s="182">
        <f>P970*Q970</f>
        <v>608.4</v>
      </c>
      <c r="U970" s="96" t="s">
        <v>3722</v>
      </c>
      <c r="V970" s="22" t="s">
        <v>2985</v>
      </c>
      <c r="W970" s="96" t="s">
        <v>3743</v>
      </c>
      <c r="X970" s="22" t="s">
        <v>3001</v>
      </c>
      <c r="Y970" s="11" t="s">
        <v>3303</v>
      </c>
      <c r="Z970" s="79"/>
      <c r="AA970" s="187">
        <v>958</v>
      </c>
    </row>
    <row r="971" spans="2:27" s="188" customFormat="1" ht="20" x14ac:dyDescent="0.2">
      <c r="B971" s="11" t="s">
        <v>1012</v>
      </c>
      <c r="C971" s="165" t="s">
        <v>4235</v>
      </c>
      <c r="D971" s="22" t="s">
        <v>2379</v>
      </c>
      <c r="E971" s="34">
        <v>1</v>
      </c>
      <c r="F971" s="22" t="s">
        <v>2223</v>
      </c>
      <c r="G971" s="235">
        <v>105</v>
      </c>
      <c r="H971" s="235">
        <f t="shared" si="131"/>
        <v>64.81481481481481</v>
      </c>
      <c r="I971" s="235">
        <v>105</v>
      </c>
      <c r="J971" s="235">
        <f t="shared" si="132"/>
        <v>64.81481481481481</v>
      </c>
      <c r="K971" s="201">
        <v>240</v>
      </c>
      <c r="L971" s="252">
        <f>_xlfn.XLOOKUP($K971,Inputs!$C$6:$C$23,Inputs!$D$6:$D$23)*$I971</f>
        <v>50.069444444444443</v>
      </c>
      <c r="M971" s="68"/>
      <c r="N971" s="68"/>
      <c r="O971" s="215">
        <v>547</v>
      </c>
      <c r="P971" s="215">
        <v>676</v>
      </c>
      <c r="Q971" s="94">
        <v>0.9</v>
      </c>
      <c r="R971" s="68" t="s">
        <v>115</v>
      </c>
      <c r="S971" s="182">
        <f>O971*Q971</f>
        <v>492.3</v>
      </c>
      <c r="T971" s="182">
        <f>P971*Q971</f>
        <v>608.4</v>
      </c>
      <c r="U971" s="96" t="s">
        <v>3722</v>
      </c>
      <c r="V971" s="22" t="s">
        <v>2985</v>
      </c>
      <c r="W971" s="96" t="s">
        <v>3676</v>
      </c>
      <c r="X971" s="22" t="s">
        <v>2949</v>
      </c>
      <c r="Y971" s="11" t="s">
        <v>3303</v>
      </c>
      <c r="Z971" s="79"/>
      <c r="AA971" s="187">
        <v>959</v>
      </c>
    </row>
    <row r="972" spans="2:27" s="188" customFormat="1" ht="20" x14ac:dyDescent="0.2">
      <c r="B972" s="11" t="s">
        <v>1013</v>
      </c>
      <c r="C972" s="165" t="s">
        <v>4235</v>
      </c>
      <c r="D972" s="22" t="s">
        <v>2379</v>
      </c>
      <c r="E972" s="34">
        <v>1</v>
      </c>
      <c r="F972" s="22" t="s">
        <v>2223</v>
      </c>
      <c r="G972" s="235">
        <v>154</v>
      </c>
      <c r="H972" s="235">
        <f t="shared" si="131"/>
        <v>95.061728395061721</v>
      </c>
      <c r="I972" s="235">
        <v>154</v>
      </c>
      <c r="J972" s="235">
        <f t="shared" si="132"/>
        <v>95.061728395061721</v>
      </c>
      <c r="K972" s="201">
        <v>240</v>
      </c>
      <c r="L972" s="252">
        <f>_xlfn.XLOOKUP($K972,Inputs!$C$6:$C$23,Inputs!$D$6:$D$23)*$I972</f>
        <v>73.43518518518519</v>
      </c>
      <c r="M972" s="68"/>
      <c r="N972" s="68"/>
      <c r="O972" s="187"/>
      <c r="P972" s="187"/>
      <c r="Q972" s="94">
        <v>0.9</v>
      </c>
      <c r="R972" s="68">
        <f>IF((42.4*(J972)^(-0.6595))&gt;=3,3,(IF(42.4*(J972)^(-0.6595)&lt;=0.5,0.5,(42.4*(J972)^(-0.6595)))))</f>
        <v>2.1031540917235723</v>
      </c>
      <c r="S972" s="276">
        <f>_xlfn.XLOOKUP($K972,Inputs!$G$6:$G$23,Inputs!J$6:J$23)*$R972</f>
        <v>307.46618193725322</v>
      </c>
      <c r="T972" s="276">
        <f>_xlfn.XLOOKUP($K972,Inputs!$G$6:$G$23,Inputs!K$6:K$23)*$R972</f>
        <v>333.72362447183957</v>
      </c>
      <c r="U972" s="96" t="s">
        <v>3639</v>
      </c>
      <c r="V972" s="22" t="s">
        <v>2919</v>
      </c>
      <c r="W972" s="96" t="s">
        <v>3793</v>
      </c>
      <c r="X972" s="22" t="s">
        <v>2618</v>
      </c>
      <c r="Y972" s="11" t="s">
        <v>3331</v>
      </c>
      <c r="Z972" s="79"/>
      <c r="AA972" s="187">
        <v>960</v>
      </c>
    </row>
    <row r="973" spans="2:27" s="188" customFormat="1" ht="20" x14ac:dyDescent="0.2">
      <c r="B973" s="11" t="s">
        <v>1014</v>
      </c>
      <c r="C973" s="165" t="s">
        <v>4235</v>
      </c>
      <c r="D973" s="22" t="s">
        <v>2379</v>
      </c>
      <c r="E973" s="34">
        <v>1</v>
      </c>
      <c r="F973" s="22" t="s">
        <v>2223</v>
      </c>
      <c r="G973" s="235">
        <v>145</v>
      </c>
      <c r="H973" s="235">
        <f t="shared" si="131"/>
        <v>89.506172839506164</v>
      </c>
      <c r="I973" s="235">
        <v>145</v>
      </c>
      <c r="J973" s="235">
        <f t="shared" si="132"/>
        <v>89.506172839506164</v>
      </c>
      <c r="K973" s="201">
        <v>240</v>
      </c>
      <c r="L973" s="252">
        <f>_xlfn.XLOOKUP($K973,Inputs!$C$6:$C$23,Inputs!$D$6:$D$23)*$I973</f>
        <v>69.143518518518519</v>
      </c>
      <c r="M973" s="68"/>
      <c r="N973" s="68"/>
      <c r="O973" s="215">
        <v>481</v>
      </c>
      <c r="P973" s="215">
        <v>499</v>
      </c>
      <c r="Q973" s="94">
        <v>0.9</v>
      </c>
      <c r="R973" s="68" t="s">
        <v>115</v>
      </c>
      <c r="S973" s="182">
        <f>O973*Q973</f>
        <v>432.90000000000003</v>
      </c>
      <c r="T973" s="182">
        <f>P973*Q973</f>
        <v>449.1</v>
      </c>
      <c r="U973" s="96" t="s">
        <v>3861</v>
      </c>
      <c r="V973" s="22" t="s">
        <v>2723</v>
      </c>
      <c r="W973" s="96" t="s">
        <v>3383</v>
      </c>
      <c r="X973" s="22" t="s">
        <v>2747</v>
      </c>
      <c r="Y973" s="11" t="s">
        <v>3280</v>
      </c>
      <c r="Z973" s="79"/>
      <c r="AA973" s="187">
        <v>961</v>
      </c>
    </row>
    <row r="974" spans="2:27" s="188" customFormat="1" ht="20" x14ac:dyDescent="0.2">
      <c r="B974" s="11" t="s">
        <v>1015</v>
      </c>
      <c r="C974" s="165" t="s">
        <v>4235</v>
      </c>
      <c r="D974" s="22" t="s">
        <v>2379</v>
      </c>
      <c r="E974" s="34">
        <v>1</v>
      </c>
      <c r="F974" s="22" t="s">
        <v>2223</v>
      </c>
      <c r="G974" s="235">
        <v>105</v>
      </c>
      <c r="H974" s="235">
        <f t="shared" si="131"/>
        <v>64.81481481481481</v>
      </c>
      <c r="I974" s="235">
        <v>105</v>
      </c>
      <c r="J974" s="235">
        <f t="shared" si="132"/>
        <v>64.81481481481481</v>
      </c>
      <c r="K974" s="201">
        <v>240</v>
      </c>
      <c r="L974" s="252">
        <f>_xlfn.XLOOKUP($K974,Inputs!$C$6:$C$23,Inputs!$D$6:$D$23)*$I974</f>
        <v>50.069444444444443</v>
      </c>
      <c r="M974" s="68"/>
      <c r="N974" s="68"/>
      <c r="O974" s="215">
        <v>576</v>
      </c>
      <c r="P974" s="215">
        <v>711</v>
      </c>
      <c r="Q974" s="94">
        <v>0.9</v>
      </c>
      <c r="R974" s="68" t="s">
        <v>115</v>
      </c>
      <c r="S974" s="182">
        <f>O974*Q974</f>
        <v>518.4</v>
      </c>
      <c r="T974" s="182">
        <f>P974*Q974</f>
        <v>639.9</v>
      </c>
      <c r="U974" s="96" t="s">
        <v>3722</v>
      </c>
      <c r="V974" s="22" t="s">
        <v>2985</v>
      </c>
      <c r="W974" s="96" t="s">
        <v>3676</v>
      </c>
      <c r="X974" s="205" t="s">
        <v>2949</v>
      </c>
      <c r="Y974" s="11" t="s">
        <v>3303</v>
      </c>
      <c r="Z974" s="79"/>
      <c r="AA974" s="187">
        <v>962</v>
      </c>
    </row>
    <row r="975" spans="2:27" s="188" customFormat="1" ht="20" x14ac:dyDescent="0.2">
      <c r="B975" s="11" t="s">
        <v>1016</v>
      </c>
      <c r="C975" s="165" t="s">
        <v>4235</v>
      </c>
      <c r="D975" s="22" t="s">
        <v>2379</v>
      </c>
      <c r="E975" s="34">
        <v>1</v>
      </c>
      <c r="F975" s="22" t="s">
        <v>2223</v>
      </c>
      <c r="G975" s="235">
        <v>180</v>
      </c>
      <c r="H975" s="235">
        <f t="shared" si="131"/>
        <v>111.1111111111111</v>
      </c>
      <c r="I975" s="235">
        <v>180</v>
      </c>
      <c r="J975" s="235">
        <f t="shared" si="132"/>
        <v>111.1111111111111</v>
      </c>
      <c r="K975" s="201">
        <v>240</v>
      </c>
      <c r="L975" s="252">
        <f>_xlfn.XLOOKUP($K975,Inputs!$C$6:$C$23,Inputs!$D$6:$D$23)*$I975</f>
        <v>85.833333333333329</v>
      </c>
      <c r="M975" s="68"/>
      <c r="N975" s="68"/>
      <c r="O975" s="187"/>
      <c r="P975" s="187"/>
      <c r="Q975" s="94">
        <v>0.9</v>
      </c>
      <c r="R975" s="68">
        <f>IF((42.4*(J975)^(-0.6595))&gt;=3,3,(IF(42.4*(J975)^(-0.6595)&lt;=0.5,0.5,(42.4*(J975)^(-0.6595)))))</f>
        <v>1.8975306149195212</v>
      </c>
      <c r="S975" s="276">
        <f>_xlfn.XLOOKUP($K975,Inputs!$G$6:$G$23,Inputs!J$6:J$23)*$R975</f>
        <v>277.40549091209243</v>
      </c>
      <c r="T975" s="276">
        <f>_xlfn.XLOOKUP($K975,Inputs!$G$6:$G$23,Inputs!K$6:K$23)*$R975</f>
        <v>301.09576699549427</v>
      </c>
      <c r="U975" s="96" t="s">
        <v>3383</v>
      </c>
      <c r="V975" s="22" t="s">
        <v>2747</v>
      </c>
      <c r="W975" s="96" t="s">
        <v>3818</v>
      </c>
      <c r="X975" s="205" t="s">
        <v>3064</v>
      </c>
      <c r="Y975" s="11" t="s">
        <v>3331</v>
      </c>
      <c r="Z975" s="79"/>
      <c r="AA975" s="187">
        <v>963</v>
      </c>
    </row>
    <row r="976" spans="2:27" s="188" customFormat="1" ht="20" x14ac:dyDescent="0.2">
      <c r="B976" s="11" t="s">
        <v>1613</v>
      </c>
      <c r="C976" s="165" t="s">
        <v>4235</v>
      </c>
      <c r="D976" s="22" t="s">
        <v>2379</v>
      </c>
      <c r="E976" s="34">
        <v>1</v>
      </c>
      <c r="F976" s="22" t="s">
        <v>2223</v>
      </c>
      <c r="G976" s="235">
        <v>125</v>
      </c>
      <c r="H976" s="235">
        <f t="shared" si="131"/>
        <v>77.160493827160494</v>
      </c>
      <c r="I976" s="235">
        <v>125</v>
      </c>
      <c r="J976" s="235">
        <f t="shared" si="132"/>
        <v>77.160493827160494</v>
      </c>
      <c r="K976" s="201">
        <v>240</v>
      </c>
      <c r="L976" s="252">
        <f>_xlfn.XLOOKUP($K976,Inputs!$C$6:$C$23,Inputs!$D$6:$D$23)*$I976</f>
        <v>59.606481481481481</v>
      </c>
      <c r="M976" s="68"/>
      <c r="N976" s="68"/>
      <c r="O976" s="187"/>
      <c r="P976" s="187"/>
      <c r="Q976" s="94">
        <v>0.9</v>
      </c>
      <c r="R976" s="68">
        <f>IF((42.4*(J976)^(-0.6595))&gt;=3,3,(IF(42.4*(J976)^(-0.6595)&lt;=0.5,0.5,(42.4*(J976)^(-0.6595)))))</f>
        <v>2.4133974810302496</v>
      </c>
      <c r="S976" s="276">
        <f>_xlfn.XLOOKUP($K976,Inputs!$G$6:$G$23,Inputs!J$6:J$23)*$R976</f>
        <v>352.82156067853396</v>
      </c>
      <c r="T976" s="276">
        <f>_xlfn.XLOOKUP($K976,Inputs!$G$6:$G$23,Inputs!K$6:K$23)*$R976</f>
        <v>382.95232756843632</v>
      </c>
      <c r="U976" s="96" t="s">
        <v>3639</v>
      </c>
      <c r="V976" s="22" t="s">
        <v>2919</v>
      </c>
      <c r="W976" s="96" t="s">
        <v>3607</v>
      </c>
      <c r="X976" s="22" t="s">
        <v>2895</v>
      </c>
      <c r="Y976" s="11" t="s">
        <v>3331</v>
      </c>
      <c r="Z976" s="79"/>
      <c r="AA976" s="187">
        <v>964</v>
      </c>
    </row>
    <row r="977" spans="1:27" s="188" customFormat="1" ht="20" x14ac:dyDescent="0.2">
      <c r="B977" s="11" t="s">
        <v>1018</v>
      </c>
      <c r="C977" s="165" t="s">
        <v>4235</v>
      </c>
      <c r="D977" s="22" t="s">
        <v>2379</v>
      </c>
      <c r="E977" s="34">
        <v>1</v>
      </c>
      <c r="F977" s="22" t="s">
        <v>2223</v>
      </c>
      <c r="G977" s="88">
        <v>18</v>
      </c>
      <c r="H977" s="235">
        <f t="shared" si="131"/>
        <v>11.111111111111111</v>
      </c>
      <c r="I977" s="88">
        <v>18</v>
      </c>
      <c r="J977" s="235">
        <f t="shared" si="132"/>
        <v>11.111111111111111</v>
      </c>
      <c r="K977" s="201">
        <v>240</v>
      </c>
      <c r="L977" s="252">
        <f>_xlfn.XLOOKUP($K977,Inputs!$C$6:$C$23,Inputs!$D$6:$D$23)*$I977</f>
        <v>8.5833333333333339</v>
      </c>
      <c r="M977" s="68"/>
      <c r="N977" s="68"/>
      <c r="O977" s="187"/>
      <c r="P977" s="187"/>
      <c r="Q977" s="94">
        <v>0.9</v>
      </c>
      <c r="R977" s="68">
        <f>IF((42.4*(J977)^(-0.6595))&gt;=3,3,(IF(42.4*(J977)^(-0.6595)&lt;=0.5,0.5,(42.4*(J977)^(-0.6595)))))</f>
        <v>3</v>
      </c>
      <c r="S977" s="276">
        <f>_xlfn.XLOOKUP($K977,Inputs!$G$6:$G$23,Inputs!J$6:J$23)*$R977</f>
        <v>438.57868020304568</v>
      </c>
      <c r="T977" s="276">
        <f>_xlfn.XLOOKUP($K977,Inputs!$G$6:$G$23,Inputs!K$6:K$23)*$R977</f>
        <v>476.03305785123973</v>
      </c>
      <c r="U977" s="96" t="s">
        <v>3783</v>
      </c>
      <c r="V977" s="22" t="s">
        <v>3035</v>
      </c>
      <c r="W977" s="96" t="s">
        <v>3750</v>
      </c>
      <c r="X977" s="22" t="s">
        <v>3008</v>
      </c>
      <c r="Y977" s="11" t="s">
        <v>3331</v>
      </c>
      <c r="Z977" s="79"/>
      <c r="AA977" s="187">
        <v>965</v>
      </c>
    </row>
    <row r="978" spans="1:27" s="188" customFormat="1" ht="20" x14ac:dyDescent="0.2">
      <c r="B978" s="11" t="s">
        <v>1019</v>
      </c>
      <c r="C978" s="165" t="s">
        <v>4235</v>
      </c>
      <c r="D978" s="22" t="s">
        <v>2379</v>
      </c>
      <c r="E978" s="34">
        <v>1</v>
      </c>
      <c r="F978" s="22" t="s">
        <v>2223</v>
      </c>
      <c r="G978" s="235">
        <v>31.5</v>
      </c>
      <c r="H978" s="235">
        <f t="shared" si="131"/>
        <v>19.444444444444443</v>
      </c>
      <c r="I978" s="235">
        <v>31.5</v>
      </c>
      <c r="J978" s="235">
        <f t="shared" si="132"/>
        <v>19.444444444444443</v>
      </c>
      <c r="K978" s="201">
        <v>240</v>
      </c>
      <c r="L978" s="252">
        <f>_xlfn.XLOOKUP($K978,Inputs!$C$6:$C$23,Inputs!$D$6:$D$23)*$I978</f>
        <v>15.020833333333334</v>
      </c>
      <c r="M978" s="68"/>
      <c r="N978" s="68"/>
      <c r="O978" s="215">
        <v>592</v>
      </c>
      <c r="P978" s="215">
        <v>665</v>
      </c>
      <c r="Q978" s="94">
        <v>0.9</v>
      </c>
      <c r="R978" s="68" t="s">
        <v>115</v>
      </c>
      <c r="S978" s="182">
        <f>O978*Q978</f>
        <v>532.80000000000007</v>
      </c>
      <c r="T978" s="182">
        <f>P978*Q978</f>
        <v>598.5</v>
      </c>
      <c r="U978" s="96" t="s">
        <v>3918</v>
      </c>
      <c r="V978" s="22" t="s">
        <v>3179</v>
      </c>
      <c r="W978" s="96" t="s">
        <v>3910</v>
      </c>
      <c r="X978" s="22" t="s">
        <v>3171</v>
      </c>
      <c r="Y978" s="11" t="s">
        <v>3291</v>
      </c>
      <c r="Z978" s="79"/>
      <c r="AA978" s="187">
        <v>966</v>
      </c>
    </row>
    <row r="979" spans="1:27" s="188" customFormat="1" ht="20" x14ac:dyDescent="0.2">
      <c r="B979" s="11" t="s">
        <v>1020</v>
      </c>
      <c r="C979" s="165" t="s">
        <v>4235</v>
      </c>
      <c r="D979" s="22" t="s">
        <v>2379</v>
      </c>
      <c r="E979" s="34">
        <v>1</v>
      </c>
      <c r="F979" s="22" t="s">
        <v>2223</v>
      </c>
      <c r="G979" s="235">
        <v>21</v>
      </c>
      <c r="H979" s="235">
        <f t="shared" si="131"/>
        <v>12.962962962962962</v>
      </c>
      <c r="I979" s="235">
        <v>21</v>
      </c>
      <c r="J979" s="235">
        <f t="shared" si="132"/>
        <v>12.962962962962962</v>
      </c>
      <c r="K979" s="201">
        <v>240</v>
      </c>
      <c r="L979" s="252">
        <f>_xlfn.XLOOKUP($K979,Inputs!$C$6:$C$23,Inputs!$D$6:$D$23)*$I979</f>
        <v>10.013888888888889</v>
      </c>
      <c r="M979" s="68"/>
      <c r="N979" s="68"/>
      <c r="O979" s="187"/>
      <c r="P979" s="187"/>
      <c r="Q979" s="94">
        <v>0.9</v>
      </c>
      <c r="R979" s="68">
        <f>IF((42.4*(J979)^(-0.6595))&gt;=3,3,(IF(42.4*(J979)^(-0.6595)&lt;=0.5,0.5,(42.4*(J979)^(-0.6595)))))</f>
        <v>3</v>
      </c>
      <c r="S979" s="276">
        <f>_xlfn.XLOOKUP($K979,Inputs!$G$6:$G$23,Inputs!J$6:J$23)*$R979</f>
        <v>438.57868020304568</v>
      </c>
      <c r="T979" s="276">
        <f>_xlfn.XLOOKUP($K979,Inputs!$G$6:$G$23,Inputs!K$6:K$23)*$R979</f>
        <v>476.03305785123973</v>
      </c>
      <c r="U979" s="96" t="s">
        <v>3639</v>
      </c>
      <c r="V979" s="22" t="s">
        <v>2919</v>
      </c>
      <c r="W979" s="96" t="s">
        <v>4248</v>
      </c>
      <c r="X979" s="22" t="s">
        <v>4249</v>
      </c>
      <c r="Y979" s="11" t="s">
        <v>3331</v>
      </c>
      <c r="Z979" s="79"/>
      <c r="AA979" s="187">
        <v>967</v>
      </c>
    </row>
    <row r="980" spans="1:27" s="188" customFormat="1" ht="20" x14ac:dyDescent="0.2">
      <c r="B980" s="11" t="s">
        <v>1021</v>
      </c>
      <c r="C980" s="165" t="s">
        <v>4235</v>
      </c>
      <c r="D980" s="22" t="s">
        <v>2379</v>
      </c>
      <c r="E980" s="34">
        <v>1</v>
      </c>
      <c r="F980" s="22" t="s">
        <v>2223</v>
      </c>
      <c r="G980" s="235">
        <v>70</v>
      </c>
      <c r="H980" s="235">
        <f t="shared" si="131"/>
        <v>43.209876543209873</v>
      </c>
      <c r="I980" s="235">
        <v>70</v>
      </c>
      <c r="J980" s="235">
        <f t="shared" si="132"/>
        <v>43.209876543209873</v>
      </c>
      <c r="K980" s="201">
        <v>240</v>
      </c>
      <c r="L980" s="252">
        <f>_xlfn.XLOOKUP($K980,Inputs!$C$6:$C$23,Inputs!$D$6:$D$23)*$I980</f>
        <v>33.379629629629633</v>
      </c>
      <c r="M980" s="68"/>
      <c r="N980" s="68"/>
      <c r="O980" s="215">
        <v>519</v>
      </c>
      <c r="P980" s="215">
        <v>663</v>
      </c>
      <c r="Q980" s="94">
        <v>0.9</v>
      </c>
      <c r="R980" s="68" t="s">
        <v>115</v>
      </c>
      <c r="S980" s="182">
        <f t="shared" ref="S980:S1006" si="133">O980*Q980</f>
        <v>467.1</v>
      </c>
      <c r="T980" s="182">
        <f t="shared" ref="T980:T1006" si="134">P980*Q980</f>
        <v>596.70000000000005</v>
      </c>
      <c r="U980" s="96" t="s">
        <v>3910</v>
      </c>
      <c r="V980" s="22" t="s">
        <v>3171</v>
      </c>
      <c r="W980" s="96" t="s">
        <v>3357</v>
      </c>
      <c r="X980" s="22" t="s">
        <v>2734</v>
      </c>
      <c r="Y980" s="11" t="s">
        <v>3318</v>
      </c>
      <c r="Z980" s="79"/>
      <c r="AA980" s="187">
        <v>968</v>
      </c>
    </row>
    <row r="981" spans="1:27" s="188" customFormat="1" ht="20" x14ac:dyDescent="0.2">
      <c r="B981" s="11" t="s">
        <v>1023</v>
      </c>
      <c r="C981" s="165" t="s">
        <v>4235</v>
      </c>
      <c r="D981" s="22" t="s">
        <v>2379</v>
      </c>
      <c r="E981" s="34">
        <v>1</v>
      </c>
      <c r="F981" s="22" t="s">
        <v>2223</v>
      </c>
      <c r="G981" s="235">
        <v>70</v>
      </c>
      <c r="H981" s="235">
        <f t="shared" si="131"/>
        <v>43.209876543209873</v>
      </c>
      <c r="I981" s="235">
        <v>70</v>
      </c>
      <c r="J981" s="235">
        <f t="shared" si="132"/>
        <v>43.209876543209873</v>
      </c>
      <c r="K981" s="201">
        <v>240</v>
      </c>
      <c r="L981" s="252">
        <f>_xlfn.XLOOKUP($K981,Inputs!$C$6:$C$23,Inputs!$D$6:$D$23)*$I981</f>
        <v>33.379629629629633</v>
      </c>
      <c r="M981" s="68"/>
      <c r="N981" s="68"/>
      <c r="O981" s="215">
        <v>519</v>
      </c>
      <c r="P981" s="215">
        <v>663</v>
      </c>
      <c r="Q981" s="94">
        <v>0.9</v>
      </c>
      <c r="R981" s="68" t="s">
        <v>115</v>
      </c>
      <c r="S981" s="182">
        <f t="shared" si="133"/>
        <v>467.1</v>
      </c>
      <c r="T981" s="182">
        <f t="shared" si="134"/>
        <v>596.70000000000005</v>
      </c>
      <c r="U981" s="96" t="s">
        <v>3910</v>
      </c>
      <c r="V981" s="22" t="s">
        <v>3171</v>
      </c>
      <c r="W981" s="96" t="s">
        <v>3357</v>
      </c>
      <c r="X981" s="22" t="s">
        <v>2734</v>
      </c>
      <c r="Y981" s="11" t="s">
        <v>3318</v>
      </c>
      <c r="Z981" s="79"/>
      <c r="AA981" s="187">
        <v>969</v>
      </c>
    </row>
    <row r="982" spans="1:27" s="188" customFormat="1" ht="20" x14ac:dyDescent="0.2">
      <c r="B982" s="11" t="s">
        <v>1024</v>
      </c>
      <c r="C982" s="165" t="s">
        <v>4235</v>
      </c>
      <c r="D982" s="22" t="s">
        <v>2379</v>
      </c>
      <c r="E982" s="34">
        <v>1</v>
      </c>
      <c r="F982" s="22" t="s">
        <v>2223</v>
      </c>
      <c r="G982" s="235">
        <v>60</v>
      </c>
      <c r="H982" s="235">
        <f t="shared" si="131"/>
        <v>37.037037037037038</v>
      </c>
      <c r="I982" s="235">
        <v>60</v>
      </c>
      <c r="J982" s="235">
        <f t="shared" si="132"/>
        <v>37.037037037037038</v>
      </c>
      <c r="K982" s="201">
        <v>240</v>
      </c>
      <c r="L982" s="252">
        <f>_xlfn.XLOOKUP($K982,Inputs!$C$6:$C$23,Inputs!$D$6:$D$23)*$I982</f>
        <v>28.611111111111111</v>
      </c>
      <c r="M982" s="68"/>
      <c r="N982" s="68"/>
      <c r="O982" s="215">
        <v>547</v>
      </c>
      <c r="P982" s="215">
        <v>676</v>
      </c>
      <c r="Q982" s="94">
        <v>0.9</v>
      </c>
      <c r="R982" s="68" t="s">
        <v>115</v>
      </c>
      <c r="S982" s="182">
        <f t="shared" si="133"/>
        <v>492.3</v>
      </c>
      <c r="T982" s="182">
        <f t="shared" si="134"/>
        <v>608.4</v>
      </c>
      <c r="U982" s="96" t="s">
        <v>3454</v>
      </c>
      <c r="V982" s="22" t="s">
        <v>2790</v>
      </c>
      <c r="W982" s="96" t="s">
        <v>3722</v>
      </c>
      <c r="X982" s="22" t="s">
        <v>2985</v>
      </c>
      <c r="Y982" s="11" t="s">
        <v>3303</v>
      </c>
      <c r="Z982" s="79"/>
      <c r="AA982" s="187">
        <v>970</v>
      </c>
    </row>
    <row r="983" spans="1:27" s="188" customFormat="1" ht="20" x14ac:dyDescent="0.2">
      <c r="B983" s="11" t="s">
        <v>1025</v>
      </c>
      <c r="C983" s="165" t="s">
        <v>4235</v>
      </c>
      <c r="D983" s="22" t="s">
        <v>2379</v>
      </c>
      <c r="E983" s="34">
        <v>1</v>
      </c>
      <c r="F983" s="22" t="s">
        <v>2223</v>
      </c>
      <c r="G983" s="235">
        <v>30</v>
      </c>
      <c r="H983" s="235">
        <f t="shared" si="131"/>
        <v>18.518518518518519</v>
      </c>
      <c r="I983" s="235">
        <v>30</v>
      </c>
      <c r="J983" s="235">
        <f t="shared" si="132"/>
        <v>18.518518518518519</v>
      </c>
      <c r="K983" s="201">
        <v>240</v>
      </c>
      <c r="L983" s="252">
        <f>_xlfn.XLOOKUP($K983,Inputs!$C$6:$C$23,Inputs!$D$6:$D$23)*$I983</f>
        <v>14.305555555555555</v>
      </c>
      <c r="M983" s="68"/>
      <c r="N983" s="68"/>
      <c r="O983" s="215">
        <v>481</v>
      </c>
      <c r="P983" s="215">
        <v>581</v>
      </c>
      <c r="Q983" s="94">
        <v>0.9</v>
      </c>
      <c r="R983" s="68" t="s">
        <v>115</v>
      </c>
      <c r="S983" s="182">
        <f t="shared" si="133"/>
        <v>432.90000000000003</v>
      </c>
      <c r="T983" s="182">
        <f t="shared" si="134"/>
        <v>522.9</v>
      </c>
      <c r="U983" s="96" t="s">
        <v>3520</v>
      </c>
      <c r="V983" s="22" t="s">
        <v>2835</v>
      </c>
      <c r="W983" s="96" t="s">
        <v>3676</v>
      </c>
      <c r="X983" s="22" t="s">
        <v>2949</v>
      </c>
      <c r="Y983" s="11" t="s">
        <v>4298</v>
      </c>
      <c r="Z983" s="79"/>
      <c r="AA983" s="187">
        <v>971</v>
      </c>
    </row>
    <row r="984" spans="1:27" s="188" customFormat="1" ht="20" x14ac:dyDescent="0.2">
      <c r="B984" s="11" t="s">
        <v>1026</v>
      </c>
      <c r="C984" s="165" t="s">
        <v>4235</v>
      </c>
      <c r="D984" s="22" t="s">
        <v>2379</v>
      </c>
      <c r="E984" s="34">
        <v>1</v>
      </c>
      <c r="F984" s="22" t="s">
        <v>2223</v>
      </c>
      <c r="G984" s="235">
        <v>30</v>
      </c>
      <c r="H984" s="235">
        <f t="shared" si="131"/>
        <v>18.518518518518519</v>
      </c>
      <c r="I984" s="235">
        <v>30</v>
      </c>
      <c r="J984" s="235">
        <f t="shared" si="132"/>
        <v>18.518518518518519</v>
      </c>
      <c r="K984" s="201">
        <v>240</v>
      </c>
      <c r="L984" s="252">
        <f>_xlfn.XLOOKUP($K984,Inputs!$C$6:$C$23,Inputs!$D$6:$D$23)*$I984</f>
        <v>14.305555555555555</v>
      </c>
      <c r="M984" s="68"/>
      <c r="N984" s="68"/>
      <c r="O984" s="215">
        <v>481</v>
      </c>
      <c r="P984" s="215">
        <v>581</v>
      </c>
      <c r="Q984" s="94">
        <v>0.9</v>
      </c>
      <c r="R984" s="68" t="s">
        <v>115</v>
      </c>
      <c r="S984" s="182">
        <f t="shared" si="133"/>
        <v>432.90000000000003</v>
      </c>
      <c r="T984" s="182">
        <f t="shared" si="134"/>
        <v>522.9</v>
      </c>
      <c r="U984" s="96" t="s">
        <v>3520</v>
      </c>
      <c r="V984" s="22" t="s">
        <v>2835</v>
      </c>
      <c r="W984" s="96" t="s">
        <v>3676</v>
      </c>
      <c r="X984" s="22" t="s">
        <v>2949</v>
      </c>
      <c r="Y984" s="11" t="s">
        <v>4298</v>
      </c>
      <c r="Z984" s="79"/>
      <c r="AA984" s="187">
        <v>972</v>
      </c>
    </row>
    <row r="985" spans="1:27" s="188" customFormat="1" ht="20" x14ac:dyDescent="0.2">
      <c r="B985" s="11" t="s">
        <v>1027</v>
      </c>
      <c r="C985" s="165" t="s">
        <v>4235</v>
      </c>
      <c r="D985" s="22" t="s">
        <v>2379</v>
      </c>
      <c r="E985" s="34">
        <v>1</v>
      </c>
      <c r="F985" s="22" t="s">
        <v>2223</v>
      </c>
      <c r="G985" s="88">
        <v>21</v>
      </c>
      <c r="H985" s="235">
        <f t="shared" si="131"/>
        <v>12.962962962962962</v>
      </c>
      <c r="I985" s="88">
        <v>21</v>
      </c>
      <c r="J985" s="235">
        <f t="shared" si="132"/>
        <v>12.962962962962962</v>
      </c>
      <c r="K985" s="201">
        <v>240</v>
      </c>
      <c r="L985" s="252">
        <f>_xlfn.XLOOKUP($K985,Inputs!$C$6:$C$23,Inputs!$D$6:$D$23)*$I985</f>
        <v>10.013888888888889</v>
      </c>
      <c r="M985" s="68"/>
      <c r="N985" s="68"/>
      <c r="O985" s="215">
        <v>481</v>
      </c>
      <c r="P985" s="215">
        <v>499</v>
      </c>
      <c r="Q985" s="94">
        <v>0.9</v>
      </c>
      <c r="R985" s="68" t="s">
        <v>115</v>
      </c>
      <c r="S985" s="182">
        <f t="shared" si="133"/>
        <v>432.90000000000003</v>
      </c>
      <c r="T985" s="182">
        <f t="shared" si="134"/>
        <v>449.1</v>
      </c>
      <c r="U985" s="96" t="s">
        <v>3773</v>
      </c>
      <c r="V985" s="22" t="s">
        <v>3027</v>
      </c>
      <c r="W985" s="96" t="s">
        <v>3752</v>
      </c>
      <c r="X985" s="22" t="s">
        <v>3010</v>
      </c>
      <c r="Y985" s="11" t="s">
        <v>3303</v>
      </c>
      <c r="Z985" s="79"/>
      <c r="AA985" s="187">
        <v>973</v>
      </c>
    </row>
    <row r="986" spans="1:27" s="188" customFormat="1" ht="20" x14ac:dyDescent="0.2">
      <c r="B986" s="11" t="s">
        <v>1028</v>
      </c>
      <c r="C986" s="165" t="s">
        <v>4235</v>
      </c>
      <c r="D986" s="22" t="s">
        <v>2379</v>
      </c>
      <c r="E986" s="34">
        <v>1</v>
      </c>
      <c r="F986" s="22" t="s">
        <v>2223</v>
      </c>
      <c r="G986" s="235">
        <v>25</v>
      </c>
      <c r="H986" s="235">
        <f t="shared" si="131"/>
        <v>15.432098765432098</v>
      </c>
      <c r="I986" s="235">
        <v>25</v>
      </c>
      <c r="J986" s="235">
        <f t="shared" si="132"/>
        <v>15.432098765432098</v>
      </c>
      <c r="K986" s="201">
        <v>240</v>
      </c>
      <c r="L986" s="252">
        <f>_xlfn.XLOOKUP($K986,Inputs!$C$6:$C$23,Inputs!$D$6:$D$23)*$I986</f>
        <v>11.921296296296296</v>
      </c>
      <c r="M986" s="68"/>
      <c r="N986" s="68"/>
      <c r="O986" s="215">
        <v>499</v>
      </c>
      <c r="P986" s="215">
        <v>499</v>
      </c>
      <c r="Q986" s="94">
        <v>0.9</v>
      </c>
      <c r="R986" s="68" t="s">
        <v>115</v>
      </c>
      <c r="S986" s="182">
        <f t="shared" si="133"/>
        <v>449.1</v>
      </c>
      <c r="T986" s="182">
        <f t="shared" si="134"/>
        <v>449.1</v>
      </c>
      <c r="U986" s="96" t="s">
        <v>3674</v>
      </c>
      <c r="V986" s="22" t="s">
        <v>2947</v>
      </c>
      <c r="W986" s="96" t="s">
        <v>3366</v>
      </c>
      <c r="X986" s="22" t="s">
        <v>2738</v>
      </c>
      <c r="Y986" s="11" t="s">
        <v>3297</v>
      </c>
      <c r="Z986" s="79"/>
      <c r="AA986" s="187">
        <v>974</v>
      </c>
    </row>
    <row r="987" spans="1:27" s="188" customFormat="1" ht="20" x14ac:dyDescent="0.2">
      <c r="B987" s="11" t="s">
        <v>1276</v>
      </c>
      <c r="C987" s="165" t="s">
        <v>4235</v>
      </c>
      <c r="D987" s="22" t="s">
        <v>2379</v>
      </c>
      <c r="E987" s="34">
        <v>1</v>
      </c>
      <c r="F987" s="22" t="s">
        <v>2223</v>
      </c>
      <c r="G987" s="235">
        <v>13</v>
      </c>
      <c r="H987" s="235">
        <f t="shared" si="131"/>
        <v>8.0246913580246915</v>
      </c>
      <c r="I987" s="235">
        <v>13</v>
      </c>
      <c r="J987" s="235">
        <f t="shared" si="132"/>
        <v>8.0246913580246915</v>
      </c>
      <c r="K987" s="201">
        <v>240</v>
      </c>
      <c r="L987" s="252">
        <f>_xlfn.XLOOKUP($K987,Inputs!$C$6:$C$23,Inputs!$D$6:$D$23)*$I987</f>
        <v>6.1990740740740744</v>
      </c>
      <c r="M987" s="68"/>
      <c r="N987" s="68"/>
      <c r="O987" s="215">
        <v>457</v>
      </c>
      <c r="P987" s="215">
        <v>457</v>
      </c>
      <c r="Q987" s="94">
        <v>0.9</v>
      </c>
      <c r="R987" s="68" t="s">
        <v>115</v>
      </c>
      <c r="S987" s="182">
        <f t="shared" si="133"/>
        <v>411.3</v>
      </c>
      <c r="T987" s="182">
        <f t="shared" si="134"/>
        <v>411.3</v>
      </c>
      <c r="U987" s="96" t="s">
        <v>3507</v>
      </c>
      <c r="V987" s="22" t="s">
        <v>2823</v>
      </c>
      <c r="W987" s="96" t="s">
        <v>3355</v>
      </c>
      <c r="X987" s="205" t="s">
        <v>2733</v>
      </c>
      <c r="Y987" s="11" t="s">
        <v>3300</v>
      </c>
      <c r="Z987" s="79"/>
      <c r="AA987" s="187">
        <v>975</v>
      </c>
    </row>
    <row r="988" spans="1:27" s="188" customFormat="1" ht="20" x14ac:dyDescent="0.2">
      <c r="B988" s="11" t="s">
        <v>1029</v>
      </c>
      <c r="C988" s="165" t="s">
        <v>4235</v>
      </c>
      <c r="D988" s="22" t="s">
        <v>2379</v>
      </c>
      <c r="E988" s="34">
        <v>1</v>
      </c>
      <c r="F988" s="22" t="s">
        <v>2223</v>
      </c>
      <c r="G988" s="235">
        <v>73.5</v>
      </c>
      <c r="H988" s="235">
        <f t="shared" si="131"/>
        <v>45.370370370370367</v>
      </c>
      <c r="I988" s="235">
        <v>73.5</v>
      </c>
      <c r="J988" s="235">
        <f t="shared" si="132"/>
        <v>45.370370370370367</v>
      </c>
      <c r="K988" s="201">
        <v>240</v>
      </c>
      <c r="L988" s="252">
        <f>_xlfn.XLOOKUP($K988,Inputs!$C$6:$C$23,Inputs!$D$6:$D$23)*$I988</f>
        <v>35.048611111111114</v>
      </c>
      <c r="M988" s="68"/>
      <c r="N988" s="68"/>
      <c r="O988" s="215">
        <v>550</v>
      </c>
      <c r="P988" s="215">
        <v>679</v>
      </c>
      <c r="Q988" s="94">
        <v>0.9</v>
      </c>
      <c r="R988" s="68" t="s">
        <v>115</v>
      </c>
      <c r="S988" s="182">
        <f t="shared" si="133"/>
        <v>495</v>
      </c>
      <c r="T988" s="182">
        <f t="shared" si="134"/>
        <v>611.1</v>
      </c>
      <c r="U988" s="96" t="s">
        <v>3642</v>
      </c>
      <c r="V988" s="22" t="s">
        <v>2683</v>
      </c>
      <c r="W988" s="96" t="s">
        <v>3910</v>
      </c>
      <c r="X988" s="22" t="s">
        <v>3171</v>
      </c>
      <c r="Y988" s="11" t="s">
        <v>3291</v>
      </c>
      <c r="Z988" s="79"/>
      <c r="AA988" s="187">
        <v>976</v>
      </c>
    </row>
    <row r="989" spans="1:27" s="188" customFormat="1" ht="20" x14ac:dyDescent="0.2">
      <c r="B989" s="11" t="s">
        <v>1030</v>
      </c>
      <c r="C989" s="165" t="s">
        <v>4235</v>
      </c>
      <c r="D989" s="22" t="s">
        <v>2379</v>
      </c>
      <c r="E989" s="34">
        <v>1</v>
      </c>
      <c r="F989" s="22" t="s">
        <v>2223</v>
      </c>
      <c r="G989" s="235">
        <v>70</v>
      </c>
      <c r="H989" s="235">
        <f t="shared" si="131"/>
        <v>43.209876543209873</v>
      </c>
      <c r="I989" s="235">
        <v>70</v>
      </c>
      <c r="J989" s="235">
        <f t="shared" si="132"/>
        <v>43.209876543209873</v>
      </c>
      <c r="K989" s="201">
        <v>240</v>
      </c>
      <c r="L989" s="252">
        <f>_xlfn.XLOOKUP($K989,Inputs!$C$6:$C$23,Inputs!$D$6:$D$23)*$I989</f>
        <v>33.379629629629633</v>
      </c>
      <c r="M989" s="68"/>
      <c r="N989" s="68"/>
      <c r="O989" s="215">
        <v>550</v>
      </c>
      <c r="P989" s="215">
        <v>679</v>
      </c>
      <c r="Q989" s="94">
        <v>0.9</v>
      </c>
      <c r="R989" s="68" t="s">
        <v>115</v>
      </c>
      <c r="S989" s="182">
        <f t="shared" si="133"/>
        <v>495</v>
      </c>
      <c r="T989" s="182">
        <f t="shared" si="134"/>
        <v>611.1</v>
      </c>
      <c r="U989" s="96" t="s">
        <v>3642</v>
      </c>
      <c r="V989" s="22" t="s">
        <v>2683</v>
      </c>
      <c r="W989" s="96" t="s">
        <v>3501</v>
      </c>
      <c r="X989" s="22" t="s">
        <v>2820</v>
      </c>
      <c r="Y989" s="11" t="s">
        <v>3284</v>
      </c>
      <c r="Z989" s="79"/>
      <c r="AA989" s="187">
        <v>977</v>
      </c>
    </row>
    <row r="990" spans="1:27" s="188" customFormat="1" ht="20" x14ac:dyDescent="0.2">
      <c r="B990" s="11" t="s">
        <v>1031</v>
      </c>
      <c r="C990" s="165" t="s">
        <v>4235</v>
      </c>
      <c r="D990" s="22" t="s">
        <v>2379</v>
      </c>
      <c r="E990" s="34">
        <v>1</v>
      </c>
      <c r="F990" s="22" t="s">
        <v>2223</v>
      </c>
      <c r="G990" s="235">
        <v>16.099999999999998</v>
      </c>
      <c r="H990" s="235">
        <f t="shared" si="131"/>
        <v>9.9382716049382704</v>
      </c>
      <c r="I990" s="235">
        <v>16.099999999999998</v>
      </c>
      <c r="J990" s="235">
        <f t="shared" si="132"/>
        <v>9.9382716049382704</v>
      </c>
      <c r="K990" s="221">
        <v>240</v>
      </c>
      <c r="L990" s="252">
        <f>_xlfn.XLOOKUP($K990,Inputs!$C$6:$C$23,Inputs!$D$6:$D$23)*$I990</f>
        <v>7.6773148148148138</v>
      </c>
      <c r="M990" s="68"/>
      <c r="N990" s="68"/>
      <c r="O990" s="216">
        <v>494</v>
      </c>
      <c r="P990" s="216">
        <v>499</v>
      </c>
      <c r="Q990" s="94">
        <v>0.9</v>
      </c>
      <c r="R990" s="68" t="s">
        <v>115</v>
      </c>
      <c r="S990" s="182">
        <f t="shared" si="133"/>
        <v>444.6</v>
      </c>
      <c r="T990" s="182">
        <f t="shared" si="134"/>
        <v>449.1</v>
      </c>
      <c r="U990" s="96" t="s">
        <v>3535</v>
      </c>
      <c r="V990" s="22" t="s">
        <v>2843</v>
      </c>
      <c r="W990" s="96" t="s">
        <v>3524</v>
      </c>
      <c r="X990" s="22" t="s">
        <v>2837</v>
      </c>
      <c r="Y990" s="11" t="s">
        <v>3306</v>
      </c>
      <c r="Z990" s="79"/>
      <c r="AA990" s="187">
        <v>978</v>
      </c>
    </row>
    <row r="991" spans="1:27" s="188" customFormat="1" ht="20" x14ac:dyDescent="0.2">
      <c r="B991" s="11" t="s">
        <v>1032</v>
      </c>
      <c r="C991" s="165" t="s">
        <v>4235</v>
      </c>
      <c r="D991" s="22" t="s">
        <v>2379</v>
      </c>
      <c r="E991" s="34">
        <v>1</v>
      </c>
      <c r="F991" s="22" t="s">
        <v>2223</v>
      </c>
      <c r="G991" s="235">
        <v>23.574999999999999</v>
      </c>
      <c r="H991" s="235">
        <f t="shared" si="131"/>
        <v>14.552469135802468</v>
      </c>
      <c r="I991" s="235">
        <v>23.574999999999999</v>
      </c>
      <c r="J991" s="235">
        <f t="shared" si="132"/>
        <v>14.552469135802468</v>
      </c>
      <c r="K991" s="201">
        <v>240</v>
      </c>
      <c r="L991" s="252">
        <f>_xlfn.XLOOKUP($K991,Inputs!$C$6:$C$23,Inputs!$D$6:$D$23)*$I991</f>
        <v>11.241782407407408</v>
      </c>
      <c r="M991" s="68"/>
      <c r="N991" s="68"/>
      <c r="O991" s="209">
        <v>493</v>
      </c>
      <c r="P991" s="209">
        <v>611</v>
      </c>
      <c r="Q991" s="94">
        <v>0.9</v>
      </c>
      <c r="R991" s="68" t="s">
        <v>115</v>
      </c>
      <c r="S991" s="182">
        <f t="shared" si="133"/>
        <v>443.7</v>
      </c>
      <c r="T991" s="182">
        <f t="shared" si="134"/>
        <v>549.9</v>
      </c>
      <c r="U991" s="96" t="s">
        <v>3475</v>
      </c>
      <c r="V991" s="22" t="s">
        <v>2669</v>
      </c>
      <c r="W991" s="96" t="s">
        <v>3535</v>
      </c>
      <c r="X991" s="22" t="s">
        <v>2843</v>
      </c>
      <c r="Y991" s="11" t="s">
        <v>3304</v>
      </c>
      <c r="Z991" s="79"/>
      <c r="AA991" s="187">
        <v>979</v>
      </c>
    </row>
    <row r="992" spans="1:27" s="188" customFormat="1" ht="20" x14ac:dyDescent="0.2">
      <c r="A992" s="297"/>
      <c r="B992" s="11" t="s">
        <v>1033</v>
      </c>
      <c r="C992" s="165" t="s">
        <v>4235</v>
      </c>
      <c r="D992" s="22" t="s">
        <v>2379</v>
      </c>
      <c r="E992" s="34">
        <v>1</v>
      </c>
      <c r="F992" s="22" t="s">
        <v>2223</v>
      </c>
      <c r="G992" s="235">
        <v>90</v>
      </c>
      <c r="H992" s="235">
        <f t="shared" si="131"/>
        <v>55.55555555555555</v>
      </c>
      <c r="I992" s="235">
        <v>90</v>
      </c>
      <c r="J992" s="235">
        <f t="shared" si="132"/>
        <v>55.55555555555555</v>
      </c>
      <c r="K992" s="201">
        <v>240</v>
      </c>
      <c r="L992" s="252">
        <f>_xlfn.XLOOKUP($K992,Inputs!$C$6:$C$23,Inputs!$D$6:$D$23)*$I992</f>
        <v>42.916666666666664</v>
      </c>
      <c r="M992" s="68"/>
      <c r="N992" s="68"/>
      <c r="O992" s="215">
        <v>507</v>
      </c>
      <c r="P992" s="215">
        <v>613</v>
      </c>
      <c r="Q992" s="94">
        <v>0.9</v>
      </c>
      <c r="R992" s="68" t="s">
        <v>115</v>
      </c>
      <c r="S992" s="182">
        <f t="shared" si="133"/>
        <v>456.3</v>
      </c>
      <c r="T992" s="182">
        <f t="shared" si="134"/>
        <v>551.70000000000005</v>
      </c>
      <c r="U992" s="96" t="s">
        <v>3765</v>
      </c>
      <c r="V992" s="22" t="s">
        <v>4365</v>
      </c>
      <c r="W992" s="96" t="s">
        <v>3599</v>
      </c>
      <c r="X992" s="22" t="s">
        <v>2888</v>
      </c>
      <c r="Y992" s="11" t="s">
        <v>3316</v>
      </c>
      <c r="Z992" s="79"/>
      <c r="AA992" s="187">
        <v>980</v>
      </c>
    </row>
    <row r="993" spans="2:27" s="188" customFormat="1" ht="20" x14ac:dyDescent="0.2">
      <c r="B993" s="11" t="s">
        <v>1035</v>
      </c>
      <c r="C993" s="165" t="s">
        <v>4235</v>
      </c>
      <c r="D993" s="22" t="s">
        <v>2379</v>
      </c>
      <c r="E993" s="34">
        <v>1</v>
      </c>
      <c r="F993" s="22" t="s">
        <v>2223</v>
      </c>
      <c r="G993" s="235">
        <v>73.5</v>
      </c>
      <c r="H993" s="235">
        <f t="shared" si="131"/>
        <v>45.370370370370367</v>
      </c>
      <c r="I993" s="235">
        <v>73.5</v>
      </c>
      <c r="J993" s="235">
        <f t="shared" si="132"/>
        <v>45.370370370370367</v>
      </c>
      <c r="K993" s="201">
        <v>240</v>
      </c>
      <c r="L993" s="252">
        <f>_xlfn.XLOOKUP($K993,Inputs!$C$6:$C$23,Inputs!$D$6:$D$23)*$I993</f>
        <v>35.048611111111114</v>
      </c>
      <c r="M993" s="68"/>
      <c r="N993" s="68"/>
      <c r="O993" s="215">
        <v>550</v>
      </c>
      <c r="P993" s="215">
        <v>679</v>
      </c>
      <c r="Q993" s="94">
        <v>0.9</v>
      </c>
      <c r="R993" s="68" t="s">
        <v>115</v>
      </c>
      <c r="S993" s="182">
        <f t="shared" si="133"/>
        <v>495</v>
      </c>
      <c r="T993" s="182">
        <f t="shared" si="134"/>
        <v>611.1</v>
      </c>
      <c r="U993" s="96" t="s">
        <v>3642</v>
      </c>
      <c r="V993" s="22" t="s">
        <v>2683</v>
      </c>
      <c r="W993" s="96" t="s">
        <v>3910</v>
      </c>
      <c r="X993" s="22" t="s">
        <v>3171</v>
      </c>
      <c r="Y993" s="11" t="s">
        <v>3291</v>
      </c>
      <c r="Z993" s="79"/>
      <c r="AA993" s="187">
        <v>981</v>
      </c>
    </row>
    <row r="994" spans="2:27" s="188" customFormat="1" ht="20" x14ac:dyDescent="0.2">
      <c r="B994" s="11" t="s">
        <v>1036</v>
      </c>
      <c r="C994" s="165" t="s">
        <v>4235</v>
      </c>
      <c r="D994" s="22" t="s">
        <v>2379</v>
      </c>
      <c r="E994" s="34">
        <v>1</v>
      </c>
      <c r="F994" s="22" t="s">
        <v>2223</v>
      </c>
      <c r="G994" s="235">
        <v>80</v>
      </c>
      <c r="H994" s="235">
        <f t="shared" si="131"/>
        <v>49.382716049382715</v>
      </c>
      <c r="I994" s="235">
        <v>80</v>
      </c>
      <c r="J994" s="235">
        <f t="shared" si="132"/>
        <v>49.382716049382715</v>
      </c>
      <c r="K994" s="201">
        <v>240</v>
      </c>
      <c r="L994" s="252">
        <f>_xlfn.XLOOKUP($K994,Inputs!$C$6:$C$23,Inputs!$D$6:$D$23)*$I994</f>
        <v>38.148148148148152</v>
      </c>
      <c r="M994" s="68"/>
      <c r="N994" s="68"/>
      <c r="O994" s="215">
        <v>520</v>
      </c>
      <c r="P994" s="215">
        <v>663</v>
      </c>
      <c r="Q994" s="94">
        <v>0.9</v>
      </c>
      <c r="R994" s="68" t="s">
        <v>115</v>
      </c>
      <c r="S994" s="182">
        <f t="shared" si="133"/>
        <v>468</v>
      </c>
      <c r="T994" s="182">
        <f t="shared" si="134"/>
        <v>596.70000000000005</v>
      </c>
      <c r="U994" s="96" t="s">
        <v>3489</v>
      </c>
      <c r="V994" s="22" t="s">
        <v>2810</v>
      </c>
      <c r="W994" s="96" t="s">
        <v>3744</v>
      </c>
      <c r="X994" s="22" t="s">
        <v>3002</v>
      </c>
      <c r="Y994" s="11" t="s">
        <v>3317</v>
      </c>
      <c r="Z994" s="79"/>
      <c r="AA994" s="187">
        <v>982</v>
      </c>
    </row>
    <row r="995" spans="2:27" s="188" customFormat="1" ht="20" x14ac:dyDescent="0.2">
      <c r="B995" s="11" t="s">
        <v>1497</v>
      </c>
      <c r="C995" s="165" t="s">
        <v>4235</v>
      </c>
      <c r="D995" s="22" t="s">
        <v>2379</v>
      </c>
      <c r="E995" s="34">
        <v>1</v>
      </c>
      <c r="F995" s="22" t="s">
        <v>2223</v>
      </c>
      <c r="G995" s="88">
        <v>6</v>
      </c>
      <c r="H995" s="235">
        <f t="shared" si="131"/>
        <v>3.7037037037037033</v>
      </c>
      <c r="I995" s="88">
        <v>6</v>
      </c>
      <c r="J995" s="235">
        <f t="shared" si="132"/>
        <v>3.7037037037037033</v>
      </c>
      <c r="K995" s="201">
        <v>240</v>
      </c>
      <c r="L995" s="252">
        <f>_xlfn.XLOOKUP($K995,Inputs!$C$6:$C$23,Inputs!$D$6:$D$23)*$I995</f>
        <v>2.8611111111111112</v>
      </c>
      <c r="M995" s="68"/>
      <c r="N995" s="68"/>
      <c r="O995" s="215">
        <v>333</v>
      </c>
      <c r="P995" s="215">
        <v>333</v>
      </c>
      <c r="Q995" s="94">
        <v>0.9</v>
      </c>
      <c r="R995" s="68" t="s">
        <v>115</v>
      </c>
      <c r="S995" s="182">
        <f t="shared" si="133"/>
        <v>299.7</v>
      </c>
      <c r="T995" s="182">
        <f t="shared" si="134"/>
        <v>299.7</v>
      </c>
      <c r="U995" s="96" t="s">
        <v>3718</v>
      </c>
      <c r="V995" s="22" t="s">
        <v>2982</v>
      </c>
      <c r="W995" s="96" t="s">
        <v>3599</v>
      </c>
      <c r="X995" s="22" t="s">
        <v>2888</v>
      </c>
      <c r="Y995" s="11" t="s">
        <v>3282</v>
      </c>
      <c r="Z995" s="79"/>
      <c r="AA995" s="187">
        <v>983</v>
      </c>
    </row>
    <row r="996" spans="2:27" s="190" customFormat="1" ht="20" x14ac:dyDescent="0.2">
      <c r="B996" s="11" t="s">
        <v>1038</v>
      </c>
      <c r="C996" s="165" t="s">
        <v>4235</v>
      </c>
      <c r="D996" s="22" t="s">
        <v>2379</v>
      </c>
      <c r="E996" s="34">
        <v>1</v>
      </c>
      <c r="F996" s="22" t="s">
        <v>2223</v>
      </c>
      <c r="G996" s="235">
        <v>30</v>
      </c>
      <c r="H996" s="235">
        <f t="shared" si="131"/>
        <v>18.518518518518519</v>
      </c>
      <c r="I996" s="235">
        <v>30</v>
      </c>
      <c r="J996" s="235">
        <f t="shared" si="132"/>
        <v>18.518518518518519</v>
      </c>
      <c r="K996" s="201">
        <v>240</v>
      </c>
      <c r="L996" s="252">
        <f>_xlfn.XLOOKUP($K996,Inputs!$C$6:$C$23,Inputs!$D$6:$D$23)*$I996</f>
        <v>14.305555555555555</v>
      </c>
      <c r="M996" s="68"/>
      <c r="N996" s="68"/>
      <c r="O996" s="215">
        <v>611</v>
      </c>
      <c r="P996" s="215">
        <v>751</v>
      </c>
      <c r="Q996" s="94">
        <v>0.9</v>
      </c>
      <c r="R996" s="68" t="s">
        <v>115</v>
      </c>
      <c r="S996" s="182">
        <f t="shared" si="133"/>
        <v>549.9</v>
      </c>
      <c r="T996" s="182">
        <f t="shared" si="134"/>
        <v>675.9</v>
      </c>
      <c r="U996" s="96" t="s">
        <v>3584</v>
      </c>
      <c r="V996" s="22" t="s">
        <v>2620</v>
      </c>
      <c r="W996" s="96" t="s">
        <v>3769</v>
      </c>
      <c r="X996" s="22" t="s">
        <v>3023</v>
      </c>
      <c r="Y996" s="11" t="s">
        <v>3307</v>
      </c>
      <c r="Z996" s="79"/>
      <c r="AA996" s="187">
        <v>984</v>
      </c>
    </row>
    <row r="997" spans="2:27" s="190" customFormat="1" ht="20" x14ac:dyDescent="0.2">
      <c r="B997" s="11" t="s">
        <v>1039</v>
      </c>
      <c r="C997" s="165" t="s">
        <v>4235</v>
      </c>
      <c r="D997" s="22" t="s">
        <v>2379</v>
      </c>
      <c r="E997" s="34">
        <v>1</v>
      </c>
      <c r="F997" s="22" t="s">
        <v>2223</v>
      </c>
      <c r="G997" s="235">
        <v>30</v>
      </c>
      <c r="H997" s="235">
        <f t="shared" si="131"/>
        <v>18.518518518518519</v>
      </c>
      <c r="I997" s="235">
        <v>30</v>
      </c>
      <c r="J997" s="235">
        <f t="shared" si="132"/>
        <v>18.518518518518519</v>
      </c>
      <c r="K997" s="201">
        <v>240</v>
      </c>
      <c r="L997" s="252">
        <f>_xlfn.XLOOKUP($K997,Inputs!$C$6:$C$23,Inputs!$D$6:$D$23)*$I997</f>
        <v>14.305555555555555</v>
      </c>
      <c r="M997" s="68"/>
      <c r="N997" s="68"/>
      <c r="O997" s="215">
        <v>611</v>
      </c>
      <c r="P997" s="215">
        <v>751</v>
      </c>
      <c r="Q997" s="94">
        <v>0.9</v>
      </c>
      <c r="R997" s="68" t="s">
        <v>115</v>
      </c>
      <c r="S997" s="182">
        <f t="shared" si="133"/>
        <v>549.9</v>
      </c>
      <c r="T997" s="182">
        <f t="shared" si="134"/>
        <v>675.9</v>
      </c>
      <c r="U997" s="96" t="s">
        <v>3584</v>
      </c>
      <c r="V997" s="22" t="s">
        <v>2620</v>
      </c>
      <c r="W997" s="96" t="s">
        <v>3769</v>
      </c>
      <c r="X997" s="22" t="s">
        <v>3023</v>
      </c>
      <c r="Y997" s="11" t="s">
        <v>3307</v>
      </c>
      <c r="Z997" s="79"/>
      <c r="AA997" s="187">
        <v>985</v>
      </c>
    </row>
    <row r="998" spans="2:27" s="190" customFormat="1" ht="20" x14ac:dyDescent="0.2">
      <c r="B998" s="11" t="s">
        <v>1040</v>
      </c>
      <c r="C998" s="165" t="s">
        <v>4235</v>
      </c>
      <c r="D998" s="22" t="s">
        <v>2379</v>
      </c>
      <c r="E998" s="34">
        <v>1</v>
      </c>
      <c r="F998" s="22" t="s">
        <v>2223</v>
      </c>
      <c r="G998" s="88">
        <v>33.6</v>
      </c>
      <c r="H998" s="235">
        <f t="shared" si="131"/>
        <v>20.74074074074074</v>
      </c>
      <c r="I998" s="88">
        <v>33.6</v>
      </c>
      <c r="J998" s="235">
        <f t="shared" si="132"/>
        <v>20.74074074074074</v>
      </c>
      <c r="K998" s="201">
        <v>240</v>
      </c>
      <c r="L998" s="252">
        <f>_xlfn.XLOOKUP($K998,Inputs!$C$6:$C$23,Inputs!$D$6:$D$23)*$I998</f>
        <v>16.022222222222222</v>
      </c>
      <c r="M998" s="68"/>
      <c r="N998" s="68"/>
      <c r="O998" s="215">
        <v>594</v>
      </c>
      <c r="P998" s="215">
        <v>713</v>
      </c>
      <c r="Q998" s="94">
        <v>0.9</v>
      </c>
      <c r="R998" s="68" t="s">
        <v>115</v>
      </c>
      <c r="S998" s="182">
        <f t="shared" si="133"/>
        <v>534.6</v>
      </c>
      <c r="T998" s="182">
        <f t="shared" si="134"/>
        <v>641.70000000000005</v>
      </c>
      <c r="U998" s="96" t="s">
        <v>3472</v>
      </c>
      <c r="V998" s="22" t="s">
        <v>2668</v>
      </c>
      <c r="W998" s="96" t="s">
        <v>3679</v>
      </c>
      <c r="X998" s="22" t="s">
        <v>2952</v>
      </c>
      <c r="Y998" s="11" t="s">
        <v>3294</v>
      </c>
      <c r="Z998" s="79"/>
      <c r="AA998" s="187">
        <v>986</v>
      </c>
    </row>
    <row r="999" spans="2:27" s="190" customFormat="1" ht="20" x14ac:dyDescent="0.2">
      <c r="B999" s="11" t="s">
        <v>1041</v>
      </c>
      <c r="C999" s="165" t="s">
        <v>4235</v>
      </c>
      <c r="D999" s="22" t="s">
        <v>2379</v>
      </c>
      <c r="E999" s="34">
        <v>1</v>
      </c>
      <c r="F999" s="22" t="s">
        <v>2223</v>
      </c>
      <c r="G999" s="235">
        <v>80</v>
      </c>
      <c r="H999" s="235">
        <f t="shared" si="131"/>
        <v>49.382716049382715</v>
      </c>
      <c r="I999" s="235">
        <v>80</v>
      </c>
      <c r="J999" s="235">
        <f t="shared" si="132"/>
        <v>49.382716049382715</v>
      </c>
      <c r="K999" s="201">
        <v>240</v>
      </c>
      <c r="L999" s="252">
        <f>_xlfn.XLOOKUP($K999,Inputs!$C$6:$C$23,Inputs!$D$6:$D$23)*$I999</f>
        <v>38.148148148148152</v>
      </c>
      <c r="M999" s="68"/>
      <c r="N999" s="68"/>
      <c r="O999" s="215">
        <v>952</v>
      </c>
      <c r="P999" s="215">
        <v>1047</v>
      </c>
      <c r="Q999" s="94">
        <v>0.9</v>
      </c>
      <c r="R999" s="68" t="s">
        <v>115</v>
      </c>
      <c r="S999" s="182">
        <f t="shared" si="133"/>
        <v>856.80000000000007</v>
      </c>
      <c r="T999" s="182">
        <f t="shared" si="134"/>
        <v>942.30000000000007</v>
      </c>
      <c r="U999" s="96" t="s">
        <v>3415</v>
      </c>
      <c r="V999" s="22" t="s">
        <v>2768</v>
      </c>
      <c r="W999" s="96" t="s">
        <v>3934</v>
      </c>
      <c r="X999" s="22" t="s">
        <v>2622</v>
      </c>
      <c r="Y999" s="11" t="s">
        <v>3323</v>
      </c>
      <c r="Z999" s="79"/>
      <c r="AA999" s="187">
        <v>987</v>
      </c>
    </row>
    <row r="1000" spans="2:27" s="190" customFormat="1" ht="20" x14ac:dyDescent="0.2">
      <c r="B1000" s="11" t="s">
        <v>1042</v>
      </c>
      <c r="C1000" s="165" t="s">
        <v>4235</v>
      </c>
      <c r="D1000" s="22" t="s">
        <v>2379</v>
      </c>
      <c r="E1000" s="34">
        <v>1</v>
      </c>
      <c r="F1000" s="22" t="s">
        <v>2223</v>
      </c>
      <c r="G1000" s="235">
        <v>60</v>
      </c>
      <c r="H1000" s="235">
        <f t="shared" si="131"/>
        <v>37.037037037037038</v>
      </c>
      <c r="I1000" s="235">
        <v>60</v>
      </c>
      <c r="J1000" s="235">
        <f t="shared" si="132"/>
        <v>37.037037037037038</v>
      </c>
      <c r="K1000" s="201">
        <v>240</v>
      </c>
      <c r="L1000" s="252">
        <f>_xlfn.XLOOKUP($K1000,Inputs!$C$6:$C$23,Inputs!$D$6:$D$23)*$I1000</f>
        <v>28.611111111111111</v>
      </c>
      <c r="M1000" s="68"/>
      <c r="N1000" s="68"/>
      <c r="O1000" s="215">
        <v>332</v>
      </c>
      <c r="P1000" s="215">
        <v>332</v>
      </c>
      <c r="Q1000" s="94">
        <v>0.9</v>
      </c>
      <c r="R1000" s="68" t="s">
        <v>115</v>
      </c>
      <c r="S1000" s="182">
        <f t="shared" si="133"/>
        <v>298.8</v>
      </c>
      <c r="T1000" s="182">
        <f t="shared" si="134"/>
        <v>298.8</v>
      </c>
      <c r="U1000" s="96" t="s">
        <v>3770</v>
      </c>
      <c r="V1000" s="22" t="s">
        <v>3024</v>
      </c>
      <c r="W1000" s="96" t="s">
        <v>3599</v>
      </c>
      <c r="X1000" s="22" t="s">
        <v>2888</v>
      </c>
      <c r="Y1000" s="11" t="s">
        <v>3282</v>
      </c>
      <c r="Z1000" s="79"/>
      <c r="AA1000" s="187">
        <v>988</v>
      </c>
    </row>
    <row r="1001" spans="2:27" s="190" customFormat="1" ht="20" x14ac:dyDescent="0.2">
      <c r="B1001" s="11" t="s">
        <v>1044</v>
      </c>
      <c r="C1001" s="165" t="s">
        <v>4235</v>
      </c>
      <c r="D1001" s="22" t="s">
        <v>2379</v>
      </c>
      <c r="E1001" s="34">
        <v>1</v>
      </c>
      <c r="F1001" s="22" t="s">
        <v>2223</v>
      </c>
      <c r="G1001" s="88">
        <v>38.5</v>
      </c>
      <c r="H1001" s="235">
        <f t="shared" si="131"/>
        <v>23.76543209876543</v>
      </c>
      <c r="I1001" s="88">
        <v>38.5</v>
      </c>
      <c r="J1001" s="235">
        <f t="shared" si="132"/>
        <v>23.76543209876543</v>
      </c>
      <c r="K1001" s="201">
        <v>240</v>
      </c>
      <c r="L1001" s="252">
        <f>_xlfn.XLOOKUP($K1001,Inputs!$C$6:$C$23,Inputs!$D$6:$D$23)*$I1001</f>
        <v>18.358796296296298</v>
      </c>
      <c r="M1001" s="68"/>
      <c r="N1001" s="68"/>
      <c r="O1001" s="215">
        <v>499</v>
      </c>
      <c r="P1001" s="215">
        <v>499</v>
      </c>
      <c r="Q1001" s="94">
        <v>0.9</v>
      </c>
      <c r="R1001" s="68" t="s">
        <v>115</v>
      </c>
      <c r="S1001" s="182">
        <f t="shared" si="133"/>
        <v>449.1</v>
      </c>
      <c r="T1001" s="182">
        <f t="shared" si="134"/>
        <v>449.1</v>
      </c>
      <c r="U1001" s="96" t="s">
        <v>3937</v>
      </c>
      <c r="V1001" s="22" t="s">
        <v>2651</v>
      </c>
      <c r="W1001" s="96" t="s">
        <v>3752</v>
      </c>
      <c r="X1001" s="22" t="s">
        <v>3010</v>
      </c>
      <c r="Y1001" s="11" t="s">
        <v>3303</v>
      </c>
      <c r="Z1001" s="79"/>
      <c r="AA1001" s="187">
        <v>989</v>
      </c>
    </row>
    <row r="1002" spans="2:27" s="190" customFormat="1" ht="20" x14ac:dyDescent="0.2">
      <c r="B1002" s="11" t="s">
        <v>1045</v>
      </c>
      <c r="C1002" s="165" t="s">
        <v>4235</v>
      </c>
      <c r="D1002" s="22" t="s">
        <v>2379</v>
      </c>
      <c r="E1002" s="34">
        <v>1</v>
      </c>
      <c r="F1002" s="22" t="s">
        <v>2223</v>
      </c>
      <c r="G1002" s="88">
        <v>38.5</v>
      </c>
      <c r="H1002" s="235">
        <f t="shared" si="131"/>
        <v>23.76543209876543</v>
      </c>
      <c r="I1002" s="88">
        <v>38.5</v>
      </c>
      <c r="J1002" s="235">
        <f t="shared" si="132"/>
        <v>23.76543209876543</v>
      </c>
      <c r="K1002" s="201">
        <v>240</v>
      </c>
      <c r="L1002" s="252">
        <f>_xlfn.XLOOKUP($K1002,Inputs!$C$6:$C$23,Inputs!$D$6:$D$23)*$I1002</f>
        <v>18.358796296296298</v>
      </c>
      <c r="M1002" s="68"/>
      <c r="N1002" s="68"/>
      <c r="O1002" s="215">
        <v>499</v>
      </c>
      <c r="P1002" s="215">
        <v>499</v>
      </c>
      <c r="Q1002" s="94">
        <v>0.9</v>
      </c>
      <c r="R1002" s="68" t="s">
        <v>115</v>
      </c>
      <c r="S1002" s="182">
        <f t="shared" si="133"/>
        <v>449.1</v>
      </c>
      <c r="T1002" s="182">
        <f t="shared" si="134"/>
        <v>449.1</v>
      </c>
      <c r="U1002" s="96" t="s">
        <v>3937</v>
      </c>
      <c r="V1002" s="22" t="s">
        <v>2651</v>
      </c>
      <c r="W1002" s="96" t="s">
        <v>3752</v>
      </c>
      <c r="X1002" s="22" t="s">
        <v>3010</v>
      </c>
      <c r="Y1002" s="11" t="s">
        <v>3303</v>
      </c>
      <c r="Z1002" s="79"/>
      <c r="AA1002" s="187">
        <v>990</v>
      </c>
    </row>
    <row r="1003" spans="2:27" s="188" customFormat="1" ht="20" x14ac:dyDescent="0.2">
      <c r="B1003" s="11" t="s">
        <v>1046</v>
      </c>
      <c r="C1003" s="165" t="s">
        <v>4235</v>
      </c>
      <c r="D1003" s="22" t="s">
        <v>2379</v>
      </c>
      <c r="E1003" s="34">
        <v>1</v>
      </c>
      <c r="F1003" s="22" t="s">
        <v>2223</v>
      </c>
      <c r="G1003" s="88">
        <v>25.200000000000003</v>
      </c>
      <c r="H1003" s="235">
        <f t="shared" si="131"/>
        <v>15.555555555555557</v>
      </c>
      <c r="I1003" s="88">
        <v>25.200000000000003</v>
      </c>
      <c r="J1003" s="235">
        <f t="shared" si="132"/>
        <v>15.555555555555557</v>
      </c>
      <c r="K1003" s="201">
        <v>240</v>
      </c>
      <c r="L1003" s="252">
        <f>_xlfn.XLOOKUP($K1003,Inputs!$C$6:$C$23,Inputs!$D$6:$D$23)*$I1003</f>
        <v>12.016666666666667</v>
      </c>
      <c r="M1003" s="68"/>
      <c r="N1003" s="68"/>
      <c r="O1003" s="209">
        <v>549</v>
      </c>
      <c r="P1003" s="209">
        <v>701</v>
      </c>
      <c r="Q1003" s="94">
        <v>0.9</v>
      </c>
      <c r="R1003" s="68" t="s">
        <v>115</v>
      </c>
      <c r="S1003" s="182">
        <f t="shared" si="133"/>
        <v>494.1</v>
      </c>
      <c r="T1003" s="182">
        <f t="shared" si="134"/>
        <v>630.9</v>
      </c>
      <c r="U1003" s="96" t="s">
        <v>3486</v>
      </c>
      <c r="V1003" s="22" t="s">
        <v>2630</v>
      </c>
      <c r="W1003" s="96" t="s">
        <v>3401</v>
      </c>
      <c r="X1003" s="22" t="s">
        <v>2759</v>
      </c>
      <c r="Y1003" s="11" t="s">
        <v>3324</v>
      </c>
      <c r="Z1003" s="79"/>
      <c r="AA1003" s="187">
        <v>991</v>
      </c>
    </row>
    <row r="1004" spans="2:27" s="188" customFormat="1" ht="20" x14ac:dyDescent="0.2">
      <c r="B1004" s="11" t="s">
        <v>1048</v>
      </c>
      <c r="C1004" s="165" t="s">
        <v>4235</v>
      </c>
      <c r="D1004" s="22" t="s">
        <v>2379</v>
      </c>
      <c r="E1004" s="34">
        <v>1</v>
      </c>
      <c r="F1004" s="22" t="s">
        <v>2223</v>
      </c>
      <c r="G1004" s="235">
        <v>150</v>
      </c>
      <c r="H1004" s="235">
        <f t="shared" si="131"/>
        <v>92.592592592592581</v>
      </c>
      <c r="I1004" s="235">
        <v>150</v>
      </c>
      <c r="J1004" s="235">
        <f t="shared" si="132"/>
        <v>92.592592592592581</v>
      </c>
      <c r="K1004" s="201">
        <v>240</v>
      </c>
      <c r="L1004" s="252">
        <f>_xlfn.XLOOKUP($K1004,Inputs!$C$6:$C$23,Inputs!$D$6:$D$23)*$I1004</f>
        <v>71.527777777777786</v>
      </c>
      <c r="M1004" s="68"/>
      <c r="N1004" s="68"/>
      <c r="O1004" s="215">
        <v>333</v>
      </c>
      <c r="P1004" s="215">
        <v>333</v>
      </c>
      <c r="Q1004" s="94">
        <v>0.9</v>
      </c>
      <c r="R1004" s="68" t="s">
        <v>115</v>
      </c>
      <c r="S1004" s="182">
        <f t="shared" si="133"/>
        <v>299.7</v>
      </c>
      <c r="T1004" s="182">
        <f t="shared" si="134"/>
        <v>299.7</v>
      </c>
      <c r="U1004" s="96" t="s">
        <v>3861</v>
      </c>
      <c r="V1004" s="22" t="s">
        <v>2723</v>
      </c>
      <c r="W1004" s="96" t="s">
        <v>3387</v>
      </c>
      <c r="X1004" s="22" t="s">
        <v>2610</v>
      </c>
      <c r="Y1004" s="11" t="s">
        <v>3298</v>
      </c>
      <c r="Z1004" s="79"/>
      <c r="AA1004" s="187">
        <v>992</v>
      </c>
    </row>
    <row r="1005" spans="2:27" s="188" customFormat="1" ht="20" x14ac:dyDescent="0.2">
      <c r="B1005" s="11" t="s">
        <v>1049</v>
      </c>
      <c r="C1005" s="165" t="s">
        <v>4235</v>
      </c>
      <c r="D1005" s="22" t="s">
        <v>2379</v>
      </c>
      <c r="E1005" s="34">
        <v>1</v>
      </c>
      <c r="F1005" s="22" t="s">
        <v>2223</v>
      </c>
      <c r="G1005" s="235">
        <v>150</v>
      </c>
      <c r="H1005" s="235">
        <f t="shared" si="131"/>
        <v>92.592592592592581</v>
      </c>
      <c r="I1005" s="235">
        <v>150</v>
      </c>
      <c r="J1005" s="235">
        <f t="shared" si="132"/>
        <v>92.592592592592581</v>
      </c>
      <c r="K1005" s="201">
        <v>240</v>
      </c>
      <c r="L1005" s="252">
        <f>_xlfn.XLOOKUP($K1005,Inputs!$C$6:$C$23,Inputs!$D$6:$D$23)*$I1005</f>
        <v>71.527777777777786</v>
      </c>
      <c r="M1005" s="68"/>
      <c r="N1005" s="68"/>
      <c r="O1005" s="215">
        <v>333</v>
      </c>
      <c r="P1005" s="215">
        <v>333</v>
      </c>
      <c r="Q1005" s="94">
        <v>0.9</v>
      </c>
      <c r="R1005" s="68" t="s">
        <v>115</v>
      </c>
      <c r="S1005" s="182">
        <f t="shared" si="133"/>
        <v>299.7</v>
      </c>
      <c r="T1005" s="182">
        <f t="shared" si="134"/>
        <v>299.7</v>
      </c>
      <c r="U1005" s="96" t="s">
        <v>3861</v>
      </c>
      <c r="V1005" s="22" t="s">
        <v>2723</v>
      </c>
      <c r="W1005" s="96" t="s">
        <v>3387</v>
      </c>
      <c r="X1005" s="22" t="s">
        <v>2610</v>
      </c>
      <c r="Y1005" s="11" t="s">
        <v>3298</v>
      </c>
      <c r="Z1005" s="79"/>
      <c r="AA1005" s="187">
        <v>993</v>
      </c>
    </row>
    <row r="1006" spans="2:27" s="188" customFormat="1" ht="20" x14ac:dyDescent="0.2">
      <c r="B1006" s="11" t="s">
        <v>1050</v>
      </c>
      <c r="C1006" s="165" t="s">
        <v>4235</v>
      </c>
      <c r="D1006" s="22" t="s">
        <v>2379</v>
      </c>
      <c r="E1006" s="34">
        <v>1</v>
      </c>
      <c r="F1006" s="22" t="s">
        <v>2223</v>
      </c>
      <c r="G1006" s="235">
        <v>80</v>
      </c>
      <c r="H1006" s="235">
        <f t="shared" si="131"/>
        <v>49.382716049382715</v>
      </c>
      <c r="I1006" s="235">
        <v>80</v>
      </c>
      <c r="J1006" s="235">
        <f t="shared" si="132"/>
        <v>49.382716049382715</v>
      </c>
      <c r="K1006" s="201">
        <v>240</v>
      </c>
      <c r="L1006" s="252">
        <f>_xlfn.XLOOKUP($K1006,Inputs!$C$6:$C$23,Inputs!$D$6:$D$23)*$I1006</f>
        <v>38.148148148148152</v>
      </c>
      <c r="M1006" s="68"/>
      <c r="N1006" s="68"/>
      <c r="O1006" s="215">
        <v>952</v>
      </c>
      <c r="P1006" s="215">
        <v>1047</v>
      </c>
      <c r="Q1006" s="94">
        <v>0.9</v>
      </c>
      <c r="R1006" s="68" t="s">
        <v>115</v>
      </c>
      <c r="S1006" s="182">
        <f t="shared" si="133"/>
        <v>856.80000000000007</v>
      </c>
      <c r="T1006" s="182">
        <f t="shared" si="134"/>
        <v>942.30000000000007</v>
      </c>
      <c r="U1006" s="96" t="s">
        <v>3415</v>
      </c>
      <c r="V1006" s="22" t="s">
        <v>2768</v>
      </c>
      <c r="W1006" s="96" t="s">
        <v>3934</v>
      </c>
      <c r="X1006" s="22" t="s">
        <v>2622</v>
      </c>
      <c r="Y1006" s="11" t="s">
        <v>3323</v>
      </c>
      <c r="Z1006" s="79"/>
      <c r="AA1006" s="187">
        <v>994</v>
      </c>
    </row>
    <row r="1007" spans="2:27" s="188" customFormat="1" ht="20" x14ac:dyDescent="0.2">
      <c r="B1007" s="11" t="s">
        <v>1051</v>
      </c>
      <c r="C1007" s="165" t="s">
        <v>4235</v>
      </c>
      <c r="D1007" s="22" t="s">
        <v>2379</v>
      </c>
      <c r="E1007" s="34">
        <v>1</v>
      </c>
      <c r="F1007" s="22" t="s">
        <v>2223</v>
      </c>
      <c r="G1007" s="235">
        <v>7</v>
      </c>
      <c r="H1007" s="235">
        <f t="shared" si="131"/>
        <v>4.3209876543209873</v>
      </c>
      <c r="I1007" s="235">
        <v>7</v>
      </c>
      <c r="J1007" s="235">
        <f t="shared" si="132"/>
        <v>4.3209876543209873</v>
      </c>
      <c r="K1007" s="201">
        <v>240</v>
      </c>
      <c r="L1007" s="252">
        <f>_xlfn.XLOOKUP($K1007,Inputs!$C$6:$C$23,Inputs!$D$6:$D$23)*$I1007</f>
        <v>3.3379629629629628</v>
      </c>
      <c r="M1007" s="68"/>
      <c r="N1007" s="68"/>
      <c r="O1007" s="187"/>
      <c r="P1007" s="187"/>
      <c r="Q1007" s="94">
        <v>0.9</v>
      </c>
      <c r="R1007" s="68">
        <f>IF((42.4*(J1007)^(-0.6595))&gt;=3,3,(IF(42.4*(J1007)^(-0.6595)&lt;=0.5,0.5,(42.4*(J1007)^(-0.6595)))))</f>
        <v>3</v>
      </c>
      <c r="S1007" s="276">
        <f>_xlfn.XLOOKUP($K1007,Inputs!$G$6:$G$23,Inputs!J$6:J$23)*$R1007</f>
        <v>438.57868020304568</v>
      </c>
      <c r="T1007" s="276">
        <f>_xlfn.XLOOKUP($K1007,Inputs!$G$6:$G$23,Inputs!K$6:K$23)*$R1007</f>
        <v>476.03305785123973</v>
      </c>
      <c r="U1007" s="96" t="s">
        <v>4026</v>
      </c>
      <c r="V1007" s="22" t="s">
        <v>2713</v>
      </c>
      <c r="W1007" s="96" t="s">
        <v>3639</v>
      </c>
      <c r="X1007" s="22" t="s">
        <v>2919</v>
      </c>
      <c r="Y1007" s="11" t="s">
        <v>3331</v>
      </c>
      <c r="Z1007" s="79"/>
      <c r="AA1007" s="187">
        <v>995</v>
      </c>
    </row>
    <row r="1008" spans="2:27" s="188" customFormat="1" ht="20" x14ac:dyDescent="0.2">
      <c r="B1008" s="11" t="s">
        <v>1052</v>
      </c>
      <c r="C1008" s="165" t="s">
        <v>4235</v>
      </c>
      <c r="D1008" s="22" t="s">
        <v>2379</v>
      </c>
      <c r="E1008" s="34">
        <v>1</v>
      </c>
      <c r="F1008" s="22" t="s">
        <v>2223</v>
      </c>
      <c r="G1008" s="235">
        <v>140</v>
      </c>
      <c r="H1008" s="235">
        <f t="shared" si="131"/>
        <v>86.419753086419746</v>
      </c>
      <c r="I1008" s="235">
        <v>140</v>
      </c>
      <c r="J1008" s="235">
        <f t="shared" si="132"/>
        <v>86.419753086419746</v>
      </c>
      <c r="K1008" s="201">
        <v>240</v>
      </c>
      <c r="L1008" s="252">
        <f>_xlfn.XLOOKUP($K1008,Inputs!$C$6:$C$23,Inputs!$D$6:$D$23)*$I1008</f>
        <v>66.759259259259267</v>
      </c>
      <c r="M1008" s="68"/>
      <c r="N1008" s="68"/>
      <c r="O1008" s="215">
        <v>499</v>
      </c>
      <c r="P1008" s="215">
        <v>599</v>
      </c>
      <c r="Q1008" s="94">
        <v>0.9</v>
      </c>
      <c r="R1008" s="68" t="s">
        <v>115</v>
      </c>
      <c r="S1008" s="182">
        <f>O1008*Q1008</f>
        <v>449.1</v>
      </c>
      <c r="T1008" s="182">
        <f>P1008*Q1008</f>
        <v>539.1</v>
      </c>
      <c r="U1008" s="96" t="s">
        <v>3861</v>
      </c>
      <c r="V1008" s="22" t="s">
        <v>2723</v>
      </c>
      <c r="W1008" s="96" t="s">
        <v>3813</v>
      </c>
      <c r="X1008" s="205" t="s">
        <v>3059</v>
      </c>
      <c r="Y1008" s="11" t="s">
        <v>3280</v>
      </c>
      <c r="Z1008" s="79"/>
      <c r="AA1008" s="187">
        <v>996</v>
      </c>
    </row>
    <row r="1009" spans="2:27" s="188" customFormat="1" ht="20" x14ac:dyDescent="0.2">
      <c r="B1009" s="11" t="s">
        <v>1053</v>
      </c>
      <c r="C1009" s="165" t="s">
        <v>4235</v>
      </c>
      <c r="D1009" s="22" t="s">
        <v>2379</v>
      </c>
      <c r="E1009" s="34">
        <v>1</v>
      </c>
      <c r="F1009" s="22" t="s">
        <v>2223</v>
      </c>
      <c r="G1009" s="235">
        <v>25</v>
      </c>
      <c r="H1009" s="235">
        <f t="shared" si="131"/>
        <v>15.432098765432098</v>
      </c>
      <c r="I1009" s="235">
        <v>25</v>
      </c>
      <c r="J1009" s="235">
        <f t="shared" si="132"/>
        <v>15.432098765432098</v>
      </c>
      <c r="K1009" s="201">
        <v>240</v>
      </c>
      <c r="L1009" s="252">
        <f>_xlfn.XLOOKUP($K1009,Inputs!$C$6:$C$23,Inputs!$D$6:$D$23)*$I1009</f>
        <v>11.921296296296296</v>
      </c>
      <c r="M1009" s="68"/>
      <c r="N1009" s="68"/>
      <c r="O1009" s="215">
        <v>831</v>
      </c>
      <c r="P1009" s="93">
        <f>O1009*1.3</f>
        <v>1080.3</v>
      </c>
      <c r="Q1009" s="94">
        <v>0.9</v>
      </c>
      <c r="R1009" s="68" t="s">
        <v>115</v>
      </c>
      <c r="S1009" s="182">
        <f>O1009*Q1009</f>
        <v>747.9</v>
      </c>
      <c r="T1009" s="182">
        <f>P1009*Q1009</f>
        <v>972.27</v>
      </c>
      <c r="U1009" s="96" t="s">
        <v>3584</v>
      </c>
      <c r="V1009" s="22" t="s">
        <v>2620</v>
      </c>
      <c r="W1009" s="96" t="s">
        <v>3555</v>
      </c>
      <c r="X1009" s="205" t="s">
        <v>2857</v>
      </c>
      <c r="Y1009" s="11" t="s">
        <v>3302</v>
      </c>
      <c r="Z1009" s="79"/>
      <c r="AA1009" s="187">
        <v>997</v>
      </c>
    </row>
    <row r="1010" spans="2:27" s="188" customFormat="1" ht="20" x14ac:dyDescent="0.2">
      <c r="B1010" s="11" t="s">
        <v>1556</v>
      </c>
      <c r="C1010" s="165" t="s">
        <v>4235</v>
      </c>
      <c r="D1010" s="22" t="s">
        <v>2379</v>
      </c>
      <c r="E1010" s="34">
        <v>1</v>
      </c>
      <c r="F1010" s="22" t="s">
        <v>2223</v>
      </c>
      <c r="G1010" s="88">
        <v>24</v>
      </c>
      <c r="H1010" s="235">
        <f t="shared" si="131"/>
        <v>14.814814814814813</v>
      </c>
      <c r="I1010" s="88">
        <v>66</v>
      </c>
      <c r="J1010" s="235">
        <f t="shared" si="132"/>
        <v>40.74074074074074</v>
      </c>
      <c r="K1010" s="201">
        <v>240</v>
      </c>
      <c r="L1010" s="252">
        <f>_xlfn.XLOOKUP($K1010,Inputs!$C$6:$C$23,Inputs!$D$6:$D$23)*$I1010</f>
        <v>31.472222222222221</v>
      </c>
      <c r="M1010" s="68"/>
      <c r="N1010" s="68"/>
      <c r="O1010" s="215">
        <v>333</v>
      </c>
      <c r="P1010" s="215">
        <v>333</v>
      </c>
      <c r="Q1010" s="94">
        <v>0.9</v>
      </c>
      <c r="R1010" s="68" t="s">
        <v>115</v>
      </c>
      <c r="S1010" s="182">
        <f>O1010*Q1010</f>
        <v>299.7</v>
      </c>
      <c r="T1010" s="182">
        <f>P1010*Q1010</f>
        <v>299.7</v>
      </c>
      <c r="U1010" s="96" t="s">
        <v>3419</v>
      </c>
      <c r="V1010" s="22" t="s">
        <v>2659</v>
      </c>
      <c r="W1010" s="96" t="s">
        <v>4014</v>
      </c>
      <c r="X1010" s="22" t="s">
        <v>2198</v>
      </c>
      <c r="Y1010" s="11" t="s">
        <v>3328</v>
      </c>
      <c r="Z1010" s="79"/>
      <c r="AA1010" s="187">
        <v>998</v>
      </c>
    </row>
    <row r="1011" spans="2:27" s="188" customFormat="1" ht="20" x14ac:dyDescent="0.2">
      <c r="B1011" s="11" t="s">
        <v>1556</v>
      </c>
      <c r="C1011" s="165" t="s">
        <v>4235</v>
      </c>
      <c r="D1011" s="22" t="s">
        <v>2379</v>
      </c>
      <c r="E1011" s="34">
        <v>1</v>
      </c>
      <c r="F1011" s="22" t="s">
        <v>2223</v>
      </c>
      <c r="G1011" s="88">
        <v>42</v>
      </c>
      <c r="H1011" s="235">
        <f t="shared" si="131"/>
        <v>25.925925925925924</v>
      </c>
      <c r="I1011" s="88">
        <v>66</v>
      </c>
      <c r="J1011" s="235">
        <f t="shared" si="132"/>
        <v>40.74074074074074</v>
      </c>
      <c r="K1011" s="201">
        <v>240</v>
      </c>
      <c r="L1011" s="252">
        <f>_xlfn.XLOOKUP($K1011,Inputs!$C$6:$C$23,Inputs!$D$6:$D$23)*$I1011</f>
        <v>31.472222222222221</v>
      </c>
      <c r="M1011" s="68"/>
      <c r="N1011" s="68"/>
      <c r="O1011" s="215">
        <v>333</v>
      </c>
      <c r="P1011" s="215">
        <v>333</v>
      </c>
      <c r="Q1011" s="94">
        <v>0.9</v>
      </c>
      <c r="R1011" s="68" t="s">
        <v>115</v>
      </c>
      <c r="S1011" s="182">
        <f>O1011*Q1011</f>
        <v>299.7</v>
      </c>
      <c r="T1011" s="182">
        <f>P1011*Q1011</f>
        <v>299.7</v>
      </c>
      <c r="U1011" s="96" t="s">
        <v>4014</v>
      </c>
      <c r="V1011" s="22" t="s">
        <v>2198</v>
      </c>
      <c r="W1011" s="96" t="s">
        <v>3383</v>
      </c>
      <c r="X1011" s="22" t="s">
        <v>2747</v>
      </c>
      <c r="Y1011" s="11" t="s">
        <v>3328</v>
      </c>
      <c r="Z1011" s="79"/>
      <c r="AA1011" s="187">
        <v>999</v>
      </c>
    </row>
    <row r="1012" spans="2:27" s="188" customFormat="1" ht="20" x14ac:dyDescent="0.2">
      <c r="B1012" s="11" t="s">
        <v>1557</v>
      </c>
      <c r="C1012" s="165" t="s">
        <v>4235</v>
      </c>
      <c r="D1012" s="22" t="s">
        <v>2379</v>
      </c>
      <c r="E1012" s="34">
        <v>1</v>
      </c>
      <c r="F1012" s="22" t="s">
        <v>2223</v>
      </c>
      <c r="G1012" s="88">
        <v>9</v>
      </c>
      <c r="H1012" s="235">
        <f t="shared" si="131"/>
        <v>5.5555555555555554</v>
      </c>
      <c r="I1012" s="88">
        <v>9</v>
      </c>
      <c r="J1012" s="235">
        <f t="shared" si="132"/>
        <v>5.5555555555555554</v>
      </c>
      <c r="K1012" s="201">
        <v>240</v>
      </c>
      <c r="L1012" s="252">
        <f>_xlfn.XLOOKUP($K1012,Inputs!$C$6:$C$23,Inputs!$D$6:$D$23)*$I1012</f>
        <v>4.291666666666667</v>
      </c>
      <c r="M1012" s="68"/>
      <c r="N1012" s="68"/>
      <c r="O1012" s="187"/>
      <c r="P1012" s="187"/>
      <c r="Q1012" s="94">
        <v>0.9</v>
      </c>
      <c r="R1012" s="68">
        <f>IF((42.4*(J1012)^(-0.6595))&gt;=3,3,(IF(42.4*(J1012)^(-0.6595)&lt;=0.5,0.5,(42.4*(J1012)^(-0.6595)))))</f>
        <v>3</v>
      </c>
      <c r="S1012" s="276">
        <f>_xlfn.XLOOKUP($K1012,Inputs!$G$6:$G$23,Inputs!J$6:J$23)*$R1012</f>
        <v>438.57868020304568</v>
      </c>
      <c r="T1012" s="276">
        <f>_xlfn.XLOOKUP($K1012,Inputs!$G$6:$G$23,Inputs!K$6:K$23)*$R1012</f>
        <v>476.03305785123973</v>
      </c>
      <c r="U1012" s="96" t="s">
        <v>4014</v>
      </c>
      <c r="V1012" s="22" t="s">
        <v>2198</v>
      </c>
      <c r="W1012" s="96" t="s">
        <v>3935</v>
      </c>
      <c r="X1012" s="22" t="s">
        <v>3189</v>
      </c>
      <c r="Y1012" s="11" t="s">
        <v>3331</v>
      </c>
      <c r="Z1012" s="79"/>
      <c r="AA1012" s="187">
        <v>1000</v>
      </c>
    </row>
    <row r="1013" spans="2:27" s="188" customFormat="1" ht="20" x14ac:dyDescent="0.2">
      <c r="B1013" s="11" t="s">
        <v>2073</v>
      </c>
      <c r="C1013" s="165" t="s">
        <v>4235</v>
      </c>
      <c r="D1013" s="22" t="s">
        <v>2379</v>
      </c>
      <c r="E1013" s="34">
        <v>1</v>
      </c>
      <c r="F1013" s="22" t="s">
        <v>2223</v>
      </c>
      <c r="G1013" s="235">
        <v>15</v>
      </c>
      <c r="H1013" s="235">
        <f t="shared" si="131"/>
        <v>9.2592592592592595</v>
      </c>
      <c r="I1013" s="235">
        <v>15</v>
      </c>
      <c r="J1013" s="235">
        <f t="shared" si="132"/>
        <v>9.2592592592592595</v>
      </c>
      <c r="K1013" s="221">
        <v>240</v>
      </c>
      <c r="L1013" s="252">
        <f>_xlfn.XLOOKUP($K1013,Inputs!$C$6:$C$23,Inputs!$D$6:$D$23)*$I1013</f>
        <v>7.1527777777777777</v>
      </c>
      <c r="M1013" s="68"/>
      <c r="N1013" s="68"/>
      <c r="O1013" s="216">
        <v>499</v>
      </c>
      <c r="P1013" s="216">
        <v>499</v>
      </c>
      <c r="Q1013" s="94">
        <v>0.9</v>
      </c>
      <c r="R1013" s="68" t="s">
        <v>115</v>
      </c>
      <c r="S1013" s="182">
        <f t="shared" ref="S1013:S1027" si="135">O1013*Q1013</f>
        <v>449.1</v>
      </c>
      <c r="T1013" s="182">
        <f t="shared" ref="T1013:T1027" si="136">P1013*Q1013</f>
        <v>449.1</v>
      </c>
      <c r="U1013" s="96" t="s">
        <v>3674</v>
      </c>
      <c r="V1013" s="22" t="s">
        <v>2947</v>
      </c>
      <c r="W1013" s="96" t="s">
        <v>3645</v>
      </c>
      <c r="X1013" s="22" t="s">
        <v>2922</v>
      </c>
      <c r="Y1013" s="11" t="s">
        <v>3300</v>
      </c>
      <c r="Z1013" s="79"/>
      <c r="AA1013" s="187">
        <v>1001</v>
      </c>
    </row>
    <row r="1014" spans="2:27" s="188" customFormat="1" ht="20" x14ac:dyDescent="0.2">
      <c r="B1014" s="11" t="s">
        <v>1056</v>
      </c>
      <c r="C1014" s="165" t="s">
        <v>4237</v>
      </c>
      <c r="D1014" s="22" t="s">
        <v>2379</v>
      </c>
      <c r="E1014" s="34">
        <v>1</v>
      </c>
      <c r="F1014" s="22" t="s">
        <v>2223</v>
      </c>
      <c r="G1014" s="235">
        <v>25</v>
      </c>
      <c r="H1014" s="235">
        <f t="shared" si="131"/>
        <v>15.432098765432098</v>
      </c>
      <c r="I1014" s="235">
        <v>25</v>
      </c>
      <c r="J1014" s="235">
        <f t="shared" si="132"/>
        <v>15.432098765432098</v>
      </c>
      <c r="K1014" s="201">
        <v>240</v>
      </c>
      <c r="L1014" s="252">
        <f>_xlfn.XLOOKUP($K1014,Inputs!$C$6:$C$23,Inputs!$D$6:$D$23)*$I1014</f>
        <v>11.921296296296296</v>
      </c>
      <c r="M1014" s="68"/>
      <c r="N1014" s="68"/>
      <c r="O1014" s="209">
        <v>641</v>
      </c>
      <c r="P1014" s="209">
        <v>808</v>
      </c>
      <c r="Q1014" s="94">
        <v>0.9</v>
      </c>
      <c r="R1014" s="68" t="s">
        <v>115</v>
      </c>
      <c r="S1014" s="182">
        <f t="shared" si="135"/>
        <v>576.9</v>
      </c>
      <c r="T1014" s="182">
        <f t="shared" si="136"/>
        <v>727.2</v>
      </c>
      <c r="U1014" s="96" t="s">
        <v>3810</v>
      </c>
      <c r="V1014" s="22" t="s">
        <v>2641</v>
      </c>
      <c r="W1014" s="96" t="s">
        <v>3874</v>
      </c>
      <c r="X1014" s="22" t="s">
        <v>3141</v>
      </c>
      <c r="Y1014" s="11" t="s">
        <v>3305</v>
      </c>
      <c r="Z1014" s="79"/>
      <c r="AA1014" s="187">
        <v>1002</v>
      </c>
    </row>
    <row r="1015" spans="2:27" s="188" customFormat="1" ht="20" x14ac:dyDescent="0.2">
      <c r="B1015" s="11" t="s">
        <v>1057</v>
      </c>
      <c r="C1015" s="165" t="s">
        <v>4237</v>
      </c>
      <c r="D1015" s="22" t="s">
        <v>2379</v>
      </c>
      <c r="E1015" s="34">
        <v>1</v>
      </c>
      <c r="F1015" s="22" t="s">
        <v>2223</v>
      </c>
      <c r="G1015" s="235">
        <v>70</v>
      </c>
      <c r="H1015" s="235">
        <f t="shared" si="131"/>
        <v>43.209876543209873</v>
      </c>
      <c r="I1015" s="235">
        <v>70</v>
      </c>
      <c r="J1015" s="235">
        <f t="shared" si="132"/>
        <v>43.209876543209873</v>
      </c>
      <c r="K1015" s="201">
        <v>240</v>
      </c>
      <c r="L1015" s="252">
        <f>_xlfn.XLOOKUP($K1015,Inputs!$C$6:$C$23,Inputs!$D$6:$D$23)*$I1015</f>
        <v>33.379629629629633</v>
      </c>
      <c r="M1015" s="68"/>
      <c r="N1015" s="68"/>
      <c r="O1015" s="215">
        <v>498</v>
      </c>
      <c r="P1015" s="215">
        <v>498</v>
      </c>
      <c r="Q1015" s="94">
        <v>0.9</v>
      </c>
      <c r="R1015" s="68" t="s">
        <v>115</v>
      </c>
      <c r="S1015" s="182">
        <f t="shared" si="135"/>
        <v>448.2</v>
      </c>
      <c r="T1015" s="182">
        <f t="shared" si="136"/>
        <v>448.2</v>
      </c>
      <c r="U1015" s="96" t="s">
        <v>3683</v>
      </c>
      <c r="V1015" s="22" t="s">
        <v>2645</v>
      </c>
      <c r="W1015" s="96" t="s">
        <v>3689</v>
      </c>
      <c r="X1015" s="22" t="s">
        <v>2959</v>
      </c>
      <c r="Y1015" s="11" t="s">
        <v>3272</v>
      </c>
      <c r="Z1015" s="79"/>
      <c r="AA1015" s="187">
        <v>1003</v>
      </c>
    </row>
    <row r="1016" spans="2:27" s="188" customFormat="1" ht="20" x14ac:dyDescent="0.2">
      <c r="B1016" s="11" t="s">
        <v>1058</v>
      </c>
      <c r="C1016" s="165" t="s">
        <v>4237</v>
      </c>
      <c r="D1016" s="22" t="s">
        <v>2379</v>
      </c>
      <c r="E1016" s="34">
        <v>1</v>
      </c>
      <c r="F1016" s="22" t="s">
        <v>2223</v>
      </c>
      <c r="G1016" s="235">
        <v>70</v>
      </c>
      <c r="H1016" s="235">
        <f t="shared" si="131"/>
        <v>43.209876543209873</v>
      </c>
      <c r="I1016" s="235">
        <v>70</v>
      </c>
      <c r="J1016" s="235">
        <f t="shared" si="132"/>
        <v>43.209876543209873</v>
      </c>
      <c r="K1016" s="201">
        <v>240</v>
      </c>
      <c r="L1016" s="252">
        <f>_xlfn.XLOOKUP($K1016,Inputs!$C$6:$C$23,Inputs!$D$6:$D$23)*$I1016</f>
        <v>33.379629629629633</v>
      </c>
      <c r="M1016" s="68"/>
      <c r="N1016" s="68"/>
      <c r="O1016" s="215">
        <v>498</v>
      </c>
      <c r="P1016" s="215">
        <v>498</v>
      </c>
      <c r="Q1016" s="94">
        <v>0.9</v>
      </c>
      <c r="R1016" s="68" t="s">
        <v>115</v>
      </c>
      <c r="S1016" s="182">
        <f t="shared" si="135"/>
        <v>448.2</v>
      </c>
      <c r="T1016" s="182">
        <f t="shared" si="136"/>
        <v>448.2</v>
      </c>
      <c r="U1016" s="96" t="s">
        <v>3683</v>
      </c>
      <c r="V1016" s="22" t="s">
        <v>2645</v>
      </c>
      <c r="W1016" s="96" t="s">
        <v>3689</v>
      </c>
      <c r="X1016" s="22" t="s">
        <v>2959</v>
      </c>
      <c r="Y1016" s="11" t="s">
        <v>3272</v>
      </c>
      <c r="Z1016" s="79"/>
      <c r="AA1016" s="187">
        <v>1004</v>
      </c>
    </row>
    <row r="1017" spans="2:27" s="188" customFormat="1" ht="20" x14ac:dyDescent="0.2">
      <c r="B1017" s="79" t="s">
        <v>2074</v>
      </c>
      <c r="C1017" s="165" t="s">
        <v>4237</v>
      </c>
      <c r="D1017" s="22" t="s">
        <v>2379</v>
      </c>
      <c r="E1017" s="34">
        <v>1</v>
      </c>
      <c r="F1017" s="22" t="s">
        <v>2223</v>
      </c>
      <c r="G1017" s="235">
        <v>40</v>
      </c>
      <c r="H1017" s="235">
        <f t="shared" si="131"/>
        <v>24.691358024691358</v>
      </c>
      <c r="I1017" s="235">
        <v>40</v>
      </c>
      <c r="J1017" s="235">
        <f t="shared" si="132"/>
        <v>24.691358024691358</v>
      </c>
      <c r="K1017" s="201">
        <v>240</v>
      </c>
      <c r="L1017" s="252">
        <f>_xlfn.XLOOKUP($K1017,Inputs!$C$6:$C$23,Inputs!$D$6:$D$23)*$I1017</f>
        <v>19.074074074074076</v>
      </c>
      <c r="M1017" s="68"/>
      <c r="N1017" s="68"/>
      <c r="O1017" s="209">
        <v>640</v>
      </c>
      <c r="P1017" s="209">
        <v>811</v>
      </c>
      <c r="Q1017" s="94">
        <v>0.9</v>
      </c>
      <c r="R1017" s="68" t="s">
        <v>115</v>
      </c>
      <c r="S1017" s="182">
        <f t="shared" si="135"/>
        <v>576</v>
      </c>
      <c r="T1017" s="182">
        <f t="shared" si="136"/>
        <v>729.9</v>
      </c>
      <c r="U1017" s="96" t="s">
        <v>3505</v>
      </c>
      <c r="V1017" s="22" t="s">
        <v>2821</v>
      </c>
      <c r="W1017" s="96" t="s">
        <v>3874</v>
      </c>
      <c r="X1017" s="22" t="s">
        <v>3141</v>
      </c>
      <c r="Y1017" s="11" t="s">
        <v>3305</v>
      </c>
      <c r="Z1017" s="79"/>
      <c r="AA1017" s="187">
        <v>1005</v>
      </c>
    </row>
    <row r="1018" spans="2:27" s="188" customFormat="1" ht="20" x14ac:dyDescent="0.2">
      <c r="B1018" s="11" t="s">
        <v>1059</v>
      </c>
      <c r="C1018" s="165" t="s">
        <v>4237</v>
      </c>
      <c r="D1018" s="22" t="s">
        <v>2379</v>
      </c>
      <c r="E1018" s="34">
        <v>1</v>
      </c>
      <c r="F1018" s="22" t="s">
        <v>2223</v>
      </c>
      <c r="G1018" s="235">
        <v>30</v>
      </c>
      <c r="H1018" s="235">
        <f t="shared" si="131"/>
        <v>18.518518518518519</v>
      </c>
      <c r="I1018" s="235">
        <v>30</v>
      </c>
      <c r="J1018" s="235">
        <f t="shared" si="132"/>
        <v>18.518518518518519</v>
      </c>
      <c r="K1018" s="201">
        <v>240</v>
      </c>
      <c r="L1018" s="252">
        <f>_xlfn.XLOOKUP($K1018,Inputs!$C$6:$C$23,Inputs!$D$6:$D$23)*$I1018</f>
        <v>14.305555555555555</v>
      </c>
      <c r="M1018" s="68"/>
      <c r="N1018" s="68"/>
      <c r="O1018" s="209">
        <v>457</v>
      </c>
      <c r="P1018" s="209">
        <v>578</v>
      </c>
      <c r="Q1018" s="94">
        <v>0.9</v>
      </c>
      <c r="R1018" s="68" t="s">
        <v>115</v>
      </c>
      <c r="S1018" s="182">
        <f t="shared" si="135"/>
        <v>411.3</v>
      </c>
      <c r="T1018" s="182">
        <f t="shared" si="136"/>
        <v>520.20000000000005</v>
      </c>
      <c r="U1018" s="96" t="s">
        <v>3512</v>
      </c>
      <c r="V1018" s="22" t="s">
        <v>2829</v>
      </c>
      <c r="W1018" s="96" t="s">
        <v>3646</v>
      </c>
      <c r="X1018" s="22" t="s">
        <v>2923</v>
      </c>
      <c r="Y1018" s="11" t="s">
        <v>3305</v>
      </c>
      <c r="Z1018" s="79"/>
      <c r="AA1018" s="187">
        <v>1006</v>
      </c>
    </row>
    <row r="1019" spans="2:27" s="188" customFormat="1" ht="20" x14ac:dyDescent="0.2">
      <c r="B1019" s="11" t="s">
        <v>1061</v>
      </c>
      <c r="C1019" s="165" t="s">
        <v>4237</v>
      </c>
      <c r="D1019" s="22" t="s">
        <v>2379</v>
      </c>
      <c r="E1019" s="34">
        <v>1</v>
      </c>
      <c r="F1019" s="22" t="s">
        <v>2223</v>
      </c>
      <c r="G1019" s="235">
        <v>30</v>
      </c>
      <c r="H1019" s="235">
        <f t="shared" si="131"/>
        <v>18.518518518518519</v>
      </c>
      <c r="I1019" s="235">
        <v>30</v>
      </c>
      <c r="J1019" s="235">
        <f t="shared" si="132"/>
        <v>18.518518518518519</v>
      </c>
      <c r="K1019" s="201">
        <v>240</v>
      </c>
      <c r="L1019" s="252">
        <f>_xlfn.XLOOKUP($K1019,Inputs!$C$6:$C$23,Inputs!$D$6:$D$23)*$I1019</f>
        <v>14.305555555555555</v>
      </c>
      <c r="M1019" s="68"/>
      <c r="N1019" s="68"/>
      <c r="O1019" s="209">
        <v>457</v>
      </c>
      <c r="P1019" s="209">
        <v>578</v>
      </c>
      <c r="Q1019" s="94">
        <v>0.9</v>
      </c>
      <c r="R1019" s="68" t="s">
        <v>115</v>
      </c>
      <c r="S1019" s="182">
        <f t="shared" si="135"/>
        <v>411.3</v>
      </c>
      <c r="T1019" s="182">
        <f t="shared" si="136"/>
        <v>520.20000000000005</v>
      </c>
      <c r="U1019" s="96" t="s">
        <v>3512</v>
      </c>
      <c r="V1019" s="22" t="s">
        <v>2829</v>
      </c>
      <c r="W1019" s="96" t="s">
        <v>3646</v>
      </c>
      <c r="X1019" s="22" t="s">
        <v>2923</v>
      </c>
      <c r="Y1019" s="11" t="s">
        <v>3305</v>
      </c>
      <c r="Z1019" s="79"/>
      <c r="AA1019" s="187">
        <v>1007</v>
      </c>
    </row>
    <row r="1020" spans="2:27" s="188" customFormat="1" ht="20" x14ac:dyDescent="0.2">
      <c r="B1020" s="11" t="s">
        <v>1062</v>
      </c>
      <c r="C1020" s="165" t="s">
        <v>4237</v>
      </c>
      <c r="D1020" s="22" t="s">
        <v>2379</v>
      </c>
      <c r="E1020" s="34">
        <v>1</v>
      </c>
      <c r="F1020" s="22" t="s">
        <v>2223</v>
      </c>
      <c r="G1020" s="235">
        <v>40</v>
      </c>
      <c r="H1020" s="235">
        <f t="shared" si="131"/>
        <v>24.691358024691358</v>
      </c>
      <c r="I1020" s="235">
        <v>40</v>
      </c>
      <c r="J1020" s="235">
        <f t="shared" si="132"/>
        <v>24.691358024691358</v>
      </c>
      <c r="K1020" s="201">
        <v>240</v>
      </c>
      <c r="L1020" s="252">
        <f>_xlfn.XLOOKUP($K1020,Inputs!$C$6:$C$23,Inputs!$D$6:$D$23)*$I1020</f>
        <v>19.074074074074076</v>
      </c>
      <c r="M1020" s="68"/>
      <c r="N1020" s="68"/>
      <c r="O1020" s="209">
        <v>491</v>
      </c>
      <c r="P1020" s="209">
        <v>658</v>
      </c>
      <c r="Q1020" s="94">
        <v>0.9</v>
      </c>
      <c r="R1020" s="68" t="s">
        <v>115</v>
      </c>
      <c r="S1020" s="182">
        <f t="shared" si="135"/>
        <v>441.90000000000003</v>
      </c>
      <c r="T1020" s="182">
        <f t="shared" si="136"/>
        <v>592.20000000000005</v>
      </c>
      <c r="U1020" s="96" t="s">
        <v>3684</v>
      </c>
      <c r="V1020" s="22" t="s">
        <v>2955</v>
      </c>
      <c r="W1020" s="96" t="s">
        <v>3426</v>
      </c>
      <c r="X1020" s="22" t="s">
        <v>2775</v>
      </c>
      <c r="Y1020" s="11" t="s">
        <v>3305</v>
      </c>
      <c r="Z1020" s="79"/>
      <c r="AA1020" s="187">
        <v>1008</v>
      </c>
    </row>
    <row r="1021" spans="2:27" s="188" customFormat="1" ht="20" x14ac:dyDescent="0.2">
      <c r="B1021" s="11" t="s">
        <v>1064</v>
      </c>
      <c r="C1021" s="165" t="s">
        <v>4237</v>
      </c>
      <c r="D1021" s="22" t="s">
        <v>2379</v>
      </c>
      <c r="E1021" s="34">
        <v>1</v>
      </c>
      <c r="F1021" s="22" t="s">
        <v>2223</v>
      </c>
      <c r="G1021" s="88">
        <v>10.5</v>
      </c>
      <c r="H1021" s="235">
        <f t="shared" si="131"/>
        <v>6.481481481481481</v>
      </c>
      <c r="I1021" s="88">
        <v>10.5</v>
      </c>
      <c r="J1021" s="235">
        <f t="shared" si="132"/>
        <v>6.481481481481481</v>
      </c>
      <c r="K1021" s="201">
        <v>240</v>
      </c>
      <c r="L1021" s="252">
        <f>_xlfn.XLOOKUP($K1021,Inputs!$C$6:$C$23,Inputs!$D$6:$D$23)*$I1021</f>
        <v>5.0069444444444446</v>
      </c>
      <c r="M1021" s="68"/>
      <c r="N1021" s="68"/>
      <c r="O1021" s="215">
        <v>498</v>
      </c>
      <c r="P1021" s="215">
        <v>498</v>
      </c>
      <c r="Q1021" s="94">
        <v>0.9</v>
      </c>
      <c r="R1021" s="68" t="s">
        <v>115</v>
      </c>
      <c r="S1021" s="182">
        <f t="shared" si="135"/>
        <v>448.2</v>
      </c>
      <c r="T1021" s="182">
        <f t="shared" si="136"/>
        <v>448.2</v>
      </c>
      <c r="U1021" s="96" t="s">
        <v>3829</v>
      </c>
      <c r="V1021" s="22" t="s">
        <v>2711</v>
      </c>
      <c r="W1021" s="96" t="s">
        <v>3357</v>
      </c>
      <c r="X1021" s="22" t="s">
        <v>2734</v>
      </c>
      <c r="Y1021" s="11" t="s">
        <v>3299</v>
      </c>
      <c r="Z1021" s="79"/>
      <c r="AA1021" s="187">
        <v>1009</v>
      </c>
    </row>
    <row r="1022" spans="2:27" s="188" customFormat="1" ht="20" x14ac:dyDescent="0.2">
      <c r="B1022" s="11" t="s">
        <v>1066</v>
      </c>
      <c r="C1022" s="165" t="s">
        <v>4237</v>
      </c>
      <c r="D1022" s="22" t="s">
        <v>2379</v>
      </c>
      <c r="E1022" s="34">
        <v>1</v>
      </c>
      <c r="F1022" s="22" t="s">
        <v>2223</v>
      </c>
      <c r="G1022" s="88">
        <v>33.6</v>
      </c>
      <c r="H1022" s="235">
        <f t="shared" si="131"/>
        <v>20.74074074074074</v>
      </c>
      <c r="I1022" s="88">
        <v>33.6</v>
      </c>
      <c r="J1022" s="235">
        <f t="shared" si="132"/>
        <v>20.74074074074074</v>
      </c>
      <c r="K1022" s="221">
        <v>240</v>
      </c>
      <c r="L1022" s="252">
        <f>_xlfn.XLOOKUP($K1022,Inputs!$C$6:$C$23,Inputs!$D$6:$D$23)*$I1022</f>
        <v>16.022222222222222</v>
      </c>
      <c r="M1022" s="68"/>
      <c r="N1022" s="68"/>
      <c r="O1022" s="234">
        <v>759</v>
      </c>
      <c r="P1022" s="234">
        <v>831</v>
      </c>
      <c r="Q1022" s="94">
        <v>0.9</v>
      </c>
      <c r="R1022" s="68" t="s">
        <v>115</v>
      </c>
      <c r="S1022" s="182">
        <f t="shared" si="135"/>
        <v>683.1</v>
      </c>
      <c r="T1022" s="182">
        <f t="shared" si="136"/>
        <v>747.9</v>
      </c>
      <c r="U1022" s="96" t="s">
        <v>3709</v>
      </c>
      <c r="V1022" s="22" t="s">
        <v>2974</v>
      </c>
      <c r="W1022" s="96" t="s">
        <v>3825</v>
      </c>
      <c r="X1022" s="22" t="s">
        <v>3070</v>
      </c>
      <c r="Y1022" s="11" t="s">
        <v>3305</v>
      </c>
      <c r="Z1022" s="79"/>
      <c r="AA1022" s="187">
        <v>1010</v>
      </c>
    </row>
    <row r="1023" spans="2:27" s="188" customFormat="1" ht="20" x14ac:dyDescent="0.2">
      <c r="B1023" s="11" t="s">
        <v>1175</v>
      </c>
      <c r="C1023" s="165" t="s">
        <v>4237</v>
      </c>
      <c r="D1023" s="22" t="s">
        <v>2379</v>
      </c>
      <c r="E1023" s="34">
        <v>1</v>
      </c>
      <c r="F1023" s="22" t="s">
        <v>2223</v>
      </c>
      <c r="G1023" s="235">
        <v>180</v>
      </c>
      <c r="H1023" s="235">
        <f t="shared" si="131"/>
        <v>111.1111111111111</v>
      </c>
      <c r="I1023" s="235">
        <v>180</v>
      </c>
      <c r="J1023" s="235">
        <f t="shared" si="132"/>
        <v>111.1111111111111</v>
      </c>
      <c r="K1023" s="201">
        <v>240</v>
      </c>
      <c r="L1023" s="252">
        <f>_xlfn.XLOOKUP($K1023,Inputs!$C$6:$C$23,Inputs!$D$6:$D$23)*$I1023</f>
        <v>85.833333333333329</v>
      </c>
      <c r="M1023" s="68"/>
      <c r="N1023" s="68"/>
      <c r="O1023" s="215">
        <v>498</v>
      </c>
      <c r="P1023" s="215">
        <v>498</v>
      </c>
      <c r="Q1023" s="94">
        <v>0.9</v>
      </c>
      <c r="R1023" s="68" t="s">
        <v>115</v>
      </c>
      <c r="S1023" s="182">
        <f t="shared" si="135"/>
        <v>448.2</v>
      </c>
      <c r="T1023" s="182">
        <f t="shared" si="136"/>
        <v>448.2</v>
      </c>
      <c r="U1023" s="96" t="s">
        <v>3917</v>
      </c>
      <c r="V1023" s="22" t="s">
        <v>3178</v>
      </c>
      <c r="W1023" s="96" t="s">
        <v>3683</v>
      </c>
      <c r="X1023" s="22" t="s">
        <v>2645</v>
      </c>
      <c r="Y1023" s="11" t="s">
        <v>3272</v>
      </c>
      <c r="Z1023" s="79"/>
      <c r="AA1023" s="187">
        <v>1011</v>
      </c>
    </row>
    <row r="1024" spans="2:27" s="188" customFormat="1" ht="20" x14ac:dyDescent="0.2">
      <c r="B1024" s="11" t="s">
        <v>1068</v>
      </c>
      <c r="C1024" s="165" t="s">
        <v>4237</v>
      </c>
      <c r="D1024" s="22" t="s">
        <v>2379</v>
      </c>
      <c r="E1024" s="34">
        <v>1</v>
      </c>
      <c r="F1024" s="22" t="s">
        <v>2223</v>
      </c>
      <c r="G1024" s="235">
        <v>25</v>
      </c>
      <c r="H1024" s="235">
        <f t="shared" si="131"/>
        <v>15.432098765432098</v>
      </c>
      <c r="I1024" s="235">
        <v>25</v>
      </c>
      <c r="J1024" s="235">
        <f t="shared" si="132"/>
        <v>15.432098765432098</v>
      </c>
      <c r="K1024" s="201">
        <v>240</v>
      </c>
      <c r="L1024" s="252">
        <f>_xlfn.XLOOKUP($K1024,Inputs!$C$6:$C$23,Inputs!$D$6:$D$23)*$I1024</f>
        <v>11.921296296296296</v>
      </c>
      <c r="M1024" s="68"/>
      <c r="N1024" s="68"/>
      <c r="O1024" s="209">
        <v>457</v>
      </c>
      <c r="P1024" s="209">
        <v>578</v>
      </c>
      <c r="Q1024" s="94">
        <v>0.9</v>
      </c>
      <c r="R1024" s="68" t="s">
        <v>115</v>
      </c>
      <c r="S1024" s="182">
        <f t="shared" si="135"/>
        <v>411.3</v>
      </c>
      <c r="T1024" s="182">
        <f t="shared" si="136"/>
        <v>520.20000000000005</v>
      </c>
      <c r="U1024" s="96" t="s">
        <v>3512</v>
      </c>
      <c r="V1024" s="22" t="s">
        <v>2829</v>
      </c>
      <c r="W1024" s="96" t="s">
        <v>3874</v>
      </c>
      <c r="X1024" s="22" t="s">
        <v>3141</v>
      </c>
      <c r="Y1024" s="11" t="s">
        <v>3305</v>
      </c>
      <c r="Z1024" s="79"/>
      <c r="AA1024" s="187">
        <v>1012</v>
      </c>
    </row>
    <row r="1025" spans="1:27" s="188" customFormat="1" ht="20" x14ac:dyDescent="0.2">
      <c r="B1025" s="11" t="s">
        <v>1069</v>
      </c>
      <c r="C1025" s="165" t="s">
        <v>4237</v>
      </c>
      <c r="D1025" s="22" t="s">
        <v>2379</v>
      </c>
      <c r="E1025" s="34">
        <v>1</v>
      </c>
      <c r="F1025" s="22" t="s">
        <v>2223</v>
      </c>
      <c r="G1025" s="235">
        <v>5</v>
      </c>
      <c r="H1025" s="235">
        <f t="shared" si="131"/>
        <v>3.0864197530864197</v>
      </c>
      <c r="I1025" s="235">
        <v>5</v>
      </c>
      <c r="J1025" s="235">
        <f t="shared" si="132"/>
        <v>3.0864197530864197</v>
      </c>
      <c r="K1025" s="201">
        <v>240</v>
      </c>
      <c r="L1025" s="252">
        <f>_xlfn.XLOOKUP($K1025,Inputs!$C$6:$C$23,Inputs!$D$6:$D$23)*$I1025</f>
        <v>2.3842592592592595</v>
      </c>
      <c r="M1025" s="68"/>
      <c r="N1025" s="68"/>
      <c r="O1025" s="209">
        <v>433</v>
      </c>
      <c r="P1025" s="209">
        <v>524</v>
      </c>
      <c r="Q1025" s="94">
        <v>0.9</v>
      </c>
      <c r="R1025" s="68" t="s">
        <v>115</v>
      </c>
      <c r="S1025" s="182">
        <f t="shared" si="135"/>
        <v>389.7</v>
      </c>
      <c r="T1025" s="182">
        <f t="shared" si="136"/>
        <v>471.6</v>
      </c>
      <c r="U1025" s="96" t="s">
        <v>3397</v>
      </c>
      <c r="V1025" s="22" t="s">
        <v>2757</v>
      </c>
      <c r="W1025" s="96" t="s">
        <v>3945</v>
      </c>
      <c r="X1025" s="22" t="s">
        <v>3197</v>
      </c>
      <c r="Y1025" s="11" t="s">
        <v>3305</v>
      </c>
      <c r="Z1025" s="79"/>
      <c r="AA1025" s="187">
        <v>1013</v>
      </c>
    </row>
    <row r="1026" spans="1:27" s="184" customFormat="1" ht="20" x14ac:dyDescent="0.2">
      <c r="B1026" s="11" t="s">
        <v>1071</v>
      </c>
      <c r="C1026" s="165" t="s">
        <v>4237</v>
      </c>
      <c r="D1026" s="22" t="s">
        <v>2379</v>
      </c>
      <c r="E1026" s="34">
        <v>1</v>
      </c>
      <c r="F1026" s="22" t="s">
        <v>2223</v>
      </c>
      <c r="G1026" s="235">
        <v>230</v>
      </c>
      <c r="H1026" s="235">
        <f t="shared" si="131"/>
        <v>141.97530864197529</v>
      </c>
      <c r="I1026" s="235">
        <v>230</v>
      </c>
      <c r="J1026" s="235">
        <f t="shared" si="132"/>
        <v>141.97530864197529</v>
      </c>
      <c r="K1026" s="201">
        <v>240</v>
      </c>
      <c r="L1026" s="252">
        <f>_xlfn.XLOOKUP($K1026,Inputs!$C$6:$C$23,Inputs!$D$6:$D$23)*$I1026</f>
        <v>109.67592592592592</v>
      </c>
      <c r="M1026" s="68"/>
      <c r="N1026" s="68"/>
      <c r="O1026" s="215">
        <v>549</v>
      </c>
      <c r="P1026" s="215">
        <v>701</v>
      </c>
      <c r="Q1026" s="94">
        <v>0.9</v>
      </c>
      <c r="R1026" s="68" t="s">
        <v>115</v>
      </c>
      <c r="S1026" s="182">
        <f t="shared" si="135"/>
        <v>494.1</v>
      </c>
      <c r="T1026" s="182">
        <f t="shared" si="136"/>
        <v>630.9</v>
      </c>
      <c r="U1026" s="96" t="s">
        <v>3426</v>
      </c>
      <c r="V1026" s="22" t="s">
        <v>2775</v>
      </c>
      <c r="W1026" s="96" t="s">
        <v>3917</v>
      </c>
      <c r="X1026" s="22" t="s">
        <v>3178</v>
      </c>
      <c r="Y1026" s="11" t="s">
        <v>3272</v>
      </c>
      <c r="Z1026" s="79"/>
      <c r="AA1026" s="187">
        <v>1014</v>
      </c>
    </row>
    <row r="1027" spans="1:27" s="188" customFormat="1" ht="20" x14ac:dyDescent="0.2">
      <c r="B1027" s="11" t="s">
        <v>1072</v>
      </c>
      <c r="C1027" s="165" t="s">
        <v>4237</v>
      </c>
      <c r="D1027" s="22" t="s">
        <v>2379</v>
      </c>
      <c r="E1027" s="34">
        <v>1</v>
      </c>
      <c r="F1027" s="22" t="s">
        <v>2223</v>
      </c>
      <c r="G1027" s="235">
        <v>15</v>
      </c>
      <c r="H1027" s="235">
        <f t="shared" si="131"/>
        <v>9.2592592592592595</v>
      </c>
      <c r="I1027" s="235">
        <v>15</v>
      </c>
      <c r="J1027" s="235">
        <f t="shared" si="132"/>
        <v>9.2592592592592595</v>
      </c>
      <c r="K1027" s="201">
        <v>240</v>
      </c>
      <c r="L1027" s="252">
        <f>_xlfn.XLOOKUP($K1027,Inputs!$C$6:$C$23,Inputs!$D$6:$D$23)*$I1027</f>
        <v>7.1527777777777777</v>
      </c>
      <c r="M1027" s="68"/>
      <c r="N1027" s="68"/>
      <c r="O1027" s="215">
        <v>549</v>
      </c>
      <c r="P1027" s="215">
        <v>663</v>
      </c>
      <c r="Q1027" s="94">
        <v>0.9</v>
      </c>
      <c r="R1027" s="68" t="s">
        <v>115</v>
      </c>
      <c r="S1027" s="182">
        <f t="shared" si="135"/>
        <v>494.1</v>
      </c>
      <c r="T1027" s="182">
        <f t="shared" si="136"/>
        <v>596.70000000000005</v>
      </c>
      <c r="U1027" s="96" t="s">
        <v>3489</v>
      </c>
      <c r="V1027" s="22" t="s">
        <v>2810</v>
      </c>
      <c r="W1027" s="96" t="s">
        <v>3880</v>
      </c>
      <c r="X1027" s="22" t="s">
        <v>3145</v>
      </c>
      <c r="Y1027" s="11" t="s">
        <v>3299</v>
      </c>
      <c r="Z1027" s="79"/>
      <c r="AA1027" s="187">
        <v>1015</v>
      </c>
    </row>
    <row r="1028" spans="1:27" s="188" customFormat="1" ht="20" x14ac:dyDescent="0.2">
      <c r="B1028" s="11" t="s">
        <v>1074</v>
      </c>
      <c r="C1028" s="165" t="s">
        <v>4237</v>
      </c>
      <c r="D1028" s="22" t="s">
        <v>2379</v>
      </c>
      <c r="E1028" s="34">
        <v>1</v>
      </c>
      <c r="F1028" s="22" t="s">
        <v>2223</v>
      </c>
      <c r="G1028" s="88">
        <v>21</v>
      </c>
      <c r="H1028" s="235">
        <f t="shared" si="131"/>
        <v>12.962962962962962</v>
      </c>
      <c r="I1028" s="88">
        <v>21</v>
      </c>
      <c r="J1028" s="235">
        <f t="shared" si="132"/>
        <v>12.962962962962962</v>
      </c>
      <c r="K1028" s="201">
        <v>240</v>
      </c>
      <c r="L1028" s="252">
        <f>_xlfn.XLOOKUP($K1028,Inputs!$C$6:$C$23,Inputs!$D$6:$D$23)*$I1028</f>
        <v>10.013888888888889</v>
      </c>
      <c r="M1028" s="68"/>
      <c r="N1028" s="68"/>
      <c r="O1028" s="187"/>
      <c r="P1028" s="187"/>
      <c r="Q1028" s="94">
        <v>0.9</v>
      </c>
      <c r="R1028" s="68">
        <f>IF((42.4*(J1028)^(-0.6595))&gt;=3,3,(IF(42.4*(J1028)^(-0.6595)&lt;=0.5,0.5,(42.4*(J1028)^(-0.6595)))))</f>
        <v>3</v>
      </c>
      <c r="S1028" s="276">
        <f>_xlfn.XLOOKUP($K1028,Inputs!$G$6:$G$23,Inputs!J$6:J$23)*$R1028</f>
        <v>438.57868020304568</v>
      </c>
      <c r="T1028" s="276">
        <f>_xlfn.XLOOKUP($K1028,Inputs!$G$6:$G$23,Inputs!K$6:K$23)*$R1028</f>
        <v>476.03305785123973</v>
      </c>
      <c r="U1028" s="96" t="s">
        <v>1075</v>
      </c>
      <c r="V1028" s="22" t="s">
        <v>3205</v>
      </c>
      <c r="W1028" s="96" t="s">
        <v>3397</v>
      </c>
      <c r="X1028" s="205" t="s">
        <v>2757</v>
      </c>
      <c r="Y1028" s="11" t="s">
        <v>3331</v>
      </c>
      <c r="Z1028" s="79"/>
      <c r="AA1028" s="187">
        <v>1016</v>
      </c>
    </row>
    <row r="1029" spans="1:27" s="188" customFormat="1" ht="20" x14ac:dyDescent="0.2">
      <c r="B1029" s="11" t="s">
        <v>1077</v>
      </c>
      <c r="C1029" s="165" t="s">
        <v>4237</v>
      </c>
      <c r="D1029" s="22" t="s">
        <v>2379</v>
      </c>
      <c r="E1029" s="34">
        <v>1</v>
      </c>
      <c r="F1029" s="22" t="s">
        <v>2223</v>
      </c>
      <c r="G1029" s="235">
        <v>30</v>
      </c>
      <c r="H1029" s="235">
        <f t="shared" si="131"/>
        <v>18.518518518518519</v>
      </c>
      <c r="I1029" s="235">
        <v>30</v>
      </c>
      <c r="J1029" s="235">
        <f t="shared" si="132"/>
        <v>18.518518518518519</v>
      </c>
      <c r="K1029" s="201">
        <v>240</v>
      </c>
      <c r="L1029" s="252">
        <f>_xlfn.XLOOKUP($K1029,Inputs!$C$6:$C$23,Inputs!$D$6:$D$23)*$I1029</f>
        <v>14.305555555555555</v>
      </c>
      <c r="M1029" s="68"/>
      <c r="N1029" s="68"/>
      <c r="O1029" s="215">
        <v>488</v>
      </c>
      <c r="P1029" s="215">
        <v>498</v>
      </c>
      <c r="Q1029" s="94">
        <v>0.9</v>
      </c>
      <c r="R1029" s="68" t="s">
        <v>115</v>
      </c>
      <c r="S1029" s="182">
        <f t="shared" ref="S1029:S1046" si="137">O1029*Q1029</f>
        <v>439.2</v>
      </c>
      <c r="T1029" s="182">
        <f t="shared" ref="T1029:T1046" si="138">P1029*Q1029</f>
        <v>448.2</v>
      </c>
      <c r="U1029" s="96" t="s">
        <v>3489</v>
      </c>
      <c r="V1029" s="22" t="s">
        <v>2810</v>
      </c>
      <c r="W1029" s="96" t="s">
        <v>3741</v>
      </c>
      <c r="X1029" s="22" t="s">
        <v>2999</v>
      </c>
      <c r="Y1029" s="11" t="s">
        <v>3291</v>
      </c>
      <c r="Z1029" s="79"/>
      <c r="AA1029" s="187">
        <v>1017</v>
      </c>
    </row>
    <row r="1030" spans="1:27" s="188" customFormat="1" ht="20" x14ac:dyDescent="0.2">
      <c r="B1030" s="11" t="s">
        <v>1078</v>
      </c>
      <c r="C1030" s="165" t="s">
        <v>4237</v>
      </c>
      <c r="D1030" s="22" t="s">
        <v>2379</v>
      </c>
      <c r="E1030" s="34">
        <v>1</v>
      </c>
      <c r="F1030" s="22" t="s">
        <v>2223</v>
      </c>
      <c r="G1030" s="235">
        <v>75</v>
      </c>
      <c r="H1030" s="235">
        <f t="shared" ref="H1030:H1091" si="139">G1030/1.62</f>
        <v>46.296296296296291</v>
      </c>
      <c r="I1030" s="235">
        <v>75</v>
      </c>
      <c r="J1030" s="235">
        <f t="shared" ref="J1030:J1091" si="140">I1030/1.62</f>
        <v>46.296296296296291</v>
      </c>
      <c r="K1030" s="201">
        <v>240</v>
      </c>
      <c r="L1030" s="252">
        <f>_xlfn.XLOOKUP($K1030,Inputs!$C$6:$C$23,Inputs!$D$6:$D$23)*$I1030</f>
        <v>35.763888888888893</v>
      </c>
      <c r="M1030" s="68"/>
      <c r="N1030" s="68"/>
      <c r="O1030" s="209">
        <v>457</v>
      </c>
      <c r="P1030" s="209">
        <v>578</v>
      </c>
      <c r="Q1030" s="94">
        <v>0.9</v>
      </c>
      <c r="R1030" s="68" t="s">
        <v>115</v>
      </c>
      <c r="S1030" s="182">
        <f t="shared" si="137"/>
        <v>411.3</v>
      </c>
      <c r="T1030" s="182">
        <f t="shared" si="138"/>
        <v>520.20000000000005</v>
      </c>
      <c r="U1030" s="96" t="s">
        <v>3608</v>
      </c>
      <c r="V1030" s="22" t="s">
        <v>2896</v>
      </c>
      <c r="W1030" s="96" t="s">
        <v>3933</v>
      </c>
      <c r="X1030" s="22" t="s">
        <v>3188</v>
      </c>
      <c r="Y1030" s="11" t="s">
        <v>3305</v>
      </c>
      <c r="Z1030" s="79"/>
      <c r="AA1030" s="187">
        <v>1018</v>
      </c>
    </row>
    <row r="1031" spans="1:27" s="188" customFormat="1" ht="20" x14ac:dyDescent="0.2">
      <c r="B1031" s="11" t="s">
        <v>1080</v>
      </c>
      <c r="C1031" s="165" t="s">
        <v>4237</v>
      </c>
      <c r="D1031" s="22" t="s">
        <v>2379</v>
      </c>
      <c r="E1031" s="34">
        <v>1</v>
      </c>
      <c r="F1031" s="22" t="s">
        <v>2223</v>
      </c>
      <c r="G1031" s="235">
        <v>55</v>
      </c>
      <c r="H1031" s="235">
        <f t="shared" si="139"/>
        <v>33.950617283950614</v>
      </c>
      <c r="I1031" s="235">
        <v>55</v>
      </c>
      <c r="J1031" s="235">
        <f t="shared" si="140"/>
        <v>33.950617283950614</v>
      </c>
      <c r="K1031" s="201">
        <v>240</v>
      </c>
      <c r="L1031" s="252">
        <f>_xlfn.XLOOKUP($K1031,Inputs!$C$6:$C$23,Inputs!$D$6:$D$23)*$I1031</f>
        <v>26.226851851851851</v>
      </c>
      <c r="M1031" s="68"/>
      <c r="N1031" s="68"/>
      <c r="O1031" s="209">
        <v>553</v>
      </c>
      <c r="P1031" s="209">
        <v>742</v>
      </c>
      <c r="Q1031" s="94">
        <v>0.9</v>
      </c>
      <c r="R1031" s="68" t="s">
        <v>115</v>
      </c>
      <c r="S1031" s="182">
        <f t="shared" si="137"/>
        <v>497.7</v>
      </c>
      <c r="T1031" s="182">
        <f t="shared" si="138"/>
        <v>667.80000000000007</v>
      </c>
      <c r="U1031" s="96" t="s">
        <v>3810</v>
      </c>
      <c r="V1031" s="22" t="s">
        <v>2641</v>
      </c>
      <c r="W1031" s="96" t="s">
        <v>3814</v>
      </c>
      <c r="X1031" s="22" t="s">
        <v>3060</v>
      </c>
      <c r="Y1031" s="11" t="s">
        <v>3305</v>
      </c>
      <c r="Z1031" s="79"/>
      <c r="AA1031" s="187">
        <v>1019</v>
      </c>
    </row>
    <row r="1032" spans="1:27" s="188" customFormat="1" ht="20" x14ac:dyDescent="0.2">
      <c r="B1032" s="11" t="s">
        <v>1081</v>
      </c>
      <c r="C1032" s="165" t="s">
        <v>4237</v>
      </c>
      <c r="D1032" s="22" t="s">
        <v>2379</v>
      </c>
      <c r="E1032" s="34">
        <v>1</v>
      </c>
      <c r="F1032" s="22" t="s">
        <v>2223</v>
      </c>
      <c r="G1032" s="235">
        <v>95</v>
      </c>
      <c r="H1032" s="235">
        <f t="shared" si="139"/>
        <v>58.641975308641975</v>
      </c>
      <c r="I1032" s="235">
        <v>95</v>
      </c>
      <c r="J1032" s="235">
        <f t="shared" si="140"/>
        <v>58.641975308641975</v>
      </c>
      <c r="K1032" s="201">
        <v>240</v>
      </c>
      <c r="L1032" s="252">
        <f>_xlfn.XLOOKUP($K1032,Inputs!$C$6:$C$23,Inputs!$D$6:$D$23)*$I1032</f>
        <v>45.300925925925924</v>
      </c>
      <c r="M1032" s="68"/>
      <c r="N1032" s="68"/>
      <c r="O1032" s="215">
        <v>332</v>
      </c>
      <c r="P1032" s="215">
        <v>332</v>
      </c>
      <c r="Q1032" s="94">
        <v>0.9</v>
      </c>
      <c r="R1032" s="68" t="s">
        <v>115</v>
      </c>
      <c r="S1032" s="182">
        <f t="shared" si="137"/>
        <v>298.8</v>
      </c>
      <c r="T1032" s="182">
        <f t="shared" si="138"/>
        <v>298.8</v>
      </c>
      <c r="U1032" s="96" t="s">
        <v>3756</v>
      </c>
      <c r="V1032" s="22" t="s">
        <v>3014</v>
      </c>
      <c r="W1032" s="96" t="s">
        <v>3675</v>
      </c>
      <c r="X1032" s="22" t="s">
        <v>2948</v>
      </c>
      <c r="Y1032" s="11" t="s">
        <v>3291</v>
      </c>
      <c r="Z1032" s="79"/>
      <c r="AA1032" s="187">
        <v>1020</v>
      </c>
    </row>
    <row r="1033" spans="1:27" s="188" customFormat="1" ht="20" x14ac:dyDescent="0.2">
      <c r="A1033" s="297"/>
      <c r="B1033" s="11" t="s">
        <v>1084</v>
      </c>
      <c r="C1033" s="165" t="s">
        <v>4237</v>
      </c>
      <c r="D1033" s="22" t="s">
        <v>2379</v>
      </c>
      <c r="E1033" s="34">
        <v>1</v>
      </c>
      <c r="F1033" s="22" t="s">
        <v>2223</v>
      </c>
      <c r="G1033" s="235">
        <v>50</v>
      </c>
      <c r="H1033" s="235">
        <f t="shared" si="139"/>
        <v>30.864197530864196</v>
      </c>
      <c r="I1033" s="235">
        <v>50</v>
      </c>
      <c r="J1033" s="235">
        <f t="shared" si="140"/>
        <v>30.864197530864196</v>
      </c>
      <c r="K1033" s="201">
        <v>240</v>
      </c>
      <c r="L1033" s="252">
        <f>_xlfn.XLOOKUP($K1033,Inputs!$C$6:$C$23,Inputs!$D$6:$D$23)*$I1033</f>
        <v>23.842592592592592</v>
      </c>
      <c r="M1033" s="68"/>
      <c r="N1033" s="68"/>
      <c r="O1033" s="215">
        <v>399</v>
      </c>
      <c r="P1033" s="215">
        <v>399</v>
      </c>
      <c r="Q1033" s="94">
        <v>0.9</v>
      </c>
      <c r="R1033" s="68" t="s">
        <v>115</v>
      </c>
      <c r="S1033" s="182">
        <f t="shared" si="137"/>
        <v>359.1</v>
      </c>
      <c r="T1033" s="182">
        <f t="shared" si="138"/>
        <v>359.1</v>
      </c>
      <c r="U1033" s="96" t="s">
        <v>3489</v>
      </c>
      <c r="V1033" s="22" t="s">
        <v>2810</v>
      </c>
      <c r="W1033" s="96" t="s">
        <v>3765</v>
      </c>
      <c r="X1033" s="22" t="s">
        <v>4365</v>
      </c>
      <c r="Y1033" s="11" t="s">
        <v>3299</v>
      </c>
      <c r="Z1033" s="79"/>
      <c r="AA1033" s="187">
        <v>1021</v>
      </c>
    </row>
    <row r="1034" spans="1:27" s="188" customFormat="1" ht="20" x14ac:dyDescent="0.2">
      <c r="B1034" s="11" t="s">
        <v>1085</v>
      </c>
      <c r="C1034" s="165" t="s">
        <v>4237</v>
      </c>
      <c r="D1034" s="22" t="s">
        <v>2379</v>
      </c>
      <c r="E1034" s="34">
        <v>1</v>
      </c>
      <c r="F1034" s="22" t="s">
        <v>2223</v>
      </c>
      <c r="G1034" s="88">
        <v>21</v>
      </c>
      <c r="H1034" s="235">
        <f t="shared" si="139"/>
        <v>12.962962962962962</v>
      </c>
      <c r="I1034" s="88">
        <v>21</v>
      </c>
      <c r="J1034" s="235">
        <f t="shared" si="140"/>
        <v>12.962962962962962</v>
      </c>
      <c r="K1034" s="201">
        <v>240</v>
      </c>
      <c r="L1034" s="252">
        <f>_xlfn.XLOOKUP($K1034,Inputs!$C$6:$C$23,Inputs!$D$6:$D$23)*$I1034</f>
        <v>10.013888888888889</v>
      </c>
      <c r="M1034" s="68"/>
      <c r="N1034" s="68"/>
      <c r="O1034" s="209">
        <v>433</v>
      </c>
      <c r="P1034" s="209">
        <v>498</v>
      </c>
      <c r="Q1034" s="94">
        <v>0.9</v>
      </c>
      <c r="R1034" s="68" t="s">
        <v>115</v>
      </c>
      <c r="S1034" s="182">
        <f t="shared" si="137"/>
        <v>389.7</v>
      </c>
      <c r="T1034" s="182">
        <f t="shared" si="138"/>
        <v>448.2</v>
      </c>
      <c r="U1034" s="96" t="s">
        <v>1075</v>
      </c>
      <c r="V1034" s="22" t="s">
        <v>3205</v>
      </c>
      <c r="W1034" s="96" t="s">
        <v>3397</v>
      </c>
      <c r="X1034" s="22" t="s">
        <v>2757</v>
      </c>
      <c r="Y1034" s="11" t="s">
        <v>3305</v>
      </c>
      <c r="Z1034" s="79"/>
      <c r="AA1034" s="187">
        <v>1022</v>
      </c>
    </row>
    <row r="1035" spans="1:27" s="188" customFormat="1" ht="20" x14ac:dyDescent="0.2">
      <c r="B1035" s="11" t="s">
        <v>1086</v>
      </c>
      <c r="C1035" s="165" t="s">
        <v>4237</v>
      </c>
      <c r="D1035" s="22" t="s">
        <v>2379</v>
      </c>
      <c r="E1035" s="34">
        <v>1</v>
      </c>
      <c r="F1035" s="22" t="s">
        <v>2223</v>
      </c>
      <c r="G1035" s="235">
        <v>42</v>
      </c>
      <c r="H1035" s="235">
        <f t="shared" si="139"/>
        <v>25.925925925925924</v>
      </c>
      <c r="I1035" s="235">
        <v>42</v>
      </c>
      <c r="J1035" s="235">
        <f t="shared" si="140"/>
        <v>25.925925925925924</v>
      </c>
      <c r="K1035" s="201">
        <v>240</v>
      </c>
      <c r="L1035" s="252">
        <f>_xlfn.XLOOKUP($K1035,Inputs!$C$6:$C$23,Inputs!$D$6:$D$23)*$I1035</f>
        <v>20.027777777777779</v>
      </c>
      <c r="M1035" s="68"/>
      <c r="N1035" s="68"/>
      <c r="O1035" s="215">
        <v>332</v>
      </c>
      <c r="P1035" s="215">
        <v>332</v>
      </c>
      <c r="Q1035" s="94">
        <v>0.9</v>
      </c>
      <c r="R1035" s="68" t="s">
        <v>115</v>
      </c>
      <c r="S1035" s="182">
        <f t="shared" si="137"/>
        <v>298.8</v>
      </c>
      <c r="T1035" s="182">
        <f t="shared" si="138"/>
        <v>298.8</v>
      </c>
      <c r="U1035" s="96" t="s">
        <v>3756</v>
      </c>
      <c r="V1035" s="22" t="s">
        <v>3014</v>
      </c>
      <c r="W1035" s="96" t="s">
        <v>3494</v>
      </c>
      <c r="X1035" s="22" t="s">
        <v>2813</v>
      </c>
      <c r="Y1035" s="11" t="s">
        <v>3299</v>
      </c>
      <c r="Z1035" s="79"/>
      <c r="AA1035" s="187">
        <v>1023</v>
      </c>
    </row>
    <row r="1036" spans="1:27" s="188" customFormat="1" ht="20" x14ac:dyDescent="0.2">
      <c r="B1036" s="11" t="s">
        <v>1088</v>
      </c>
      <c r="C1036" s="165" t="s">
        <v>4237</v>
      </c>
      <c r="D1036" s="22" t="s">
        <v>2379</v>
      </c>
      <c r="E1036" s="34">
        <v>1</v>
      </c>
      <c r="F1036" s="22" t="s">
        <v>2223</v>
      </c>
      <c r="G1036" s="235">
        <v>30</v>
      </c>
      <c r="H1036" s="235">
        <f t="shared" si="139"/>
        <v>18.518518518518519</v>
      </c>
      <c r="I1036" s="235">
        <v>30</v>
      </c>
      <c r="J1036" s="235">
        <f t="shared" si="140"/>
        <v>18.518518518518519</v>
      </c>
      <c r="K1036" s="201">
        <v>240</v>
      </c>
      <c r="L1036" s="252">
        <f>_xlfn.XLOOKUP($K1036,Inputs!$C$6:$C$23,Inputs!$D$6:$D$23)*$I1036</f>
        <v>14.305555555555555</v>
      </c>
      <c r="M1036" s="68"/>
      <c r="N1036" s="68"/>
      <c r="O1036" s="209">
        <v>457</v>
      </c>
      <c r="P1036" s="209">
        <v>578</v>
      </c>
      <c r="Q1036" s="94">
        <v>0.9</v>
      </c>
      <c r="R1036" s="68" t="s">
        <v>115</v>
      </c>
      <c r="S1036" s="182">
        <f t="shared" si="137"/>
        <v>411.3</v>
      </c>
      <c r="T1036" s="182">
        <f t="shared" si="138"/>
        <v>520.20000000000005</v>
      </c>
      <c r="U1036" s="96" t="s">
        <v>3512</v>
      </c>
      <c r="V1036" s="22" t="s">
        <v>2829</v>
      </c>
      <c r="W1036" s="96" t="s">
        <v>3874</v>
      </c>
      <c r="X1036" s="22" t="s">
        <v>3141</v>
      </c>
      <c r="Y1036" s="11" t="s">
        <v>3305</v>
      </c>
      <c r="Z1036" s="79"/>
      <c r="AA1036" s="187">
        <v>1024</v>
      </c>
    </row>
    <row r="1037" spans="1:27" s="188" customFormat="1" ht="20" x14ac:dyDescent="0.2">
      <c r="B1037" s="11" t="s">
        <v>1089</v>
      </c>
      <c r="C1037" s="165" t="s">
        <v>4237</v>
      </c>
      <c r="D1037" s="22" t="s">
        <v>2379</v>
      </c>
      <c r="E1037" s="34">
        <v>1</v>
      </c>
      <c r="F1037" s="22" t="s">
        <v>2223</v>
      </c>
      <c r="G1037" s="235">
        <v>15</v>
      </c>
      <c r="H1037" s="235">
        <f t="shared" si="139"/>
        <v>9.2592592592592595</v>
      </c>
      <c r="I1037" s="235">
        <v>57</v>
      </c>
      <c r="J1037" s="235">
        <f t="shared" si="140"/>
        <v>35.185185185185183</v>
      </c>
      <c r="K1037" s="201">
        <v>240</v>
      </c>
      <c r="L1037" s="252">
        <f>_xlfn.XLOOKUP($K1037,Inputs!$C$6:$C$23,Inputs!$D$6:$D$23)*$I1037</f>
        <v>27.180555555555557</v>
      </c>
      <c r="M1037" s="68"/>
      <c r="N1037" s="68"/>
      <c r="O1037" s="209">
        <v>761</v>
      </c>
      <c r="P1037" s="209">
        <v>831</v>
      </c>
      <c r="Q1037" s="94">
        <v>0.9</v>
      </c>
      <c r="R1037" s="68" t="s">
        <v>115</v>
      </c>
      <c r="S1037" s="182">
        <f t="shared" si="137"/>
        <v>684.9</v>
      </c>
      <c r="T1037" s="182">
        <f t="shared" si="138"/>
        <v>747.9</v>
      </c>
      <c r="U1037" s="96" t="s">
        <v>3646</v>
      </c>
      <c r="V1037" s="22" t="s">
        <v>2923</v>
      </c>
      <c r="W1037" s="96" t="s">
        <v>3398</v>
      </c>
      <c r="X1037" s="22" t="s">
        <v>3211</v>
      </c>
      <c r="Y1037" s="11" t="s">
        <v>3305</v>
      </c>
      <c r="Z1037" s="79"/>
      <c r="AA1037" s="187">
        <v>1025</v>
      </c>
    </row>
    <row r="1038" spans="1:27" s="188" customFormat="1" ht="20" x14ac:dyDescent="0.2">
      <c r="B1038" s="11" t="s">
        <v>1089</v>
      </c>
      <c r="C1038" s="165" t="s">
        <v>4237</v>
      </c>
      <c r="D1038" s="22" t="s">
        <v>2379</v>
      </c>
      <c r="E1038" s="34">
        <v>1</v>
      </c>
      <c r="F1038" s="22" t="s">
        <v>2223</v>
      </c>
      <c r="G1038" s="88">
        <v>42</v>
      </c>
      <c r="H1038" s="235">
        <f t="shared" si="139"/>
        <v>25.925925925925924</v>
      </c>
      <c r="I1038" s="88">
        <v>57</v>
      </c>
      <c r="J1038" s="235">
        <f t="shared" si="140"/>
        <v>35.185185185185183</v>
      </c>
      <c r="K1038" s="201">
        <v>240</v>
      </c>
      <c r="L1038" s="252">
        <f>_xlfn.XLOOKUP($K1038,Inputs!$C$6:$C$23,Inputs!$D$6:$D$23)*$I1038</f>
        <v>27.180555555555557</v>
      </c>
      <c r="M1038" s="68"/>
      <c r="N1038" s="68"/>
      <c r="O1038" s="209">
        <v>761</v>
      </c>
      <c r="P1038" s="209">
        <v>831</v>
      </c>
      <c r="Q1038" s="94">
        <v>0.9</v>
      </c>
      <c r="R1038" s="68" t="s">
        <v>115</v>
      </c>
      <c r="S1038" s="182">
        <f t="shared" si="137"/>
        <v>684.9</v>
      </c>
      <c r="T1038" s="182">
        <f t="shared" si="138"/>
        <v>747.9</v>
      </c>
      <c r="U1038" s="96" t="s">
        <v>3398</v>
      </c>
      <c r="V1038" s="22" t="s">
        <v>3211</v>
      </c>
      <c r="W1038" s="96" t="s">
        <v>3825</v>
      </c>
      <c r="X1038" s="22" t="s">
        <v>3070</v>
      </c>
      <c r="Y1038" s="11" t="s">
        <v>3305</v>
      </c>
      <c r="Z1038" s="79"/>
      <c r="AA1038" s="187">
        <v>1026</v>
      </c>
    </row>
    <row r="1039" spans="1:27" s="188" customFormat="1" ht="20" x14ac:dyDescent="0.2">
      <c r="B1039" s="11" t="s">
        <v>1091</v>
      </c>
      <c r="C1039" s="165" t="s">
        <v>4237</v>
      </c>
      <c r="D1039" s="22" t="s">
        <v>2379</v>
      </c>
      <c r="E1039" s="34">
        <v>1</v>
      </c>
      <c r="F1039" s="22" t="s">
        <v>2223</v>
      </c>
      <c r="G1039" s="235">
        <v>90</v>
      </c>
      <c r="H1039" s="235">
        <f t="shared" si="139"/>
        <v>55.55555555555555</v>
      </c>
      <c r="I1039" s="235">
        <v>90</v>
      </c>
      <c r="J1039" s="235">
        <f t="shared" si="140"/>
        <v>55.55555555555555</v>
      </c>
      <c r="K1039" s="201">
        <v>240</v>
      </c>
      <c r="L1039" s="252">
        <f>_xlfn.XLOOKUP($K1039,Inputs!$C$6:$C$23,Inputs!$D$6:$D$23)*$I1039</f>
        <v>42.916666666666664</v>
      </c>
      <c r="M1039" s="68"/>
      <c r="N1039" s="68"/>
      <c r="O1039" s="215">
        <v>498</v>
      </c>
      <c r="P1039" s="215">
        <v>498</v>
      </c>
      <c r="Q1039" s="94">
        <v>0.9</v>
      </c>
      <c r="R1039" s="68" t="s">
        <v>115</v>
      </c>
      <c r="S1039" s="182">
        <f t="shared" si="137"/>
        <v>448.2</v>
      </c>
      <c r="T1039" s="182">
        <f t="shared" si="138"/>
        <v>448.2</v>
      </c>
      <c r="U1039" s="96" t="s">
        <v>3703</v>
      </c>
      <c r="V1039" s="22" t="s">
        <v>2969</v>
      </c>
      <c r="W1039" s="96" t="s">
        <v>3933</v>
      </c>
      <c r="X1039" s="22" t="s">
        <v>3188</v>
      </c>
      <c r="Y1039" s="11" t="s">
        <v>3313</v>
      </c>
      <c r="Z1039" s="79"/>
      <c r="AA1039" s="187">
        <v>1027</v>
      </c>
    </row>
    <row r="1040" spans="1:27" ht="20" x14ac:dyDescent="0.2">
      <c r="B1040" s="11" t="s">
        <v>1092</v>
      </c>
      <c r="C1040" s="165" t="s">
        <v>4237</v>
      </c>
      <c r="D1040" s="22" t="s">
        <v>2379</v>
      </c>
      <c r="E1040" s="34">
        <v>1</v>
      </c>
      <c r="F1040" s="22" t="s">
        <v>2223</v>
      </c>
      <c r="G1040" s="235">
        <v>90</v>
      </c>
      <c r="H1040" s="235">
        <f t="shared" si="139"/>
        <v>55.55555555555555</v>
      </c>
      <c r="I1040" s="235">
        <v>90</v>
      </c>
      <c r="J1040" s="235">
        <f t="shared" si="140"/>
        <v>55.55555555555555</v>
      </c>
      <c r="K1040" s="221">
        <v>240</v>
      </c>
      <c r="L1040" s="252">
        <f>_xlfn.XLOOKUP($K1040,Inputs!$C$6:$C$23,Inputs!$D$6:$D$23)*$I1040</f>
        <v>42.916666666666664</v>
      </c>
      <c r="M1040" s="68"/>
      <c r="N1040" s="68"/>
      <c r="O1040" s="216">
        <v>498</v>
      </c>
      <c r="P1040" s="216">
        <v>498</v>
      </c>
      <c r="Q1040" s="94">
        <v>0.9</v>
      </c>
      <c r="R1040" s="68" t="s">
        <v>115</v>
      </c>
      <c r="S1040" s="182">
        <f t="shared" si="137"/>
        <v>448.2</v>
      </c>
      <c r="T1040" s="182">
        <f t="shared" si="138"/>
        <v>448.2</v>
      </c>
      <c r="U1040" s="96" t="s">
        <v>3703</v>
      </c>
      <c r="V1040" s="22" t="s">
        <v>2969</v>
      </c>
      <c r="W1040" s="96" t="s">
        <v>3933</v>
      </c>
      <c r="X1040" s="22" t="s">
        <v>3188</v>
      </c>
      <c r="Y1040" s="11" t="s">
        <v>3313</v>
      </c>
      <c r="Z1040" s="79"/>
      <c r="AA1040" s="187">
        <v>1028</v>
      </c>
    </row>
    <row r="1041" spans="2:27" s="188" customFormat="1" ht="20" x14ac:dyDescent="0.2">
      <c r="B1041" s="11" t="s">
        <v>1093</v>
      </c>
      <c r="C1041" s="165" t="s">
        <v>4237</v>
      </c>
      <c r="D1041" s="22" t="s">
        <v>2379</v>
      </c>
      <c r="E1041" s="34">
        <v>1</v>
      </c>
      <c r="F1041" s="22" t="s">
        <v>2223</v>
      </c>
      <c r="G1041" s="235">
        <v>15</v>
      </c>
      <c r="H1041" s="235">
        <f t="shared" si="139"/>
        <v>9.2592592592592595</v>
      </c>
      <c r="I1041" s="235">
        <v>15</v>
      </c>
      <c r="J1041" s="235">
        <f t="shared" si="140"/>
        <v>9.2592592592592595</v>
      </c>
      <c r="K1041" s="221">
        <v>240</v>
      </c>
      <c r="L1041" s="252">
        <f>_xlfn.XLOOKUP($K1041,Inputs!$C$6:$C$23,Inputs!$D$6:$D$23)*$I1041</f>
        <v>7.1527777777777777</v>
      </c>
      <c r="M1041" s="68"/>
      <c r="N1041" s="68"/>
      <c r="O1041" s="234">
        <v>560</v>
      </c>
      <c r="P1041" s="234">
        <v>753</v>
      </c>
      <c r="Q1041" s="94">
        <v>0.9</v>
      </c>
      <c r="R1041" s="68" t="s">
        <v>115</v>
      </c>
      <c r="S1041" s="182">
        <f t="shared" si="137"/>
        <v>504</v>
      </c>
      <c r="T1041" s="182">
        <f t="shared" si="138"/>
        <v>677.7</v>
      </c>
      <c r="U1041" s="96" t="s">
        <v>3589</v>
      </c>
      <c r="V1041" s="22" t="s">
        <v>2880</v>
      </c>
      <c r="W1041" s="96" t="s">
        <v>3400</v>
      </c>
      <c r="X1041" s="22" t="s">
        <v>3244</v>
      </c>
      <c r="Y1041" s="11" t="s">
        <v>3305</v>
      </c>
      <c r="Z1041" s="79"/>
      <c r="AA1041" s="187">
        <v>1029</v>
      </c>
    </row>
    <row r="1042" spans="2:27" s="188" customFormat="1" ht="20" x14ac:dyDescent="0.2">
      <c r="B1042" s="11" t="s">
        <v>1096</v>
      </c>
      <c r="C1042" s="165" t="s">
        <v>4237</v>
      </c>
      <c r="D1042" s="22" t="s">
        <v>2379</v>
      </c>
      <c r="E1042" s="34">
        <v>1</v>
      </c>
      <c r="F1042" s="22" t="s">
        <v>2223</v>
      </c>
      <c r="G1042" s="235">
        <v>90</v>
      </c>
      <c r="H1042" s="235">
        <f t="shared" si="139"/>
        <v>55.55555555555555</v>
      </c>
      <c r="I1042" s="235">
        <v>90</v>
      </c>
      <c r="J1042" s="235">
        <f t="shared" si="140"/>
        <v>55.55555555555555</v>
      </c>
      <c r="K1042" s="201">
        <v>240</v>
      </c>
      <c r="L1042" s="252">
        <f>_xlfn.XLOOKUP($K1042,Inputs!$C$6:$C$23,Inputs!$D$6:$D$23)*$I1042</f>
        <v>42.916666666666664</v>
      </c>
      <c r="M1042" s="68"/>
      <c r="N1042" s="68"/>
      <c r="O1042" s="215">
        <v>332</v>
      </c>
      <c r="P1042" s="215">
        <v>332</v>
      </c>
      <c r="Q1042" s="94">
        <v>0.9</v>
      </c>
      <c r="R1042" s="68" t="s">
        <v>115</v>
      </c>
      <c r="S1042" s="182">
        <f t="shared" si="137"/>
        <v>298.8</v>
      </c>
      <c r="T1042" s="182">
        <f t="shared" si="138"/>
        <v>298.8</v>
      </c>
      <c r="U1042" s="96" t="s">
        <v>3723</v>
      </c>
      <c r="V1042" s="22" t="s">
        <v>2986</v>
      </c>
      <c r="W1042" s="96" t="s">
        <v>3689</v>
      </c>
      <c r="X1042" s="205" t="s">
        <v>2959</v>
      </c>
      <c r="Y1042" s="11" t="s">
        <v>3272</v>
      </c>
      <c r="Z1042" s="79"/>
      <c r="AA1042" s="187">
        <v>1030</v>
      </c>
    </row>
    <row r="1043" spans="2:27" s="188" customFormat="1" ht="20" x14ac:dyDescent="0.2">
      <c r="B1043" s="11" t="s">
        <v>1097</v>
      </c>
      <c r="C1043" s="165" t="s">
        <v>4237</v>
      </c>
      <c r="D1043" s="22" t="s">
        <v>2379</v>
      </c>
      <c r="E1043" s="34">
        <v>1</v>
      </c>
      <c r="F1043" s="22" t="s">
        <v>2223</v>
      </c>
      <c r="G1043" s="235">
        <v>6</v>
      </c>
      <c r="H1043" s="235">
        <f t="shared" si="139"/>
        <v>3.7037037037037033</v>
      </c>
      <c r="I1043" s="235">
        <v>6</v>
      </c>
      <c r="J1043" s="235">
        <f t="shared" si="140"/>
        <v>3.7037037037037033</v>
      </c>
      <c r="K1043" s="201">
        <v>240</v>
      </c>
      <c r="L1043" s="252">
        <f>_xlfn.XLOOKUP($K1043,Inputs!$C$6:$C$23,Inputs!$D$6:$D$23)*$I1043</f>
        <v>2.8611111111111112</v>
      </c>
      <c r="M1043" s="68"/>
      <c r="N1043" s="68"/>
      <c r="O1043" s="209">
        <v>457</v>
      </c>
      <c r="P1043" s="209">
        <v>578</v>
      </c>
      <c r="Q1043" s="94">
        <v>0.9</v>
      </c>
      <c r="R1043" s="68" t="s">
        <v>115</v>
      </c>
      <c r="S1043" s="182">
        <f t="shared" si="137"/>
        <v>411.3</v>
      </c>
      <c r="T1043" s="182">
        <f t="shared" si="138"/>
        <v>520.20000000000005</v>
      </c>
      <c r="U1043" s="96" t="s">
        <v>3512</v>
      </c>
      <c r="V1043" s="22" t="s">
        <v>2829</v>
      </c>
      <c r="W1043" s="96" t="s">
        <v>3695</v>
      </c>
      <c r="X1043" s="22" t="s">
        <v>2693</v>
      </c>
      <c r="Y1043" s="11" t="s">
        <v>3305</v>
      </c>
      <c r="Z1043" s="79"/>
      <c r="AA1043" s="187">
        <v>1031</v>
      </c>
    </row>
    <row r="1044" spans="2:27" s="188" customFormat="1" ht="20" x14ac:dyDescent="0.2">
      <c r="B1044" s="11" t="s">
        <v>1099</v>
      </c>
      <c r="C1044" s="165" t="s">
        <v>4237</v>
      </c>
      <c r="D1044" s="22" t="s">
        <v>2379</v>
      </c>
      <c r="E1044" s="34">
        <v>1</v>
      </c>
      <c r="F1044" s="22" t="s">
        <v>2223</v>
      </c>
      <c r="G1044" s="88">
        <v>29.400000000000002</v>
      </c>
      <c r="H1044" s="235">
        <f t="shared" si="139"/>
        <v>18.148148148148149</v>
      </c>
      <c r="I1044" s="88">
        <v>29.400000000000002</v>
      </c>
      <c r="J1044" s="235">
        <f t="shared" si="140"/>
        <v>18.148148148148149</v>
      </c>
      <c r="K1044" s="201">
        <v>240</v>
      </c>
      <c r="L1044" s="252">
        <f>_xlfn.XLOOKUP($K1044,Inputs!$C$6:$C$23,Inputs!$D$6:$D$23)*$I1044</f>
        <v>14.019444444444446</v>
      </c>
      <c r="M1044" s="68"/>
      <c r="N1044" s="68"/>
      <c r="O1044" s="215">
        <v>332</v>
      </c>
      <c r="P1044" s="215">
        <v>332</v>
      </c>
      <c r="Q1044" s="94">
        <v>0.9</v>
      </c>
      <c r="R1044" s="68" t="s">
        <v>115</v>
      </c>
      <c r="S1044" s="182">
        <f t="shared" si="137"/>
        <v>298.8</v>
      </c>
      <c r="T1044" s="182">
        <f t="shared" si="138"/>
        <v>298.8</v>
      </c>
      <c r="U1044" s="96" t="s">
        <v>3658</v>
      </c>
      <c r="V1044" s="22" t="s">
        <v>2930</v>
      </c>
      <c r="W1044" s="96" t="s">
        <v>3663</v>
      </c>
      <c r="X1044" s="22" t="s">
        <v>2935</v>
      </c>
      <c r="Y1044" s="11" t="s">
        <v>3310</v>
      </c>
      <c r="Z1044" s="79"/>
      <c r="AA1044" s="187">
        <v>1032</v>
      </c>
    </row>
    <row r="1045" spans="2:27" s="188" customFormat="1" ht="20" x14ac:dyDescent="0.2">
      <c r="B1045" s="11" t="s">
        <v>1100</v>
      </c>
      <c r="C1045" s="165" t="s">
        <v>4237</v>
      </c>
      <c r="D1045" s="22" t="s">
        <v>2379</v>
      </c>
      <c r="E1045" s="34">
        <v>1</v>
      </c>
      <c r="F1045" s="22" t="s">
        <v>2223</v>
      </c>
      <c r="G1045" s="235">
        <v>80</v>
      </c>
      <c r="H1045" s="235">
        <f t="shared" si="139"/>
        <v>49.382716049382715</v>
      </c>
      <c r="I1045" s="235">
        <v>80</v>
      </c>
      <c r="J1045" s="235">
        <f t="shared" si="140"/>
        <v>49.382716049382715</v>
      </c>
      <c r="K1045" s="201">
        <v>240</v>
      </c>
      <c r="L1045" s="252">
        <f>_xlfn.XLOOKUP($K1045,Inputs!$C$6:$C$23,Inputs!$D$6:$D$23)*$I1045</f>
        <v>38.148148148148152</v>
      </c>
      <c r="M1045" s="68"/>
      <c r="N1045" s="68"/>
      <c r="O1045" s="215">
        <v>332</v>
      </c>
      <c r="P1045" s="215">
        <v>332</v>
      </c>
      <c r="Q1045" s="94">
        <v>0.9</v>
      </c>
      <c r="R1045" s="68" t="s">
        <v>115</v>
      </c>
      <c r="S1045" s="182">
        <f t="shared" si="137"/>
        <v>298.8</v>
      </c>
      <c r="T1045" s="182">
        <f t="shared" si="138"/>
        <v>298.8</v>
      </c>
      <c r="U1045" s="96" t="s">
        <v>3770</v>
      </c>
      <c r="V1045" s="22" t="s">
        <v>3024</v>
      </c>
      <c r="W1045" s="96" t="s">
        <v>3675</v>
      </c>
      <c r="X1045" s="22" t="s">
        <v>2948</v>
      </c>
      <c r="Y1045" s="11" t="s">
        <v>3299</v>
      </c>
      <c r="Z1045" s="79"/>
      <c r="AA1045" s="187">
        <v>1033</v>
      </c>
    </row>
    <row r="1046" spans="2:27" s="188" customFormat="1" ht="20" x14ac:dyDescent="0.2">
      <c r="B1046" s="11" t="s">
        <v>1101</v>
      </c>
      <c r="C1046" s="165" t="s">
        <v>4237</v>
      </c>
      <c r="D1046" s="22" t="s">
        <v>2379</v>
      </c>
      <c r="E1046" s="34">
        <v>1</v>
      </c>
      <c r="F1046" s="22" t="s">
        <v>2223</v>
      </c>
      <c r="G1046" s="235">
        <v>155</v>
      </c>
      <c r="H1046" s="235">
        <f t="shared" si="139"/>
        <v>95.679012345679013</v>
      </c>
      <c r="I1046" s="235">
        <v>155</v>
      </c>
      <c r="J1046" s="235">
        <f t="shared" si="140"/>
        <v>95.679012345679013</v>
      </c>
      <c r="K1046" s="201">
        <v>240</v>
      </c>
      <c r="L1046" s="252">
        <f>_xlfn.XLOOKUP($K1046,Inputs!$C$6:$C$23,Inputs!$D$6:$D$23)*$I1046</f>
        <v>73.912037037037038</v>
      </c>
      <c r="M1046" s="68"/>
      <c r="N1046" s="68"/>
      <c r="O1046" s="215">
        <v>550</v>
      </c>
      <c r="P1046" s="215">
        <v>702</v>
      </c>
      <c r="Q1046" s="94">
        <v>0.9</v>
      </c>
      <c r="R1046" s="68" t="s">
        <v>115</v>
      </c>
      <c r="S1046" s="182">
        <f t="shared" si="137"/>
        <v>495</v>
      </c>
      <c r="T1046" s="182">
        <f t="shared" si="138"/>
        <v>631.80000000000007</v>
      </c>
      <c r="U1046" s="96" t="s">
        <v>3608</v>
      </c>
      <c r="V1046" s="22" t="s">
        <v>2896</v>
      </c>
      <c r="W1046" s="96" t="s">
        <v>3992</v>
      </c>
      <c r="X1046" s="22" t="s">
        <v>2094</v>
      </c>
      <c r="Y1046" s="11" t="s">
        <v>3294</v>
      </c>
      <c r="Z1046" s="79"/>
      <c r="AA1046" s="187">
        <v>1034</v>
      </c>
    </row>
    <row r="1047" spans="2:27" s="188" customFormat="1" ht="20" x14ac:dyDescent="0.2">
      <c r="B1047" s="11" t="s">
        <v>1103</v>
      </c>
      <c r="C1047" s="165" t="s">
        <v>4237</v>
      </c>
      <c r="D1047" s="22" t="s">
        <v>2379</v>
      </c>
      <c r="E1047" s="34">
        <v>1</v>
      </c>
      <c r="F1047" s="22" t="s">
        <v>2223</v>
      </c>
      <c r="G1047" s="88">
        <v>16.8</v>
      </c>
      <c r="H1047" s="235">
        <f t="shared" si="139"/>
        <v>10.37037037037037</v>
      </c>
      <c r="I1047" s="88">
        <v>16.8</v>
      </c>
      <c r="J1047" s="235">
        <f t="shared" si="140"/>
        <v>10.37037037037037</v>
      </c>
      <c r="K1047" s="201">
        <v>240</v>
      </c>
      <c r="L1047" s="252">
        <f>_xlfn.XLOOKUP($K1047,Inputs!$C$6:$C$23,Inputs!$D$6:$D$23)*$I1047</f>
        <v>8.0111111111111111</v>
      </c>
      <c r="M1047" s="68"/>
      <c r="N1047" s="68"/>
      <c r="O1047" s="187"/>
      <c r="P1047" s="187"/>
      <c r="Q1047" s="94">
        <v>0.9</v>
      </c>
      <c r="R1047" s="68">
        <f>IF((42.4*(J1047)^(-0.6595))&gt;=3,3,(IF(42.4*(J1047)^(-0.6595)&lt;=0.5,0.5,(42.4*(J1047)^(-0.6595)))))</f>
        <v>3</v>
      </c>
      <c r="S1047" s="276">
        <f>_xlfn.XLOOKUP($K1047,Inputs!$G$6:$G$23,Inputs!J$6:J$23)*$R1047</f>
        <v>438.57868020304568</v>
      </c>
      <c r="T1047" s="276">
        <f>_xlfn.XLOOKUP($K1047,Inputs!$G$6:$G$23,Inputs!K$6:K$23)*$R1047</f>
        <v>476.03305785123973</v>
      </c>
      <c r="U1047" s="96" t="s">
        <v>3710</v>
      </c>
      <c r="V1047" s="22" t="s">
        <v>2975</v>
      </c>
      <c r="W1047" s="96" t="s">
        <v>3992</v>
      </c>
      <c r="X1047" s="205" t="s">
        <v>2094</v>
      </c>
      <c r="Y1047" s="11" t="s">
        <v>3331</v>
      </c>
      <c r="Z1047" s="79"/>
      <c r="AA1047" s="187">
        <v>1035</v>
      </c>
    </row>
    <row r="1048" spans="2:27" s="188" customFormat="1" ht="20" x14ac:dyDescent="0.2">
      <c r="B1048" s="11" t="s">
        <v>2031</v>
      </c>
      <c r="C1048" s="165" t="s">
        <v>4237</v>
      </c>
      <c r="D1048" s="22" t="s">
        <v>2379</v>
      </c>
      <c r="E1048" s="34">
        <v>1</v>
      </c>
      <c r="F1048" s="22" t="s">
        <v>2223</v>
      </c>
      <c r="G1048" s="88">
        <v>30</v>
      </c>
      <c r="H1048" s="235">
        <f t="shared" si="139"/>
        <v>18.518518518518519</v>
      </c>
      <c r="I1048" s="88">
        <v>130</v>
      </c>
      <c r="J1048" s="235">
        <f t="shared" si="140"/>
        <v>80.246913580246911</v>
      </c>
      <c r="K1048" s="221">
        <v>240</v>
      </c>
      <c r="L1048" s="252">
        <f>_xlfn.XLOOKUP($K1048,Inputs!$C$6:$C$23,Inputs!$D$6:$D$23)*$I1048</f>
        <v>61.99074074074074</v>
      </c>
      <c r="M1048" s="68"/>
      <c r="N1048" s="68"/>
      <c r="O1048" s="216">
        <v>488</v>
      </c>
      <c r="P1048" s="216">
        <v>624</v>
      </c>
      <c r="Q1048" s="94">
        <v>0.9</v>
      </c>
      <c r="R1048" s="68" t="s">
        <v>115</v>
      </c>
      <c r="S1048" s="182">
        <f t="shared" ref="S1048:S1070" si="141">O1048*Q1048</f>
        <v>439.2</v>
      </c>
      <c r="T1048" s="182">
        <f t="shared" ref="T1048:T1070" si="142">P1048*Q1048</f>
        <v>561.6</v>
      </c>
      <c r="U1048" s="96" t="s">
        <v>3426</v>
      </c>
      <c r="V1048" s="22" t="s">
        <v>2775</v>
      </c>
      <c r="W1048" s="96" t="s">
        <v>3904</v>
      </c>
      <c r="X1048" s="22" t="s">
        <v>3165</v>
      </c>
      <c r="Y1048" s="11" t="s">
        <v>3272</v>
      </c>
      <c r="Z1048" s="79"/>
      <c r="AA1048" s="187">
        <v>1036</v>
      </c>
    </row>
    <row r="1049" spans="2:27" s="188" customFormat="1" ht="20" x14ac:dyDescent="0.2">
      <c r="B1049" s="11" t="s">
        <v>2031</v>
      </c>
      <c r="C1049" s="165" t="s">
        <v>4237</v>
      </c>
      <c r="D1049" s="22" t="s">
        <v>2379</v>
      </c>
      <c r="E1049" s="34">
        <v>1</v>
      </c>
      <c r="F1049" s="22" t="s">
        <v>2223</v>
      </c>
      <c r="G1049" s="235">
        <v>100</v>
      </c>
      <c r="H1049" s="235">
        <f t="shared" si="139"/>
        <v>61.728395061728392</v>
      </c>
      <c r="I1049" s="235">
        <v>130</v>
      </c>
      <c r="J1049" s="235">
        <f t="shared" si="140"/>
        <v>80.246913580246911</v>
      </c>
      <c r="K1049" s="201">
        <v>240</v>
      </c>
      <c r="L1049" s="252">
        <f>_xlfn.XLOOKUP($K1049,Inputs!$C$6:$C$23,Inputs!$D$6:$D$23)*$I1049</f>
        <v>61.99074074074074</v>
      </c>
      <c r="M1049" s="68"/>
      <c r="N1049" s="68"/>
      <c r="O1049" s="215">
        <v>488</v>
      </c>
      <c r="P1049" s="215">
        <v>624</v>
      </c>
      <c r="Q1049" s="94">
        <v>0.9</v>
      </c>
      <c r="R1049" s="68" t="s">
        <v>115</v>
      </c>
      <c r="S1049" s="182">
        <f t="shared" si="141"/>
        <v>439.2</v>
      </c>
      <c r="T1049" s="182">
        <f t="shared" si="142"/>
        <v>561.6</v>
      </c>
      <c r="U1049" s="96" t="s">
        <v>3904</v>
      </c>
      <c r="V1049" s="22" t="s">
        <v>3165</v>
      </c>
      <c r="W1049" s="96" t="s">
        <v>3723</v>
      </c>
      <c r="X1049" s="22" t="s">
        <v>2986</v>
      </c>
      <c r="Y1049" s="11" t="s">
        <v>3272</v>
      </c>
      <c r="Z1049" s="79"/>
      <c r="AA1049" s="187">
        <v>1037</v>
      </c>
    </row>
    <row r="1050" spans="2:27" s="188" customFormat="1" ht="20" x14ac:dyDescent="0.2">
      <c r="B1050" s="11" t="s">
        <v>1105</v>
      </c>
      <c r="C1050" s="165" t="s">
        <v>4237</v>
      </c>
      <c r="D1050" s="22" t="s">
        <v>2379</v>
      </c>
      <c r="E1050" s="34">
        <v>1</v>
      </c>
      <c r="F1050" s="22" t="s">
        <v>2223</v>
      </c>
      <c r="G1050" s="235">
        <v>63</v>
      </c>
      <c r="H1050" s="235">
        <f t="shared" si="139"/>
        <v>38.888888888888886</v>
      </c>
      <c r="I1050" s="235">
        <v>63</v>
      </c>
      <c r="J1050" s="235">
        <f t="shared" si="140"/>
        <v>38.888888888888886</v>
      </c>
      <c r="K1050" s="201">
        <v>240</v>
      </c>
      <c r="L1050" s="252">
        <f>_xlfn.XLOOKUP($K1050,Inputs!$C$6:$C$23,Inputs!$D$6:$D$23)*$I1050</f>
        <v>30.041666666666668</v>
      </c>
      <c r="M1050" s="68"/>
      <c r="N1050" s="68"/>
      <c r="O1050" s="209">
        <v>493</v>
      </c>
      <c r="P1050" s="209">
        <v>660</v>
      </c>
      <c r="Q1050" s="94">
        <v>0.9</v>
      </c>
      <c r="R1050" s="68" t="s">
        <v>115</v>
      </c>
      <c r="S1050" s="182">
        <f t="shared" si="141"/>
        <v>443.7</v>
      </c>
      <c r="T1050" s="182">
        <f t="shared" si="142"/>
        <v>594</v>
      </c>
      <c r="U1050" s="96" t="s">
        <v>3684</v>
      </c>
      <c r="V1050" s="22" t="s">
        <v>2955</v>
      </c>
      <c r="W1050" s="96" t="s">
        <v>3397</v>
      </c>
      <c r="X1050" s="205" t="s">
        <v>2757</v>
      </c>
      <c r="Y1050" s="11" t="s">
        <v>3305</v>
      </c>
      <c r="Z1050" s="79"/>
      <c r="AA1050" s="187">
        <v>1038</v>
      </c>
    </row>
    <row r="1051" spans="2:27" s="188" customFormat="1" ht="20" x14ac:dyDescent="0.2">
      <c r="B1051" s="11" t="s">
        <v>1106</v>
      </c>
      <c r="C1051" s="165" t="s">
        <v>4237</v>
      </c>
      <c r="D1051" s="22" t="s">
        <v>2379</v>
      </c>
      <c r="E1051" s="34">
        <v>1</v>
      </c>
      <c r="F1051" s="22" t="s">
        <v>2223</v>
      </c>
      <c r="G1051" s="235">
        <v>10</v>
      </c>
      <c r="H1051" s="235">
        <f t="shared" si="139"/>
        <v>6.1728395061728394</v>
      </c>
      <c r="I1051" s="235">
        <v>10</v>
      </c>
      <c r="J1051" s="235">
        <f t="shared" si="140"/>
        <v>6.1728395061728394</v>
      </c>
      <c r="K1051" s="201">
        <v>240</v>
      </c>
      <c r="L1051" s="252">
        <f>_xlfn.XLOOKUP($K1051,Inputs!$C$6:$C$23,Inputs!$D$6:$D$23)*$I1051</f>
        <v>4.768518518518519</v>
      </c>
      <c r="M1051" s="68"/>
      <c r="N1051" s="68"/>
      <c r="O1051" s="209">
        <v>416</v>
      </c>
      <c r="P1051" s="209">
        <v>565</v>
      </c>
      <c r="Q1051" s="94">
        <v>0.9</v>
      </c>
      <c r="R1051" s="68" t="s">
        <v>115</v>
      </c>
      <c r="S1051" s="182">
        <f t="shared" si="141"/>
        <v>374.40000000000003</v>
      </c>
      <c r="T1051" s="182">
        <f t="shared" si="142"/>
        <v>508.5</v>
      </c>
      <c r="U1051" s="96" t="s">
        <v>3512</v>
      </c>
      <c r="V1051" s="22" t="s">
        <v>2829</v>
      </c>
      <c r="W1051" s="96" t="s">
        <v>3810</v>
      </c>
      <c r="X1051" s="205" t="s">
        <v>2641</v>
      </c>
      <c r="Y1051" s="11" t="s">
        <v>3305</v>
      </c>
      <c r="Z1051" s="79"/>
      <c r="AA1051" s="187">
        <v>1039</v>
      </c>
    </row>
    <row r="1052" spans="2:27" s="188" customFormat="1" ht="20" x14ac:dyDescent="0.2">
      <c r="B1052" s="11" t="s">
        <v>1107</v>
      </c>
      <c r="C1052" s="165" t="s">
        <v>4237</v>
      </c>
      <c r="D1052" s="22" t="s">
        <v>2379</v>
      </c>
      <c r="E1052" s="34">
        <v>1</v>
      </c>
      <c r="F1052" s="22" t="s">
        <v>2223</v>
      </c>
      <c r="G1052" s="235">
        <v>120</v>
      </c>
      <c r="H1052" s="235">
        <f t="shared" si="139"/>
        <v>74.074074074074076</v>
      </c>
      <c r="I1052" s="235">
        <v>120</v>
      </c>
      <c r="J1052" s="235">
        <f t="shared" si="140"/>
        <v>74.074074074074076</v>
      </c>
      <c r="K1052" s="201">
        <v>240</v>
      </c>
      <c r="L1052" s="252">
        <f>_xlfn.XLOOKUP($K1052,Inputs!$C$6:$C$23,Inputs!$D$6:$D$23)*$I1052</f>
        <v>57.222222222222221</v>
      </c>
      <c r="M1052" s="68"/>
      <c r="N1052" s="68"/>
      <c r="O1052" s="215">
        <v>549</v>
      </c>
      <c r="P1052" s="215">
        <v>701</v>
      </c>
      <c r="Q1052" s="94">
        <v>0.9</v>
      </c>
      <c r="R1052" s="68" t="s">
        <v>115</v>
      </c>
      <c r="S1052" s="182">
        <f t="shared" si="141"/>
        <v>494.1</v>
      </c>
      <c r="T1052" s="182">
        <f t="shared" si="142"/>
        <v>630.9</v>
      </c>
      <c r="U1052" s="96" t="s">
        <v>3357</v>
      </c>
      <c r="V1052" s="22" t="s">
        <v>2734</v>
      </c>
      <c r="W1052" s="96" t="s">
        <v>3880</v>
      </c>
      <c r="X1052" s="22" t="s">
        <v>3145</v>
      </c>
      <c r="Y1052" s="11" t="s">
        <v>3291</v>
      </c>
      <c r="Z1052" s="79"/>
      <c r="AA1052" s="187">
        <v>1040</v>
      </c>
    </row>
    <row r="1053" spans="2:27" s="188" customFormat="1" ht="20" x14ac:dyDescent="0.2">
      <c r="B1053" s="11" t="s">
        <v>1108</v>
      </c>
      <c r="C1053" s="165" t="s">
        <v>4237</v>
      </c>
      <c r="D1053" s="22" t="s">
        <v>2379</v>
      </c>
      <c r="E1053" s="34">
        <v>1</v>
      </c>
      <c r="F1053" s="22" t="s">
        <v>2223</v>
      </c>
      <c r="G1053" s="235">
        <v>20</v>
      </c>
      <c r="H1053" s="235">
        <f t="shared" si="139"/>
        <v>12.345679012345679</v>
      </c>
      <c r="I1053" s="235">
        <v>20</v>
      </c>
      <c r="J1053" s="235">
        <f t="shared" si="140"/>
        <v>12.345679012345679</v>
      </c>
      <c r="K1053" s="201">
        <v>240</v>
      </c>
      <c r="L1053" s="252">
        <f>_xlfn.XLOOKUP($K1053,Inputs!$C$6:$C$23,Inputs!$D$6:$D$23)*$I1053</f>
        <v>9.5370370370370381</v>
      </c>
      <c r="M1053" s="68"/>
      <c r="N1053" s="68"/>
      <c r="O1053" s="209">
        <v>380</v>
      </c>
      <c r="P1053" s="209">
        <v>515</v>
      </c>
      <c r="Q1053" s="94">
        <v>0.9</v>
      </c>
      <c r="R1053" s="68" t="s">
        <v>115</v>
      </c>
      <c r="S1053" s="182">
        <f t="shared" si="141"/>
        <v>342</v>
      </c>
      <c r="T1053" s="182">
        <f t="shared" si="142"/>
        <v>463.5</v>
      </c>
      <c r="U1053" s="96" t="s">
        <v>3646</v>
      </c>
      <c r="V1053" s="22" t="s">
        <v>2923</v>
      </c>
      <c r="W1053" s="96" t="s">
        <v>3733</v>
      </c>
      <c r="X1053" s="205" t="s">
        <v>2698</v>
      </c>
      <c r="Y1053" s="11" t="s">
        <v>3305</v>
      </c>
      <c r="Z1053" s="79"/>
      <c r="AA1053" s="187">
        <v>1041</v>
      </c>
    </row>
    <row r="1054" spans="2:27" s="188" customFormat="1" ht="20" x14ac:dyDescent="0.2">
      <c r="B1054" s="11" t="s">
        <v>1110</v>
      </c>
      <c r="C1054" s="165" t="s">
        <v>4237</v>
      </c>
      <c r="D1054" s="22" t="s">
        <v>2379</v>
      </c>
      <c r="E1054" s="34">
        <v>1</v>
      </c>
      <c r="F1054" s="22" t="s">
        <v>2223</v>
      </c>
      <c r="G1054" s="88">
        <v>29.400000000000002</v>
      </c>
      <c r="H1054" s="235">
        <f t="shared" si="139"/>
        <v>18.148148148148149</v>
      </c>
      <c r="I1054" s="88">
        <v>29.400000000000002</v>
      </c>
      <c r="J1054" s="235">
        <f t="shared" si="140"/>
        <v>18.148148148148149</v>
      </c>
      <c r="K1054" s="201">
        <v>240</v>
      </c>
      <c r="L1054" s="252">
        <f>_xlfn.XLOOKUP($K1054,Inputs!$C$6:$C$23,Inputs!$D$6:$D$23)*$I1054</f>
        <v>14.019444444444446</v>
      </c>
      <c r="M1054" s="68"/>
      <c r="N1054" s="68"/>
      <c r="O1054" s="209">
        <v>777</v>
      </c>
      <c r="P1054" s="209">
        <v>831</v>
      </c>
      <c r="Q1054" s="94">
        <v>0.9</v>
      </c>
      <c r="R1054" s="68" t="s">
        <v>115</v>
      </c>
      <c r="S1054" s="182">
        <f t="shared" si="141"/>
        <v>699.30000000000007</v>
      </c>
      <c r="T1054" s="182">
        <f t="shared" si="142"/>
        <v>747.9</v>
      </c>
      <c r="U1054" s="96" t="s">
        <v>3709</v>
      </c>
      <c r="V1054" s="22" t="s">
        <v>2974</v>
      </c>
      <c r="W1054" s="96" t="s">
        <v>3400</v>
      </c>
      <c r="X1054" s="22" t="s">
        <v>3244</v>
      </c>
      <c r="Y1054" s="11" t="s">
        <v>3305</v>
      </c>
      <c r="Z1054" s="79"/>
      <c r="AA1054" s="187">
        <v>1042</v>
      </c>
    </row>
    <row r="1055" spans="2:27" s="188" customFormat="1" ht="20" x14ac:dyDescent="0.2">
      <c r="B1055" s="11" t="s">
        <v>1111</v>
      </c>
      <c r="C1055" s="165" t="s">
        <v>4237</v>
      </c>
      <c r="D1055" s="22" t="s">
        <v>2379</v>
      </c>
      <c r="E1055" s="34">
        <v>1</v>
      </c>
      <c r="F1055" s="22" t="s">
        <v>2223</v>
      </c>
      <c r="G1055" s="88">
        <v>10.5</v>
      </c>
      <c r="H1055" s="235">
        <f t="shared" si="139"/>
        <v>6.481481481481481</v>
      </c>
      <c r="I1055" s="88">
        <v>10.5</v>
      </c>
      <c r="J1055" s="235">
        <f t="shared" si="140"/>
        <v>6.481481481481481</v>
      </c>
      <c r="K1055" s="201">
        <v>240</v>
      </c>
      <c r="L1055" s="252">
        <f>_xlfn.XLOOKUP($K1055,Inputs!$C$6:$C$23,Inputs!$D$6:$D$23)*$I1055</f>
        <v>5.0069444444444446</v>
      </c>
      <c r="M1055" s="68"/>
      <c r="N1055" s="68"/>
      <c r="O1055" s="215">
        <v>432</v>
      </c>
      <c r="P1055" s="215">
        <v>432</v>
      </c>
      <c r="Q1055" s="94">
        <v>0.9</v>
      </c>
      <c r="R1055" s="68" t="s">
        <v>115</v>
      </c>
      <c r="S1055" s="182">
        <f t="shared" si="141"/>
        <v>388.8</v>
      </c>
      <c r="T1055" s="182">
        <f t="shared" si="142"/>
        <v>388.8</v>
      </c>
      <c r="U1055" s="96" t="s">
        <v>3756</v>
      </c>
      <c r="V1055" s="22" t="s">
        <v>3014</v>
      </c>
      <c r="W1055" s="96" t="s">
        <v>3357</v>
      </c>
      <c r="X1055" s="22" t="s">
        <v>2734</v>
      </c>
      <c r="Y1055" s="11" t="s">
        <v>3299</v>
      </c>
      <c r="Z1055" s="79"/>
      <c r="AA1055" s="187">
        <v>1043</v>
      </c>
    </row>
    <row r="1056" spans="2:27" s="188" customFormat="1" ht="20" x14ac:dyDescent="0.2">
      <c r="B1056" s="11" t="s">
        <v>1112</v>
      </c>
      <c r="C1056" s="165" t="s">
        <v>4237</v>
      </c>
      <c r="D1056" s="22" t="s">
        <v>2379</v>
      </c>
      <c r="E1056" s="34">
        <v>1</v>
      </c>
      <c r="F1056" s="22" t="s">
        <v>2223</v>
      </c>
      <c r="G1056" s="235">
        <v>30</v>
      </c>
      <c r="H1056" s="235">
        <f t="shared" si="139"/>
        <v>18.518518518518519</v>
      </c>
      <c r="I1056" s="235">
        <v>30</v>
      </c>
      <c r="J1056" s="235">
        <f t="shared" si="140"/>
        <v>18.518518518518519</v>
      </c>
      <c r="K1056" s="201">
        <v>240</v>
      </c>
      <c r="L1056" s="252">
        <f>_xlfn.XLOOKUP($K1056,Inputs!$C$6:$C$23,Inputs!$D$6:$D$23)*$I1056</f>
        <v>14.305555555555555</v>
      </c>
      <c r="M1056" s="68"/>
      <c r="N1056" s="68"/>
      <c r="O1056" s="209">
        <v>423</v>
      </c>
      <c r="P1056" s="209">
        <v>575</v>
      </c>
      <c r="Q1056" s="94">
        <v>0.9</v>
      </c>
      <c r="R1056" s="68" t="s">
        <v>115</v>
      </c>
      <c r="S1056" s="182">
        <f t="shared" si="141"/>
        <v>380.7</v>
      </c>
      <c r="T1056" s="182">
        <f t="shared" si="142"/>
        <v>517.5</v>
      </c>
      <c r="U1056" s="96" t="s">
        <v>3512</v>
      </c>
      <c r="V1056" s="22" t="s">
        <v>2829</v>
      </c>
      <c r="W1056" s="96" t="s">
        <v>3397</v>
      </c>
      <c r="X1056" s="22" t="s">
        <v>2757</v>
      </c>
      <c r="Y1056" s="11" t="s">
        <v>3305</v>
      </c>
      <c r="Z1056" s="79"/>
      <c r="AA1056" s="187">
        <v>1044</v>
      </c>
    </row>
    <row r="1057" spans="2:27" s="188" customFormat="1" ht="20" x14ac:dyDescent="0.2">
      <c r="B1057" s="11" t="s">
        <v>1113</v>
      </c>
      <c r="C1057" s="165" t="s">
        <v>4237</v>
      </c>
      <c r="D1057" s="22" t="s">
        <v>2379</v>
      </c>
      <c r="E1057" s="34">
        <v>1</v>
      </c>
      <c r="F1057" s="22" t="s">
        <v>2223</v>
      </c>
      <c r="G1057" s="235">
        <v>15</v>
      </c>
      <c r="H1057" s="235">
        <f t="shared" si="139"/>
        <v>9.2592592592592595</v>
      </c>
      <c r="I1057" s="235">
        <v>15</v>
      </c>
      <c r="J1057" s="235">
        <f t="shared" si="140"/>
        <v>9.2592592592592595</v>
      </c>
      <c r="K1057" s="201">
        <v>240</v>
      </c>
      <c r="L1057" s="252">
        <f>_xlfn.XLOOKUP($K1057,Inputs!$C$6:$C$23,Inputs!$D$6:$D$23)*$I1057</f>
        <v>7.1527777777777777</v>
      </c>
      <c r="M1057" s="68"/>
      <c r="N1057" s="68"/>
      <c r="O1057" s="209">
        <v>560</v>
      </c>
      <c r="P1057" s="209">
        <v>753</v>
      </c>
      <c r="Q1057" s="94">
        <v>0.9</v>
      </c>
      <c r="R1057" s="68" t="s">
        <v>115</v>
      </c>
      <c r="S1057" s="182">
        <f t="shared" si="141"/>
        <v>504</v>
      </c>
      <c r="T1057" s="182">
        <f t="shared" si="142"/>
        <v>677.7</v>
      </c>
      <c r="U1057" s="96" t="s">
        <v>3589</v>
      </c>
      <c r="V1057" s="22" t="s">
        <v>2880</v>
      </c>
      <c r="W1057" s="96" t="s">
        <v>3400</v>
      </c>
      <c r="X1057" s="22" t="s">
        <v>3244</v>
      </c>
      <c r="Y1057" s="11" t="s">
        <v>3305</v>
      </c>
      <c r="Z1057" s="79"/>
      <c r="AA1057" s="187">
        <v>1045</v>
      </c>
    </row>
    <row r="1058" spans="2:27" s="188" customFormat="1" ht="20" x14ac:dyDescent="0.2">
      <c r="B1058" s="11" t="s">
        <v>1114</v>
      </c>
      <c r="C1058" s="165" t="s">
        <v>4237</v>
      </c>
      <c r="D1058" s="22" t="s">
        <v>2379</v>
      </c>
      <c r="E1058" s="34">
        <v>1</v>
      </c>
      <c r="F1058" s="22" t="s">
        <v>2223</v>
      </c>
      <c r="G1058" s="235">
        <v>10</v>
      </c>
      <c r="H1058" s="235">
        <f t="shared" si="139"/>
        <v>6.1728395061728394</v>
      </c>
      <c r="I1058" s="235">
        <v>10</v>
      </c>
      <c r="J1058" s="235">
        <f t="shared" si="140"/>
        <v>6.1728395061728394</v>
      </c>
      <c r="K1058" s="201">
        <v>240</v>
      </c>
      <c r="L1058" s="252">
        <f>_xlfn.XLOOKUP($K1058,Inputs!$C$6:$C$23,Inputs!$D$6:$D$23)*$I1058</f>
        <v>4.768518518518519</v>
      </c>
      <c r="M1058" s="68"/>
      <c r="N1058" s="68"/>
      <c r="O1058" s="215">
        <v>498</v>
      </c>
      <c r="P1058" s="215">
        <v>498</v>
      </c>
      <c r="Q1058" s="94">
        <v>0.9</v>
      </c>
      <c r="R1058" s="68" t="s">
        <v>115</v>
      </c>
      <c r="S1058" s="182">
        <f t="shared" si="141"/>
        <v>448.2</v>
      </c>
      <c r="T1058" s="182">
        <f t="shared" si="142"/>
        <v>448.2</v>
      </c>
      <c r="U1058" s="96" t="s">
        <v>3489</v>
      </c>
      <c r="V1058" s="22" t="s">
        <v>2810</v>
      </c>
      <c r="W1058" s="96" t="s">
        <v>3373</v>
      </c>
      <c r="X1058" s="22" t="s">
        <v>2656</v>
      </c>
      <c r="Y1058" s="11" t="s">
        <v>3308</v>
      </c>
      <c r="Z1058" s="79"/>
      <c r="AA1058" s="187">
        <v>1046</v>
      </c>
    </row>
    <row r="1059" spans="2:27" s="188" customFormat="1" ht="20" x14ac:dyDescent="0.2">
      <c r="B1059" s="11" t="s">
        <v>1116</v>
      </c>
      <c r="C1059" s="165" t="s">
        <v>4237</v>
      </c>
      <c r="D1059" s="22" t="s">
        <v>2379</v>
      </c>
      <c r="E1059" s="34">
        <v>1</v>
      </c>
      <c r="F1059" s="22" t="s">
        <v>2223</v>
      </c>
      <c r="G1059" s="235">
        <v>10</v>
      </c>
      <c r="H1059" s="235">
        <f t="shared" si="139"/>
        <v>6.1728395061728394</v>
      </c>
      <c r="I1059" s="235">
        <v>10</v>
      </c>
      <c r="J1059" s="235">
        <f t="shared" si="140"/>
        <v>6.1728395061728394</v>
      </c>
      <c r="K1059" s="201">
        <v>240</v>
      </c>
      <c r="L1059" s="252">
        <f>_xlfn.XLOOKUP($K1059,Inputs!$C$6:$C$23,Inputs!$D$6:$D$23)*$I1059</f>
        <v>4.768518518518519</v>
      </c>
      <c r="M1059" s="68"/>
      <c r="N1059" s="68"/>
      <c r="O1059" s="215">
        <v>415</v>
      </c>
      <c r="P1059" s="215">
        <v>415</v>
      </c>
      <c r="Q1059" s="94">
        <v>0.9</v>
      </c>
      <c r="R1059" s="68" t="s">
        <v>115</v>
      </c>
      <c r="S1059" s="182">
        <f t="shared" si="141"/>
        <v>373.5</v>
      </c>
      <c r="T1059" s="182">
        <f t="shared" si="142"/>
        <v>373.5</v>
      </c>
      <c r="U1059" s="96" t="s">
        <v>3489</v>
      </c>
      <c r="V1059" s="22" t="s">
        <v>2810</v>
      </c>
      <c r="W1059" s="96" t="s">
        <v>3373</v>
      </c>
      <c r="X1059" s="22" t="s">
        <v>2656</v>
      </c>
      <c r="Y1059" s="11" t="s">
        <v>3308</v>
      </c>
      <c r="Z1059" s="79"/>
      <c r="AA1059" s="187">
        <v>1047</v>
      </c>
    </row>
    <row r="1060" spans="2:27" s="188" customFormat="1" ht="20" x14ac:dyDescent="0.2">
      <c r="B1060" s="11" t="s">
        <v>1117</v>
      </c>
      <c r="C1060" s="165" t="s">
        <v>4237</v>
      </c>
      <c r="D1060" s="22" t="s">
        <v>2379</v>
      </c>
      <c r="E1060" s="34">
        <v>1</v>
      </c>
      <c r="F1060" s="22" t="s">
        <v>2223</v>
      </c>
      <c r="G1060" s="235">
        <v>75</v>
      </c>
      <c r="H1060" s="235">
        <f t="shared" si="139"/>
        <v>46.296296296296291</v>
      </c>
      <c r="I1060" s="235">
        <v>75</v>
      </c>
      <c r="J1060" s="235">
        <f t="shared" si="140"/>
        <v>46.296296296296291</v>
      </c>
      <c r="K1060" s="201">
        <v>240</v>
      </c>
      <c r="L1060" s="252">
        <f>_xlfn.XLOOKUP($K1060,Inputs!$C$6:$C$23,Inputs!$D$6:$D$23)*$I1060</f>
        <v>35.763888888888893</v>
      </c>
      <c r="M1060" s="68"/>
      <c r="N1060" s="68"/>
      <c r="O1060" s="215">
        <v>498</v>
      </c>
      <c r="P1060" s="215">
        <v>498</v>
      </c>
      <c r="Q1060" s="94">
        <v>0.9</v>
      </c>
      <c r="R1060" s="68" t="s">
        <v>115</v>
      </c>
      <c r="S1060" s="182">
        <f t="shared" si="141"/>
        <v>448.2</v>
      </c>
      <c r="T1060" s="182">
        <f t="shared" si="142"/>
        <v>448.2</v>
      </c>
      <c r="U1060" s="96" t="s">
        <v>3608</v>
      </c>
      <c r="V1060" s="22" t="s">
        <v>2896</v>
      </c>
      <c r="W1060" s="96" t="s">
        <v>3933</v>
      </c>
      <c r="X1060" s="22" t="s">
        <v>3188</v>
      </c>
      <c r="Y1060" s="11" t="s">
        <v>3294</v>
      </c>
      <c r="Z1060" s="79"/>
      <c r="AA1060" s="187">
        <v>1048</v>
      </c>
    </row>
    <row r="1061" spans="2:27" s="188" customFormat="1" ht="20" x14ac:dyDescent="0.2">
      <c r="B1061" s="11" t="s">
        <v>1118</v>
      </c>
      <c r="C1061" s="165" t="s">
        <v>4237</v>
      </c>
      <c r="D1061" s="22" t="s">
        <v>2379</v>
      </c>
      <c r="E1061" s="34">
        <v>1</v>
      </c>
      <c r="F1061" s="22" t="s">
        <v>2223</v>
      </c>
      <c r="G1061" s="235">
        <v>60</v>
      </c>
      <c r="H1061" s="235">
        <f t="shared" si="139"/>
        <v>37.037037037037038</v>
      </c>
      <c r="I1061" s="235">
        <v>60</v>
      </c>
      <c r="J1061" s="235">
        <f t="shared" si="140"/>
        <v>37.037037037037038</v>
      </c>
      <c r="K1061" s="201">
        <v>240</v>
      </c>
      <c r="L1061" s="252">
        <f>_xlfn.XLOOKUP($K1061,Inputs!$C$6:$C$23,Inputs!$D$6:$D$23)*$I1061</f>
        <v>28.611111111111111</v>
      </c>
      <c r="M1061" s="68"/>
      <c r="N1061" s="68"/>
      <c r="O1061" s="209">
        <v>775</v>
      </c>
      <c r="P1061" s="209">
        <v>831</v>
      </c>
      <c r="Q1061" s="94">
        <v>0.9</v>
      </c>
      <c r="R1061" s="68" t="s">
        <v>115</v>
      </c>
      <c r="S1061" s="182">
        <f t="shared" si="141"/>
        <v>697.5</v>
      </c>
      <c r="T1061" s="182">
        <f t="shared" si="142"/>
        <v>747.9</v>
      </c>
      <c r="U1061" s="96" t="s">
        <v>3814</v>
      </c>
      <c r="V1061" s="22" t="s">
        <v>3060</v>
      </c>
      <c r="W1061" s="96" t="s">
        <v>3400</v>
      </c>
      <c r="X1061" s="22" t="s">
        <v>3244</v>
      </c>
      <c r="Y1061" s="11" t="s">
        <v>3305</v>
      </c>
      <c r="Z1061" s="79"/>
      <c r="AA1061" s="187">
        <v>1049</v>
      </c>
    </row>
    <row r="1062" spans="2:27" s="188" customFormat="1" ht="20" x14ac:dyDescent="0.2">
      <c r="B1062" s="11" t="s">
        <v>1119</v>
      </c>
      <c r="C1062" s="165" t="s">
        <v>4237</v>
      </c>
      <c r="D1062" s="22" t="s">
        <v>2379</v>
      </c>
      <c r="E1062" s="34">
        <v>1</v>
      </c>
      <c r="F1062" s="22" t="s">
        <v>2223</v>
      </c>
      <c r="G1062" s="235">
        <v>30</v>
      </c>
      <c r="H1062" s="235">
        <f t="shared" si="139"/>
        <v>18.518518518518519</v>
      </c>
      <c r="I1062" s="235">
        <v>30</v>
      </c>
      <c r="J1062" s="235">
        <f t="shared" si="140"/>
        <v>18.518518518518519</v>
      </c>
      <c r="K1062" s="201">
        <v>240</v>
      </c>
      <c r="L1062" s="252">
        <f>_xlfn.XLOOKUP($K1062,Inputs!$C$6:$C$23,Inputs!$D$6:$D$23)*$I1062</f>
        <v>14.305555555555555</v>
      </c>
      <c r="M1062" s="68"/>
      <c r="N1062" s="68"/>
      <c r="O1062" s="209">
        <v>559</v>
      </c>
      <c r="P1062" s="209">
        <v>750</v>
      </c>
      <c r="Q1062" s="94">
        <v>0.9</v>
      </c>
      <c r="R1062" s="68" t="s">
        <v>115</v>
      </c>
      <c r="S1062" s="182">
        <f t="shared" si="141"/>
        <v>503.1</v>
      </c>
      <c r="T1062" s="182">
        <f t="shared" si="142"/>
        <v>675</v>
      </c>
      <c r="U1062" s="96" t="s">
        <v>3814</v>
      </c>
      <c r="V1062" s="22" t="s">
        <v>3060</v>
      </c>
      <c r="W1062" s="96" t="s">
        <v>3663</v>
      </c>
      <c r="X1062" s="22" t="s">
        <v>2935</v>
      </c>
      <c r="Y1062" s="11" t="s">
        <v>3305</v>
      </c>
      <c r="Z1062" s="79"/>
      <c r="AA1062" s="187">
        <v>1050</v>
      </c>
    </row>
    <row r="1063" spans="2:27" s="188" customFormat="1" ht="20" x14ac:dyDescent="0.2">
      <c r="B1063" s="11" t="s">
        <v>1120</v>
      </c>
      <c r="C1063" s="165" t="s">
        <v>4237</v>
      </c>
      <c r="D1063" s="22" t="s">
        <v>2379</v>
      </c>
      <c r="E1063" s="34">
        <v>1</v>
      </c>
      <c r="F1063" s="22" t="s">
        <v>2223</v>
      </c>
      <c r="G1063" s="235">
        <v>55</v>
      </c>
      <c r="H1063" s="235">
        <f t="shared" si="139"/>
        <v>33.950617283950614</v>
      </c>
      <c r="I1063" s="235">
        <v>55</v>
      </c>
      <c r="J1063" s="235">
        <f t="shared" si="140"/>
        <v>33.950617283950614</v>
      </c>
      <c r="K1063" s="201">
        <v>240</v>
      </c>
      <c r="L1063" s="252">
        <f>_xlfn.XLOOKUP($K1063,Inputs!$C$6:$C$23,Inputs!$D$6:$D$23)*$I1063</f>
        <v>26.226851851851851</v>
      </c>
      <c r="M1063" s="68"/>
      <c r="N1063" s="68"/>
      <c r="O1063" s="209">
        <v>499</v>
      </c>
      <c r="P1063" s="209">
        <v>609</v>
      </c>
      <c r="Q1063" s="94">
        <v>0.9</v>
      </c>
      <c r="R1063" s="68" t="s">
        <v>115</v>
      </c>
      <c r="S1063" s="182">
        <f t="shared" si="141"/>
        <v>449.1</v>
      </c>
      <c r="T1063" s="182">
        <f t="shared" si="142"/>
        <v>548.1</v>
      </c>
      <c r="U1063" s="96" t="s">
        <v>3710</v>
      </c>
      <c r="V1063" s="22" t="s">
        <v>2975</v>
      </c>
      <c r="W1063" s="96" t="s">
        <v>3505</v>
      </c>
      <c r="X1063" s="22" t="s">
        <v>2821</v>
      </c>
      <c r="Y1063" s="11" t="s">
        <v>3305</v>
      </c>
      <c r="Z1063" s="79"/>
      <c r="AA1063" s="187">
        <v>1051</v>
      </c>
    </row>
    <row r="1064" spans="2:27" s="188" customFormat="1" ht="20" x14ac:dyDescent="0.2">
      <c r="B1064" s="11" t="s">
        <v>1121</v>
      </c>
      <c r="C1064" s="165" t="s">
        <v>4237</v>
      </c>
      <c r="D1064" s="22" t="s">
        <v>2379</v>
      </c>
      <c r="E1064" s="34">
        <v>1</v>
      </c>
      <c r="F1064" s="22" t="s">
        <v>2223</v>
      </c>
      <c r="G1064" s="88">
        <v>7.1999999999999993</v>
      </c>
      <c r="H1064" s="235">
        <f t="shared" si="139"/>
        <v>4.4444444444444438</v>
      </c>
      <c r="I1064" s="88">
        <v>7.1999999999999993</v>
      </c>
      <c r="J1064" s="235">
        <f t="shared" si="140"/>
        <v>4.4444444444444438</v>
      </c>
      <c r="K1064" s="201">
        <v>240</v>
      </c>
      <c r="L1064" s="252">
        <f>_xlfn.XLOOKUP($K1064,Inputs!$C$6:$C$23,Inputs!$D$6:$D$23)*$I1064</f>
        <v>3.4333333333333331</v>
      </c>
      <c r="M1064" s="68"/>
      <c r="N1064" s="68"/>
      <c r="O1064" s="215">
        <v>249</v>
      </c>
      <c r="P1064" s="215">
        <v>249</v>
      </c>
      <c r="Q1064" s="94">
        <v>0.9</v>
      </c>
      <c r="R1064" s="68" t="s">
        <v>115</v>
      </c>
      <c r="S1064" s="182">
        <f t="shared" si="141"/>
        <v>224.1</v>
      </c>
      <c r="T1064" s="182">
        <f t="shared" si="142"/>
        <v>224.1</v>
      </c>
      <c r="U1064" s="96" t="s">
        <v>3595</v>
      </c>
      <c r="V1064" s="22" t="s">
        <v>2676</v>
      </c>
      <c r="W1064" s="96" t="s">
        <v>3880</v>
      </c>
      <c r="X1064" s="22" t="s">
        <v>3145</v>
      </c>
      <c r="Y1064" s="11" t="s">
        <v>3318</v>
      </c>
      <c r="Z1064" s="79"/>
      <c r="AA1064" s="187">
        <v>1052</v>
      </c>
    </row>
    <row r="1065" spans="2:27" ht="20" x14ac:dyDescent="0.2">
      <c r="B1065" s="11" t="s">
        <v>1123</v>
      </c>
      <c r="C1065" s="165" t="s">
        <v>4237</v>
      </c>
      <c r="D1065" s="22" t="s">
        <v>2379</v>
      </c>
      <c r="E1065" s="34">
        <v>1</v>
      </c>
      <c r="F1065" s="22" t="s">
        <v>2223</v>
      </c>
      <c r="G1065" s="235">
        <v>90</v>
      </c>
      <c r="H1065" s="235">
        <f t="shared" si="139"/>
        <v>55.55555555555555</v>
      </c>
      <c r="I1065" s="235">
        <v>90</v>
      </c>
      <c r="J1065" s="235">
        <f t="shared" si="140"/>
        <v>55.55555555555555</v>
      </c>
      <c r="K1065" s="201">
        <v>240</v>
      </c>
      <c r="L1065" s="252">
        <f>_xlfn.XLOOKUP($K1065,Inputs!$C$6:$C$23,Inputs!$D$6:$D$23)*$I1065</f>
        <v>42.916666666666664</v>
      </c>
      <c r="M1065" s="68"/>
      <c r="N1065" s="68"/>
      <c r="O1065" s="209">
        <v>535</v>
      </c>
      <c r="P1065" s="209">
        <v>717</v>
      </c>
      <c r="Q1065" s="94">
        <v>0.9</v>
      </c>
      <c r="R1065" s="68" t="s">
        <v>115</v>
      </c>
      <c r="S1065" s="182">
        <f t="shared" si="141"/>
        <v>481.5</v>
      </c>
      <c r="T1065" s="182">
        <f t="shared" si="142"/>
        <v>645.30000000000007</v>
      </c>
      <c r="U1065" s="96" t="s">
        <v>3608</v>
      </c>
      <c r="V1065" s="22" t="s">
        <v>2896</v>
      </c>
      <c r="W1065" s="96" t="s">
        <v>3679</v>
      </c>
      <c r="X1065" s="22" t="s">
        <v>2952</v>
      </c>
      <c r="Y1065" s="11" t="s">
        <v>3305</v>
      </c>
      <c r="Z1065" s="79"/>
      <c r="AA1065" s="187">
        <v>1053</v>
      </c>
    </row>
    <row r="1066" spans="2:27" ht="20" x14ac:dyDescent="0.2">
      <c r="B1066" s="11" t="s">
        <v>1124</v>
      </c>
      <c r="C1066" s="165" t="s">
        <v>4237</v>
      </c>
      <c r="D1066" s="22" t="s">
        <v>2379</v>
      </c>
      <c r="E1066" s="34">
        <v>1</v>
      </c>
      <c r="F1066" s="22" t="s">
        <v>2223</v>
      </c>
      <c r="G1066" s="235">
        <v>95</v>
      </c>
      <c r="H1066" s="235">
        <f t="shared" si="139"/>
        <v>58.641975308641975</v>
      </c>
      <c r="I1066" s="235">
        <v>95</v>
      </c>
      <c r="J1066" s="235">
        <f t="shared" si="140"/>
        <v>58.641975308641975</v>
      </c>
      <c r="K1066" s="201">
        <v>240</v>
      </c>
      <c r="L1066" s="252">
        <f>_xlfn.XLOOKUP($K1066,Inputs!$C$6:$C$23,Inputs!$D$6:$D$23)*$I1066</f>
        <v>45.300925925925924</v>
      </c>
      <c r="M1066" s="68"/>
      <c r="N1066" s="68"/>
      <c r="O1066" s="215">
        <v>498</v>
      </c>
      <c r="P1066" s="215">
        <v>498</v>
      </c>
      <c r="Q1066" s="94">
        <v>0.9</v>
      </c>
      <c r="R1066" s="68" t="s">
        <v>115</v>
      </c>
      <c r="S1066" s="182">
        <f t="shared" si="141"/>
        <v>448.2</v>
      </c>
      <c r="T1066" s="182">
        <f t="shared" si="142"/>
        <v>448.2</v>
      </c>
      <c r="U1066" s="96" t="s">
        <v>3689</v>
      </c>
      <c r="V1066" s="22" t="s">
        <v>2959</v>
      </c>
      <c r="W1066" s="96" t="s">
        <v>3813</v>
      </c>
      <c r="X1066" s="205" t="s">
        <v>3059</v>
      </c>
      <c r="Y1066" s="11" t="s">
        <v>3272</v>
      </c>
      <c r="Z1066" s="79"/>
      <c r="AA1066" s="187">
        <v>1054</v>
      </c>
    </row>
    <row r="1067" spans="2:27" s="188" customFormat="1" ht="20" x14ac:dyDescent="0.2">
      <c r="B1067" s="11" t="s">
        <v>1125</v>
      </c>
      <c r="C1067" s="165" t="s">
        <v>4237</v>
      </c>
      <c r="D1067" s="22" t="s">
        <v>2379</v>
      </c>
      <c r="E1067" s="34">
        <v>1</v>
      </c>
      <c r="F1067" s="22" t="s">
        <v>2223</v>
      </c>
      <c r="G1067" s="235">
        <v>95</v>
      </c>
      <c r="H1067" s="235">
        <f t="shared" si="139"/>
        <v>58.641975308641975</v>
      </c>
      <c r="I1067" s="235">
        <v>95</v>
      </c>
      <c r="J1067" s="235">
        <f t="shared" si="140"/>
        <v>58.641975308641975</v>
      </c>
      <c r="K1067" s="201">
        <v>240</v>
      </c>
      <c r="L1067" s="252">
        <f>_xlfn.XLOOKUP($K1067,Inputs!$C$6:$C$23,Inputs!$D$6:$D$23)*$I1067</f>
        <v>45.300925925925924</v>
      </c>
      <c r="M1067" s="68"/>
      <c r="N1067" s="68"/>
      <c r="O1067" s="215">
        <v>498</v>
      </c>
      <c r="P1067" s="215">
        <v>498</v>
      </c>
      <c r="Q1067" s="94">
        <v>0.9</v>
      </c>
      <c r="R1067" s="68" t="s">
        <v>115</v>
      </c>
      <c r="S1067" s="182">
        <f t="shared" si="141"/>
        <v>448.2</v>
      </c>
      <c r="T1067" s="182">
        <f t="shared" si="142"/>
        <v>448.2</v>
      </c>
      <c r="U1067" s="96" t="s">
        <v>3689</v>
      </c>
      <c r="V1067" s="22" t="s">
        <v>2959</v>
      </c>
      <c r="W1067" s="96" t="s">
        <v>3813</v>
      </c>
      <c r="X1067" s="22" t="s">
        <v>3059</v>
      </c>
      <c r="Y1067" s="11" t="s">
        <v>3272</v>
      </c>
      <c r="Z1067" s="79"/>
      <c r="AA1067" s="187">
        <v>1055</v>
      </c>
    </row>
    <row r="1068" spans="2:27" s="188" customFormat="1" ht="20" x14ac:dyDescent="0.2">
      <c r="B1068" s="11" t="s">
        <v>1126</v>
      </c>
      <c r="C1068" s="165" t="s">
        <v>4237</v>
      </c>
      <c r="D1068" s="22" t="s">
        <v>2379</v>
      </c>
      <c r="E1068" s="34">
        <v>1</v>
      </c>
      <c r="F1068" s="22" t="s">
        <v>2223</v>
      </c>
      <c r="G1068" s="235">
        <v>75</v>
      </c>
      <c r="H1068" s="235">
        <f t="shared" si="139"/>
        <v>46.296296296296291</v>
      </c>
      <c r="I1068" s="235">
        <v>75</v>
      </c>
      <c r="J1068" s="235">
        <f t="shared" si="140"/>
        <v>46.296296296296291</v>
      </c>
      <c r="K1068" s="201">
        <v>240</v>
      </c>
      <c r="L1068" s="252">
        <f>_xlfn.XLOOKUP($K1068,Inputs!$C$6:$C$23,Inputs!$D$6:$D$23)*$I1068</f>
        <v>35.763888888888893</v>
      </c>
      <c r="M1068" s="68"/>
      <c r="N1068" s="68"/>
      <c r="O1068" s="215">
        <v>519</v>
      </c>
      <c r="P1068" s="215">
        <v>663</v>
      </c>
      <c r="Q1068" s="94">
        <v>0.9</v>
      </c>
      <c r="R1068" s="68" t="s">
        <v>115</v>
      </c>
      <c r="S1068" s="182">
        <f t="shared" si="141"/>
        <v>467.1</v>
      </c>
      <c r="T1068" s="182">
        <f t="shared" si="142"/>
        <v>596.70000000000005</v>
      </c>
      <c r="U1068" s="96" t="s">
        <v>3910</v>
      </c>
      <c r="V1068" s="22" t="s">
        <v>3171</v>
      </c>
      <c r="W1068" s="96" t="s">
        <v>3357</v>
      </c>
      <c r="X1068" s="205" t="s">
        <v>2734</v>
      </c>
      <c r="Y1068" s="11" t="s">
        <v>3291</v>
      </c>
      <c r="Z1068" s="79"/>
      <c r="AA1068" s="187">
        <v>1056</v>
      </c>
    </row>
    <row r="1069" spans="2:27" s="188" customFormat="1" ht="20" x14ac:dyDescent="0.2">
      <c r="B1069" s="11" t="s">
        <v>1127</v>
      </c>
      <c r="C1069" s="165" t="s">
        <v>4237</v>
      </c>
      <c r="D1069" s="22" t="s">
        <v>2379</v>
      </c>
      <c r="E1069" s="34">
        <v>1</v>
      </c>
      <c r="F1069" s="22" t="s">
        <v>2223</v>
      </c>
      <c r="G1069" s="235">
        <v>90</v>
      </c>
      <c r="H1069" s="235">
        <f t="shared" si="139"/>
        <v>55.55555555555555</v>
      </c>
      <c r="I1069" s="235">
        <v>90</v>
      </c>
      <c r="J1069" s="235">
        <f t="shared" si="140"/>
        <v>55.55555555555555</v>
      </c>
      <c r="K1069" s="201">
        <v>240</v>
      </c>
      <c r="L1069" s="252">
        <f>_xlfn.XLOOKUP($K1069,Inputs!$C$6:$C$23,Inputs!$D$6:$D$23)*$I1069</f>
        <v>42.916666666666664</v>
      </c>
      <c r="M1069" s="68"/>
      <c r="N1069" s="68"/>
      <c r="O1069" s="215">
        <v>498</v>
      </c>
      <c r="P1069" s="215">
        <v>498</v>
      </c>
      <c r="Q1069" s="94">
        <v>0.9</v>
      </c>
      <c r="R1069" s="68" t="s">
        <v>115</v>
      </c>
      <c r="S1069" s="182">
        <f t="shared" si="141"/>
        <v>448.2</v>
      </c>
      <c r="T1069" s="182">
        <f t="shared" si="142"/>
        <v>448.2</v>
      </c>
      <c r="U1069" s="96" t="s">
        <v>3507</v>
      </c>
      <c r="V1069" s="22" t="s">
        <v>2823</v>
      </c>
      <c r="W1069" s="96" t="s">
        <v>3933</v>
      </c>
      <c r="X1069" s="22" t="s">
        <v>3188</v>
      </c>
      <c r="Y1069" s="11" t="s">
        <v>3300</v>
      </c>
      <c r="Z1069" s="79"/>
      <c r="AA1069" s="187">
        <v>1057</v>
      </c>
    </row>
    <row r="1070" spans="2:27" s="188" customFormat="1" ht="20" x14ac:dyDescent="0.2">
      <c r="B1070" s="11" t="s">
        <v>1128</v>
      </c>
      <c r="C1070" s="165" t="s">
        <v>4237</v>
      </c>
      <c r="D1070" s="22" t="s">
        <v>2379</v>
      </c>
      <c r="E1070" s="34">
        <v>1</v>
      </c>
      <c r="F1070" s="22" t="s">
        <v>2223</v>
      </c>
      <c r="G1070" s="235">
        <v>90</v>
      </c>
      <c r="H1070" s="235">
        <f t="shared" si="139"/>
        <v>55.55555555555555</v>
      </c>
      <c r="I1070" s="235">
        <v>90</v>
      </c>
      <c r="J1070" s="235">
        <f t="shared" si="140"/>
        <v>55.55555555555555</v>
      </c>
      <c r="K1070" s="221">
        <v>240</v>
      </c>
      <c r="L1070" s="252">
        <f>_xlfn.XLOOKUP($K1070,Inputs!$C$6:$C$23,Inputs!$D$6:$D$23)*$I1070</f>
        <v>42.916666666666664</v>
      </c>
      <c r="M1070" s="68"/>
      <c r="N1070" s="68"/>
      <c r="O1070" s="216">
        <v>498</v>
      </c>
      <c r="P1070" s="216">
        <v>498</v>
      </c>
      <c r="Q1070" s="94">
        <v>0.9</v>
      </c>
      <c r="R1070" s="68" t="s">
        <v>115</v>
      </c>
      <c r="S1070" s="182">
        <f t="shared" si="141"/>
        <v>448.2</v>
      </c>
      <c r="T1070" s="182">
        <f t="shared" si="142"/>
        <v>448.2</v>
      </c>
      <c r="U1070" s="96" t="s">
        <v>3507</v>
      </c>
      <c r="V1070" s="22" t="s">
        <v>2823</v>
      </c>
      <c r="W1070" s="96" t="s">
        <v>3933</v>
      </c>
      <c r="X1070" s="22" t="s">
        <v>3188</v>
      </c>
      <c r="Y1070" s="11" t="s">
        <v>3300</v>
      </c>
      <c r="Z1070" s="79"/>
      <c r="AA1070" s="187">
        <v>1058</v>
      </c>
    </row>
    <row r="1071" spans="2:27" s="188" customFormat="1" ht="20" x14ac:dyDescent="0.2">
      <c r="B1071" s="11" t="s">
        <v>1129</v>
      </c>
      <c r="C1071" s="165" t="s">
        <v>4237</v>
      </c>
      <c r="D1071" s="22" t="s">
        <v>2379</v>
      </c>
      <c r="E1071" s="34">
        <v>1</v>
      </c>
      <c r="F1071" s="22" t="s">
        <v>2223</v>
      </c>
      <c r="G1071" s="88">
        <v>10.5</v>
      </c>
      <c r="H1071" s="235">
        <f t="shared" si="139"/>
        <v>6.481481481481481</v>
      </c>
      <c r="I1071" s="88">
        <v>10.5</v>
      </c>
      <c r="J1071" s="235">
        <f t="shared" si="140"/>
        <v>6.481481481481481</v>
      </c>
      <c r="K1071" s="201">
        <v>240</v>
      </c>
      <c r="L1071" s="252">
        <f>_xlfn.XLOOKUP($K1071,Inputs!$C$6:$C$23,Inputs!$D$6:$D$23)*$I1071</f>
        <v>5.0069444444444446</v>
      </c>
      <c r="M1071" s="68"/>
      <c r="N1071" s="68"/>
      <c r="O1071" s="187"/>
      <c r="P1071" s="187"/>
      <c r="Q1071" s="94">
        <v>0.9</v>
      </c>
      <c r="R1071" s="68">
        <f>IF((42.4*(J1071)^(-0.6595))&gt;=3,3,(IF(42.4*(J1071)^(-0.6595)&lt;=0.5,0.5,(42.4*(J1071)^(-0.6595)))))</f>
        <v>3</v>
      </c>
      <c r="S1071" s="276">
        <f>_xlfn.XLOOKUP($K1071,Inputs!$G$6:$G$23,Inputs!J$6:J$23)*$R1071</f>
        <v>438.57868020304568</v>
      </c>
      <c r="T1071" s="276">
        <f>_xlfn.XLOOKUP($K1071,Inputs!$G$6:$G$23,Inputs!K$6:K$23)*$R1071</f>
        <v>476.03305785123973</v>
      </c>
      <c r="U1071" s="96" t="s">
        <v>3756</v>
      </c>
      <c r="V1071" s="22" t="s">
        <v>3014</v>
      </c>
      <c r="W1071" s="96" t="s">
        <v>3357</v>
      </c>
      <c r="X1071" s="22" t="s">
        <v>2734</v>
      </c>
      <c r="Y1071" s="11" t="s">
        <v>3331</v>
      </c>
      <c r="Z1071" s="79"/>
      <c r="AA1071" s="187">
        <v>1059</v>
      </c>
    </row>
    <row r="1072" spans="2:27" s="188" customFormat="1" ht="20" x14ac:dyDescent="0.2">
      <c r="B1072" s="11" t="s">
        <v>1130</v>
      </c>
      <c r="C1072" s="165" t="s">
        <v>4237</v>
      </c>
      <c r="D1072" s="22" t="s">
        <v>2379</v>
      </c>
      <c r="E1072" s="34">
        <v>1</v>
      </c>
      <c r="F1072" s="22" t="s">
        <v>2223</v>
      </c>
      <c r="G1072" s="88">
        <v>10.5</v>
      </c>
      <c r="H1072" s="235">
        <f t="shared" si="139"/>
        <v>6.481481481481481</v>
      </c>
      <c r="I1072" s="88">
        <v>10.5</v>
      </c>
      <c r="J1072" s="235">
        <f t="shared" si="140"/>
        <v>6.481481481481481</v>
      </c>
      <c r="K1072" s="201">
        <v>240</v>
      </c>
      <c r="L1072" s="252">
        <f>_xlfn.XLOOKUP($K1072,Inputs!$C$6:$C$23,Inputs!$D$6:$D$23)*$I1072</f>
        <v>5.0069444444444446</v>
      </c>
      <c r="M1072" s="68"/>
      <c r="N1072" s="68"/>
      <c r="O1072" s="187"/>
      <c r="P1072" s="187"/>
      <c r="Q1072" s="94">
        <v>0.9</v>
      </c>
      <c r="R1072" s="68">
        <f>IF((42.4*(J1072)^(-0.6595))&gt;=3,3,(IF(42.4*(J1072)^(-0.6595)&lt;=0.5,0.5,(42.4*(J1072)^(-0.6595)))))</f>
        <v>3</v>
      </c>
      <c r="S1072" s="276">
        <f>_xlfn.XLOOKUP($K1072,Inputs!$G$6:$G$23,Inputs!J$6:J$23)*$R1072</f>
        <v>438.57868020304568</v>
      </c>
      <c r="T1072" s="276">
        <f>_xlfn.XLOOKUP($K1072,Inputs!$G$6:$G$23,Inputs!K$6:K$23)*$R1072</f>
        <v>476.03305785123973</v>
      </c>
      <c r="U1072" s="96" t="s">
        <v>3829</v>
      </c>
      <c r="V1072" s="22" t="s">
        <v>2711</v>
      </c>
      <c r="W1072" s="96" t="s">
        <v>3357</v>
      </c>
      <c r="X1072" s="22" t="s">
        <v>2734</v>
      </c>
      <c r="Y1072" s="11" t="s">
        <v>3331</v>
      </c>
      <c r="Z1072" s="79"/>
      <c r="AA1072" s="187">
        <v>1060</v>
      </c>
    </row>
    <row r="1073" spans="2:27" s="188" customFormat="1" ht="20" x14ac:dyDescent="0.2">
      <c r="B1073" s="11" t="s">
        <v>1131</v>
      </c>
      <c r="C1073" s="165" t="s">
        <v>4237</v>
      </c>
      <c r="D1073" s="22" t="s">
        <v>2379</v>
      </c>
      <c r="E1073" s="34">
        <v>1</v>
      </c>
      <c r="F1073" s="22" t="s">
        <v>2223</v>
      </c>
      <c r="G1073" s="88">
        <v>25.200000000000003</v>
      </c>
      <c r="H1073" s="235">
        <f t="shared" si="139"/>
        <v>15.555555555555557</v>
      </c>
      <c r="I1073" s="88">
        <v>25.200000000000003</v>
      </c>
      <c r="J1073" s="235">
        <f t="shared" si="140"/>
        <v>15.555555555555557</v>
      </c>
      <c r="K1073" s="201">
        <v>240</v>
      </c>
      <c r="L1073" s="252">
        <f>_xlfn.XLOOKUP($K1073,Inputs!$C$6:$C$23,Inputs!$D$6:$D$23)*$I1073</f>
        <v>12.016666666666667</v>
      </c>
      <c r="M1073" s="68"/>
      <c r="N1073" s="68"/>
      <c r="O1073" s="209">
        <v>556</v>
      </c>
      <c r="P1073" s="209">
        <v>748</v>
      </c>
      <c r="Q1073" s="94">
        <v>0.9</v>
      </c>
      <c r="R1073" s="68" t="s">
        <v>115</v>
      </c>
      <c r="S1073" s="182">
        <f>O1073*Q1073</f>
        <v>500.40000000000003</v>
      </c>
      <c r="T1073" s="182">
        <f>P1073*Q1073</f>
        <v>673.2</v>
      </c>
      <c r="U1073" s="96" t="s">
        <v>3658</v>
      </c>
      <c r="V1073" s="22" t="s">
        <v>2930</v>
      </c>
      <c r="W1073" s="96" t="s">
        <v>3679</v>
      </c>
      <c r="X1073" s="22" t="s">
        <v>2952</v>
      </c>
      <c r="Y1073" s="11" t="s">
        <v>3305</v>
      </c>
      <c r="Z1073" s="79"/>
      <c r="AA1073" s="187">
        <v>1061</v>
      </c>
    </row>
    <row r="1074" spans="2:27" s="188" customFormat="1" ht="20" x14ac:dyDescent="0.2">
      <c r="B1074" s="11" t="s">
        <v>1132</v>
      </c>
      <c r="C1074" s="165" t="s">
        <v>4237</v>
      </c>
      <c r="D1074" s="22" t="s">
        <v>2379</v>
      </c>
      <c r="E1074" s="34">
        <v>1</v>
      </c>
      <c r="F1074" s="22" t="s">
        <v>2223</v>
      </c>
      <c r="G1074" s="88">
        <v>29.400000000000002</v>
      </c>
      <c r="H1074" s="235">
        <f t="shared" si="139"/>
        <v>18.148148148148149</v>
      </c>
      <c r="I1074" s="88">
        <v>29.400000000000002</v>
      </c>
      <c r="J1074" s="235">
        <f t="shared" si="140"/>
        <v>18.148148148148149</v>
      </c>
      <c r="K1074" s="201">
        <v>240</v>
      </c>
      <c r="L1074" s="252">
        <f>_xlfn.XLOOKUP($K1074,Inputs!$C$6:$C$23,Inputs!$D$6:$D$23)*$I1074</f>
        <v>14.019444444444446</v>
      </c>
      <c r="M1074" s="68"/>
      <c r="N1074" s="68"/>
      <c r="O1074" s="187"/>
      <c r="P1074" s="187"/>
      <c r="Q1074" s="94">
        <v>0.9</v>
      </c>
      <c r="R1074" s="68">
        <f>IF((42.4*(J1074)^(-0.6595))&gt;=3,3,(IF(42.4*(J1074)^(-0.6595)&lt;=0.5,0.5,(42.4*(J1074)^(-0.6595)))))</f>
        <v>3</v>
      </c>
      <c r="S1074" s="276">
        <f>_xlfn.XLOOKUP($K1074,Inputs!$G$6:$G$23,Inputs!J$6:J$23)*$R1074</f>
        <v>438.57868020304568</v>
      </c>
      <c r="T1074" s="276">
        <f>_xlfn.XLOOKUP($K1074,Inputs!$G$6:$G$23,Inputs!K$6:K$23)*$R1074</f>
        <v>476.03305785123973</v>
      </c>
      <c r="U1074" s="96" t="s">
        <v>3637</v>
      </c>
      <c r="V1074" s="22" t="s">
        <v>2917</v>
      </c>
      <c r="W1074" s="96" t="s">
        <v>3733</v>
      </c>
      <c r="X1074" s="22" t="s">
        <v>2698</v>
      </c>
      <c r="Y1074" s="11" t="s">
        <v>3331</v>
      </c>
      <c r="Z1074" s="79"/>
      <c r="AA1074" s="187">
        <v>1062</v>
      </c>
    </row>
    <row r="1075" spans="2:27" s="188" customFormat="1" ht="20" x14ac:dyDescent="0.2">
      <c r="B1075" s="11" t="s">
        <v>1134</v>
      </c>
      <c r="C1075" s="165" t="s">
        <v>4237</v>
      </c>
      <c r="D1075" s="22" t="s">
        <v>2379</v>
      </c>
      <c r="E1075" s="34">
        <v>1</v>
      </c>
      <c r="F1075" s="22" t="s">
        <v>2223</v>
      </c>
      <c r="G1075" s="88">
        <v>29.400000000000002</v>
      </c>
      <c r="H1075" s="235">
        <f t="shared" si="139"/>
        <v>18.148148148148149</v>
      </c>
      <c r="I1075" s="88">
        <v>29.400000000000002</v>
      </c>
      <c r="J1075" s="235">
        <f t="shared" si="140"/>
        <v>18.148148148148149</v>
      </c>
      <c r="K1075" s="201">
        <v>240</v>
      </c>
      <c r="L1075" s="252">
        <f>_xlfn.XLOOKUP($K1075,Inputs!$C$6:$C$23,Inputs!$D$6:$D$23)*$I1075</f>
        <v>14.019444444444446</v>
      </c>
      <c r="M1075" s="68"/>
      <c r="N1075" s="68"/>
      <c r="O1075" s="187"/>
      <c r="P1075" s="187"/>
      <c r="Q1075" s="94">
        <v>0.9</v>
      </c>
      <c r="R1075" s="68">
        <f>IF((42.4*(J1075)^(-0.6595))&gt;=3,3,(IF(42.4*(J1075)^(-0.6595)&lt;=0.5,0.5,(42.4*(J1075)^(-0.6595)))))</f>
        <v>3</v>
      </c>
      <c r="S1075" s="276">
        <f>_xlfn.XLOOKUP($K1075,Inputs!$G$6:$G$23,Inputs!J$6:J$23)*$R1075</f>
        <v>438.57868020304568</v>
      </c>
      <c r="T1075" s="276">
        <f>_xlfn.XLOOKUP($K1075,Inputs!$G$6:$G$23,Inputs!K$6:K$23)*$R1075</f>
        <v>476.03305785123973</v>
      </c>
      <c r="U1075" s="96" t="s">
        <v>3637</v>
      </c>
      <c r="V1075" s="22" t="s">
        <v>2917</v>
      </c>
      <c r="W1075" s="96" t="s">
        <v>3733</v>
      </c>
      <c r="X1075" s="22" t="s">
        <v>2698</v>
      </c>
      <c r="Y1075" s="11" t="s">
        <v>3331</v>
      </c>
      <c r="Z1075" s="79"/>
      <c r="AA1075" s="187">
        <v>1063</v>
      </c>
    </row>
    <row r="1076" spans="2:27" s="188" customFormat="1" ht="20" x14ac:dyDescent="0.2">
      <c r="B1076" s="11" t="s">
        <v>1135</v>
      </c>
      <c r="C1076" s="165" t="s">
        <v>4241</v>
      </c>
      <c r="D1076" s="22" t="s">
        <v>2379</v>
      </c>
      <c r="E1076" s="34">
        <v>1</v>
      </c>
      <c r="F1076" s="22" t="s">
        <v>2223</v>
      </c>
      <c r="G1076" s="88">
        <v>25.200000000000003</v>
      </c>
      <c r="H1076" s="235">
        <f t="shared" si="139"/>
        <v>15.555555555555557</v>
      </c>
      <c r="I1076" s="88">
        <v>25.200000000000003</v>
      </c>
      <c r="J1076" s="235">
        <f t="shared" si="140"/>
        <v>15.555555555555557</v>
      </c>
      <c r="K1076" s="201">
        <v>144</v>
      </c>
      <c r="L1076" s="252">
        <f>_xlfn.XLOOKUP($K1076,Inputs!$C$6:$C$23,Inputs!$D$6:$D$23)*$I1076</f>
        <v>11.034000000000002</v>
      </c>
      <c r="M1076" s="68"/>
      <c r="N1076" s="68"/>
      <c r="O1076" s="187"/>
      <c r="P1076" s="187"/>
      <c r="Q1076" s="94">
        <v>0.9</v>
      </c>
      <c r="R1076" s="68">
        <f>IF((42.4*(J1076)^(-0.6595))&gt;=3,3,(IF(42.4*(J1076)^(-0.6595)&lt;=0.5,0.5,(42.4*(J1076)^(-0.6595)))))</f>
        <v>3</v>
      </c>
      <c r="S1076" s="276">
        <f>_xlfn.XLOOKUP($K1076,Inputs!$G$6:$G$23,Inputs!J$6:J$23)*$R1076</f>
        <v>153.60000000000002</v>
      </c>
      <c r="T1076" s="276">
        <f>_xlfn.XLOOKUP($K1076,Inputs!$G$6:$G$23,Inputs!K$6:K$23)*$R1076</f>
        <v>169.96721311475409</v>
      </c>
      <c r="U1076" s="96" t="s">
        <v>3349</v>
      </c>
      <c r="V1076" s="22" t="s">
        <v>3201</v>
      </c>
      <c r="W1076" s="96" t="s">
        <v>3822</v>
      </c>
      <c r="X1076" s="22" t="s">
        <v>2710</v>
      </c>
      <c r="Y1076" s="11" t="s">
        <v>3331</v>
      </c>
      <c r="Z1076" s="79"/>
      <c r="AA1076" s="187">
        <v>1064</v>
      </c>
    </row>
    <row r="1077" spans="2:27" s="188" customFormat="1" ht="20" x14ac:dyDescent="0.2">
      <c r="B1077" s="11" t="s">
        <v>1137</v>
      </c>
      <c r="C1077" s="165" t="s">
        <v>4241</v>
      </c>
      <c r="D1077" s="22" t="s">
        <v>2379</v>
      </c>
      <c r="E1077" s="34">
        <v>1</v>
      </c>
      <c r="F1077" s="22" t="s">
        <v>2223</v>
      </c>
      <c r="G1077" s="235">
        <v>5</v>
      </c>
      <c r="H1077" s="235">
        <f t="shared" si="139"/>
        <v>3.0864197530864197</v>
      </c>
      <c r="I1077" s="235">
        <v>5</v>
      </c>
      <c r="J1077" s="235">
        <f t="shared" si="140"/>
        <v>3.0864197530864197</v>
      </c>
      <c r="K1077" s="201">
        <v>144</v>
      </c>
      <c r="L1077" s="252">
        <f>_xlfn.XLOOKUP($K1077,Inputs!$C$6:$C$23,Inputs!$D$6:$D$23)*$I1077</f>
        <v>2.1892857142857145</v>
      </c>
      <c r="M1077" s="68"/>
      <c r="N1077" s="68"/>
      <c r="O1077" s="215">
        <v>228</v>
      </c>
      <c r="P1077" s="215">
        <v>273</v>
      </c>
      <c r="Q1077" s="94">
        <v>0.9</v>
      </c>
      <c r="R1077" s="68" t="s">
        <v>115</v>
      </c>
      <c r="S1077" s="182">
        <f>O1077*Q1077</f>
        <v>205.20000000000002</v>
      </c>
      <c r="T1077" s="182">
        <f>P1077*Q1077</f>
        <v>245.70000000000002</v>
      </c>
      <c r="U1077" s="96" t="s">
        <v>3823</v>
      </c>
      <c r="V1077" s="22" t="s">
        <v>3264</v>
      </c>
      <c r="W1077" s="96" t="s">
        <v>3822</v>
      </c>
      <c r="X1077" s="22" t="s">
        <v>2710</v>
      </c>
      <c r="Y1077" s="11" t="s">
        <v>3300</v>
      </c>
      <c r="Z1077" s="79"/>
      <c r="AA1077" s="187">
        <v>1065</v>
      </c>
    </row>
    <row r="1078" spans="2:27" s="188" customFormat="1" ht="20" x14ac:dyDescent="0.2">
      <c r="B1078" s="11" t="s">
        <v>1139</v>
      </c>
      <c r="C1078" s="165" t="s">
        <v>4241</v>
      </c>
      <c r="D1078" s="22" t="s">
        <v>2379</v>
      </c>
      <c r="E1078" s="34">
        <v>1</v>
      </c>
      <c r="F1078" s="22" t="s">
        <v>2223</v>
      </c>
      <c r="G1078" s="235">
        <v>5</v>
      </c>
      <c r="H1078" s="235">
        <f t="shared" si="139"/>
        <v>3.0864197530864197</v>
      </c>
      <c r="I1078" s="235">
        <v>5</v>
      </c>
      <c r="J1078" s="235">
        <f t="shared" si="140"/>
        <v>3.0864197530864197</v>
      </c>
      <c r="K1078" s="201">
        <v>144</v>
      </c>
      <c r="L1078" s="252">
        <f>_xlfn.XLOOKUP($K1078,Inputs!$C$6:$C$23,Inputs!$D$6:$D$23)*$I1078</f>
        <v>2.1892857142857145</v>
      </c>
      <c r="M1078" s="68"/>
      <c r="N1078" s="68"/>
      <c r="O1078" s="187"/>
      <c r="P1078" s="187"/>
      <c r="Q1078" s="94">
        <v>0.9</v>
      </c>
      <c r="R1078" s="68">
        <f>IF((42.4*(J1078)^(-0.6595))&gt;=3,3,(IF(42.4*(J1078)^(-0.6595)&lt;=0.5,0.5,(42.4*(J1078)^(-0.6595)))))</f>
        <v>3</v>
      </c>
      <c r="S1078" s="276">
        <f>_xlfn.XLOOKUP($K1078,Inputs!$G$6:$G$23,Inputs!J$6:J$23)*$R1078</f>
        <v>153.60000000000002</v>
      </c>
      <c r="T1078" s="276">
        <f>_xlfn.XLOOKUP($K1078,Inputs!$G$6:$G$23,Inputs!K$6:K$23)*$R1078</f>
        <v>169.96721311475409</v>
      </c>
      <c r="U1078" s="96" t="s">
        <v>3349</v>
      </c>
      <c r="V1078" s="22" t="s">
        <v>3201</v>
      </c>
      <c r="W1078" s="96" t="s">
        <v>4024</v>
      </c>
      <c r="X1078" s="22" t="s">
        <v>3072</v>
      </c>
      <c r="Y1078" s="11" t="s">
        <v>3331</v>
      </c>
      <c r="Z1078" s="79"/>
      <c r="AA1078" s="187">
        <v>1066</v>
      </c>
    </row>
    <row r="1079" spans="2:27" s="188" customFormat="1" ht="20" x14ac:dyDescent="0.2">
      <c r="B1079" s="11" t="s">
        <v>4257</v>
      </c>
      <c r="C1079" s="165" t="s">
        <v>396</v>
      </c>
      <c r="D1079" s="22" t="s">
        <v>2379</v>
      </c>
      <c r="E1079" s="34">
        <v>1</v>
      </c>
      <c r="F1079" s="22" t="s">
        <v>2223</v>
      </c>
      <c r="G1079" s="88">
        <v>16.8</v>
      </c>
      <c r="H1079" s="235">
        <f t="shared" si="139"/>
        <v>10.37037037037037</v>
      </c>
      <c r="I1079" s="88">
        <v>16.8</v>
      </c>
      <c r="J1079" s="235">
        <f t="shared" si="140"/>
        <v>10.37037037037037</v>
      </c>
      <c r="K1079" s="201">
        <v>72</v>
      </c>
      <c r="L1079" s="252">
        <f>_xlfn.XLOOKUP($K1079,Inputs!$C$6:$C$23,Inputs!$D$6:$D$23)*$I1079</f>
        <v>6.4920000000000009</v>
      </c>
      <c r="M1079" s="68"/>
      <c r="N1079" s="68"/>
      <c r="O1079" s="187"/>
      <c r="P1079" s="187"/>
      <c r="Q1079" s="94">
        <v>0.9</v>
      </c>
      <c r="R1079" s="68">
        <f>IF((42.4*(J1079)^(-0.6595))&gt;=3,3,(IF(42.4*(J1079)^(-0.6595)&lt;=0.5,0.5,(42.4*(J1079)^(-0.6595)))))</f>
        <v>3</v>
      </c>
      <c r="S1079" s="276">
        <f>_xlfn.XLOOKUP($K1079,Inputs!$G$6:$G$23,Inputs!J$6:J$23)*$R1079</f>
        <v>38.880000000000003</v>
      </c>
      <c r="T1079" s="276">
        <f>_xlfn.XLOOKUP($K1079,Inputs!$G$6:$G$23,Inputs!K$6:K$23)*$R1079</f>
        <v>42.491803278688522</v>
      </c>
      <c r="U1079" s="96" t="s">
        <v>4254</v>
      </c>
      <c r="V1079" s="22" t="s">
        <v>4256</v>
      </c>
      <c r="W1079" s="96" t="s">
        <v>4021</v>
      </c>
      <c r="X1079" s="205" t="s">
        <v>3033</v>
      </c>
      <c r="Y1079" s="11" t="s">
        <v>3331</v>
      </c>
      <c r="Z1079" s="79" t="s">
        <v>4255</v>
      </c>
      <c r="AA1079" s="187">
        <v>1067</v>
      </c>
    </row>
    <row r="1080" spans="2:27" s="188" customFormat="1" ht="20" x14ac:dyDescent="0.2">
      <c r="B1080" s="11" t="s">
        <v>4258</v>
      </c>
      <c r="C1080" s="165" t="s">
        <v>396</v>
      </c>
      <c r="D1080" s="22" t="s">
        <v>2379</v>
      </c>
      <c r="E1080" s="34">
        <v>1</v>
      </c>
      <c r="F1080" s="22" t="s">
        <v>2223</v>
      </c>
      <c r="G1080" s="88">
        <v>16.8</v>
      </c>
      <c r="H1080" s="235">
        <f t="shared" si="139"/>
        <v>10.37037037037037</v>
      </c>
      <c r="I1080" s="88">
        <v>16.8</v>
      </c>
      <c r="J1080" s="235">
        <f t="shared" si="140"/>
        <v>10.37037037037037</v>
      </c>
      <c r="K1080" s="201">
        <v>72</v>
      </c>
      <c r="L1080" s="252">
        <f>_xlfn.XLOOKUP($K1080,Inputs!$C$6:$C$23,Inputs!$D$6:$D$23)*$I1080</f>
        <v>6.4920000000000009</v>
      </c>
      <c r="M1080" s="68"/>
      <c r="N1080" s="68"/>
      <c r="O1080" s="187"/>
      <c r="P1080" s="187"/>
      <c r="Q1080" s="94">
        <v>0.9</v>
      </c>
      <c r="R1080" s="68">
        <f>IF((42.4*(J1080)^(-0.6595))&gt;=3,3,(IF(42.4*(J1080)^(-0.6595)&lt;=0.5,0.5,(42.4*(J1080)^(-0.6595)))))</f>
        <v>3</v>
      </c>
      <c r="S1080" s="276">
        <f>_xlfn.XLOOKUP($K1080,Inputs!$G$6:$G$23,Inputs!J$6:J$23)*$R1080</f>
        <v>38.880000000000003</v>
      </c>
      <c r="T1080" s="276">
        <f>_xlfn.XLOOKUP($K1080,Inputs!$G$6:$G$23,Inputs!K$6:K$23)*$R1080</f>
        <v>42.491803278688522</v>
      </c>
      <c r="U1080" s="96" t="s">
        <v>4254</v>
      </c>
      <c r="V1080" s="22" t="s">
        <v>4256</v>
      </c>
      <c r="W1080" s="96" t="s">
        <v>4021</v>
      </c>
      <c r="X1080" s="205" t="s">
        <v>3033</v>
      </c>
      <c r="Y1080" s="11" t="s">
        <v>3331</v>
      </c>
      <c r="Z1080" s="79" t="s">
        <v>4255</v>
      </c>
      <c r="AA1080" s="187">
        <v>1067</v>
      </c>
    </row>
    <row r="1081" spans="2:27" s="188" customFormat="1" ht="20" x14ac:dyDescent="0.2">
      <c r="B1081" s="79" t="s">
        <v>2083</v>
      </c>
      <c r="C1081" s="165" t="s">
        <v>396</v>
      </c>
      <c r="D1081" s="22" t="s">
        <v>2379</v>
      </c>
      <c r="E1081" s="34">
        <v>1</v>
      </c>
      <c r="F1081" s="22" t="s">
        <v>2223</v>
      </c>
      <c r="G1081" s="88">
        <v>10.08</v>
      </c>
      <c r="H1081" s="235">
        <f t="shared" si="139"/>
        <v>6.2222222222222214</v>
      </c>
      <c r="I1081" s="88">
        <v>10.08</v>
      </c>
      <c r="J1081" s="235">
        <f t="shared" si="140"/>
        <v>6.2222222222222214</v>
      </c>
      <c r="K1081" s="201">
        <v>72</v>
      </c>
      <c r="L1081" s="252">
        <f>_xlfn.XLOOKUP($K1081,Inputs!$C$6:$C$23,Inputs!$D$6:$D$23)*$I1081</f>
        <v>3.8952000000000004</v>
      </c>
      <c r="M1081" s="68"/>
      <c r="N1081" s="68"/>
      <c r="O1081" s="187"/>
      <c r="P1081" s="187"/>
      <c r="Q1081" s="94">
        <v>0.9</v>
      </c>
      <c r="R1081" s="68">
        <f>IF((42.4*(J1081)^(-0.6595))&gt;=3,3,(IF(42.4*(J1081)^(-0.6595)&lt;=0.5,0.5,(42.4*(J1081)^(-0.6595)))))</f>
        <v>3</v>
      </c>
      <c r="S1081" s="276">
        <f>_xlfn.XLOOKUP($K1081,Inputs!$G$6:$G$23,Inputs!J$6:J$23)*$R1081</f>
        <v>38.880000000000003</v>
      </c>
      <c r="T1081" s="276">
        <f>_xlfn.XLOOKUP($K1081,Inputs!$G$6:$G$23,Inputs!K$6:K$23)*$R1081</f>
        <v>42.491803278688522</v>
      </c>
      <c r="U1081" s="96" t="s">
        <v>4254</v>
      </c>
      <c r="V1081" s="22" t="s">
        <v>4256</v>
      </c>
      <c r="W1081" s="212" t="s">
        <v>3720</v>
      </c>
      <c r="X1081" s="296" t="s">
        <v>4259</v>
      </c>
      <c r="Y1081" s="11" t="s">
        <v>3331</v>
      </c>
      <c r="Z1081" s="79"/>
      <c r="AA1081" s="187">
        <v>1068</v>
      </c>
    </row>
    <row r="1082" spans="2:27" s="188" customFormat="1" ht="20" x14ac:dyDescent="0.2">
      <c r="B1082" s="11" t="s">
        <v>1140</v>
      </c>
      <c r="C1082" s="165" t="s">
        <v>4235</v>
      </c>
      <c r="D1082" s="22" t="s">
        <v>2379</v>
      </c>
      <c r="E1082" s="34">
        <v>1</v>
      </c>
      <c r="F1082" s="22" t="s">
        <v>2223</v>
      </c>
      <c r="G1082" s="235">
        <v>5</v>
      </c>
      <c r="H1082" s="235">
        <f t="shared" si="139"/>
        <v>3.0864197530864197</v>
      </c>
      <c r="I1082" s="235">
        <v>5</v>
      </c>
      <c r="J1082" s="235">
        <f t="shared" si="140"/>
        <v>3.0864197530864197</v>
      </c>
      <c r="K1082" s="215">
        <v>138</v>
      </c>
      <c r="L1082" s="252">
        <f>_xlfn.XLOOKUP($K1082,Inputs!$C$6:$C$23,Inputs!$D$6:$D$23)*$I1082</f>
        <v>2.1678571428571431</v>
      </c>
      <c r="M1082" s="68"/>
      <c r="N1082" s="68"/>
      <c r="O1082" s="215">
        <v>216</v>
      </c>
      <c r="P1082" s="215">
        <v>277</v>
      </c>
      <c r="Q1082" s="94">
        <v>0.9</v>
      </c>
      <c r="R1082" s="68" t="s">
        <v>115</v>
      </c>
      <c r="S1082" s="182">
        <f>O1082*Q1082</f>
        <v>194.4</v>
      </c>
      <c r="T1082" s="182">
        <f>P1082*Q1082</f>
        <v>249.3</v>
      </c>
      <c r="U1082" s="96" t="s">
        <v>3823</v>
      </c>
      <c r="V1082" s="22" t="s">
        <v>3264</v>
      </c>
      <c r="W1082" s="96" t="s">
        <v>4024</v>
      </c>
      <c r="X1082" s="22" t="s">
        <v>3072</v>
      </c>
      <c r="Y1082" s="11" t="s">
        <v>3297</v>
      </c>
      <c r="Z1082" s="79"/>
      <c r="AA1082" s="187">
        <v>1069</v>
      </c>
    </row>
    <row r="1083" spans="2:27" s="184" customFormat="1" ht="20" x14ac:dyDescent="0.2">
      <c r="B1083" s="11" t="s">
        <v>1141</v>
      </c>
      <c r="C1083" s="165" t="s">
        <v>396</v>
      </c>
      <c r="D1083" s="22" t="s">
        <v>2379</v>
      </c>
      <c r="E1083" s="34">
        <v>1</v>
      </c>
      <c r="F1083" s="22" t="s">
        <v>2223</v>
      </c>
      <c r="G1083" s="235">
        <v>71.400000000000006</v>
      </c>
      <c r="H1083" s="235">
        <f t="shared" si="139"/>
        <v>44.074074074074076</v>
      </c>
      <c r="I1083" s="235">
        <v>71.400000000000006</v>
      </c>
      <c r="J1083" s="235">
        <f t="shared" si="140"/>
        <v>44.074074074074076</v>
      </c>
      <c r="K1083" s="201">
        <v>240</v>
      </c>
      <c r="L1083" s="252">
        <f>_xlfn.XLOOKUP($K1083,Inputs!$C$6:$C$23,Inputs!$D$6:$D$23)*$I1083</f>
        <v>34.047222222222224</v>
      </c>
      <c r="M1083" s="68"/>
      <c r="N1083" s="68"/>
      <c r="O1083" s="187"/>
      <c r="P1083" s="187"/>
      <c r="Q1083" s="94">
        <v>0.9</v>
      </c>
      <c r="R1083" s="68">
        <f t="shared" ref="R1083:R1091" si="143">IF((42.4*(J1083)^(-0.6595))&gt;=3,3,(IF(42.4*(J1083)^(-0.6595)&lt;=0.5,0.5,(42.4*(J1083)^(-0.6595)))))</f>
        <v>3</v>
      </c>
      <c r="S1083" s="276">
        <f>_xlfn.XLOOKUP($K1083,Inputs!$G$6:$G$23,Inputs!J$6:J$23)*$R1083</f>
        <v>438.57868020304568</v>
      </c>
      <c r="T1083" s="276">
        <f>_xlfn.XLOOKUP($K1083,Inputs!$G$6:$G$23,Inputs!K$6:K$23)*$R1083</f>
        <v>476.03305785123973</v>
      </c>
      <c r="U1083" s="96" t="s">
        <v>4264</v>
      </c>
      <c r="V1083" s="22" t="s">
        <v>4265</v>
      </c>
      <c r="W1083" s="96" t="s">
        <v>4254</v>
      </c>
      <c r="X1083" s="22" t="s">
        <v>4256</v>
      </c>
      <c r="Y1083" s="11" t="s">
        <v>3331</v>
      </c>
      <c r="Z1083" s="79"/>
      <c r="AA1083" s="187">
        <v>1070</v>
      </c>
    </row>
    <row r="1084" spans="2:27" s="188" customFormat="1" ht="20" x14ac:dyDescent="0.2">
      <c r="B1084" s="11" t="s">
        <v>1142</v>
      </c>
      <c r="C1084" s="165" t="s">
        <v>396</v>
      </c>
      <c r="D1084" s="22" t="s">
        <v>2379</v>
      </c>
      <c r="E1084" s="34">
        <v>1</v>
      </c>
      <c r="F1084" s="22" t="s">
        <v>2223</v>
      </c>
      <c r="G1084" s="235">
        <v>71.400000000000006</v>
      </c>
      <c r="H1084" s="235">
        <f t="shared" si="139"/>
        <v>44.074074074074076</v>
      </c>
      <c r="I1084" s="235">
        <v>71.400000000000006</v>
      </c>
      <c r="J1084" s="235">
        <f t="shared" si="140"/>
        <v>44.074074074074076</v>
      </c>
      <c r="K1084" s="201">
        <v>240</v>
      </c>
      <c r="L1084" s="252">
        <f>_xlfn.XLOOKUP($K1084,Inputs!$C$6:$C$23,Inputs!$D$6:$D$23)*$I1084</f>
        <v>34.047222222222224</v>
      </c>
      <c r="M1084" s="68"/>
      <c r="N1084" s="68"/>
      <c r="O1084" s="187"/>
      <c r="P1084" s="187"/>
      <c r="Q1084" s="94">
        <v>0.9</v>
      </c>
      <c r="R1084" s="68">
        <f t="shared" si="143"/>
        <v>3</v>
      </c>
      <c r="S1084" s="276">
        <f>_xlfn.XLOOKUP($K1084,Inputs!$G$6:$G$23,Inputs!J$6:J$23)*$R1084</f>
        <v>438.57868020304568</v>
      </c>
      <c r="T1084" s="276">
        <f>_xlfn.XLOOKUP($K1084,Inputs!$G$6:$G$23,Inputs!K$6:K$23)*$R1084</f>
        <v>476.03305785123973</v>
      </c>
      <c r="U1084" s="96" t="s">
        <v>4264</v>
      </c>
      <c r="V1084" s="22" t="s">
        <v>4265</v>
      </c>
      <c r="W1084" s="96" t="s">
        <v>4254</v>
      </c>
      <c r="X1084" s="22" t="s">
        <v>4256</v>
      </c>
      <c r="Y1084" s="11" t="s">
        <v>3331</v>
      </c>
      <c r="Z1084" s="79"/>
      <c r="AA1084" s="187">
        <v>1071</v>
      </c>
    </row>
    <row r="1085" spans="2:27" s="188" customFormat="1" ht="20" x14ac:dyDescent="0.2">
      <c r="B1085" s="11" t="s">
        <v>1143</v>
      </c>
      <c r="C1085" s="165" t="s">
        <v>2387</v>
      </c>
      <c r="D1085" s="22" t="s">
        <v>2379</v>
      </c>
      <c r="E1085" s="34">
        <v>1</v>
      </c>
      <c r="F1085" s="22" t="s">
        <v>2223</v>
      </c>
      <c r="G1085" s="235">
        <v>5</v>
      </c>
      <c r="H1085" s="235">
        <f t="shared" si="139"/>
        <v>3.0864197530864197</v>
      </c>
      <c r="I1085" s="235">
        <v>5</v>
      </c>
      <c r="J1085" s="235">
        <f t="shared" si="140"/>
        <v>3.0864197530864197</v>
      </c>
      <c r="K1085" s="201">
        <v>240</v>
      </c>
      <c r="L1085" s="252">
        <f>_xlfn.XLOOKUP($K1085,Inputs!$C$6:$C$23,Inputs!$D$6:$D$23)*$I1085</f>
        <v>2.3842592592592595</v>
      </c>
      <c r="M1085" s="68"/>
      <c r="N1085" s="68"/>
      <c r="O1085" s="187"/>
      <c r="P1085" s="187"/>
      <c r="Q1085" s="94">
        <v>0.9</v>
      </c>
      <c r="R1085" s="68">
        <f t="shared" si="143"/>
        <v>3</v>
      </c>
      <c r="S1085" s="276">
        <f>_xlfn.XLOOKUP($K1085,Inputs!$G$6:$G$23,Inputs!J$6:J$23)*$R1085</f>
        <v>438.57868020304568</v>
      </c>
      <c r="T1085" s="276">
        <f>_xlfn.XLOOKUP($K1085,Inputs!$G$6:$G$23,Inputs!K$6:K$23)*$R1085</f>
        <v>476.03305785123973</v>
      </c>
      <c r="U1085" s="96" t="s">
        <v>3709</v>
      </c>
      <c r="V1085" s="22" t="s">
        <v>2974</v>
      </c>
      <c r="W1085" s="96" t="s">
        <v>3653</v>
      </c>
      <c r="X1085" s="22" t="s">
        <v>2687</v>
      </c>
      <c r="Y1085" s="11" t="s">
        <v>3331</v>
      </c>
      <c r="Z1085" s="79"/>
      <c r="AA1085" s="187">
        <v>1072</v>
      </c>
    </row>
    <row r="1086" spans="2:27" s="188" customFormat="1" ht="20" x14ac:dyDescent="0.2">
      <c r="B1086" s="11" t="s">
        <v>1855</v>
      </c>
      <c r="C1086" s="165" t="s">
        <v>4235</v>
      </c>
      <c r="D1086" s="22" t="s">
        <v>2379</v>
      </c>
      <c r="E1086" s="34">
        <v>1</v>
      </c>
      <c r="F1086" s="22" t="s">
        <v>2223</v>
      </c>
      <c r="G1086" s="235">
        <v>150</v>
      </c>
      <c r="H1086" s="235">
        <f t="shared" si="139"/>
        <v>92.592592592592581</v>
      </c>
      <c r="I1086" s="235">
        <v>150</v>
      </c>
      <c r="J1086" s="235">
        <f t="shared" si="140"/>
        <v>92.592592592592581</v>
      </c>
      <c r="K1086" s="201">
        <v>240</v>
      </c>
      <c r="L1086" s="252">
        <f>_xlfn.XLOOKUP($K1086,Inputs!$C$6:$C$23,Inputs!$D$6:$D$23)*$I1086</f>
        <v>71.527777777777786</v>
      </c>
      <c r="M1086" s="68"/>
      <c r="N1086" s="68"/>
      <c r="O1086" s="187"/>
      <c r="P1086" s="187"/>
      <c r="Q1086" s="94">
        <v>0.9</v>
      </c>
      <c r="R1086" s="68">
        <f t="shared" si="143"/>
        <v>2.1399756087919681</v>
      </c>
      <c r="S1086" s="275">
        <v>300</v>
      </c>
      <c r="T1086" s="275">
        <v>300</v>
      </c>
      <c r="U1086" s="96" t="s">
        <v>3773</v>
      </c>
      <c r="V1086" s="22" t="s">
        <v>3027</v>
      </c>
      <c r="W1086" s="96" t="s">
        <v>4018</v>
      </c>
      <c r="X1086" s="205" t="s">
        <v>2204</v>
      </c>
      <c r="Y1086" s="11" t="s">
        <v>4293</v>
      </c>
      <c r="Z1086" s="11" t="s">
        <v>4294</v>
      </c>
      <c r="AA1086" s="187">
        <v>1073</v>
      </c>
    </row>
    <row r="1087" spans="2:27" s="188" customFormat="1" ht="20" x14ac:dyDescent="0.2">
      <c r="B1087" s="11" t="s">
        <v>2075</v>
      </c>
      <c r="C1087" s="165" t="s">
        <v>4236</v>
      </c>
      <c r="D1087" s="22" t="s">
        <v>2379</v>
      </c>
      <c r="E1087" s="34">
        <v>1</v>
      </c>
      <c r="F1087" s="22" t="s">
        <v>2223</v>
      </c>
      <c r="G1087" s="88">
        <v>14</v>
      </c>
      <c r="H1087" s="235">
        <f t="shared" si="139"/>
        <v>8.6419753086419746</v>
      </c>
      <c r="I1087" s="88">
        <v>14</v>
      </c>
      <c r="J1087" s="235">
        <f t="shared" si="140"/>
        <v>8.6419753086419746</v>
      </c>
      <c r="K1087" s="201">
        <v>144</v>
      </c>
      <c r="L1087" s="252">
        <f>_xlfn.XLOOKUP($K1087,Inputs!$C$6:$C$23,Inputs!$D$6:$D$23)*$I1087</f>
        <v>6.1300000000000008</v>
      </c>
      <c r="M1087" s="68"/>
      <c r="N1087" s="68"/>
      <c r="O1087" s="187"/>
      <c r="P1087" s="187"/>
      <c r="Q1087" s="94">
        <v>0.9</v>
      </c>
      <c r="R1087" s="68">
        <f t="shared" si="143"/>
        <v>3</v>
      </c>
      <c r="S1087" s="276">
        <f>_xlfn.XLOOKUP($K1087,Inputs!$G$6:$G$23,Inputs!J$6:J$23)*$R1087</f>
        <v>153.60000000000002</v>
      </c>
      <c r="T1087" s="276">
        <f>_xlfn.XLOOKUP($K1087,Inputs!$G$6:$G$23,Inputs!K$6:K$23)*$R1087</f>
        <v>169.96721311475409</v>
      </c>
      <c r="U1087" s="96" t="s">
        <v>3737</v>
      </c>
      <c r="V1087" s="22" t="s">
        <v>2621</v>
      </c>
      <c r="W1087" s="96" t="s">
        <v>218</v>
      </c>
      <c r="X1087" s="22" t="s">
        <v>2611</v>
      </c>
      <c r="Y1087" s="11" t="s">
        <v>3331</v>
      </c>
      <c r="Z1087" s="79"/>
      <c r="AA1087" s="187">
        <v>1074</v>
      </c>
    </row>
    <row r="1088" spans="2:27" s="184" customFormat="1" ht="20" x14ac:dyDescent="0.2">
      <c r="B1088" s="11" t="s">
        <v>2076</v>
      </c>
      <c r="C1088" s="165" t="s">
        <v>4236</v>
      </c>
      <c r="D1088" s="22" t="s">
        <v>2379</v>
      </c>
      <c r="E1088" s="34">
        <v>1</v>
      </c>
      <c r="F1088" s="22" t="s">
        <v>2223</v>
      </c>
      <c r="G1088" s="88">
        <v>3.4</v>
      </c>
      <c r="H1088" s="235">
        <f t="shared" si="139"/>
        <v>2.0987654320987654</v>
      </c>
      <c r="I1088" s="88">
        <v>3.4</v>
      </c>
      <c r="J1088" s="235">
        <f t="shared" si="140"/>
        <v>2.0987654320987654</v>
      </c>
      <c r="K1088" s="201">
        <v>144</v>
      </c>
      <c r="L1088" s="252">
        <f>_xlfn.XLOOKUP($K1088,Inputs!$C$6:$C$23,Inputs!$D$6:$D$23)*$I1088</f>
        <v>1.4887142857142859</v>
      </c>
      <c r="M1088" s="68"/>
      <c r="N1088" s="68"/>
      <c r="O1088" s="187"/>
      <c r="P1088" s="187"/>
      <c r="Q1088" s="94">
        <v>0.9</v>
      </c>
      <c r="R1088" s="68">
        <f t="shared" si="143"/>
        <v>3</v>
      </c>
      <c r="S1088" s="276">
        <f>_xlfn.XLOOKUP($K1088,Inputs!$G$6:$G$23,Inputs!J$6:J$23)*$R1088</f>
        <v>153.60000000000002</v>
      </c>
      <c r="T1088" s="276">
        <f>_xlfn.XLOOKUP($K1088,Inputs!$G$6:$G$23,Inputs!K$6:K$23)*$R1088</f>
        <v>169.96721311475409</v>
      </c>
      <c r="U1088" s="96" t="s">
        <v>3886</v>
      </c>
      <c r="V1088" s="22" t="s">
        <v>2631</v>
      </c>
      <c r="W1088" s="96" t="s">
        <v>4028</v>
      </c>
      <c r="X1088" s="205" t="s">
        <v>3210</v>
      </c>
      <c r="Y1088" s="11" t="s">
        <v>3331</v>
      </c>
      <c r="Z1088" s="79"/>
      <c r="AA1088" s="187">
        <v>1075</v>
      </c>
    </row>
    <row r="1089" spans="1:27" s="184" customFormat="1" ht="20" x14ac:dyDescent="0.2">
      <c r="B1089" s="11" t="s">
        <v>429</v>
      </c>
      <c r="C1089" s="165" t="s">
        <v>4237</v>
      </c>
      <c r="D1089" s="22" t="s">
        <v>2379</v>
      </c>
      <c r="E1089" s="34">
        <v>1</v>
      </c>
      <c r="F1089" s="22" t="s">
        <v>2223</v>
      </c>
      <c r="G1089" s="235">
        <v>15</v>
      </c>
      <c r="H1089" s="235">
        <f t="shared" si="139"/>
        <v>9.2592592592592595</v>
      </c>
      <c r="I1089" s="235">
        <v>15</v>
      </c>
      <c r="J1089" s="235">
        <f t="shared" si="140"/>
        <v>9.2592592592592595</v>
      </c>
      <c r="K1089" s="201">
        <v>240</v>
      </c>
      <c r="L1089" s="252">
        <f>_xlfn.XLOOKUP($K1089,Inputs!$C$6:$C$23,Inputs!$D$6:$D$23)*$I1089</f>
        <v>7.1527777777777777</v>
      </c>
      <c r="M1089" s="68"/>
      <c r="N1089" s="68"/>
      <c r="O1089" s="187"/>
      <c r="P1089" s="187"/>
      <c r="Q1089" s="94">
        <v>0.9</v>
      </c>
      <c r="R1089" s="68">
        <f t="shared" si="143"/>
        <v>3</v>
      </c>
      <c r="S1089" s="276">
        <f>_xlfn.XLOOKUP($K1089,Inputs!$G$6:$G$23,Inputs!J$6:J$23)*$R1089</f>
        <v>438.57868020304568</v>
      </c>
      <c r="T1089" s="276">
        <f>_xlfn.XLOOKUP($K1089,Inputs!$G$6:$G$23,Inputs!K$6:K$23)*$R1089</f>
        <v>476.03305785123973</v>
      </c>
      <c r="U1089" s="96" t="s">
        <v>3810</v>
      </c>
      <c r="V1089" s="22" t="s">
        <v>2641</v>
      </c>
      <c r="W1089" s="96" t="s">
        <v>4254</v>
      </c>
      <c r="X1089" s="22" t="s">
        <v>4256</v>
      </c>
      <c r="Y1089" s="11" t="s">
        <v>3331</v>
      </c>
      <c r="Z1089" s="79"/>
      <c r="AA1089" s="187">
        <v>1076</v>
      </c>
    </row>
    <row r="1090" spans="1:27" s="184" customFormat="1" ht="20" x14ac:dyDescent="0.2">
      <c r="B1090" s="11" t="s">
        <v>1145</v>
      </c>
      <c r="C1090" s="165" t="s">
        <v>4237</v>
      </c>
      <c r="D1090" s="22" t="s">
        <v>2379</v>
      </c>
      <c r="E1090" s="34">
        <v>1</v>
      </c>
      <c r="F1090" s="22" t="s">
        <v>2223</v>
      </c>
      <c r="G1090" s="235">
        <v>15</v>
      </c>
      <c r="H1090" s="235">
        <f t="shared" si="139"/>
        <v>9.2592592592592595</v>
      </c>
      <c r="I1090" s="235">
        <v>15</v>
      </c>
      <c r="J1090" s="235">
        <f t="shared" si="140"/>
        <v>9.2592592592592595</v>
      </c>
      <c r="K1090" s="201">
        <v>240</v>
      </c>
      <c r="L1090" s="252">
        <f>_xlfn.XLOOKUP($K1090,Inputs!$C$6:$C$23,Inputs!$D$6:$D$23)*$I1090</f>
        <v>7.1527777777777777</v>
      </c>
      <c r="M1090" s="68"/>
      <c r="N1090" s="68"/>
      <c r="O1090" s="187"/>
      <c r="P1090" s="187"/>
      <c r="Q1090" s="94">
        <v>0.9</v>
      </c>
      <c r="R1090" s="68">
        <f t="shared" si="143"/>
        <v>3</v>
      </c>
      <c r="S1090" s="276">
        <f>_xlfn.XLOOKUP($K1090,Inputs!$G$6:$G$23,Inputs!J$6:J$23)*$R1090</f>
        <v>438.57868020304568</v>
      </c>
      <c r="T1090" s="276">
        <f>_xlfn.XLOOKUP($K1090,Inputs!$G$6:$G$23,Inputs!K$6:K$23)*$R1090</f>
        <v>476.03305785123973</v>
      </c>
      <c r="U1090" s="96" t="s">
        <v>3810</v>
      </c>
      <c r="V1090" s="22" t="s">
        <v>2641</v>
      </c>
      <c r="W1090" s="96" t="s">
        <v>4254</v>
      </c>
      <c r="X1090" s="22" t="s">
        <v>4256</v>
      </c>
      <c r="Y1090" s="11" t="s">
        <v>3331</v>
      </c>
      <c r="Z1090" s="79"/>
      <c r="AA1090" s="187">
        <v>1077</v>
      </c>
    </row>
    <row r="1091" spans="1:27" s="188" customFormat="1" ht="20" x14ac:dyDescent="0.2">
      <c r="B1091" s="11" t="s">
        <v>1395</v>
      </c>
      <c r="C1091" s="165" t="s">
        <v>4242</v>
      </c>
      <c r="D1091" s="22" t="s">
        <v>2379</v>
      </c>
      <c r="E1091" s="34">
        <v>1</v>
      </c>
      <c r="F1091" s="22" t="s">
        <v>2223</v>
      </c>
      <c r="G1091" s="88">
        <v>16.8</v>
      </c>
      <c r="H1091" s="235">
        <f t="shared" si="139"/>
        <v>10.37037037037037</v>
      </c>
      <c r="I1091" s="88">
        <v>16.8</v>
      </c>
      <c r="J1091" s="235">
        <f t="shared" si="140"/>
        <v>10.37037037037037</v>
      </c>
      <c r="K1091" s="201">
        <v>144</v>
      </c>
      <c r="L1091" s="252">
        <f>_xlfn.XLOOKUP($K1091,Inputs!$C$6:$C$23,Inputs!$D$6:$D$23)*$I1091</f>
        <v>7.3560000000000008</v>
      </c>
      <c r="M1091" s="68"/>
      <c r="N1091" s="68"/>
      <c r="O1091" s="187"/>
      <c r="P1091" s="187"/>
      <c r="Q1091" s="94">
        <v>0.9</v>
      </c>
      <c r="R1091" s="68">
        <f t="shared" si="143"/>
        <v>3</v>
      </c>
      <c r="S1091" s="276">
        <f>_xlfn.XLOOKUP($K1091,Inputs!$G$6:$G$23,Inputs!J$6:J$23)*$R1091</f>
        <v>153.60000000000002</v>
      </c>
      <c r="T1091" s="276">
        <f>_xlfn.XLOOKUP($K1091,Inputs!$G$6:$G$23,Inputs!K$6:K$23)*$R1091</f>
        <v>169.96721311475409</v>
      </c>
      <c r="U1091" s="96" t="s">
        <v>4008</v>
      </c>
      <c r="V1091" s="22" t="s">
        <v>2131</v>
      </c>
      <c r="W1091" s="96" t="s">
        <v>3907</v>
      </c>
      <c r="X1091" s="205" t="s">
        <v>3168</v>
      </c>
      <c r="Y1091" s="11" t="s">
        <v>3331</v>
      </c>
      <c r="Z1091" s="79"/>
      <c r="AA1091" s="187">
        <v>1078</v>
      </c>
    </row>
    <row r="1092" spans="1:27" x14ac:dyDescent="0.2">
      <c r="P1092" s="202"/>
    </row>
    <row r="1093" spans="1:27" x14ac:dyDescent="0.2">
      <c r="F1093" s="184"/>
      <c r="P1093" s="202"/>
      <c r="Z1093" s="185"/>
      <c r="AA1093" s="183"/>
    </row>
    <row r="1094" spans="1:27" ht="19" x14ac:dyDescent="0.2">
      <c r="A1094" s="274" t="s">
        <v>1491</v>
      </c>
      <c r="B1094" s="197"/>
      <c r="C1094" s="197"/>
      <c r="M1094" s="183"/>
      <c r="N1094" s="183"/>
      <c r="O1094" s="183"/>
      <c r="P1094" s="183"/>
      <c r="R1094" s="183"/>
      <c r="S1094" s="183"/>
      <c r="T1094" s="183"/>
      <c r="U1094" s="183"/>
      <c r="V1094" s="183"/>
      <c r="W1094" s="183"/>
      <c r="X1094" s="183"/>
      <c r="Y1094" s="183"/>
      <c r="Z1094" s="183"/>
      <c r="AA1094" s="183"/>
    </row>
    <row r="1095" spans="1:27" ht="19" x14ac:dyDescent="0.25">
      <c r="A1095" s="2" t="s">
        <v>3344</v>
      </c>
      <c r="B1095" s="197"/>
      <c r="C1095" s="197"/>
      <c r="M1095" s="183"/>
      <c r="N1095" s="183"/>
      <c r="O1095" s="183"/>
      <c r="P1095" s="183"/>
      <c r="R1095" s="183"/>
      <c r="S1095" s="183"/>
      <c r="T1095" s="183"/>
      <c r="U1095" s="183"/>
      <c r="V1095" s="183"/>
      <c r="W1095" s="183"/>
      <c r="X1095" s="183"/>
      <c r="Y1095" s="183"/>
      <c r="Z1095" s="183"/>
      <c r="AA1095" s="183"/>
    </row>
    <row r="1096" spans="1:27" ht="19" x14ac:dyDescent="0.25">
      <c r="A1096" s="2" t="s">
        <v>2589</v>
      </c>
      <c r="B1096" s="197"/>
      <c r="C1096" s="197"/>
      <c r="M1096" s="183"/>
      <c r="N1096" s="183"/>
      <c r="O1096" s="183"/>
      <c r="P1096" s="183"/>
      <c r="R1096" s="183"/>
      <c r="S1096" s="183"/>
      <c r="T1096" s="183"/>
      <c r="U1096" s="183"/>
      <c r="V1096" s="183"/>
      <c r="W1096" s="183"/>
      <c r="X1096" s="183"/>
      <c r="Y1096" s="183"/>
      <c r="Z1096" s="183"/>
      <c r="AA1096" s="183"/>
    </row>
    <row r="1097" spans="1:27" ht="19" x14ac:dyDescent="0.25">
      <c r="A1097" s="2" t="s">
        <v>2590</v>
      </c>
      <c r="B1097" s="197"/>
      <c r="C1097" s="197"/>
      <c r="L1097" s="103"/>
      <c r="M1097" s="183"/>
      <c r="N1097" s="183"/>
      <c r="O1097" s="183"/>
      <c r="P1097" s="183"/>
      <c r="Q1097" s="104"/>
      <c r="R1097" s="103"/>
      <c r="S1097" s="103"/>
      <c r="T1097" s="104"/>
      <c r="U1097" s="103"/>
      <c r="V1097" s="104"/>
      <c r="W1097" s="104"/>
      <c r="X1097" s="2"/>
      <c r="Y1097" s="183"/>
      <c r="Z1097" s="183"/>
      <c r="AA1097" s="183"/>
    </row>
    <row r="1098" spans="1:27" ht="19" x14ac:dyDescent="0.25">
      <c r="A1098" s="2" t="s">
        <v>2591</v>
      </c>
      <c r="B1098" s="197"/>
      <c r="C1098" s="197"/>
      <c r="L1098" s="103"/>
      <c r="M1098" s="183"/>
      <c r="N1098" s="183"/>
      <c r="O1098" s="183"/>
      <c r="P1098" s="183"/>
      <c r="Q1098" s="104"/>
      <c r="R1098" s="103"/>
      <c r="S1098" s="103"/>
      <c r="T1098" s="104"/>
      <c r="U1098" s="103"/>
      <c r="V1098" s="104"/>
      <c r="W1098" s="104"/>
      <c r="X1098" s="2"/>
      <c r="Y1098" s="183"/>
      <c r="Z1098" s="183"/>
      <c r="AA1098" s="183"/>
    </row>
    <row r="1099" spans="1:27" ht="19" x14ac:dyDescent="0.25">
      <c r="A1099" s="2" t="s">
        <v>2592</v>
      </c>
      <c r="B1099" s="197"/>
      <c r="C1099" s="197"/>
      <c r="M1099" s="183"/>
      <c r="N1099" s="183"/>
      <c r="O1099" s="183"/>
      <c r="P1099" s="183"/>
      <c r="R1099" s="183"/>
      <c r="S1099" s="183"/>
      <c r="T1099" s="183"/>
      <c r="U1099" s="183"/>
      <c r="V1099" s="183"/>
      <c r="W1099" s="183"/>
      <c r="X1099" s="183"/>
      <c r="Y1099" s="183"/>
      <c r="Z1099" s="183"/>
      <c r="AA1099" s="183"/>
    </row>
    <row r="1100" spans="1:27" ht="19" x14ac:dyDescent="0.25">
      <c r="A1100" s="2" t="s">
        <v>3345</v>
      </c>
      <c r="B1100" s="197"/>
      <c r="C1100" s="197"/>
      <c r="M1100" s="183"/>
      <c r="N1100" s="183"/>
      <c r="O1100" s="183"/>
      <c r="P1100" s="183"/>
      <c r="R1100" s="183"/>
      <c r="S1100" s="183"/>
      <c r="T1100" s="183"/>
      <c r="U1100" s="183"/>
      <c r="V1100" s="183"/>
      <c r="W1100" s="183"/>
      <c r="X1100" s="183"/>
      <c r="Y1100" s="183"/>
      <c r="Z1100" s="183"/>
      <c r="AA1100" s="183"/>
    </row>
    <row r="1101" spans="1:27" ht="19" x14ac:dyDescent="0.25">
      <c r="A1101" s="2" t="s">
        <v>3346</v>
      </c>
      <c r="B1101" s="197"/>
      <c r="C1101" s="197"/>
      <c r="M1101" s="183"/>
      <c r="N1101" s="183"/>
      <c r="O1101" s="183"/>
      <c r="P1101" s="183"/>
      <c r="R1101" s="183"/>
      <c r="S1101" s="183"/>
      <c r="T1101" s="183"/>
      <c r="U1101" s="183"/>
      <c r="V1101" s="183"/>
      <c r="W1101" s="183"/>
      <c r="X1101" s="183"/>
      <c r="Y1101" s="183"/>
      <c r="Z1101" s="183"/>
      <c r="AA1101" s="183"/>
    </row>
    <row r="1102" spans="1:27" ht="19" x14ac:dyDescent="0.25">
      <c r="A1102" s="2" t="s">
        <v>2593</v>
      </c>
      <c r="B1102" s="197"/>
      <c r="C1102" s="197"/>
      <c r="M1102" s="183"/>
      <c r="N1102" s="183"/>
      <c r="O1102" s="183"/>
      <c r="P1102" s="183"/>
      <c r="R1102" s="183"/>
      <c r="S1102" s="183"/>
      <c r="T1102" s="183"/>
      <c r="U1102" s="183"/>
      <c r="V1102" s="183"/>
      <c r="W1102" s="183"/>
      <c r="X1102" s="183"/>
      <c r="Y1102" s="183"/>
      <c r="Z1102" s="183"/>
      <c r="AA1102" s="183"/>
    </row>
    <row r="1103" spans="1:27" ht="19" x14ac:dyDescent="0.25">
      <c r="A1103" s="2" t="s">
        <v>1492</v>
      </c>
      <c r="B1103" s="197"/>
      <c r="C1103" s="197"/>
      <c r="M1103" s="183"/>
      <c r="N1103" s="183"/>
      <c r="O1103" s="183"/>
      <c r="P1103" s="183"/>
      <c r="R1103" s="183"/>
      <c r="S1103" s="183"/>
      <c r="T1103" s="183"/>
      <c r="U1103" s="183"/>
      <c r="V1103" s="183"/>
      <c r="W1103" s="183"/>
      <c r="X1103" s="183"/>
      <c r="Y1103" s="183"/>
      <c r="Z1103" s="183"/>
      <c r="AA1103" s="183"/>
    </row>
    <row r="1104" spans="1:27" ht="19" x14ac:dyDescent="0.25">
      <c r="A1104" s="2" t="s">
        <v>1493</v>
      </c>
      <c r="B1104" s="197"/>
      <c r="C1104" s="197"/>
      <c r="M1104" s="183"/>
      <c r="N1104" s="183"/>
      <c r="O1104" s="183"/>
      <c r="P1104" s="183"/>
      <c r="R1104" s="183"/>
      <c r="S1104" s="183"/>
      <c r="T1104" s="183"/>
      <c r="U1104" s="183"/>
      <c r="V1104" s="183"/>
      <c r="W1104" s="183"/>
      <c r="X1104" s="183"/>
      <c r="Y1104" s="183"/>
      <c r="Z1104" s="183"/>
      <c r="AA1104" s="183"/>
    </row>
    <row r="1105" spans="1:27" ht="19" x14ac:dyDescent="0.25">
      <c r="A1105" s="2" t="s">
        <v>2594</v>
      </c>
      <c r="B1105" s="197"/>
      <c r="C1105" s="197"/>
      <c r="M1105" s="183"/>
      <c r="N1105" s="183"/>
      <c r="O1105" s="183"/>
      <c r="P1105" s="183"/>
      <c r="R1105" s="183"/>
      <c r="S1105" s="183"/>
      <c r="T1105" s="183"/>
      <c r="U1105" s="183"/>
      <c r="V1105" s="183"/>
      <c r="W1105" s="183"/>
      <c r="X1105" s="183"/>
      <c r="Y1105" s="183"/>
      <c r="Z1105" s="183"/>
      <c r="AA1105" s="183"/>
    </row>
    <row r="1106" spans="1:27" ht="19" x14ac:dyDescent="0.25">
      <c r="A1106" s="2" t="s">
        <v>1494</v>
      </c>
      <c r="B1106" s="197"/>
      <c r="C1106" s="197"/>
      <c r="M1106" s="183"/>
      <c r="N1106" s="183"/>
      <c r="O1106" s="183"/>
      <c r="P1106" s="183"/>
      <c r="R1106" s="183"/>
      <c r="S1106" s="183"/>
      <c r="T1106" s="183"/>
      <c r="U1106" s="183"/>
      <c r="V1106" s="183"/>
      <c r="W1106" s="183"/>
      <c r="X1106" s="183"/>
      <c r="Y1106" s="183"/>
      <c r="Z1106" s="183"/>
      <c r="AA1106" s="183"/>
    </row>
    <row r="1107" spans="1:27" ht="19" x14ac:dyDescent="0.25">
      <c r="A1107" s="2" t="s">
        <v>2595</v>
      </c>
      <c r="B1107" s="197"/>
      <c r="C1107" s="197"/>
      <c r="M1107" s="183"/>
      <c r="N1107" s="183"/>
      <c r="O1107" s="183"/>
      <c r="P1107" s="183"/>
      <c r="R1107" s="183"/>
      <c r="S1107" s="183"/>
      <c r="T1107" s="183"/>
      <c r="U1107" s="183"/>
      <c r="V1107" s="183"/>
      <c r="W1107" s="183"/>
      <c r="X1107" s="183"/>
      <c r="Y1107" s="183"/>
      <c r="Z1107" s="183"/>
      <c r="AA1107" s="183"/>
    </row>
    <row r="1108" spans="1:27" x14ac:dyDescent="0.2">
      <c r="B1108" s="193"/>
      <c r="C1108" s="193"/>
      <c r="D1108" s="193"/>
      <c r="E1108" s="193"/>
      <c r="F1108" s="193"/>
      <c r="G1108" s="193"/>
      <c r="H1108" s="193"/>
      <c r="I1108" s="193"/>
      <c r="J1108" s="193"/>
      <c r="K1108" s="193"/>
      <c r="M1108" s="183"/>
      <c r="N1108" s="183"/>
      <c r="O1108" s="193"/>
      <c r="P1108" s="183"/>
      <c r="R1108" s="183"/>
      <c r="S1108" s="183"/>
      <c r="T1108" s="183"/>
      <c r="U1108" s="183"/>
      <c r="V1108" s="183"/>
      <c r="W1108" s="183"/>
      <c r="X1108" s="183"/>
      <c r="Y1108" s="183"/>
      <c r="Z1108" s="183"/>
      <c r="AA1108" s="183"/>
    </row>
    <row r="1109" spans="1:27" ht="19" x14ac:dyDescent="0.2">
      <c r="A1109" s="147" t="s">
        <v>465</v>
      </c>
      <c r="B1109" s="193"/>
      <c r="C1109" s="194"/>
      <c r="D1109" s="194"/>
      <c r="E1109" s="195"/>
      <c r="F1109" s="193"/>
      <c r="G1109" s="193"/>
      <c r="H1109" s="193"/>
      <c r="I1109" s="193"/>
      <c r="J1109" s="193"/>
      <c r="K1109" s="193"/>
      <c r="L1109" s="193"/>
      <c r="M1109" s="193"/>
      <c r="N1109" s="193"/>
      <c r="O1109" s="193"/>
      <c r="P1109" s="193"/>
      <c r="Q1109" s="193"/>
      <c r="R1109" s="193"/>
      <c r="S1109" s="183"/>
      <c r="T1109" s="183"/>
      <c r="U1109" s="193"/>
      <c r="V1109" s="183"/>
      <c r="W1109" s="183"/>
      <c r="X1109" s="183"/>
      <c r="Y1109" s="183"/>
      <c r="Z1109" s="183"/>
      <c r="AA1109" s="183"/>
    </row>
    <row r="1110" spans="1:27" ht="19" x14ac:dyDescent="0.25">
      <c r="A1110" s="2" t="s">
        <v>2455</v>
      </c>
      <c r="B1110" s="193"/>
      <c r="C1110" s="193"/>
      <c r="D1110" s="193"/>
      <c r="E1110" s="193"/>
      <c r="F1110" s="193"/>
      <c r="G1110" s="193"/>
      <c r="H1110" s="193"/>
      <c r="I1110" s="193"/>
      <c r="J1110" s="193"/>
      <c r="K1110" s="193"/>
      <c r="M1110" s="183"/>
      <c r="N1110" s="183"/>
      <c r="O1110" s="193"/>
      <c r="P1110" s="183"/>
      <c r="Q1110" s="193"/>
      <c r="R1110" s="183"/>
      <c r="S1110" s="183"/>
      <c r="T1110" s="183"/>
      <c r="U1110" s="193"/>
      <c r="V1110" s="183"/>
      <c r="W1110" s="183"/>
      <c r="X1110" s="183"/>
      <c r="Y1110" s="183"/>
      <c r="Z1110" s="183"/>
      <c r="AA1110" s="183"/>
    </row>
    <row r="1111" spans="1:27" s="52" customFormat="1" x14ac:dyDescent="0.2">
      <c r="B1111" s="193"/>
      <c r="C1111" s="193"/>
      <c r="D1111" s="193"/>
      <c r="E1111" s="193"/>
      <c r="F1111" s="194"/>
      <c r="G1111" s="195"/>
      <c r="H1111" s="195"/>
      <c r="I1111" s="195"/>
      <c r="J1111" s="195"/>
      <c r="K1111" s="193"/>
      <c r="L1111" s="193"/>
      <c r="M1111" s="199"/>
      <c r="N1111" s="199"/>
      <c r="O1111" s="193"/>
      <c r="P1111" s="193"/>
      <c r="Q1111" s="193"/>
      <c r="R1111" s="193"/>
      <c r="S1111" s="193"/>
      <c r="T1111" s="195"/>
      <c r="U1111" s="193"/>
      <c r="V1111" s="193"/>
      <c r="Y1111" s="183"/>
    </row>
    <row r="1112" spans="1:27" s="52" customFormat="1" x14ac:dyDescent="0.2">
      <c r="B1112" s="193"/>
      <c r="C1112" s="193"/>
      <c r="D1112" s="193"/>
      <c r="E1112" s="193"/>
      <c r="F1112" s="194"/>
      <c r="G1112" s="195"/>
      <c r="H1112" s="195"/>
      <c r="I1112" s="195"/>
      <c r="J1112" s="195"/>
      <c r="K1112" s="193"/>
      <c r="L1112" s="193"/>
      <c r="M1112" s="199"/>
      <c r="N1112" s="199"/>
      <c r="O1112" s="193"/>
      <c r="P1112" s="193"/>
      <c r="Q1112" s="193"/>
      <c r="R1112" s="193"/>
      <c r="S1112" s="193"/>
      <c r="T1112" s="195"/>
      <c r="U1112" s="193"/>
      <c r="V1112" s="193"/>
      <c r="Y1112" s="183"/>
    </row>
    <row r="1113" spans="1:27" s="52" customFormat="1" x14ac:dyDescent="0.2">
      <c r="B1113" s="193"/>
      <c r="C1113" s="193"/>
      <c r="D1113" s="193"/>
      <c r="E1113" s="193"/>
      <c r="F1113" s="194"/>
      <c r="G1113" s="195"/>
      <c r="H1113" s="195"/>
      <c r="I1113" s="195"/>
      <c r="J1113" s="195"/>
      <c r="K1113" s="193"/>
      <c r="L1113" s="193"/>
      <c r="M1113" s="199"/>
      <c r="N1113" s="199"/>
      <c r="O1113" s="193"/>
      <c r="P1113" s="193"/>
      <c r="Q1113" s="193"/>
      <c r="R1113" s="193"/>
      <c r="S1113" s="193"/>
      <c r="T1113" s="195"/>
      <c r="U1113" s="193"/>
      <c r="V1113" s="193"/>
      <c r="Y1113" s="183"/>
    </row>
    <row r="1114" spans="1:27" s="52" customFormat="1" x14ac:dyDescent="0.2">
      <c r="B1114" s="193"/>
      <c r="C1114" s="193"/>
      <c r="D1114" s="193"/>
      <c r="E1114" s="193"/>
      <c r="F1114" s="194"/>
      <c r="G1114" s="195"/>
      <c r="H1114" s="195"/>
      <c r="I1114" s="195"/>
      <c r="J1114" s="195"/>
      <c r="K1114" s="193"/>
      <c r="L1114" s="193"/>
      <c r="M1114" s="199"/>
      <c r="N1114" s="199"/>
      <c r="O1114" s="193"/>
      <c r="P1114" s="193"/>
      <c r="Q1114" s="193"/>
      <c r="R1114" s="193"/>
      <c r="S1114" s="193"/>
      <c r="T1114" s="195"/>
      <c r="U1114" s="193"/>
      <c r="V1114" s="193"/>
      <c r="Y1114" s="183"/>
    </row>
    <row r="1115" spans="1:27" s="52" customFormat="1" x14ac:dyDescent="0.2">
      <c r="B1115" s="193"/>
      <c r="C1115" s="193"/>
      <c r="D1115" s="193"/>
      <c r="E1115" s="193"/>
      <c r="F1115" s="194"/>
      <c r="G1115" s="195"/>
      <c r="H1115" s="195"/>
      <c r="I1115" s="195"/>
      <c r="J1115" s="195"/>
      <c r="K1115" s="193"/>
      <c r="L1115" s="193"/>
      <c r="M1115" s="199"/>
      <c r="N1115" s="199"/>
      <c r="O1115" s="193"/>
      <c r="P1115" s="193"/>
      <c r="Q1115" s="193"/>
      <c r="R1115" s="193"/>
      <c r="S1115" s="193"/>
      <c r="T1115" s="195"/>
      <c r="U1115" s="193"/>
      <c r="V1115" s="193"/>
      <c r="Y1115" s="183"/>
    </row>
    <row r="1116" spans="1:27" s="52" customFormat="1" x14ac:dyDescent="0.2">
      <c r="B1116" s="193"/>
      <c r="C1116" s="193"/>
      <c r="D1116" s="193"/>
      <c r="E1116" s="193"/>
      <c r="F1116" s="194"/>
      <c r="G1116" s="195"/>
      <c r="H1116" s="195"/>
      <c r="I1116" s="195"/>
      <c r="J1116" s="195"/>
      <c r="K1116" s="193"/>
      <c r="L1116" s="193"/>
      <c r="M1116" s="199"/>
      <c r="N1116" s="199"/>
      <c r="O1116" s="193"/>
      <c r="P1116" s="193"/>
      <c r="Q1116" s="193"/>
      <c r="R1116" s="193"/>
      <c r="S1116" s="193"/>
      <c r="T1116" s="195"/>
      <c r="U1116" s="193"/>
      <c r="V1116" s="193"/>
      <c r="Y1116" s="183"/>
    </row>
    <row r="1117" spans="1:27" s="52" customFormat="1" x14ac:dyDescent="0.2">
      <c r="B1117" s="193"/>
      <c r="C1117" s="193"/>
      <c r="D1117" s="193"/>
      <c r="E1117" s="193"/>
      <c r="F1117" s="194"/>
      <c r="G1117" s="195"/>
      <c r="H1117" s="195"/>
      <c r="I1117" s="195"/>
      <c r="J1117" s="195"/>
      <c r="K1117" s="193"/>
      <c r="L1117" s="193"/>
      <c r="M1117" s="199"/>
      <c r="N1117" s="199"/>
      <c r="O1117" s="193"/>
      <c r="P1117" s="193"/>
      <c r="Q1117" s="193"/>
      <c r="R1117" s="193"/>
      <c r="S1117" s="193"/>
      <c r="T1117" s="195"/>
      <c r="U1117" s="193"/>
      <c r="V1117" s="193"/>
      <c r="Y1117" s="183"/>
    </row>
    <row r="1118" spans="1:27" s="52" customFormat="1" x14ac:dyDescent="0.2">
      <c r="B1118" s="193"/>
      <c r="C1118" s="193"/>
      <c r="D1118" s="193"/>
      <c r="E1118" s="193"/>
      <c r="F1118" s="194"/>
      <c r="G1118" s="195"/>
      <c r="H1118" s="195"/>
      <c r="I1118" s="195"/>
      <c r="J1118" s="195"/>
      <c r="K1118" s="193"/>
      <c r="L1118" s="193"/>
      <c r="M1118" s="199"/>
      <c r="N1118" s="199"/>
      <c r="O1118" s="193"/>
      <c r="P1118" s="193"/>
      <c r="Q1118" s="193"/>
      <c r="R1118" s="193"/>
      <c r="S1118" s="193"/>
      <c r="T1118" s="195"/>
      <c r="U1118" s="193"/>
      <c r="V1118" s="193"/>
      <c r="Y1118" s="183"/>
    </row>
    <row r="1119" spans="1:27" s="52" customFormat="1" x14ac:dyDescent="0.2">
      <c r="B1119" s="193"/>
      <c r="C1119" s="193"/>
      <c r="D1119" s="193"/>
      <c r="E1119" s="193"/>
      <c r="F1119" s="194"/>
      <c r="G1119" s="195"/>
      <c r="H1119" s="195"/>
      <c r="I1119" s="195"/>
      <c r="J1119" s="195"/>
      <c r="K1119" s="193"/>
      <c r="L1119" s="193"/>
      <c r="M1119" s="199"/>
      <c r="N1119" s="199"/>
      <c r="O1119" s="193"/>
      <c r="P1119" s="193"/>
      <c r="Q1119" s="193"/>
      <c r="R1119" s="193"/>
      <c r="S1119" s="193"/>
      <c r="T1119" s="195"/>
      <c r="U1119" s="193"/>
      <c r="V1119" s="193"/>
      <c r="Y1119" s="183"/>
    </row>
    <row r="1120" spans="1:27" s="52" customFormat="1" x14ac:dyDescent="0.2">
      <c r="B1120" s="193"/>
      <c r="C1120" s="193"/>
      <c r="D1120" s="193"/>
      <c r="E1120" s="193"/>
      <c r="F1120" s="194"/>
      <c r="G1120" s="195"/>
      <c r="H1120" s="195"/>
      <c r="I1120" s="195"/>
      <c r="J1120" s="195"/>
      <c r="K1120" s="193"/>
      <c r="L1120" s="193"/>
      <c r="M1120" s="199"/>
      <c r="N1120" s="199"/>
      <c r="O1120" s="193"/>
      <c r="P1120" s="193"/>
      <c r="Q1120" s="193"/>
      <c r="R1120" s="193"/>
      <c r="S1120" s="193"/>
      <c r="T1120" s="195"/>
      <c r="U1120" s="193"/>
      <c r="V1120" s="193"/>
      <c r="Y1120" s="183"/>
    </row>
    <row r="1121" spans="2:25" s="52" customFormat="1" x14ac:dyDescent="0.2">
      <c r="B1121" s="193"/>
      <c r="C1121" s="193"/>
      <c r="D1121" s="193"/>
      <c r="E1121" s="193"/>
      <c r="F1121" s="194"/>
      <c r="G1121" s="195"/>
      <c r="H1121" s="195"/>
      <c r="I1121" s="195"/>
      <c r="J1121" s="195"/>
      <c r="K1121" s="193"/>
      <c r="L1121" s="193"/>
      <c r="M1121" s="199"/>
      <c r="N1121" s="199"/>
      <c r="O1121" s="193"/>
      <c r="P1121" s="193"/>
      <c r="Q1121" s="193"/>
      <c r="R1121" s="193"/>
      <c r="S1121" s="193"/>
      <c r="T1121" s="195"/>
      <c r="U1121" s="193"/>
      <c r="V1121" s="193"/>
      <c r="Y1121" s="183"/>
    </row>
  </sheetData>
  <autoFilter ref="A3:AA3" xr:uid="{39F83D4E-CE52-6B4F-BDEA-AA08C7C3D4B7}"/>
  <phoneticPr fontId="40" type="noConversion"/>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FA7AD-F278-EA45-B25D-6B05B34002A9}">
  <dimension ref="A1:O882"/>
  <sheetViews>
    <sheetView zoomScaleNormal="100" workbookViewId="0">
      <pane xSplit="1" ySplit="3" topLeftCell="B168" activePane="bottomRight" state="frozen"/>
      <selection pane="topRight" activeCell="C1" sqref="C1"/>
      <selection pane="bottomLeft" activeCell="A4" sqref="A4"/>
      <selection pane="bottomRight" activeCell="B177" sqref="B177:C177"/>
    </sheetView>
  </sheetViews>
  <sheetFormatPr baseColWidth="10" defaultRowHeight="16" x14ac:dyDescent="0.2"/>
  <cols>
    <col min="1" max="1" width="4.6640625" style="197" customWidth="1"/>
    <col min="2" max="2" width="40.83203125" style="197" customWidth="1"/>
    <col min="3" max="3" width="24.83203125" style="197" customWidth="1"/>
    <col min="4" max="4" width="37" style="183" customWidth="1"/>
    <col min="5" max="6" width="20.6640625" style="183" customWidth="1"/>
    <col min="7" max="7" width="37.83203125" style="183" customWidth="1"/>
    <col min="8" max="8" width="60.83203125" style="183" customWidth="1"/>
    <col min="9" max="9" width="64.5" style="183" customWidth="1"/>
    <col min="10" max="10" width="10.83203125" style="183" customWidth="1"/>
    <col min="11" max="11" width="10.83203125" customWidth="1"/>
    <col min="12" max="16384" width="10.83203125" style="183"/>
  </cols>
  <sheetData>
    <row r="1" spans="1:12" s="46" customFormat="1" ht="21" x14ac:dyDescent="0.25">
      <c r="A1" s="314" t="s">
        <v>75</v>
      </c>
      <c r="B1" s="270" t="s">
        <v>4261</v>
      </c>
      <c r="C1" s="270"/>
      <c r="D1" s="270"/>
      <c r="E1" s="270"/>
      <c r="F1" s="270"/>
      <c r="G1" s="270"/>
      <c r="H1" s="316"/>
      <c r="I1" s="316"/>
      <c r="J1" s="199"/>
      <c r="L1" s="317"/>
    </row>
    <row r="2" spans="1:12" s="1" customFormat="1" ht="20" x14ac:dyDescent="0.2">
      <c r="A2" s="268"/>
      <c r="B2" s="13" t="s">
        <v>4260</v>
      </c>
      <c r="C2" s="13" t="s">
        <v>2092</v>
      </c>
      <c r="D2" s="13" t="s">
        <v>14</v>
      </c>
      <c r="E2" s="13" t="s">
        <v>15</v>
      </c>
      <c r="F2" s="13" t="s">
        <v>16</v>
      </c>
      <c r="G2" s="13" t="s">
        <v>2585</v>
      </c>
      <c r="H2" s="13" t="s">
        <v>489</v>
      </c>
      <c r="I2" s="13" t="s">
        <v>32</v>
      </c>
    </row>
    <row r="3" spans="1:12" s="268" customFormat="1" ht="19" x14ac:dyDescent="0.25">
      <c r="B3" s="46"/>
      <c r="C3" s="46"/>
      <c r="D3" s="42"/>
      <c r="E3" s="42"/>
      <c r="F3" s="42"/>
      <c r="G3" s="42"/>
      <c r="H3" s="42"/>
      <c r="I3" s="42"/>
    </row>
    <row r="4" spans="1:12" s="1" customFormat="1" ht="20" x14ac:dyDescent="0.2">
      <c r="A4" s="268"/>
      <c r="B4" s="267" t="s">
        <v>701</v>
      </c>
      <c r="C4" s="22" t="s">
        <v>3212</v>
      </c>
      <c r="D4" s="22" t="s">
        <v>4238</v>
      </c>
      <c r="E4" s="269">
        <v>56.961786323835298</v>
      </c>
      <c r="F4" s="269">
        <v>-111.41215404468799</v>
      </c>
      <c r="G4" s="67" t="s">
        <v>2379</v>
      </c>
      <c r="H4" s="79"/>
      <c r="I4" s="79"/>
    </row>
    <row r="5" spans="1:12" ht="20" x14ac:dyDescent="0.2">
      <c r="B5" s="96" t="s">
        <v>460</v>
      </c>
      <c r="C5" s="22" t="s">
        <v>3213</v>
      </c>
      <c r="D5" s="22" t="s">
        <v>4238</v>
      </c>
      <c r="E5" s="269">
        <v>57.2185964450928</v>
      </c>
      <c r="F5" s="269">
        <v>-110.903009355489</v>
      </c>
      <c r="G5" s="67" t="s">
        <v>2379</v>
      </c>
      <c r="H5" s="79"/>
      <c r="I5" s="79"/>
    </row>
    <row r="6" spans="1:12" ht="20" x14ac:dyDescent="0.2">
      <c r="B6" s="96" t="s">
        <v>1235</v>
      </c>
      <c r="C6" s="22" t="s">
        <v>3214</v>
      </c>
      <c r="D6" s="22" t="s">
        <v>4238</v>
      </c>
      <c r="E6" s="269">
        <v>57.015566324208102</v>
      </c>
      <c r="F6" s="269">
        <v>-111.49302644936699</v>
      </c>
      <c r="G6" s="67" t="s">
        <v>2379</v>
      </c>
      <c r="H6" s="79"/>
      <c r="I6" s="79"/>
    </row>
    <row r="7" spans="1:12" ht="20" x14ac:dyDescent="0.2">
      <c r="B7" s="96" t="s">
        <v>1257</v>
      </c>
      <c r="C7" s="22" t="s">
        <v>3215</v>
      </c>
      <c r="D7" s="22" t="s">
        <v>4238</v>
      </c>
      <c r="E7" s="269">
        <v>56.946012731267999</v>
      </c>
      <c r="F7" s="269">
        <v>-111.419998092483</v>
      </c>
      <c r="G7" s="67" t="s">
        <v>2379</v>
      </c>
      <c r="H7" s="79"/>
      <c r="I7" s="79"/>
    </row>
    <row r="8" spans="1:12" ht="20" x14ac:dyDescent="0.2">
      <c r="B8" s="96" t="s">
        <v>689</v>
      </c>
      <c r="C8" s="22" t="s">
        <v>3216</v>
      </c>
      <c r="D8" s="22" t="s">
        <v>4238</v>
      </c>
      <c r="E8" s="269">
        <v>57.217790684926499</v>
      </c>
      <c r="F8" s="269">
        <v>-110.889644042103</v>
      </c>
      <c r="G8" s="67" t="s">
        <v>2379</v>
      </c>
      <c r="H8" s="79"/>
      <c r="I8" s="79"/>
      <c r="J8" s="191"/>
    </row>
    <row r="9" spans="1:12" ht="20" x14ac:dyDescent="0.2">
      <c r="B9" s="96" t="s">
        <v>1254</v>
      </c>
      <c r="C9" s="22" t="s">
        <v>3217</v>
      </c>
      <c r="D9" s="22" t="s">
        <v>4238</v>
      </c>
      <c r="E9" s="269">
        <v>56.943055286178101</v>
      </c>
      <c r="F9" s="269">
        <v>-111.41955314761699</v>
      </c>
      <c r="G9" s="67" t="s">
        <v>2379</v>
      </c>
      <c r="H9" s="79"/>
      <c r="I9" s="79"/>
      <c r="J9" s="191"/>
    </row>
    <row r="10" spans="1:12" ht="20" x14ac:dyDescent="0.2">
      <c r="B10" s="96" t="s">
        <v>1236</v>
      </c>
      <c r="C10" s="22" t="s">
        <v>3218</v>
      </c>
      <c r="D10" s="22" t="s">
        <v>4238</v>
      </c>
      <c r="E10" s="269">
        <v>57.008832135636098</v>
      </c>
      <c r="F10" s="269">
        <v>-111.48833380506601</v>
      </c>
      <c r="G10" s="67" t="s">
        <v>2379</v>
      </c>
      <c r="H10" s="79"/>
      <c r="I10" s="79"/>
      <c r="J10" s="191"/>
    </row>
    <row r="11" spans="1:12" ht="20" x14ac:dyDescent="0.2">
      <c r="B11" s="96" t="s">
        <v>1240</v>
      </c>
      <c r="C11" s="22" t="s">
        <v>3219</v>
      </c>
      <c r="D11" s="22" t="s">
        <v>4238</v>
      </c>
      <c r="E11" s="269">
        <v>57.016144216579697</v>
      </c>
      <c r="F11" s="269">
        <v>-111.536755863129</v>
      </c>
      <c r="G11" s="67" t="s">
        <v>2379</v>
      </c>
      <c r="H11" s="79"/>
      <c r="I11" s="79" t="s">
        <v>4291</v>
      </c>
      <c r="J11" s="191"/>
    </row>
    <row r="12" spans="1:12" ht="20" x14ac:dyDescent="0.2">
      <c r="B12" s="96" t="s">
        <v>2085</v>
      </c>
      <c r="C12" s="22" t="s">
        <v>3220</v>
      </c>
      <c r="D12" s="22" t="s">
        <v>4238</v>
      </c>
      <c r="E12" s="269">
        <v>57.0088724077984</v>
      </c>
      <c r="F12" s="269">
        <v>-111.488126715828</v>
      </c>
      <c r="G12" s="67" t="s">
        <v>2379</v>
      </c>
      <c r="H12" s="79"/>
      <c r="I12" s="79"/>
      <c r="J12" s="191"/>
    </row>
    <row r="13" spans="1:12" ht="20" x14ac:dyDescent="0.2">
      <c r="B13" s="96" t="s">
        <v>4396</v>
      </c>
      <c r="C13" s="22" t="s">
        <v>4397</v>
      </c>
      <c r="D13" s="22" t="s">
        <v>4238</v>
      </c>
      <c r="E13" s="269">
        <v>56.881418166239797</v>
      </c>
      <c r="F13" s="269">
        <v>-111.379112034202</v>
      </c>
      <c r="G13" s="67" t="s">
        <v>2379</v>
      </c>
      <c r="H13" s="79"/>
      <c r="I13" s="79"/>
      <c r="J13" s="191"/>
    </row>
    <row r="14" spans="1:12" ht="20" x14ac:dyDescent="0.2">
      <c r="B14" s="96" t="s">
        <v>707</v>
      </c>
      <c r="C14" s="22" t="s">
        <v>3222</v>
      </c>
      <c r="D14" s="22" t="s">
        <v>4238</v>
      </c>
      <c r="E14" s="269">
        <v>57.008700787753803</v>
      </c>
      <c r="F14" s="269">
        <v>-111.48873111162401</v>
      </c>
      <c r="G14" s="67" t="s">
        <v>2379</v>
      </c>
      <c r="H14" s="79"/>
      <c r="I14" s="79"/>
      <c r="J14" s="191"/>
    </row>
    <row r="15" spans="1:12" ht="20" x14ac:dyDescent="0.2">
      <c r="B15" s="96" t="s">
        <v>1260</v>
      </c>
      <c r="C15" s="22" t="s">
        <v>3223</v>
      </c>
      <c r="D15" s="22" t="s">
        <v>4238</v>
      </c>
      <c r="E15" s="269">
        <v>56.954097007196502</v>
      </c>
      <c r="F15" s="269">
        <v>-111.289277072323</v>
      </c>
      <c r="G15" s="67" t="s">
        <v>2379</v>
      </c>
      <c r="H15" s="79"/>
      <c r="I15" s="79"/>
      <c r="J15" s="191"/>
    </row>
    <row r="16" spans="1:12" ht="20" x14ac:dyDescent="0.2">
      <c r="B16" s="96" t="s">
        <v>1259</v>
      </c>
      <c r="C16" s="22" t="s">
        <v>3224</v>
      </c>
      <c r="D16" s="22" t="s">
        <v>4238</v>
      </c>
      <c r="E16" s="269">
        <v>56.943052410308198</v>
      </c>
      <c r="F16" s="269">
        <v>-111.419165636796</v>
      </c>
      <c r="G16" s="67" t="s">
        <v>2379</v>
      </c>
      <c r="H16" s="79"/>
      <c r="I16" s="79"/>
      <c r="J16" s="191"/>
    </row>
    <row r="17" spans="2:10" ht="20" x14ac:dyDescent="0.2">
      <c r="B17" s="96" t="s">
        <v>690</v>
      </c>
      <c r="C17" s="22" t="s">
        <v>3225</v>
      </c>
      <c r="D17" s="22" t="s">
        <v>4238</v>
      </c>
      <c r="E17" s="269">
        <v>57.018857400343002</v>
      </c>
      <c r="F17" s="269">
        <v>-111.46184275726399</v>
      </c>
      <c r="G17" s="67" t="s">
        <v>2379</v>
      </c>
      <c r="H17" s="79"/>
      <c r="I17" s="79"/>
      <c r="J17" s="191"/>
    </row>
    <row r="18" spans="2:10" ht="20" x14ac:dyDescent="0.2">
      <c r="B18" s="96" t="s">
        <v>1258</v>
      </c>
      <c r="C18" s="22" t="s">
        <v>3226</v>
      </c>
      <c r="D18" s="22" t="s">
        <v>4238</v>
      </c>
      <c r="E18" s="269">
        <v>56.9460272430278</v>
      </c>
      <c r="F18" s="269">
        <v>-111.419526438232</v>
      </c>
      <c r="G18" s="67" t="s">
        <v>2379</v>
      </c>
      <c r="H18" s="79"/>
      <c r="I18" s="79"/>
      <c r="J18" s="191"/>
    </row>
    <row r="19" spans="2:10" ht="20" x14ac:dyDescent="0.2">
      <c r="B19" s="96" t="s">
        <v>1261</v>
      </c>
      <c r="C19" s="22" t="s">
        <v>3227</v>
      </c>
      <c r="D19" s="22" t="s">
        <v>4238</v>
      </c>
      <c r="E19" s="269">
        <v>56.9400116184338</v>
      </c>
      <c r="F19" s="269">
        <v>-111.407721216958</v>
      </c>
      <c r="G19" s="67" t="s">
        <v>2379</v>
      </c>
      <c r="H19" s="79"/>
      <c r="I19" s="79"/>
      <c r="J19" s="191"/>
    </row>
    <row r="20" spans="2:10" ht="20" x14ac:dyDescent="0.2">
      <c r="B20" s="96" t="s">
        <v>1248</v>
      </c>
      <c r="C20" s="22" t="s">
        <v>3228</v>
      </c>
      <c r="D20" s="22" t="s">
        <v>4238</v>
      </c>
      <c r="E20" s="269">
        <v>57.002453037645701</v>
      </c>
      <c r="F20" s="269">
        <v>-111.474049158412</v>
      </c>
      <c r="G20" s="67" t="s">
        <v>2379</v>
      </c>
      <c r="H20" s="79"/>
      <c r="I20" s="79"/>
      <c r="J20" s="191"/>
    </row>
    <row r="21" spans="2:10" ht="20" x14ac:dyDescent="0.2">
      <c r="B21" s="96" t="s">
        <v>1246</v>
      </c>
      <c r="C21" s="22" t="s">
        <v>3229</v>
      </c>
      <c r="D21" s="22" t="s">
        <v>4238</v>
      </c>
      <c r="E21" s="269">
        <v>57.002977271286099</v>
      </c>
      <c r="F21" s="269">
        <v>-111.470385337704</v>
      </c>
      <c r="G21" s="67" t="s">
        <v>2379</v>
      </c>
      <c r="H21" s="79"/>
      <c r="I21" s="79"/>
      <c r="J21" s="191"/>
    </row>
    <row r="22" spans="2:10" ht="20" x14ac:dyDescent="0.2">
      <c r="B22" s="96" t="s">
        <v>1266</v>
      </c>
      <c r="C22" s="22" t="s">
        <v>3230</v>
      </c>
      <c r="D22" s="22" t="s">
        <v>4238</v>
      </c>
      <c r="E22" s="269">
        <v>56.893694993177597</v>
      </c>
      <c r="F22" s="269">
        <v>-111.372861062163</v>
      </c>
      <c r="G22" s="67" t="s">
        <v>2379</v>
      </c>
      <c r="H22" s="79"/>
      <c r="I22" s="79"/>
    </row>
    <row r="23" spans="2:10" ht="20" x14ac:dyDescent="0.2">
      <c r="B23" s="96" t="s">
        <v>1262</v>
      </c>
      <c r="C23" s="22" t="s">
        <v>3231</v>
      </c>
      <c r="D23" s="22" t="s">
        <v>4238</v>
      </c>
      <c r="E23" s="269">
        <v>56.954097007196502</v>
      </c>
      <c r="F23" s="269">
        <v>-111.289277072323</v>
      </c>
      <c r="G23" s="67" t="s">
        <v>2379</v>
      </c>
      <c r="H23" s="79"/>
      <c r="I23" s="79"/>
    </row>
    <row r="24" spans="2:10" ht="20" x14ac:dyDescent="0.2">
      <c r="B24" s="96" t="s">
        <v>693</v>
      </c>
      <c r="C24" s="22" t="s">
        <v>3232</v>
      </c>
      <c r="D24" s="22" t="s">
        <v>4238</v>
      </c>
      <c r="E24" s="269">
        <v>57.240950906389102</v>
      </c>
      <c r="F24" s="269">
        <v>-110.85683794097299</v>
      </c>
      <c r="G24" s="67" t="s">
        <v>2379</v>
      </c>
      <c r="H24" s="79"/>
      <c r="I24" s="79"/>
    </row>
    <row r="25" spans="2:10" ht="20" x14ac:dyDescent="0.2">
      <c r="B25" s="96" t="s">
        <v>2039</v>
      </c>
      <c r="C25" s="22" t="s">
        <v>3233</v>
      </c>
      <c r="D25" s="22" t="s">
        <v>4238</v>
      </c>
      <c r="E25" s="269">
        <v>56.9649426506911</v>
      </c>
      <c r="F25" s="269">
        <v>-111.404437672323</v>
      </c>
      <c r="G25" s="67" t="s">
        <v>2379</v>
      </c>
      <c r="H25" s="79"/>
      <c r="I25" s="79" t="s">
        <v>4291</v>
      </c>
    </row>
    <row r="26" spans="2:10" ht="20" x14ac:dyDescent="0.2">
      <c r="B26" s="96" t="s">
        <v>1251</v>
      </c>
      <c r="C26" s="22" t="s">
        <v>3234</v>
      </c>
      <c r="D26" s="22" t="s">
        <v>4238</v>
      </c>
      <c r="E26" s="269">
        <v>56.998336995134402</v>
      </c>
      <c r="F26" s="269">
        <v>-111.44383272997401</v>
      </c>
      <c r="G26" s="67" t="s">
        <v>2379</v>
      </c>
      <c r="H26" s="79"/>
      <c r="I26" s="79"/>
    </row>
    <row r="27" spans="2:10" ht="20" x14ac:dyDescent="0.2">
      <c r="B27" s="96" t="s">
        <v>457</v>
      </c>
      <c r="C27" s="22" t="s">
        <v>3235</v>
      </c>
      <c r="D27" s="22" t="s">
        <v>4238</v>
      </c>
      <c r="E27" s="269">
        <v>57.234714379966498</v>
      </c>
      <c r="F27" s="269">
        <v>-110.854181796063</v>
      </c>
      <c r="G27" s="67" t="s">
        <v>2379</v>
      </c>
      <c r="H27" s="79"/>
      <c r="I27" s="79"/>
    </row>
    <row r="28" spans="2:10" ht="20" x14ac:dyDescent="0.2">
      <c r="B28" s="96" t="s">
        <v>1256</v>
      </c>
      <c r="C28" s="22" t="s">
        <v>3236</v>
      </c>
      <c r="D28" s="22" t="s">
        <v>4238</v>
      </c>
      <c r="E28" s="269">
        <v>56.955534572113599</v>
      </c>
      <c r="F28" s="269">
        <v>-111.42152678991501</v>
      </c>
      <c r="G28" s="67" t="s">
        <v>2379</v>
      </c>
      <c r="H28" s="79"/>
      <c r="I28" s="79"/>
    </row>
    <row r="29" spans="2:10" ht="20" x14ac:dyDescent="0.2">
      <c r="B29" s="96" t="s">
        <v>1264</v>
      </c>
      <c r="C29" s="22" t="s">
        <v>3237</v>
      </c>
      <c r="D29" s="22" t="s">
        <v>4238</v>
      </c>
      <c r="E29" s="269">
        <v>56.954097007196502</v>
      </c>
      <c r="F29" s="269">
        <v>-111.289277072323</v>
      </c>
      <c r="G29" s="67" t="s">
        <v>2379</v>
      </c>
      <c r="H29" s="79"/>
      <c r="I29" s="79"/>
    </row>
    <row r="30" spans="2:10" ht="20" x14ac:dyDescent="0.2">
      <c r="B30" s="96" t="s">
        <v>1263</v>
      </c>
      <c r="C30" s="22" t="s">
        <v>3238</v>
      </c>
      <c r="D30" s="22" t="s">
        <v>4238</v>
      </c>
      <c r="E30" s="269">
        <v>56.954097007196502</v>
      </c>
      <c r="F30" s="269">
        <v>-111.289277072323</v>
      </c>
      <c r="G30" s="67" t="s">
        <v>2379</v>
      </c>
      <c r="H30" s="79"/>
      <c r="I30" s="79"/>
    </row>
    <row r="31" spans="2:10" ht="20" x14ac:dyDescent="0.2">
      <c r="B31" s="96" t="s">
        <v>1255</v>
      </c>
      <c r="C31" s="22" t="s">
        <v>3239</v>
      </c>
      <c r="D31" s="22" t="s">
        <v>4238</v>
      </c>
      <c r="E31" s="269">
        <v>56.955408785806902</v>
      </c>
      <c r="F31" s="269">
        <v>-111.42155463030601</v>
      </c>
      <c r="G31" s="67" t="s">
        <v>2379</v>
      </c>
      <c r="H31" s="79"/>
      <c r="I31" s="79"/>
    </row>
    <row r="32" spans="2:10" ht="20" x14ac:dyDescent="0.2">
      <c r="B32" s="96" t="s">
        <v>2040</v>
      </c>
      <c r="C32" s="22" t="s">
        <v>3240</v>
      </c>
      <c r="D32" s="22" t="s">
        <v>4238</v>
      </c>
      <c r="E32" s="269">
        <v>56.9644334572451</v>
      </c>
      <c r="F32" s="269">
        <v>-111.40453391998</v>
      </c>
      <c r="G32" s="67" t="s">
        <v>2379</v>
      </c>
      <c r="H32" s="79"/>
      <c r="I32" s="79" t="s">
        <v>4291</v>
      </c>
    </row>
    <row r="33" spans="2:9" ht="20" x14ac:dyDescent="0.2">
      <c r="B33" s="96" t="s">
        <v>2093</v>
      </c>
      <c r="C33" s="22" t="s">
        <v>3241</v>
      </c>
      <c r="D33" s="22" t="s">
        <v>4238</v>
      </c>
      <c r="E33" s="269">
        <v>56.971076307044903</v>
      </c>
      <c r="F33" s="269">
        <v>-111.498164806627</v>
      </c>
      <c r="G33" s="67" t="s">
        <v>2379</v>
      </c>
      <c r="H33" s="79"/>
      <c r="I33" s="79"/>
    </row>
    <row r="34" spans="2:9" ht="20" x14ac:dyDescent="0.2">
      <c r="B34" s="96" t="s">
        <v>905</v>
      </c>
      <c r="C34" s="22" t="s">
        <v>2729</v>
      </c>
      <c r="D34" s="22" t="s">
        <v>4237</v>
      </c>
      <c r="E34" s="269">
        <v>54.239650352924698</v>
      </c>
      <c r="F34" s="269">
        <v>-112.840443736738</v>
      </c>
      <c r="G34" s="67" t="s">
        <v>2379</v>
      </c>
      <c r="H34" s="79"/>
      <c r="I34" s="79"/>
    </row>
    <row r="35" spans="2:9" ht="20" x14ac:dyDescent="0.2">
      <c r="B35" s="96" t="s">
        <v>3347</v>
      </c>
      <c r="C35" s="22" t="s">
        <v>2730</v>
      </c>
      <c r="D35" s="22" t="s">
        <v>4235</v>
      </c>
      <c r="E35" s="269">
        <v>53.512879287099899</v>
      </c>
      <c r="F35" s="269">
        <v>-113.775849764093</v>
      </c>
      <c r="G35" s="67" t="s">
        <v>2379</v>
      </c>
      <c r="H35" s="79"/>
      <c r="I35" s="79"/>
    </row>
    <row r="36" spans="2:9" ht="20" x14ac:dyDescent="0.2">
      <c r="B36" s="96" t="s">
        <v>3348</v>
      </c>
      <c r="C36" s="22" t="s">
        <v>3200</v>
      </c>
      <c r="D36" s="22" t="s">
        <v>4237</v>
      </c>
      <c r="E36" s="269">
        <v>55.252340006769799</v>
      </c>
      <c r="F36" s="269">
        <v>-114.51901937487</v>
      </c>
      <c r="G36" s="67" t="s">
        <v>2379</v>
      </c>
      <c r="H36" s="79"/>
      <c r="I36" s="79"/>
    </row>
    <row r="37" spans="2:9" ht="20" x14ac:dyDescent="0.2">
      <c r="B37" s="96" t="s">
        <v>844</v>
      </c>
      <c r="C37" s="22" t="s">
        <v>3242</v>
      </c>
      <c r="D37" s="22" t="s">
        <v>4237</v>
      </c>
      <c r="E37" s="269">
        <v>56.478776165664797</v>
      </c>
      <c r="F37" s="269">
        <v>-111.426687862797</v>
      </c>
      <c r="G37" s="67" t="s">
        <v>2379</v>
      </c>
      <c r="H37" s="79"/>
      <c r="I37" s="79"/>
    </row>
    <row r="38" spans="2:9" ht="20" x14ac:dyDescent="0.2">
      <c r="B38" s="96" t="s">
        <v>3349</v>
      </c>
      <c r="C38" s="22" t="s">
        <v>3201</v>
      </c>
      <c r="D38" s="22" t="s">
        <v>4241</v>
      </c>
      <c r="E38" s="269">
        <v>53.798212955339501</v>
      </c>
      <c r="F38" s="269">
        <v>-113.08447219224701</v>
      </c>
      <c r="G38" s="67" t="s">
        <v>2379</v>
      </c>
      <c r="H38" s="79"/>
      <c r="I38" s="79"/>
    </row>
    <row r="39" spans="2:9" ht="20" x14ac:dyDescent="0.2">
      <c r="B39" s="96" t="s">
        <v>3350</v>
      </c>
      <c r="C39" s="22" t="s">
        <v>2731</v>
      </c>
      <c r="D39" s="22" t="s">
        <v>4235</v>
      </c>
      <c r="E39" s="269">
        <v>50.062051650051004</v>
      </c>
      <c r="F39" s="269">
        <v>-110.72111559606699</v>
      </c>
      <c r="G39" s="67" t="s">
        <v>2379</v>
      </c>
      <c r="H39" s="79"/>
      <c r="I39" s="79"/>
    </row>
    <row r="40" spans="2:9" ht="20" x14ac:dyDescent="0.2">
      <c r="B40" s="96" t="s">
        <v>3351</v>
      </c>
      <c r="C40" s="22" t="s">
        <v>3202</v>
      </c>
      <c r="D40" s="22" t="s">
        <v>4235</v>
      </c>
      <c r="E40" s="269">
        <v>53.798918578949703</v>
      </c>
      <c r="F40" s="269">
        <v>-112.897054199161</v>
      </c>
      <c r="G40" s="67" t="s">
        <v>2379</v>
      </c>
      <c r="H40" s="11"/>
      <c r="I40" s="11"/>
    </row>
    <row r="41" spans="2:9" ht="20" x14ac:dyDescent="0.2">
      <c r="B41" s="96" t="s">
        <v>3352</v>
      </c>
      <c r="C41" s="22" t="s">
        <v>2653</v>
      </c>
      <c r="D41" s="22" t="s">
        <v>4235</v>
      </c>
      <c r="E41" s="269">
        <v>54.127889000000003</v>
      </c>
      <c r="F41" s="269">
        <v>-115.665862</v>
      </c>
      <c r="G41" s="67" t="s">
        <v>2379</v>
      </c>
      <c r="H41" s="79"/>
      <c r="I41" s="79"/>
    </row>
    <row r="42" spans="2:9" ht="20" x14ac:dyDescent="0.2">
      <c r="B42" s="96" t="s">
        <v>3353</v>
      </c>
      <c r="C42" s="22" t="s">
        <v>3203</v>
      </c>
      <c r="D42" s="22" t="s">
        <v>4237</v>
      </c>
      <c r="E42" s="269">
        <v>55.071810756040897</v>
      </c>
      <c r="F42" s="269">
        <v>-118.699127738643</v>
      </c>
      <c r="G42" s="67" t="s">
        <v>2379</v>
      </c>
      <c r="H42" s="79"/>
      <c r="I42" s="79"/>
    </row>
    <row r="43" spans="2:9" ht="20" x14ac:dyDescent="0.2">
      <c r="B43" s="96" t="s">
        <v>3354</v>
      </c>
      <c r="C43" s="22" t="s">
        <v>2732</v>
      </c>
      <c r="D43" s="22" t="s">
        <v>4237</v>
      </c>
      <c r="E43" s="269">
        <v>56.2996702162839</v>
      </c>
      <c r="F43" s="269">
        <v>-111.736421459254</v>
      </c>
      <c r="G43" s="67" t="s">
        <v>2379</v>
      </c>
      <c r="H43" s="79"/>
      <c r="I43" s="79"/>
    </row>
    <row r="44" spans="2:9" ht="20" x14ac:dyDescent="0.2">
      <c r="B44" s="96" t="s">
        <v>3355</v>
      </c>
      <c r="C44" s="22" t="s">
        <v>2733</v>
      </c>
      <c r="D44" s="22" t="s">
        <v>4235</v>
      </c>
      <c r="E44" s="269">
        <v>53.824834316785299</v>
      </c>
      <c r="F44" s="269">
        <v>-113.04877940849001</v>
      </c>
      <c r="G44" s="67" t="s">
        <v>2379</v>
      </c>
      <c r="H44" s="79"/>
      <c r="I44" s="79"/>
    </row>
    <row r="45" spans="2:9" ht="20" x14ac:dyDescent="0.2">
      <c r="B45" s="96" t="s">
        <v>3356</v>
      </c>
      <c r="C45" s="22" t="s">
        <v>3204</v>
      </c>
      <c r="D45" s="22" t="s">
        <v>4235</v>
      </c>
      <c r="E45" s="269">
        <v>50.678090923793299</v>
      </c>
      <c r="F45" s="269">
        <v>-110.026755850437</v>
      </c>
      <c r="G45" s="67" t="s">
        <v>2379</v>
      </c>
      <c r="H45" s="11"/>
      <c r="I45" s="11"/>
    </row>
    <row r="46" spans="2:9" ht="20" x14ac:dyDescent="0.2">
      <c r="B46" s="96" t="s">
        <v>1075</v>
      </c>
      <c r="C46" s="22" t="s">
        <v>3205</v>
      </c>
      <c r="D46" s="22" t="s">
        <v>4237</v>
      </c>
      <c r="E46" s="269">
        <v>56.785070595578503</v>
      </c>
      <c r="F46" s="269">
        <v>-112.109000001566</v>
      </c>
      <c r="G46" s="67" t="s">
        <v>2379</v>
      </c>
      <c r="H46" s="79"/>
      <c r="I46" s="79"/>
    </row>
    <row r="47" spans="2:9" ht="20" x14ac:dyDescent="0.2">
      <c r="B47" s="96" t="s">
        <v>3357</v>
      </c>
      <c r="C47" s="22" t="s">
        <v>2734</v>
      </c>
      <c r="D47" s="22" t="s">
        <v>4237</v>
      </c>
      <c r="E47" s="269">
        <v>51.429094249466502</v>
      </c>
      <c r="F47" s="269">
        <v>-111.799229869366</v>
      </c>
      <c r="G47" s="67" t="s">
        <v>2379</v>
      </c>
      <c r="H47" s="11"/>
      <c r="I47" s="11"/>
    </row>
    <row r="48" spans="2:9" ht="20" x14ac:dyDescent="0.2">
      <c r="B48" s="96" t="s">
        <v>4292</v>
      </c>
      <c r="C48" s="22" t="s">
        <v>2735</v>
      </c>
      <c r="D48" s="22" t="s">
        <v>4237</v>
      </c>
      <c r="E48" s="269">
        <v>58.415456174328</v>
      </c>
      <c r="F48" s="269">
        <v>-119.28940303448501</v>
      </c>
      <c r="G48" s="67" t="s">
        <v>2379</v>
      </c>
      <c r="H48" s="79"/>
      <c r="I48" s="79"/>
    </row>
    <row r="49" spans="2:11" ht="20" x14ac:dyDescent="0.2">
      <c r="B49" s="96" t="s">
        <v>3358</v>
      </c>
      <c r="C49" s="22" t="s">
        <v>2654</v>
      </c>
      <c r="D49" s="22" t="s">
        <v>4235</v>
      </c>
      <c r="E49" s="269">
        <v>49.582949533297899</v>
      </c>
      <c r="F49" s="269">
        <v>-113.43522882926401</v>
      </c>
      <c r="G49" s="67" t="s">
        <v>2379</v>
      </c>
      <c r="H49" s="79"/>
      <c r="I49" s="79"/>
    </row>
    <row r="50" spans="2:11" ht="20" x14ac:dyDescent="0.2">
      <c r="B50" s="96" t="s">
        <v>4246</v>
      </c>
      <c r="C50" s="22" t="s">
        <v>4247</v>
      </c>
      <c r="D50" s="22" t="s">
        <v>4239</v>
      </c>
      <c r="E50" s="269">
        <v>53.504539964726703</v>
      </c>
      <c r="F50" s="269">
        <v>-113.449528946397</v>
      </c>
      <c r="G50" s="67" t="s">
        <v>2379</v>
      </c>
      <c r="H50" s="79"/>
      <c r="I50" s="79"/>
    </row>
    <row r="51" spans="2:11" ht="20" x14ac:dyDescent="0.2">
      <c r="B51" s="96" t="s">
        <v>3359</v>
      </c>
      <c r="C51" s="22" t="s">
        <v>3206</v>
      </c>
      <c r="D51" s="22" t="s">
        <v>4235</v>
      </c>
      <c r="E51" s="269">
        <v>53.539388219432396</v>
      </c>
      <c r="F51" s="269">
        <v>-113.405827616739</v>
      </c>
      <c r="G51" s="67" t="s">
        <v>2379</v>
      </c>
      <c r="H51" s="79"/>
      <c r="I51" s="79"/>
    </row>
    <row r="52" spans="2:11" ht="20" x14ac:dyDescent="0.2">
      <c r="B52" s="96" t="s">
        <v>3360</v>
      </c>
      <c r="C52" s="22" t="s">
        <v>2137</v>
      </c>
      <c r="D52" s="22" t="s">
        <v>4235</v>
      </c>
      <c r="E52" s="269">
        <v>53.540688634222697</v>
      </c>
      <c r="F52" s="269">
        <v>-113.40277185424399</v>
      </c>
      <c r="G52" s="67" t="s">
        <v>2379</v>
      </c>
      <c r="H52" s="79"/>
      <c r="I52" s="79"/>
      <c r="K52" s="183"/>
    </row>
    <row r="53" spans="2:11" ht="20" x14ac:dyDescent="0.2">
      <c r="B53" s="96" t="s">
        <v>3361</v>
      </c>
      <c r="C53" s="22" t="s">
        <v>3207</v>
      </c>
      <c r="D53" s="22" t="s">
        <v>4235</v>
      </c>
      <c r="E53" s="269">
        <v>53.5367661606372</v>
      </c>
      <c r="F53" s="269">
        <v>-113.405878413284</v>
      </c>
      <c r="G53" s="67" t="s">
        <v>2379</v>
      </c>
      <c r="H53" s="79"/>
      <c r="I53" s="79"/>
    </row>
    <row r="54" spans="2:11" ht="20" x14ac:dyDescent="0.2">
      <c r="B54" s="96" t="s">
        <v>3362</v>
      </c>
      <c r="C54" s="22" t="s">
        <v>3208</v>
      </c>
      <c r="D54" s="22" t="s">
        <v>4238</v>
      </c>
      <c r="E54" s="269">
        <v>56.9983746345941</v>
      </c>
      <c r="F54" s="269">
        <v>-111.443579341515</v>
      </c>
      <c r="G54" s="67" t="s">
        <v>2379</v>
      </c>
      <c r="H54" s="79"/>
      <c r="I54" s="79"/>
    </row>
    <row r="55" spans="2:11" ht="20" x14ac:dyDescent="0.2">
      <c r="B55" s="96" t="s">
        <v>4264</v>
      </c>
      <c r="C55" s="22" t="s">
        <v>4265</v>
      </c>
      <c r="D55" s="22" t="s">
        <v>396</v>
      </c>
      <c r="E55" s="269">
        <v>57.297044728435999</v>
      </c>
      <c r="F55" s="269">
        <v>-111.50721865955801</v>
      </c>
      <c r="G55" s="67" t="s">
        <v>2379</v>
      </c>
      <c r="H55" s="79"/>
      <c r="I55" s="79"/>
    </row>
    <row r="56" spans="2:11" ht="20" x14ac:dyDescent="0.2">
      <c r="B56" s="96" t="s">
        <v>3363</v>
      </c>
      <c r="C56" s="22" t="s">
        <v>3209</v>
      </c>
      <c r="D56" s="22" t="s">
        <v>4235</v>
      </c>
      <c r="E56" s="301">
        <v>53.777480323923299</v>
      </c>
      <c r="F56" s="269">
        <v>-113.07815137889899</v>
      </c>
      <c r="G56" s="67" t="s">
        <v>2379</v>
      </c>
      <c r="H56" s="79"/>
      <c r="I56" s="79"/>
    </row>
    <row r="57" spans="2:11" ht="20" x14ac:dyDescent="0.2">
      <c r="B57" s="96" t="s">
        <v>3364</v>
      </c>
      <c r="C57" s="22" t="s">
        <v>2126</v>
      </c>
      <c r="D57" s="22" t="s">
        <v>4235</v>
      </c>
      <c r="E57" s="269">
        <v>53.775277819738001</v>
      </c>
      <c r="F57" s="269">
        <v>-113.099462680995</v>
      </c>
      <c r="G57" s="67" t="s">
        <v>2379</v>
      </c>
      <c r="H57" s="79"/>
      <c r="I57" s="79"/>
      <c r="K57" s="183"/>
    </row>
    <row r="58" spans="2:11" ht="20" x14ac:dyDescent="0.2">
      <c r="B58" s="96" t="s">
        <v>4028</v>
      </c>
      <c r="C58" s="22" t="s">
        <v>3210</v>
      </c>
      <c r="D58" s="22" t="s">
        <v>4236</v>
      </c>
      <c r="E58" s="269">
        <v>51.192322225418799</v>
      </c>
      <c r="F58" s="269">
        <v>-113.940811605706</v>
      </c>
      <c r="G58" s="67" t="s">
        <v>2379</v>
      </c>
      <c r="H58" s="79"/>
      <c r="I58" s="79"/>
    </row>
    <row r="59" spans="2:11" ht="20" x14ac:dyDescent="0.2">
      <c r="B59" s="96" t="s">
        <v>3365</v>
      </c>
      <c r="C59" s="22" t="s">
        <v>2737</v>
      </c>
      <c r="D59" s="22" t="s">
        <v>4235</v>
      </c>
      <c r="E59" s="269">
        <v>51.188589684769902</v>
      </c>
      <c r="F59" s="269">
        <v>-115.563615314163</v>
      </c>
      <c r="G59" s="67" t="s">
        <v>2379</v>
      </c>
      <c r="H59" s="79"/>
      <c r="I59" s="79"/>
    </row>
    <row r="60" spans="2:11" ht="20" x14ac:dyDescent="0.2">
      <c r="B60" s="96" t="s">
        <v>3366</v>
      </c>
      <c r="C60" s="22" t="s">
        <v>2738</v>
      </c>
      <c r="D60" s="22" t="s">
        <v>4235</v>
      </c>
      <c r="E60" s="269">
        <v>53.838586842191397</v>
      </c>
      <c r="F60" s="269">
        <v>-113.112196313979</v>
      </c>
      <c r="G60" s="67" t="s">
        <v>2379</v>
      </c>
      <c r="H60" s="79"/>
      <c r="I60" s="79"/>
    </row>
    <row r="61" spans="2:11" ht="20" x14ac:dyDescent="0.2">
      <c r="B61" s="96" t="s">
        <v>3367</v>
      </c>
      <c r="C61" s="22" t="s">
        <v>2739</v>
      </c>
      <c r="D61" s="22" t="s">
        <v>4235</v>
      </c>
      <c r="E61" s="269">
        <v>53.2799867393854</v>
      </c>
      <c r="F61" s="269">
        <v>-112.755836034129</v>
      </c>
      <c r="G61" s="67" t="s">
        <v>2379</v>
      </c>
      <c r="H61" s="79"/>
      <c r="I61" s="79"/>
    </row>
    <row r="62" spans="2:11" ht="20" x14ac:dyDescent="0.2">
      <c r="B62" s="96" t="s">
        <v>3368</v>
      </c>
      <c r="C62" s="22" t="s">
        <v>2655</v>
      </c>
      <c r="D62" s="22" t="s">
        <v>4235</v>
      </c>
      <c r="E62" s="269">
        <v>51.035528794059204</v>
      </c>
      <c r="F62" s="269">
        <v>-115.040677044753</v>
      </c>
      <c r="G62" s="67" t="s">
        <v>2379</v>
      </c>
      <c r="H62" s="79"/>
      <c r="I62" s="79"/>
    </row>
    <row r="63" spans="2:11" ht="20" x14ac:dyDescent="0.2">
      <c r="B63" s="96" t="s">
        <v>3369</v>
      </c>
      <c r="C63" s="22" t="s">
        <v>2740</v>
      </c>
      <c r="D63" s="22" t="s">
        <v>4235</v>
      </c>
      <c r="E63" s="269">
        <v>53.541732879812599</v>
      </c>
      <c r="F63" s="269">
        <v>-113.35388560981499</v>
      </c>
      <c r="G63" s="67" t="s">
        <v>2379</v>
      </c>
      <c r="H63" s="79"/>
      <c r="I63" s="79"/>
    </row>
    <row r="64" spans="2:11" ht="20" x14ac:dyDescent="0.2">
      <c r="B64" s="96" t="s">
        <v>3370</v>
      </c>
      <c r="C64" s="22" t="s">
        <v>2626</v>
      </c>
      <c r="D64" s="22" t="s">
        <v>4235</v>
      </c>
      <c r="E64" s="269">
        <v>50.7607081547063</v>
      </c>
      <c r="F64" s="269">
        <v>-112.221760395293</v>
      </c>
      <c r="G64" s="67" t="s">
        <v>2379</v>
      </c>
      <c r="H64" s="79"/>
      <c r="I64" s="79"/>
    </row>
    <row r="65" spans="2:11" ht="20" x14ac:dyDescent="0.2">
      <c r="B65" s="96" t="s">
        <v>3371</v>
      </c>
      <c r="C65" s="22" t="s">
        <v>2191</v>
      </c>
      <c r="D65" s="22" t="s">
        <v>4235</v>
      </c>
      <c r="E65" s="269">
        <v>50.6995702940645</v>
      </c>
      <c r="F65" s="269">
        <v>-112.220489463085</v>
      </c>
      <c r="G65" s="67" t="s">
        <v>2379</v>
      </c>
      <c r="H65" s="79"/>
      <c r="I65" s="79"/>
      <c r="K65" s="183"/>
    </row>
    <row r="66" spans="2:11" ht="20" x14ac:dyDescent="0.2">
      <c r="B66" s="96" t="s">
        <v>3372</v>
      </c>
      <c r="C66" s="22" t="s">
        <v>2741</v>
      </c>
      <c r="D66" s="22" t="s">
        <v>4237</v>
      </c>
      <c r="E66" s="269">
        <v>58.240114851399902</v>
      </c>
      <c r="F66" s="269">
        <v>-118.50503290703</v>
      </c>
      <c r="G66" s="67" t="s">
        <v>2379</v>
      </c>
      <c r="H66" s="79"/>
      <c r="I66" s="79" t="s">
        <v>4291</v>
      </c>
    </row>
    <row r="67" spans="2:11" ht="20" x14ac:dyDescent="0.2">
      <c r="B67" s="96" t="s">
        <v>4345</v>
      </c>
      <c r="C67" s="22" t="s">
        <v>4346</v>
      </c>
      <c r="D67" s="22" t="s">
        <v>4235</v>
      </c>
      <c r="E67" s="269">
        <v>52.631362840990398</v>
      </c>
      <c r="F67" s="269">
        <v>-111.27873296196501</v>
      </c>
      <c r="G67" s="67" t="s">
        <v>2379</v>
      </c>
      <c r="H67" s="11"/>
      <c r="I67" s="11"/>
    </row>
    <row r="68" spans="2:11" ht="20" x14ac:dyDescent="0.2">
      <c r="B68" s="96" t="s">
        <v>3373</v>
      </c>
      <c r="C68" s="22" t="s">
        <v>2656</v>
      </c>
      <c r="D68" s="22" t="s">
        <v>4237</v>
      </c>
      <c r="E68" s="269">
        <v>52.4683264975857</v>
      </c>
      <c r="F68" s="269">
        <v>-112.13254779522499</v>
      </c>
      <c r="G68" s="67" t="s">
        <v>2379</v>
      </c>
      <c r="H68" s="11"/>
      <c r="I68" s="11"/>
      <c r="K68" s="183"/>
    </row>
    <row r="69" spans="2:11" ht="20" x14ac:dyDescent="0.2">
      <c r="B69" s="96" t="s">
        <v>3374</v>
      </c>
      <c r="C69" s="22" t="s">
        <v>2742</v>
      </c>
      <c r="D69" s="22" t="s">
        <v>4237</v>
      </c>
      <c r="E69" s="269">
        <v>53.234188983392997</v>
      </c>
      <c r="F69" s="269">
        <v>-111.03273391367701</v>
      </c>
      <c r="G69" s="67" t="s">
        <v>2379</v>
      </c>
      <c r="H69" s="79"/>
      <c r="I69" s="79"/>
    </row>
    <row r="70" spans="2:11" ht="20" x14ac:dyDescent="0.2">
      <c r="B70" s="96" t="s">
        <v>3375</v>
      </c>
      <c r="C70" s="22" t="s">
        <v>2162</v>
      </c>
      <c r="D70" s="22" t="s">
        <v>4237</v>
      </c>
      <c r="E70" s="269">
        <v>53.233403442790099</v>
      </c>
      <c r="F70" s="269">
        <v>-111.03103081719</v>
      </c>
      <c r="G70" s="67" t="s">
        <v>2379</v>
      </c>
      <c r="H70" s="79"/>
      <c r="I70" s="79"/>
      <c r="K70" s="183"/>
    </row>
    <row r="71" spans="2:11" ht="20" x14ac:dyDescent="0.2">
      <c r="B71" s="96" t="s">
        <v>3376</v>
      </c>
      <c r="C71" s="22" t="s">
        <v>2743</v>
      </c>
      <c r="D71" s="22" t="s">
        <v>4235</v>
      </c>
      <c r="E71" s="269">
        <v>51.060424399424797</v>
      </c>
      <c r="F71" s="269">
        <v>-115.21109265503399</v>
      </c>
      <c r="G71" s="67" t="s">
        <v>2379</v>
      </c>
      <c r="H71" s="79"/>
      <c r="I71" s="79"/>
    </row>
    <row r="72" spans="2:11" ht="20" x14ac:dyDescent="0.2">
      <c r="B72" s="96" t="s">
        <v>3377</v>
      </c>
      <c r="C72" s="22" t="s">
        <v>2744</v>
      </c>
      <c r="D72" s="22" t="s">
        <v>4235</v>
      </c>
      <c r="E72" s="269">
        <v>53.841857358478102</v>
      </c>
      <c r="F72" s="269">
        <v>-113.09785174873301</v>
      </c>
      <c r="G72" s="67" t="s">
        <v>2379</v>
      </c>
      <c r="H72" s="79"/>
      <c r="I72" s="79"/>
    </row>
    <row r="73" spans="2:11" ht="20" x14ac:dyDescent="0.2">
      <c r="B73" s="96" t="s">
        <v>3378</v>
      </c>
      <c r="C73" s="22" t="s">
        <v>2600</v>
      </c>
      <c r="D73" s="22" t="s">
        <v>4237</v>
      </c>
      <c r="E73" s="269">
        <v>55.070315108859397</v>
      </c>
      <c r="F73" s="269">
        <v>-118.688944790053</v>
      </c>
      <c r="G73" s="67" t="s">
        <v>2379</v>
      </c>
      <c r="H73" s="79"/>
      <c r="I73" s="79"/>
    </row>
    <row r="74" spans="2:11" ht="20" x14ac:dyDescent="0.2">
      <c r="B74" s="96" t="s">
        <v>3379</v>
      </c>
      <c r="C74" s="22" t="s">
        <v>2163</v>
      </c>
      <c r="D74" s="22" t="s">
        <v>4237</v>
      </c>
      <c r="E74" s="269">
        <v>55.067484032243499</v>
      </c>
      <c r="F74" s="269">
        <v>-118.69226425867799</v>
      </c>
      <c r="G74" s="67" t="s">
        <v>2379</v>
      </c>
      <c r="H74" s="79"/>
      <c r="I74" s="79"/>
      <c r="K74" s="183"/>
    </row>
    <row r="75" spans="2:11" ht="20" x14ac:dyDescent="0.2">
      <c r="B75" s="96" t="s">
        <v>3380</v>
      </c>
      <c r="C75" s="22" t="s">
        <v>2657</v>
      </c>
      <c r="D75" s="22" t="s">
        <v>4235</v>
      </c>
      <c r="E75" s="269">
        <v>51.102762956018097</v>
      </c>
      <c r="F75" s="269">
        <v>-114.280530017893</v>
      </c>
      <c r="G75" s="67" t="s">
        <v>2379</v>
      </c>
      <c r="H75" s="79"/>
      <c r="I75" s="79"/>
    </row>
    <row r="76" spans="2:11" ht="20" x14ac:dyDescent="0.2">
      <c r="B76" s="96" t="s">
        <v>3381</v>
      </c>
      <c r="C76" s="22" t="s">
        <v>2745</v>
      </c>
      <c r="D76" s="22" t="s">
        <v>4237</v>
      </c>
      <c r="E76" s="269">
        <v>54.204387171002899</v>
      </c>
      <c r="F76" s="269">
        <v>-110.500795432533</v>
      </c>
      <c r="G76" s="67" t="s">
        <v>2379</v>
      </c>
      <c r="H76" s="79"/>
      <c r="I76" s="79"/>
    </row>
    <row r="77" spans="2:11" ht="20" x14ac:dyDescent="0.2">
      <c r="B77" s="96" t="s">
        <v>3382</v>
      </c>
      <c r="C77" s="22" t="s">
        <v>2169</v>
      </c>
      <c r="D77" s="22" t="s">
        <v>4237</v>
      </c>
      <c r="E77" s="269">
        <v>54.267943543094503</v>
      </c>
      <c r="F77" s="269">
        <v>-110.542850183423</v>
      </c>
      <c r="G77" s="67" t="s">
        <v>2379</v>
      </c>
      <c r="H77" s="79"/>
      <c r="I77" s="79"/>
      <c r="K77" s="183"/>
    </row>
    <row r="78" spans="2:11" ht="20" x14ac:dyDescent="0.2">
      <c r="B78" s="96" t="s">
        <v>4248</v>
      </c>
      <c r="C78" s="22" t="s">
        <v>4249</v>
      </c>
      <c r="D78" s="22" t="s">
        <v>4236</v>
      </c>
      <c r="E78" s="269">
        <v>51.178852252817897</v>
      </c>
      <c r="F78" s="269">
        <v>-113.938254756959</v>
      </c>
      <c r="G78" s="67" t="s">
        <v>2379</v>
      </c>
      <c r="H78" s="11"/>
      <c r="I78" s="11"/>
    </row>
    <row r="79" spans="2:11" ht="20" x14ac:dyDescent="0.2">
      <c r="B79" s="96" t="s">
        <v>4273</v>
      </c>
      <c r="C79" s="22" t="s">
        <v>4274</v>
      </c>
      <c r="D79" s="22" t="s">
        <v>4239</v>
      </c>
      <c r="E79" s="269">
        <v>53.530046119057502</v>
      </c>
      <c r="F79" s="269">
        <v>-113.49949545667</v>
      </c>
      <c r="G79" s="67" t="s">
        <v>2379</v>
      </c>
      <c r="H79" s="11"/>
      <c r="I79" s="11"/>
    </row>
    <row r="80" spans="2:11" ht="20" x14ac:dyDescent="0.2">
      <c r="B80" s="96" t="s">
        <v>3383</v>
      </c>
      <c r="C80" s="22" t="s">
        <v>2747</v>
      </c>
      <c r="D80" s="22" t="s">
        <v>4235</v>
      </c>
      <c r="E80" s="269">
        <v>52.259814239174503</v>
      </c>
      <c r="F80" s="269">
        <v>-114.290164577307</v>
      </c>
      <c r="G80" s="67" t="s">
        <v>2379</v>
      </c>
      <c r="H80" s="79"/>
      <c r="I80" s="79"/>
    </row>
    <row r="81" spans="2:11" ht="20" x14ac:dyDescent="0.2">
      <c r="B81" s="96" t="s">
        <v>3384</v>
      </c>
      <c r="C81" s="22" t="s">
        <v>2748</v>
      </c>
      <c r="D81" s="22" t="s">
        <v>4235</v>
      </c>
      <c r="E81" s="269">
        <v>54.103605997795498</v>
      </c>
      <c r="F81" s="269">
        <v>-116.6085167271</v>
      </c>
      <c r="G81" s="67" t="s">
        <v>2379</v>
      </c>
      <c r="H81" s="79"/>
      <c r="I81" s="79"/>
    </row>
    <row r="82" spans="2:11" ht="20" x14ac:dyDescent="0.2">
      <c r="B82" s="96" t="s">
        <v>3385</v>
      </c>
      <c r="C82" s="22" t="s">
        <v>2749</v>
      </c>
      <c r="D82" s="22" t="s">
        <v>4235</v>
      </c>
      <c r="E82" s="269">
        <v>50.955788976754903</v>
      </c>
      <c r="F82" s="269">
        <v>-113.718899225855</v>
      </c>
      <c r="G82" s="67" t="s">
        <v>2379</v>
      </c>
      <c r="H82" s="79"/>
      <c r="I82" s="79"/>
    </row>
    <row r="83" spans="2:11" ht="20" x14ac:dyDescent="0.2">
      <c r="B83" s="96" t="s">
        <v>3386</v>
      </c>
      <c r="C83" s="22" t="s">
        <v>2750</v>
      </c>
      <c r="D83" s="22" t="s">
        <v>4235</v>
      </c>
      <c r="E83" s="269">
        <v>53.538199980019698</v>
      </c>
      <c r="F83" s="269">
        <v>-113.367389272849</v>
      </c>
      <c r="G83" s="67" t="s">
        <v>2379</v>
      </c>
      <c r="H83" s="79"/>
      <c r="I83" s="79"/>
    </row>
    <row r="84" spans="2:11" ht="20" x14ac:dyDescent="0.2">
      <c r="B84" s="96" t="s">
        <v>4386</v>
      </c>
      <c r="C84" s="22" t="s">
        <v>2772</v>
      </c>
      <c r="D84" s="22" t="s">
        <v>4235</v>
      </c>
      <c r="E84" s="269">
        <v>53.460716419446499</v>
      </c>
      <c r="F84" s="269">
        <v>-113.339650546035</v>
      </c>
      <c r="G84" s="67" t="s">
        <v>2379</v>
      </c>
      <c r="H84" s="11"/>
      <c r="I84" s="11"/>
    </row>
    <row r="85" spans="2:11" ht="20" x14ac:dyDescent="0.2">
      <c r="B85" s="96" t="s">
        <v>3387</v>
      </c>
      <c r="C85" s="22" t="s">
        <v>2610</v>
      </c>
      <c r="D85" s="22" t="s">
        <v>4235</v>
      </c>
      <c r="E85" s="269">
        <v>53.516681586515702</v>
      </c>
      <c r="F85" s="269">
        <v>-116.604432336035</v>
      </c>
      <c r="G85" s="67" t="s">
        <v>2379</v>
      </c>
      <c r="H85" s="11"/>
      <c r="I85" s="11"/>
    </row>
    <row r="86" spans="2:11" ht="20" x14ac:dyDescent="0.2">
      <c r="B86" s="96" t="s">
        <v>3388</v>
      </c>
      <c r="C86" s="22" t="s">
        <v>2751</v>
      </c>
      <c r="D86" s="22" t="s">
        <v>4237</v>
      </c>
      <c r="E86" s="269">
        <v>52.467918449109902</v>
      </c>
      <c r="F86" s="269">
        <v>-112.133047779756</v>
      </c>
      <c r="G86" s="67" t="s">
        <v>2379</v>
      </c>
      <c r="H86" s="79"/>
      <c r="I86" s="79"/>
    </row>
    <row r="87" spans="2:11" ht="20" x14ac:dyDescent="0.2">
      <c r="B87" s="96" t="s">
        <v>3389</v>
      </c>
      <c r="C87" s="22" t="s">
        <v>2752</v>
      </c>
      <c r="D87" s="22" t="s">
        <v>4237</v>
      </c>
      <c r="E87" s="269">
        <v>55.060460751820003</v>
      </c>
      <c r="F87" s="269">
        <v>-118.735741791004</v>
      </c>
      <c r="G87" s="67" t="s">
        <v>2379</v>
      </c>
      <c r="H87" s="79"/>
      <c r="I87" s="79"/>
    </row>
    <row r="88" spans="2:11" ht="20" x14ac:dyDescent="0.2">
      <c r="B88" s="96" t="s">
        <v>3390</v>
      </c>
      <c r="C88" s="22" t="s">
        <v>2753</v>
      </c>
      <c r="D88" s="22" t="s">
        <v>4237</v>
      </c>
      <c r="E88" s="269">
        <v>52.4334368788275</v>
      </c>
      <c r="F88" s="269">
        <v>-112.138645853771</v>
      </c>
      <c r="G88" s="67" t="s">
        <v>2379</v>
      </c>
      <c r="H88" s="79"/>
      <c r="I88" s="79"/>
    </row>
    <row r="89" spans="2:11" ht="20" x14ac:dyDescent="0.2">
      <c r="B89" s="96" t="s">
        <v>3391</v>
      </c>
      <c r="C89" s="22" t="s">
        <v>2658</v>
      </c>
      <c r="D89" s="22" t="s">
        <v>4235</v>
      </c>
      <c r="E89" s="269">
        <v>52.308276267200199</v>
      </c>
      <c r="F89" s="269">
        <v>-116.323715790226</v>
      </c>
      <c r="G89" s="67" t="s">
        <v>2379</v>
      </c>
      <c r="H89" s="79"/>
      <c r="I89" s="79"/>
    </row>
    <row r="90" spans="2:11" ht="20" x14ac:dyDescent="0.2">
      <c r="B90" s="96" t="s">
        <v>3392</v>
      </c>
      <c r="C90" s="22" t="s">
        <v>2754</v>
      </c>
      <c r="D90" s="22" t="s">
        <v>4235</v>
      </c>
      <c r="E90" s="269">
        <v>53.019003886510099</v>
      </c>
      <c r="F90" s="269">
        <v>-113.48587602487601</v>
      </c>
      <c r="G90" s="67" t="s">
        <v>2379</v>
      </c>
      <c r="H90" s="11"/>
      <c r="I90" s="11"/>
    </row>
    <row r="91" spans="2:11" ht="20" x14ac:dyDescent="0.2">
      <c r="B91" s="96" t="s">
        <v>3393</v>
      </c>
      <c r="C91" s="22" t="s">
        <v>2755</v>
      </c>
      <c r="D91" s="22" t="s">
        <v>4235</v>
      </c>
      <c r="E91" s="269">
        <v>53.556955251315202</v>
      </c>
      <c r="F91" s="269">
        <v>-114.007613840514</v>
      </c>
      <c r="G91" s="67" t="s">
        <v>2379</v>
      </c>
      <c r="H91" s="79"/>
      <c r="I91" s="79"/>
      <c r="K91" s="183"/>
    </row>
    <row r="92" spans="2:11" ht="20" x14ac:dyDescent="0.2">
      <c r="B92" s="96" t="s">
        <v>3394</v>
      </c>
      <c r="C92" s="22" t="s">
        <v>2154</v>
      </c>
      <c r="D92" s="22" t="s">
        <v>4235</v>
      </c>
      <c r="E92" s="269">
        <v>53.556046074281703</v>
      </c>
      <c r="F92" s="269">
        <v>-114.001763784102</v>
      </c>
      <c r="G92" s="67" t="s">
        <v>2379</v>
      </c>
      <c r="H92" s="79"/>
      <c r="I92" s="79"/>
    </row>
    <row r="93" spans="2:11" ht="20" x14ac:dyDescent="0.2">
      <c r="B93" s="96" t="s">
        <v>3395</v>
      </c>
      <c r="C93" s="22" t="s">
        <v>2756</v>
      </c>
      <c r="D93" s="22" t="s">
        <v>4237</v>
      </c>
      <c r="E93" s="269">
        <v>50.856369540186201</v>
      </c>
      <c r="F93" s="269">
        <v>-110.34892044879101</v>
      </c>
      <c r="G93" s="67" t="s">
        <v>2379</v>
      </c>
      <c r="H93" s="79"/>
      <c r="I93" s="79"/>
      <c r="K93" s="183"/>
    </row>
    <row r="94" spans="2:11" ht="20" x14ac:dyDescent="0.2">
      <c r="B94" s="96" t="s">
        <v>3396</v>
      </c>
      <c r="C94" s="22" t="s">
        <v>2177</v>
      </c>
      <c r="D94" s="22" t="s">
        <v>4237</v>
      </c>
      <c r="E94" s="269">
        <v>50.834194971246497</v>
      </c>
      <c r="F94" s="269">
        <v>-110.13168207052701</v>
      </c>
      <c r="G94" s="67" t="s">
        <v>2379</v>
      </c>
      <c r="H94" s="79"/>
      <c r="I94" s="79"/>
    </row>
    <row r="95" spans="2:11" ht="20" x14ac:dyDescent="0.2">
      <c r="B95" s="96" t="s">
        <v>3397</v>
      </c>
      <c r="C95" s="22" t="s">
        <v>2757</v>
      </c>
      <c r="D95" s="22" t="s">
        <v>4237</v>
      </c>
      <c r="E95" s="269">
        <v>56.763376459030297</v>
      </c>
      <c r="F95" s="269">
        <v>-112.133567815061</v>
      </c>
      <c r="G95" s="67" t="s">
        <v>2379</v>
      </c>
      <c r="H95" s="79"/>
      <c r="I95" s="79"/>
    </row>
    <row r="96" spans="2:11" ht="20" x14ac:dyDescent="0.2">
      <c r="B96" s="96" t="s">
        <v>3398</v>
      </c>
      <c r="C96" s="22" t="s">
        <v>3211</v>
      </c>
      <c r="D96" s="22" t="s">
        <v>4237</v>
      </c>
      <c r="E96" s="269">
        <v>57.353151397900902</v>
      </c>
      <c r="F96" s="269">
        <v>-111.64220667599101</v>
      </c>
      <c r="G96" s="67" t="s">
        <v>2379</v>
      </c>
      <c r="H96" s="79"/>
      <c r="I96" s="79"/>
    </row>
    <row r="97" spans="2:11" ht="20" x14ac:dyDescent="0.2">
      <c r="B97" s="96" t="s">
        <v>3399</v>
      </c>
      <c r="C97" s="22" t="s">
        <v>2758</v>
      </c>
      <c r="D97" s="22" t="s">
        <v>4235</v>
      </c>
      <c r="E97" s="269">
        <v>50.6887195343744</v>
      </c>
      <c r="F97" s="269">
        <v>-114.247896099268</v>
      </c>
      <c r="G97" s="67" t="s">
        <v>2379</v>
      </c>
      <c r="H97" s="79"/>
      <c r="I97" s="79"/>
    </row>
    <row r="98" spans="2:11" ht="20" x14ac:dyDescent="0.2">
      <c r="B98" s="96" t="s">
        <v>3400</v>
      </c>
      <c r="C98" s="22" t="s">
        <v>3244</v>
      </c>
      <c r="D98" s="22" t="s">
        <v>4237</v>
      </c>
      <c r="E98" s="269">
        <v>57.177211611929799</v>
      </c>
      <c r="F98" s="269">
        <v>-111.131442916892</v>
      </c>
      <c r="G98" s="67" t="s">
        <v>2379</v>
      </c>
      <c r="H98" s="79"/>
      <c r="I98" s="79"/>
    </row>
    <row r="99" spans="2:11" ht="20" x14ac:dyDescent="0.2">
      <c r="B99" s="96" t="s">
        <v>3401</v>
      </c>
      <c r="C99" s="22" t="s">
        <v>2759</v>
      </c>
      <c r="D99" s="22" t="s">
        <v>4235</v>
      </c>
      <c r="E99" s="269">
        <v>55.569450003745601</v>
      </c>
      <c r="F99" s="269">
        <v>-110.85517689136</v>
      </c>
      <c r="G99" s="67" t="s">
        <v>2379</v>
      </c>
      <c r="H99" s="79"/>
      <c r="I99" s="79"/>
    </row>
    <row r="100" spans="2:11" ht="20" x14ac:dyDescent="0.2">
      <c r="B100" s="96" t="s">
        <v>3402</v>
      </c>
      <c r="C100" s="22" t="s">
        <v>2603</v>
      </c>
      <c r="D100" s="22" t="s">
        <v>4235</v>
      </c>
      <c r="E100" s="269">
        <v>52.405629008832797</v>
      </c>
      <c r="F100" s="269">
        <v>-113.76053741549801</v>
      </c>
      <c r="G100" s="67" t="s">
        <v>2379</v>
      </c>
      <c r="H100" s="79"/>
      <c r="I100" s="79"/>
    </row>
    <row r="101" spans="2:11" ht="20" x14ac:dyDescent="0.2">
      <c r="B101" s="96" t="s">
        <v>3403</v>
      </c>
      <c r="C101" s="22" t="s">
        <v>2760</v>
      </c>
      <c r="D101" s="22" t="s">
        <v>4235</v>
      </c>
      <c r="E101" s="269">
        <v>50.601941592718397</v>
      </c>
      <c r="F101" s="269">
        <v>-113.37529273953</v>
      </c>
      <c r="G101" s="67" t="s">
        <v>2379</v>
      </c>
      <c r="H101" s="79"/>
      <c r="I101" s="79"/>
    </row>
    <row r="102" spans="2:11" ht="20" x14ac:dyDescent="0.2">
      <c r="B102" s="96" t="s">
        <v>3404</v>
      </c>
      <c r="C102" s="22" t="s">
        <v>2761</v>
      </c>
      <c r="D102" s="22" t="s">
        <v>4235</v>
      </c>
      <c r="E102" s="269">
        <v>53.3549349503269</v>
      </c>
      <c r="F102" s="269">
        <v>-113.511138000217</v>
      </c>
      <c r="G102" s="67" t="s">
        <v>2379</v>
      </c>
      <c r="H102" s="79"/>
      <c r="I102" s="79"/>
    </row>
    <row r="103" spans="2:11" ht="20" x14ac:dyDescent="0.2">
      <c r="B103" s="96" t="s">
        <v>3405</v>
      </c>
      <c r="C103" s="22" t="s">
        <v>2604</v>
      </c>
      <c r="D103" s="22" t="s">
        <v>4235</v>
      </c>
      <c r="E103" s="269">
        <v>50.136419395316302</v>
      </c>
      <c r="F103" s="269">
        <v>-112.88391531619401</v>
      </c>
      <c r="G103" s="67" t="s">
        <v>2379</v>
      </c>
      <c r="H103" s="79"/>
      <c r="I103" s="79"/>
    </row>
    <row r="104" spans="2:11" ht="20" x14ac:dyDescent="0.2">
      <c r="B104" s="96" t="s">
        <v>3406</v>
      </c>
      <c r="C104" s="22" t="s">
        <v>2762</v>
      </c>
      <c r="D104" s="22" t="s">
        <v>4239</v>
      </c>
      <c r="E104" s="269">
        <v>53.569685803438702</v>
      </c>
      <c r="F104" s="269">
        <v>-113.51467910619201</v>
      </c>
      <c r="G104" s="67" t="s">
        <v>2379</v>
      </c>
      <c r="H104" s="79"/>
      <c r="I104" s="79" t="s">
        <v>4291</v>
      </c>
    </row>
    <row r="105" spans="2:11" ht="20" x14ac:dyDescent="0.2">
      <c r="B105" s="96" t="s">
        <v>3407</v>
      </c>
      <c r="C105" s="22" t="s">
        <v>3245</v>
      </c>
      <c r="D105" s="22" t="s">
        <v>4235</v>
      </c>
      <c r="E105" s="269">
        <v>54.141574905422999</v>
      </c>
      <c r="F105" s="269">
        <v>-115.35818876662</v>
      </c>
      <c r="G105" s="67" t="s">
        <v>2379</v>
      </c>
      <c r="H105" s="79"/>
      <c r="I105" s="79"/>
    </row>
    <row r="106" spans="2:11" ht="20" x14ac:dyDescent="0.2">
      <c r="B106" s="96" t="s">
        <v>3408</v>
      </c>
      <c r="C106" s="22" t="s">
        <v>2605</v>
      </c>
      <c r="D106" s="22" t="s">
        <v>4235</v>
      </c>
      <c r="E106" s="269">
        <v>49.6685331355188</v>
      </c>
      <c r="F106" s="269">
        <v>-113.45231185907799</v>
      </c>
      <c r="G106" s="67" t="s">
        <v>2379</v>
      </c>
      <c r="H106" s="79"/>
      <c r="I106" s="79"/>
      <c r="K106" s="183"/>
    </row>
    <row r="107" spans="2:11" ht="20" x14ac:dyDescent="0.2">
      <c r="B107" s="96" t="s">
        <v>3409</v>
      </c>
      <c r="C107" s="22" t="s">
        <v>2120</v>
      </c>
      <c r="D107" s="22" t="s">
        <v>4235</v>
      </c>
      <c r="E107" s="269">
        <v>49.640784281146999</v>
      </c>
      <c r="F107" s="269">
        <v>-113.456390124284</v>
      </c>
      <c r="G107" s="67" t="s">
        <v>2379</v>
      </c>
      <c r="H107" s="79"/>
      <c r="I107" s="79"/>
    </row>
    <row r="108" spans="2:11" ht="20" x14ac:dyDescent="0.2">
      <c r="B108" s="96" t="s">
        <v>3410</v>
      </c>
      <c r="C108" s="22" t="s">
        <v>2763</v>
      </c>
      <c r="D108" s="22" t="s">
        <v>4237</v>
      </c>
      <c r="E108" s="269">
        <v>58.368944527067598</v>
      </c>
      <c r="F108" s="269">
        <v>-116.20419093440999</v>
      </c>
      <c r="G108" s="67" t="s">
        <v>2379</v>
      </c>
      <c r="H108" s="79"/>
      <c r="I108" s="79"/>
    </row>
    <row r="109" spans="2:11" ht="20" x14ac:dyDescent="0.2">
      <c r="B109" s="96" t="s">
        <v>3411</v>
      </c>
      <c r="C109" s="22" t="s">
        <v>2764</v>
      </c>
      <c r="D109" s="22" t="s">
        <v>4237</v>
      </c>
      <c r="E109" s="269">
        <v>55.825206672087397</v>
      </c>
      <c r="F109" s="269">
        <v>-110.78979530562999</v>
      </c>
      <c r="G109" s="67" t="s">
        <v>2379</v>
      </c>
      <c r="H109" s="79"/>
      <c r="I109" s="79"/>
    </row>
    <row r="110" spans="2:11" ht="20" x14ac:dyDescent="0.2">
      <c r="B110" s="96" t="s">
        <v>3412</v>
      </c>
      <c r="C110" s="22" t="s">
        <v>2765</v>
      </c>
      <c r="D110" s="22" t="s">
        <v>4237</v>
      </c>
      <c r="E110" s="269">
        <v>54.296392575720702</v>
      </c>
      <c r="F110" s="269">
        <v>-110.778765898565</v>
      </c>
      <c r="G110" s="67" t="s">
        <v>2379</v>
      </c>
      <c r="H110" s="79"/>
      <c r="I110" s="79"/>
    </row>
    <row r="111" spans="2:11" ht="20" x14ac:dyDescent="0.2">
      <c r="B111" s="96" t="s">
        <v>3413</v>
      </c>
      <c r="C111" s="22" t="s">
        <v>2766</v>
      </c>
      <c r="D111" s="22" t="s">
        <v>4237</v>
      </c>
      <c r="E111" s="269">
        <v>55.998975982036001</v>
      </c>
      <c r="F111" s="269">
        <v>-118.534453645688</v>
      </c>
      <c r="G111" s="67" t="s">
        <v>2379</v>
      </c>
      <c r="H111" s="79"/>
      <c r="I111" s="79"/>
    </row>
    <row r="112" spans="2:11" ht="20" x14ac:dyDescent="0.2">
      <c r="B112" s="96" t="s">
        <v>3414</v>
      </c>
      <c r="C112" s="22" t="s">
        <v>2767</v>
      </c>
      <c r="D112" s="22" t="s">
        <v>4237</v>
      </c>
      <c r="E112" s="269">
        <v>54.626967013324297</v>
      </c>
      <c r="F112" s="269">
        <v>-110.557931590951</v>
      </c>
      <c r="G112" s="67" t="s">
        <v>2379</v>
      </c>
      <c r="H112" s="79"/>
      <c r="I112" s="79"/>
    </row>
    <row r="113" spans="2:11" ht="20" x14ac:dyDescent="0.2">
      <c r="B113" s="96" t="s">
        <v>3415</v>
      </c>
      <c r="C113" s="22" t="s">
        <v>2768</v>
      </c>
      <c r="D113" s="22" t="s">
        <v>4235</v>
      </c>
      <c r="E113" s="269">
        <v>50.177560119862498</v>
      </c>
      <c r="F113" s="269">
        <v>-110.48023092962799</v>
      </c>
      <c r="G113" s="67" t="s">
        <v>2379</v>
      </c>
      <c r="H113" s="11"/>
      <c r="I113" s="11"/>
    </row>
    <row r="114" spans="2:11" ht="20" x14ac:dyDescent="0.2">
      <c r="B114" s="96" t="s">
        <v>3416</v>
      </c>
      <c r="C114" s="22" t="s">
        <v>2769</v>
      </c>
      <c r="D114" s="22" t="s">
        <v>4235</v>
      </c>
      <c r="E114" s="269">
        <v>49.660104940592902</v>
      </c>
      <c r="F114" s="269">
        <v>-112.89140017906701</v>
      </c>
      <c r="G114" s="67" t="s">
        <v>2379</v>
      </c>
      <c r="H114" s="79"/>
      <c r="I114" s="79"/>
    </row>
    <row r="115" spans="2:11" ht="20" x14ac:dyDescent="0.2">
      <c r="B115" s="96" t="s">
        <v>3417</v>
      </c>
      <c r="C115" s="22" t="s">
        <v>2597</v>
      </c>
      <c r="D115" s="22" t="s">
        <v>4235</v>
      </c>
      <c r="E115" s="269">
        <v>54.5845582973297</v>
      </c>
      <c r="F115" s="269">
        <v>-112.80242251192099</v>
      </c>
      <c r="G115" s="67" t="s">
        <v>2379</v>
      </c>
      <c r="H115" s="79"/>
      <c r="I115" s="79"/>
    </row>
    <row r="116" spans="2:11" ht="20" x14ac:dyDescent="0.2">
      <c r="B116" s="96" t="s">
        <v>3418</v>
      </c>
      <c r="C116" s="22" t="s">
        <v>2770</v>
      </c>
      <c r="D116" s="22" t="s">
        <v>4235</v>
      </c>
      <c r="E116" s="269">
        <v>52.938769860947701</v>
      </c>
      <c r="F116" s="269">
        <v>-115.925286569824</v>
      </c>
      <c r="G116" s="67" t="s">
        <v>2379</v>
      </c>
      <c r="H116" s="79"/>
      <c r="I116" s="79"/>
    </row>
    <row r="117" spans="2:11" ht="20" x14ac:dyDescent="0.2">
      <c r="B117" s="96" t="s">
        <v>3419</v>
      </c>
      <c r="C117" s="22" t="s">
        <v>2659</v>
      </c>
      <c r="D117" s="22" t="s">
        <v>4235</v>
      </c>
      <c r="E117" s="269">
        <v>52.911510235464903</v>
      </c>
      <c r="F117" s="269">
        <v>-115.373052296737</v>
      </c>
      <c r="G117" s="67" t="s">
        <v>2379</v>
      </c>
      <c r="H117" s="79"/>
      <c r="I117" s="79"/>
    </row>
    <row r="118" spans="2:11" ht="20" x14ac:dyDescent="0.2">
      <c r="B118" s="96" t="s">
        <v>3420</v>
      </c>
      <c r="C118" s="22" t="s">
        <v>2771</v>
      </c>
      <c r="D118" s="22" t="s">
        <v>4235</v>
      </c>
      <c r="E118" s="269">
        <v>52.963582066201703</v>
      </c>
      <c r="F118" s="269">
        <v>-115.5886688066</v>
      </c>
      <c r="G118" s="67" t="s">
        <v>2379</v>
      </c>
      <c r="H118" s="79"/>
      <c r="I118" s="79"/>
    </row>
    <row r="119" spans="2:11" ht="20" x14ac:dyDescent="0.2">
      <c r="B119" s="96" t="s">
        <v>3421</v>
      </c>
      <c r="C119" s="22" t="s">
        <v>2773</v>
      </c>
      <c r="D119" s="22" t="s">
        <v>4235</v>
      </c>
      <c r="E119" s="269">
        <v>53.571246376270501</v>
      </c>
      <c r="F119" s="269">
        <v>-113.349657592433</v>
      </c>
      <c r="G119" s="67" t="s">
        <v>2379</v>
      </c>
      <c r="H119" s="79"/>
      <c r="I119" s="79"/>
    </row>
    <row r="120" spans="2:11" ht="20" x14ac:dyDescent="0.2">
      <c r="B120" s="96" t="s">
        <v>3422</v>
      </c>
      <c r="C120" s="22" t="s">
        <v>2624</v>
      </c>
      <c r="D120" s="22" t="s">
        <v>4237</v>
      </c>
      <c r="E120" s="269">
        <v>55.031915230760298</v>
      </c>
      <c r="F120" s="269">
        <v>-118.72384457056199</v>
      </c>
      <c r="G120" s="67" t="s">
        <v>2379</v>
      </c>
      <c r="H120" s="79"/>
      <c r="I120" s="79"/>
    </row>
    <row r="121" spans="2:11" ht="20" x14ac:dyDescent="0.2">
      <c r="B121" s="96" t="s">
        <v>3423</v>
      </c>
      <c r="C121" s="22" t="s">
        <v>2171</v>
      </c>
      <c r="D121" s="22" t="s">
        <v>4237</v>
      </c>
      <c r="E121" s="269">
        <v>55.031988967231101</v>
      </c>
      <c r="F121" s="269">
        <v>-118.724917485139</v>
      </c>
      <c r="G121" s="67" t="s">
        <v>2379</v>
      </c>
      <c r="H121" s="79"/>
      <c r="I121" s="79"/>
      <c r="K121" s="183"/>
    </row>
    <row r="122" spans="2:11" ht="20" x14ac:dyDescent="0.2">
      <c r="B122" s="96" t="s">
        <v>3424</v>
      </c>
      <c r="C122" s="22" t="s">
        <v>2774</v>
      </c>
      <c r="D122" s="22" t="s">
        <v>4237</v>
      </c>
      <c r="E122" s="269">
        <v>53.087877695770302</v>
      </c>
      <c r="F122" s="269">
        <v>-110.298938567736</v>
      </c>
      <c r="G122" s="67" t="s">
        <v>2379</v>
      </c>
      <c r="H122" s="79"/>
      <c r="I122" s="79"/>
    </row>
    <row r="123" spans="2:11" ht="20" x14ac:dyDescent="0.2">
      <c r="B123" s="96" t="s">
        <v>3425</v>
      </c>
      <c r="C123" s="22" t="s">
        <v>2176</v>
      </c>
      <c r="D123" s="22" t="s">
        <v>4237</v>
      </c>
      <c r="E123" s="269">
        <v>53.088746647784099</v>
      </c>
      <c r="F123" s="269">
        <v>-110.299703401637</v>
      </c>
      <c r="G123" s="67" t="s">
        <v>2379</v>
      </c>
      <c r="H123" s="79"/>
      <c r="I123" s="79"/>
      <c r="K123" s="183"/>
    </row>
    <row r="124" spans="2:11" ht="20" x14ac:dyDescent="0.2">
      <c r="B124" s="96" t="s">
        <v>3426</v>
      </c>
      <c r="C124" s="22" t="s">
        <v>2775</v>
      </c>
      <c r="D124" s="22" t="s">
        <v>4237</v>
      </c>
      <c r="E124" s="269">
        <v>56.153891562402002</v>
      </c>
      <c r="F124" s="269">
        <v>-113.463392617688</v>
      </c>
      <c r="G124" s="67" t="s">
        <v>2379</v>
      </c>
      <c r="H124" s="79"/>
      <c r="I124" s="79"/>
    </row>
    <row r="125" spans="2:11" ht="20" x14ac:dyDescent="0.2">
      <c r="B125" s="96" t="s">
        <v>3427</v>
      </c>
      <c r="C125" s="22" t="s">
        <v>2776</v>
      </c>
      <c r="D125" s="22" t="s">
        <v>4235</v>
      </c>
      <c r="E125" s="269">
        <v>53.549591607098897</v>
      </c>
      <c r="F125" s="269">
        <v>-113.337760646017</v>
      </c>
      <c r="G125" s="67" t="s">
        <v>2379</v>
      </c>
      <c r="H125" s="11"/>
      <c r="I125" s="11"/>
    </row>
    <row r="126" spans="2:11" ht="20" x14ac:dyDescent="0.2">
      <c r="B126" s="96" t="s">
        <v>3428</v>
      </c>
      <c r="C126" s="22" t="s">
        <v>4357</v>
      </c>
      <c r="D126" s="22" t="s">
        <v>4235</v>
      </c>
      <c r="E126" s="269">
        <v>52.289587882296999</v>
      </c>
      <c r="F126" s="269">
        <v>-113.54524282249299</v>
      </c>
      <c r="G126" s="67" t="s">
        <v>2379</v>
      </c>
      <c r="H126" s="79"/>
      <c r="I126" s="79"/>
    </row>
    <row r="127" spans="2:11" ht="20" x14ac:dyDescent="0.2">
      <c r="B127" s="96" t="s">
        <v>3429</v>
      </c>
      <c r="C127" s="22" t="s">
        <v>2660</v>
      </c>
      <c r="D127" s="22" t="s">
        <v>4235</v>
      </c>
      <c r="E127" s="269">
        <v>50.557997857154</v>
      </c>
      <c r="F127" s="269">
        <v>-111.895221381257</v>
      </c>
      <c r="G127" s="67" t="s">
        <v>2379</v>
      </c>
      <c r="H127" s="79"/>
      <c r="I127" s="79"/>
    </row>
    <row r="128" spans="2:11" ht="20" x14ac:dyDescent="0.2">
      <c r="B128" s="96" t="s">
        <v>3430</v>
      </c>
      <c r="C128" s="22" t="s">
        <v>2778</v>
      </c>
      <c r="D128" s="22" t="s">
        <v>4235</v>
      </c>
      <c r="E128" s="269">
        <v>53.802790202940798</v>
      </c>
      <c r="F128" s="269">
        <v>-112.871345279818</v>
      </c>
      <c r="G128" s="67" t="s">
        <v>2379</v>
      </c>
      <c r="H128" s="11"/>
      <c r="I128" s="11"/>
    </row>
    <row r="129" spans="2:11" ht="20" x14ac:dyDescent="0.2">
      <c r="B129" s="96" t="s">
        <v>3431</v>
      </c>
      <c r="C129" s="22" t="s">
        <v>2779</v>
      </c>
      <c r="D129" s="22" t="s">
        <v>4237</v>
      </c>
      <c r="E129" s="269">
        <v>56.908972721115397</v>
      </c>
      <c r="F129" s="269">
        <v>-117.581770361292</v>
      </c>
      <c r="G129" s="67" t="s">
        <v>2379</v>
      </c>
      <c r="H129" s="79"/>
      <c r="I129" s="79"/>
    </row>
    <row r="130" spans="2:11" ht="20" x14ac:dyDescent="0.2">
      <c r="B130" s="96" t="s">
        <v>3432</v>
      </c>
      <c r="C130" s="22" t="s">
        <v>2661</v>
      </c>
      <c r="D130" s="22" t="s">
        <v>4235</v>
      </c>
      <c r="E130" s="269">
        <v>53.018825079023799</v>
      </c>
      <c r="F130" s="269">
        <v>-114.85388182295399</v>
      </c>
      <c r="G130" s="67" t="s">
        <v>2379</v>
      </c>
      <c r="H130" s="79"/>
      <c r="I130" s="79"/>
    </row>
    <row r="131" spans="2:11" ht="20" x14ac:dyDescent="0.2">
      <c r="B131" s="96" t="s">
        <v>3433</v>
      </c>
      <c r="C131" s="22" t="s">
        <v>2189</v>
      </c>
      <c r="D131" s="22" t="s">
        <v>4235</v>
      </c>
      <c r="E131" s="269">
        <v>53.163488839228499</v>
      </c>
      <c r="F131" s="269">
        <v>-114.85520358072201</v>
      </c>
      <c r="G131" s="67" t="s">
        <v>2379</v>
      </c>
      <c r="H131" s="79"/>
      <c r="I131" s="79"/>
      <c r="K131" s="183"/>
    </row>
    <row r="132" spans="2:11" ht="20" x14ac:dyDescent="0.2">
      <c r="B132" s="96" t="s">
        <v>3434</v>
      </c>
      <c r="C132" s="22" t="s">
        <v>2780</v>
      </c>
      <c r="D132" s="22" t="s">
        <v>4237</v>
      </c>
      <c r="E132" s="269">
        <v>53.121258785549998</v>
      </c>
      <c r="F132" s="269">
        <v>-111.198180579968</v>
      </c>
      <c r="G132" s="67" t="s">
        <v>2379</v>
      </c>
      <c r="H132" s="79"/>
      <c r="I132" s="79"/>
    </row>
    <row r="133" spans="2:11" ht="20" x14ac:dyDescent="0.2">
      <c r="B133" s="96" t="s">
        <v>3435</v>
      </c>
      <c r="C133" s="22" t="s">
        <v>2781</v>
      </c>
      <c r="D133" s="22" t="s">
        <v>4235</v>
      </c>
      <c r="E133" s="269">
        <v>53.2496108537756</v>
      </c>
      <c r="F133" s="269">
        <v>-113.828560213193</v>
      </c>
      <c r="G133" s="67" t="s">
        <v>2379</v>
      </c>
      <c r="H133" s="79"/>
      <c r="I133" s="79"/>
    </row>
    <row r="134" spans="2:11" ht="20" x14ac:dyDescent="0.2">
      <c r="B134" s="96" t="s">
        <v>3436</v>
      </c>
      <c r="C134" s="22" t="s">
        <v>2782</v>
      </c>
      <c r="D134" s="22" t="s">
        <v>4237</v>
      </c>
      <c r="E134" s="269">
        <v>51.182612654122899</v>
      </c>
      <c r="F134" s="269">
        <v>-112.12016401539201</v>
      </c>
      <c r="G134" s="67" t="s">
        <v>2379</v>
      </c>
      <c r="H134" s="79"/>
      <c r="I134" s="79"/>
    </row>
    <row r="135" spans="2:11" ht="20" x14ac:dyDescent="0.2">
      <c r="B135" s="96" t="s">
        <v>3437</v>
      </c>
      <c r="C135" s="22" t="s">
        <v>2783</v>
      </c>
      <c r="D135" s="22" t="s">
        <v>4235</v>
      </c>
      <c r="E135" s="269">
        <v>49.9683326184118</v>
      </c>
      <c r="F135" s="269">
        <v>-110.756218081032</v>
      </c>
      <c r="G135" s="67" t="s">
        <v>2379</v>
      </c>
      <c r="H135" s="11"/>
      <c r="I135" s="11"/>
    </row>
    <row r="136" spans="2:11" ht="20" x14ac:dyDescent="0.2">
      <c r="B136" s="96" t="s">
        <v>3438</v>
      </c>
      <c r="C136" s="22" t="s">
        <v>2690</v>
      </c>
      <c r="D136" s="22" t="s">
        <v>4235</v>
      </c>
      <c r="E136" s="269">
        <v>49.815330776535298</v>
      </c>
      <c r="F136" s="269">
        <v>-111.54059848864701</v>
      </c>
      <c r="G136" s="67" t="s">
        <v>2379</v>
      </c>
      <c r="H136" s="11"/>
      <c r="I136" s="11"/>
    </row>
    <row r="137" spans="2:11" ht="20" x14ac:dyDescent="0.2">
      <c r="B137" s="96" t="s">
        <v>3439</v>
      </c>
      <c r="C137" s="22" t="s">
        <v>2784</v>
      </c>
      <c r="D137" s="22" t="s">
        <v>4235</v>
      </c>
      <c r="E137" s="269">
        <v>53.051458847732199</v>
      </c>
      <c r="F137" s="269">
        <v>-117.31892627286901</v>
      </c>
      <c r="G137" s="67" t="s">
        <v>2379</v>
      </c>
      <c r="H137" s="79"/>
      <c r="I137" s="79"/>
    </row>
    <row r="138" spans="2:11" ht="20" x14ac:dyDescent="0.2">
      <c r="B138" s="96" t="s">
        <v>3440</v>
      </c>
      <c r="C138" s="22" t="s">
        <v>2109</v>
      </c>
      <c r="D138" s="22" t="s">
        <v>4235</v>
      </c>
      <c r="E138" s="269">
        <v>53.0532240767403</v>
      </c>
      <c r="F138" s="269">
        <v>-117.317439085231</v>
      </c>
      <c r="G138" s="67" t="s">
        <v>2379</v>
      </c>
      <c r="H138" s="79"/>
      <c r="I138" s="79"/>
      <c r="K138" s="183"/>
    </row>
    <row r="139" spans="2:11" ht="20" x14ac:dyDescent="0.2">
      <c r="B139" s="96" t="s">
        <v>3441</v>
      </c>
      <c r="C139" s="22" t="s">
        <v>2785</v>
      </c>
      <c r="D139" s="22" t="s">
        <v>4237</v>
      </c>
      <c r="E139" s="269">
        <v>56.878908931442297</v>
      </c>
      <c r="F139" s="269">
        <v>-116.558297489696</v>
      </c>
      <c r="G139" s="67" t="s">
        <v>2379</v>
      </c>
      <c r="H139" s="79"/>
      <c r="I139" s="79"/>
    </row>
    <row r="140" spans="2:11" ht="20" x14ac:dyDescent="0.2">
      <c r="B140" s="96" t="s">
        <v>3442</v>
      </c>
      <c r="C140" s="22" t="s">
        <v>3246</v>
      </c>
      <c r="D140" s="22" t="s">
        <v>4235</v>
      </c>
      <c r="E140" s="269">
        <v>51.179622500815803</v>
      </c>
      <c r="F140" s="269">
        <v>-113.937546025949</v>
      </c>
      <c r="G140" s="67" t="s">
        <v>2379</v>
      </c>
      <c r="H140" s="79"/>
      <c r="I140" s="79"/>
    </row>
    <row r="141" spans="2:11" ht="20" x14ac:dyDescent="0.2">
      <c r="B141" s="96" t="s">
        <v>3443</v>
      </c>
      <c r="C141" s="22" t="s">
        <v>3247</v>
      </c>
      <c r="D141" s="22" t="s">
        <v>4235</v>
      </c>
      <c r="E141" s="301">
        <v>53.564161283232004</v>
      </c>
      <c r="F141" s="269">
        <v>-113.331707353845</v>
      </c>
      <c r="G141" s="67" t="s">
        <v>2379</v>
      </c>
      <c r="H141" s="79"/>
      <c r="I141" s="79"/>
    </row>
    <row r="142" spans="2:11" ht="20" x14ac:dyDescent="0.2">
      <c r="B142" s="96" t="s">
        <v>3444</v>
      </c>
      <c r="C142" s="22" t="s">
        <v>2212</v>
      </c>
      <c r="D142" s="22" t="s">
        <v>4235</v>
      </c>
      <c r="E142" s="269">
        <v>53.5630483471218</v>
      </c>
      <c r="F142" s="269">
        <v>-113.342451627619</v>
      </c>
      <c r="G142" s="67" t="s">
        <v>2379</v>
      </c>
      <c r="H142" s="79"/>
      <c r="I142" s="79"/>
      <c r="K142" s="183"/>
    </row>
    <row r="143" spans="2:11" ht="20" x14ac:dyDescent="0.2">
      <c r="B143" s="96" t="s">
        <v>3445</v>
      </c>
      <c r="C143" s="22" t="s">
        <v>3248</v>
      </c>
      <c r="D143" s="22" t="s">
        <v>4235</v>
      </c>
      <c r="E143" s="269">
        <v>53.792159941684197</v>
      </c>
      <c r="F143" s="269">
        <v>-112.880482511132</v>
      </c>
      <c r="G143" s="67" t="s">
        <v>2379</v>
      </c>
      <c r="H143" s="79"/>
      <c r="I143" s="79"/>
    </row>
    <row r="144" spans="2:11" ht="20" x14ac:dyDescent="0.2">
      <c r="B144" s="96" t="s">
        <v>3446</v>
      </c>
      <c r="C144" s="22" t="s">
        <v>2786</v>
      </c>
      <c r="D144" s="22" t="s">
        <v>4235</v>
      </c>
      <c r="E144" s="269">
        <v>51.079701963167302</v>
      </c>
      <c r="F144" s="269">
        <v>-115.319939424099</v>
      </c>
      <c r="G144" s="67" t="s">
        <v>2379</v>
      </c>
      <c r="H144" s="79"/>
      <c r="I144" s="79"/>
    </row>
    <row r="145" spans="2:11" ht="20" x14ac:dyDescent="0.2">
      <c r="B145" s="96" t="s">
        <v>3447</v>
      </c>
      <c r="C145" s="22" t="s">
        <v>2787</v>
      </c>
      <c r="D145" s="22" t="s">
        <v>4235</v>
      </c>
      <c r="E145" s="269">
        <v>53.066286974690897</v>
      </c>
      <c r="F145" s="269">
        <v>-117.397584274875</v>
      </c>
      <c r="G145" s="67" t="s">
        <v>2379</v>
      </c>
      <c r="H145" s="79"/>
      <c r="I145" s="79"/>
    </row>
    <row r="146" spans="2:11" ht="20" x14ac:dyDescent="0.2">
      <c r="B146" s="96" t="s">
        <v>3448</v>
      </c>
      <c r="C146" s="22" t="s">
        <v>2648</v>
      </c>
      <c r="D146" s="22" t="s">
        <v>4237</v>
      </c>
      <c r="E146" s="269">
        <v>56.387717798219697</v>
      </c>
      <c r="F146" s="269">
        <v>-116.80946781498599</v>
      </c>
      <c r="G146" s="67" t="s">
        <v>2379</v>
      </c>
      <c r="H146" s="79"/>
      <c r="I146" s="79"/>
    </row>
    <row r="147" spans="2:11" ht="20" x14ac:dyDescent="0.2">
      <c r="B147" s="96" t="s">
        <v>3449</v>
      </c>
      <c r="C147" s="22" t="s">
        <v>2712</v>
      </c>
      <c r="D147" s="22" t="s">
        <v>4235</v>
      </c>
      <c r="E147" s="269">
        <v>51.967295127860503</v>
      </c>
      <c r="F147" s="269">
        <v>-114.764435564639</v>
      </c>
      <c r="G147" s="67" t="s">
        <v>2379</v>
      </c>
      <c r="H147" s="79"/>
      <c r="I147" s="79"/>
    </row>
    <row r="148" spans="2:11" ht="20" x14ac:dyDescent="0.2">
      <c r="B148" s="96" t="s">
        <v>3450</v>
      </c>
      <c r="C148" s="22" t="s">
        <v>4374</v>
      </c>
      <c r="D148" s="22" t="s">
        <v>4235</v>
      </c>
      <c r="E148" s="269">
        <v>50.848376559580103</v>
      </c>
      <c r="F148" s="269">
        <v>-113.590153423841</v>
      </c>
      <c r="G148" s="67" t="s">
        <v>2379</v>
      </c>
      <c r="H148" s="79"/>
      <c r="I148" s="79"/>
    </row>
    <row r="149" spans="2:11" ht="20" x14ac:dyDescent="0.2">
      <c r="B149" s="96" t="s">
        <v>4371</v>
      </c>
      <c r="C149" s="22" t="s">
        <v>4372</v>
      </c>
      <c r="D149" s="22" t="s">
        <v>4235</v>
      </c>
      <c r="E149" s="269">
        <v>50.844842180835997</v>
      </c>
      <c r="F149" s="269">
        <v>-113.594140628506</v>
      </c>
      <c r="G149" s="67" t="s">
        <v>2379</v>
      </c>
      <c r="H149" s="79"/>
      <c r="I149" s="79"/>
      <c r="K149" s="183"/>
    </row>
    <row r="150" spans="2:11" ht="20" x14ac:dyDescent="0.2">
      <c r="B150" s="96" t="s">
        <v>3451</v>
      </c>
      <c r="C150" s="22" t="s">
        <v>2788</v>
      </c>
      <c r="D150" s="22" t="s">
        <v>4235</v>
      </c>
      <c r="E150" s="269">
        <v>53.552428411934599</v>
      </c>
      <c r="F150" s="269">
        <v>-114.122372180567</v>
      </c>
      <c r="G150" s="67" t="s">
        <v>2379</v>
      </c>
      <c r="H150" s="79"/>
      <c r="I150" s="79"/>
    </row>
    <row r="151" spans="2:11" ht="20" x14ac:dyDescent="0.2">
      <c r="B151" s="96" t="s">
        <v>3452</v>
      </c>
      <c r="C151" s="22" t="s">
        <v>2664</v>
      </c>
      <c r="D151" s="22" t="s">
        <v>4235</v>
      </c>
      <c r="E151" s="269">
        <v>51.2350969770376</v>
      </c>
      <c r="F151" s="269">
        <v>-115.487313706058</v>
      </c>
      <c r="G151" s="67" t="s">
        <v>2379</v>
      </c>
      <c r="H151" s="79"/>
      <c r="I151" s="79"/>
    </row>
    <row r="152" spans="2:11" ht="20" x14ac:dyDescent="0.2">
      <c r="B152" s="271" t="s">
        <v>3453</v>
      </c>
      <c r="C152" s="22" t="s">
        <v>2118</v>
      </c>
      <c r="D152" s="22" t="s">
        <v>4235</v>
      </c>
      <c r="E152" s="269">
        <v>51.2005937244042</v>
      </c>
      <c r="F152" s="269">
        <v>-115.50214046904399</v>
      </c>
      <c r="G152" s="67" t="s">
        <v>2379</v>
      </c>
      <c r="H152" s="79"/>
      <c r="I152" s="79" t="s">
        <v>4384</v>
      </c>
      <c r="K152" s="183"/>
    </row>
    <row r="153" spans="2:11" ht="20" x14ac:dyDescent="0.2">
      <c r="B153" s="96" t="s">
        <v>3454</v>
      </c>
      <c r="C153" s="22" t="s">
        <v>2790</v>
      </c>
      <c r="D153" s="22" t="s">
        <v>4235</v>
      </c>
      <c r="E153" s="269">
        <v>50.554924178261103</v>
      </c>
      <c r="F153" s="269">
        <v>-112.025595486101</v>
      </c>
      <c r="G153" s="67" t="s">
        <v>2379</v>
      </c>
      <c r="H153" s="79"/>
      <c r="I153" s="79"/>
    </row>
    <row r="154" spans="2:11" ht="20" x14ac:dyDescent="0.2">
      <c r="B154" s="96" t="s">
        <v>4250</v>
      </c>
      <c r="C154" s="22" t="s">
        <v>4251</v>
      </c>
      <c r="D154" s="22" t="s">
        <v>4239</v>
      </c>
      <c r="E154" s="269">
        <v>53.624532187976598</v>
      </c>
      <c r="F154" s="269">
        <v>-113.490023558232</v>
      </c>
      <c r="G154" s="67" t="s">
        <v>2379</v>
      </c>
      <c r="H154" s="79"/>
      <c r="I154" s="79"/>
    </row>
    <row r="155" spans="2:11" ht="20" x14ac:dyDescent="0.2">
      <c r="B155" s="96" t="s">
        <v>3455</v>
      </c>
      <c r="C155" s="22" t="s">
        <v>2665</v>
      </c>
      <c r="D155" s="22" t="s">
        <v>4235</v>
      </c>
      <c r="E155" s="269">
        <v>49.515911403750501</v>
      </c>
      <c r="F155" s="269">
        <v>-114.026624198181</v>
      </c>
      <c r="G155" s="67" t="s">
        <v>2379</v>
      </c>
      <c r="H155" s="79"/>
      <c r="I155" s="79"/>
    </row>
    <row r="156" spans="2:11" ht="20" x14ac:dyDescent="0.2">
      <c r="B156" s="96" t="s">
        <v>3456</v>
      </c>
      <c r="C156" s="22" t="s">
        <v>2666</v>
      </c>
      <c r="D156" s="22" t="s">
        <v>4235</v>
      </c>
      <c r="E156" s="269">
        <v>49.557522368485103</v>
      </c>
      <c r="F156" s="269">
        <v>-113.961162995961</v>
      </c>
      <c r="G156" s="67" t="s">
        <v>2379</v>
      </c>
      <c r="H156" s="79"/>
      <c r="I156" s="79"/>
    </row>
    <row r="157" spans="2:11" ht="20" x14ac:dyDescent="0.2">
      <c r="B157" s="96" t="s">
        <v>3457</v>
      </c>
      <c r="C157" s="22" t="s">
        <v>2792</v>
      </c>
      <c r="D157" s="22" t="s">
        <v>4237</v>
      </c>
      <c r="E157" s="269">
        <v>52.229799427618502</v>
      </c>
      <c r="F157" s="269">
        <v>-111.922579754021</v>
      </c>
      <c r="G157" s="67" t="s">
        <v>2379</v>
      </c>
      <c r="H157" s="79"/>
      <c r="I157" s="79"/>
    </row>
    <row r="158" spans="2:11" ht="20" x14ac:dyDescent="0.2">
      <c r="B158" s="96" t="s">
        <v>218</v>
      </c>
      <c r="C158" s="22" t="s">
        <v>2611</v>
      </c>
      <c r="D158" s="22" t="s">
        <v>4236</v>
      </c>
      <c r="E158" s="269">
        <v>51.005696298041101</v>
      </c>
      <c r="F158" s="269">
        <v>-113.170936875241</v>
      </c>
      <c r="G158" s="67" t="s">
        <v>2379</v>
      </c>
      <c r="H158" s="79"/>
      <c r="I158" s="79"/>
    </row>
    <row r="159" spans="2:11" ht="20" x14ac:dyDescent="0.2">
      <c r="B159" s="96" t="s">
        <v>894</v>
      </c>
      <c r="C159" s="22" t="s">
        <v>2625</v>
      </c>
      <c r="D159" s="22" t="s">
        <v>4237</v>
      </c>
      <c r="E159" s="269">
        <v>55.112075766856698</v>
      </c>
      <c r="F159" s="269">
        <v>-118.802712021492</v>
      </c>
      <c r="G159" s="67" t="s">
        <v>2379</v>
      </c>
      <c r="H159" s="79"/>
      <c r="I159" s="79"/>
    </row>
    <row r="160" spans="2:11" ht="20" x14ac:dyDescent="0.2">
      <c r="B160" s="96" t="s">
        <v>3458</v>
      </c>
      <c r="C160" s="22" t="s">
        <v>2793</v>
      </c>
      <c r="D160" s="22" t="s">
        <v>4235</v>
      </c>
      <c r="E160" s="269">
        <v>49.6768382670218</v>
      </c>
      <c r="F160" s="269">
        <v>-114.297244281269</v>
      </c>
      <c r="G160" s="67" t="s">
        <v>2379</v>
      </c>
      <c r="H160" s="79"/>
      <c r="I160" s="79" t="s">
        <v>4291</v>
      </c>
    </row>
    <row r="161" spans="2:11" ht="20" x14ac:dyDescent="0.2">
      <c r="B161" s="96" t="s">
        <v>3459</v>
      </c>
      <c r="C161" s="22" t="s">
        <v>2612</v>
      </c>
      <c r="D161" s="22" t="s">
        <v>4235</v>
      </c>
      <c r="E161" s="269">
        <v>50.180374078643503</v>
      </c>
      <c r="F161" s="269">
        <v>-110.48120428184301</v>
      </c>
      <c r="G161" s="67" t="s">
        <v>2379</v>
      </c>
      <c r="H161" s="11"/>
      <c r="I161" s="11"/>
    </row>
    <row r="162" spans="2:11" ht="20" x14ac:dyDescent="0.2">
      <c r="B162" s="96" t="s">
        <v>3460</v>
      </c>
      <c r="C162" s="22" t="s">
        <v>2794</v>
      </c>
      <c r="D162" s="22" t="s">
        <v>4237</v>
      </c>
      <c r="E162" s="269">
        <v>55.773493945954598</v>
      </c>
      <c r="F162" s="269">
        <v>-111.292635221206</v>
      </c>
      <c r="G162" s="67" t="s">
        <v>2379</v>
      </c>
      <c r="H162" s="79"/>
      <c r="I162" s="79"/>
    </row>
    <row r="163" spans="2:11" ht="20" x14ac:dyDescent="0.2">
      <c r="B163" s="96" t="s">
        <v>3461</v>
      </c>
      <c r="C163" s="22" t="s">
        <v>2159</v>
      </c>
      <c r="D163" s="22" t="s">
        <v>4237</v>
      </c>
      <c r="E163" s="269">
        <v>55.772379806786198</v>
      </c>
      <c r="F163" s="269">
        <v>-111.29427886940201</v>
      </c>
      <c r="G163" s="67" t="s">
        <v>2379</v>
      </c>
      <c r="H163" s="79"/>
      <c r="I163" s="79"/>
      <c r="K163" s="183"/>
    </row>
    <row r="164" spans="2:11" ht="20" x14ac:dyDescent="0.2">
      <c r="B164" s="96" t="s">
        <v>3462</v>
      </c>
      <c r="C164" s="22" t="s">
        <v>2795</v>
      </c>
      <c r="D164" s="22" t="s">
        <v>4235</v>
      </c>
      <c r="E164" s="269">
        <v>53.7860859972239</v>
      </c>
      <c r="F164" s="269">
        <v>-114.490909841811</v>
      </c>
      <c r="G164" s="67" t="s">
        <v>2379</v>
      </c>
      <c r="H164" s="79"/>
      <c r="I164" s="79"/>
    </row>
    <row r="165" spans="2:11" ht="20" x14ac:dyDescent="0.2">
      <c r="B165" s="96" t="s">
        <v>3463</v>
      </c>
      <c r="C165" s="22" t="s">
        <v>2796</v>
      </c>
      <c r="D165" s="22" t="s">
        <v>4235</v>
      </c>
      <c r="E165" s="269">
        <v>51.009528694958597</v>
      </c>
      <c r="F165" s="269">
        <v>-113.813053317293</v>
      </c>
      <c r="G165" s="67" t="s">
        <v>2379</v>
      </c>
      <c r="H165" s="79"/>
      <c r="I165" s="79"/>
    </row>
    <row r="166" spans="2:11" ht="20" x14ac:dyDescent="0.2">
      <c r="B166" s="96" t="s">
        <v>3464</v>
      </c>
      <c r="C166" s="22" t="s">
        <v>2797</v>
      </c>
      <c r="D166" s="22" t="s">
        <v>4235</v>
      </c>
      <c r="E166" s="269">
        <v>53.086399378843602</v>
      </c>
      <c r="F166" s="269">
        <v>-117.43786226774201</v>
      </c>
      <c r="G166" s="67" t="s">
        <v>2379</v>
      </c>
      <c r="H166" s="79"/>
      <c r="I166" s="79"/>
    </row>
    <row r="167" spans="2:11" ht="20" x14ac:dyDescent="0.2">
      <c r="B167" s="96" t="s">
        <v>3465</v>
      </c>
      <c r="C167" s="22" t="s">
        <v>3249</v>
      </c>
      <c r="D167" s="22" t="s">
        <v>4235</v>
      </c>
      <c r="E167" s="269">
        <v>54.100482761069401</v>
      </c>
      <c r="F167" s="269">
        <v>-116.618142527188</v>
      </c>
      <c r="G167" s="67" t="s">
        <v>2379</v>
      </c>
      <c r="H167" s="79"/>
      <c r="I167" s="79"/>
    </row>
    <row r="168" spans="2:11" ht="20" x14ac:dyDescent="0.2">
      <c r="B168" s="96" t="s">
        <v>3466</v>
      </c>
      <c r="C168" s="22" t="s">
        <v>3250</v>
      </c>
      <c r="D168" s="22" t="s">
        <v>4235</v>
      </c>
      <c r="E168" s="269">
        <v>54.099907121534898</v>
      </c>
      <c r="F168" s="269">
        <v>-116.618970413108</v>
      </c>
      <c r="G168" s="67" t="s">
        <v>2379</v>
      </c>
      <c r="H168" s="79"/>
      <c r="I168" s="79"/>
    </row>
    <row r="169" spans="2:11" ht="20" x14ac:dyDescent="0.2">
      <c r="B169" s="96" t="s">
        <v>3467</v>
      </c>
      <c r="C169" s="22" t="s">
        <v>2195</v>
      </c>
      <c r="D169" s="22" t="s">
        <v>4235</v>
      </c>
      <c r="E169" s="269">
        <v>54.100923939269002</v>
      </c>
      <c r="F169" s="269">
        <v>-116.618288627563</v>
      </c>
      <c r="G169" s="67" t="s">
        <v>2379</v>
      </c>
      <c r="H169" s="79"/>
      <c r="I169" s="79"/>
      <c r="K169" s="183"/>
    </row>
    <row r="170" spans="2:11" ht="20" x14ac:dyDescent="0.2">
      <c r="B170" s="96" t="s">
        <v>4270</v>
      </c>
      <c r="C170" s="22" t="s">
        <v>2633</v>
      </c>
      <c r="D170" s="22" t="s">
        <v>4235</v>
      </c>
      <c r="E170" s="269">
        <v>54.285787747111897</v>
      </c>
      <c r="F170" s="269">
        <v>-116.182328143452</v>
      </c>
      <c r="G170" s="67" t="s">
        <v>2379</v>
      </c>
      <c r="H170" s="79"/>
      <c r="I170" s="79"/>
    </row>
    <row r="171" spans="2:11" ht="20" x14ac:dyDescent="0.2">
      <c r="B171" s="96" t="s">
        <v>4271</v>
      </c>
      <c r="C171" s="22" t="s">
        <v>2102</v>
      </c>
      <c r="D171" s="22" t="s">
        <v>4235</v>
      </c>
      <c r="E171" s="269">
        <v>54.2883099665153</v>
      </c>
      <c r="F171" s="269">
        <v>-116.184030346179</v>
      </c>
      <c r="G171" s="67" t="s">
        <v>2379</v>
      </c>
      <c r="H171" s="79"/>
      <c r="I171" s="79"/>
      <c r="K171" s="183"/>
    </row>
    <row r="172" spans="2:11" ht="20" x14ac:dyDescent="0.2">
      <c r="B172" s="96" t="s">
        <v>3468</v>
      </c>
      <c r="C172" s="22" t="s">
        <v>2667</v>
      </c>
      <c r="D172" s="22" t="s">
        <v>4235</v>
      </c>
      <c r="E172" s="269">
        <v>49.675734155511797</v>
      </c>
      <c r="F172" s="269">
        <v>-112.34488726630499</v>
      </c>
      <c r="G172" s="67" t="s">
        <v>2379</v>
      </c>
      <c r="H172" s="79"/>
      <c r="I172" s="79"/>
    </row>
    <row r="173" spans="2:11" ht="20" x14ac:dyDescent="0.2">
      <c r="B173" s="96" t="s">
        <v>3469</v>
      </c>
      <c r="C173" s="22" t="s">
        <v>2187</v>
      </c>
      <c r="D173" s="22" t="s">
        <v>4235</v>
      </c>
      <c r="E173" s="269">
        <v>49.669376693607497</v>
      </c>
      <c r="F173" s="269">
        <v>-112.510876638963</v>
      </c>
      <c r="G173" s="67" t="s">
        <v>2379</v>
      </c>
      <c r="H173" s="79"/>
      <c r="I173" s="79"/>
      <c r="K173" s="183"/>
    </row>
    <row r="174" spans="2:11" ht="20" x14ac:dyDescent="0.2">
      <c r="B174" s="96" t="s">
        <v>3470</v>
      </c>
      <c r="C174" s="22" t="s">
        <v>2798</v>
      </c>
      <c r="D174" s="22" t="s">
        <v>4237</v>
      </c>
      <c r="E174" s="269">
        <v>57.912934003128299</v>
      </c>
      <c r="F174" s="269">
        <v>-118.21785773494101</v>
      </c>
      <c r="G174" s="67" t="s">
        <v>2379</v>
      </c>
      <c r="H174" s="79"/>
      <c r="I174" s="79"/>
    </row>
    <row r="175" spans="2:11" ht="20" x14ac:dyDescent="0.2">
      <c r="B175" s="96" t="s">
        <v>3471</v>
      </c>
      <c r="C175" s="22" t="s">
        <v>2799</v>
      </c>
      <c r="D175" s="22" t="s">
        <v>4235</v>
      </c>
      <c r="E175" s="269">
        <v>49.705183957578903</v>
      </c>
      <c r="F175" s="269">
        <v>-112.90788159584901</v>
      </c>
      <c r="G175" s="67" t="s">
        <v>2379</v>
      </c>
      <c r="H175" s="79"/>
      <c r="I175" s="79"/>
    </row>
    <row r="176" spans="2:11" ht="20" x14ac:dyDescent="0.2">
      <c r="B176" s="96" t="s">
        <v>3472</v>
      </c>
      <c r="C176" s="22" t="s">
        <v>2668</v>
      </c>
      <c r="D176" s="22" t="s">
        <v>4235</v>
      </c>
      <c r="E176" s="269">
        <v>55.560303435199899</v>
      </c>
      <c r="F176" s="269">
        <v>-110.914388304742</v>
      </c>
      <c r="G176" s="67" t="s">
        <v>2379</v>
      </c>
      <c r="H176" s="79"/>
      <c r="I176" s="79"/>
    </row>
    <row r="177" spans="2:11" ht="20" x14ac:dyDescent="0.2">
      <c r="B177" s="96" t="s">
        <v>3473</v>
      </c>
      <c r="C177" s="22" t="s">
        <v>2800</v>
      </c>
      <c r="D177" s="22" t="s">
        <v>4237</v>
      </c>
      <c r="E177" s="269">
        <v>55.259751838074401</v>
      </c>
      <c r="F177" s="269">
        <v>-118.67844784281399</v>
      </c>
      <c r="G177" s="67" t="s">
        <v>2379</v>
      </c>
      <c r="H177" s="79"/>
      <c r="I177" s="79"/>
    </row>
    <row r="178" spans="2:11" ht="20" x14ac:dyDescent="0.2">
      <c r="B178" s="96" t="s">
        <v>3474</v>
      </c>
      <c r="C178" s="22" t="s">
        <v>4349</v>
      </c>
      <c r="D178" s="22" t="s">
        <v>4235</v>
      </c>
      <c r="E178" s="269">
        <v>52.6384655943477</v>
      </c>
      <c r="F178" s="269">
        <v>-111.278858857784</v>
      </c>
      <c r="G178" s="67" t="s">
        <v>2379</v>
      </c>
      <c r="H178" s="79"/>
      <c r="I178" s="79"/>
    </row>
    <row r="179" spans="2:11" ht="20" x14ac:dyDescent="0.2">
      <c r="B179" s="96" t="s">
        <v>3475</v>
      </c>
      <c r="C179" s="22" t="s">
        <v>2669</v>
      </c>
      <c r="D179" s="22" t="s">
        <v>4239</v>
      </c>
      <c r="E179" s="269">
        <v>53.595620599999997</v>
      </c>
      <c r="F179" s="269">
        <v>-113.3321823</v>
      </c>
      <c r="G179" s="67" t="s">
        <v>2379</v>
      </c>
      <c r="H179" s="11"/>
      <c r="I179" s="11"/>
    </row>
    <row r="180" spans="2:11" ht="20" x14ac:dyDescent="0.2">
      <c r="B180" s="96" t="s">
        <v>3476</v>
      </c>
      <c r="C180" s="22" t="s">
        <v>2802</v>
      </c>
      <c r="D180" s="22" t="s">
        <v>4235</v>
      </c>
      <c r="E180" s="269">
        <v>54.144286075883201</v>
      </c>
      <c r="F180" s="269">
        <v>-113.624893348624</v>
      </c>
      <c r="G180" s="67" t="s">
        <v>2379</v>
      </c>
      <c r="H180" s="79"/>
      <c r="I180" s="79"/>
    </row>
    <row r="181" spans="2:11" ht="20" x14ac:dyDescent="0.2">
      <c r="B181" s="96" t="s">
        <v>3477</v>
      </c>
      <c r="C181" s="22" t="s">
        <v>2803</v>
      </c>
      <c r="D181" s="22" t="s">
        <v>4235</v>
      </c>
      <c r="E181" s="269">
        <v>53.052380071183997</v>
      </c>
      <c r="F181" s="269">
        <v>-116.76934115090801</v>
      </c>
      <c r="G181" s="67" t="s">
        <v>2379</v>
      </c>
      <c r="H181" s="79"/>
      <c r="I181" s="79"/>
    </row>
    <row r="182" spans="2:11" ht="20" x14ac:dyDescent="0.2">
      <c r="B182" s="96" t="s">
        <v>3478</v>
      </c>
      <c r="C182" s="22" t="s">
        <v>2139</v>
      </c>
      <c r="D182" s="22" t="s">
        <v>4235</v>
      </c>
      <c r="E182" s="269">
        <v>53.180771882205498</v>
      </c>
      <c r="F182" s="269">
        <v>-117.021073665676</v>
      </c>
      <c r="G182" s="67" t="s">
        <v>2379</v>
      </c>
      <c r="H182" s="79"/>
      <c r="I182" s="79"/>
      <c r="K182" s="183"/>
    </row>
    <row r="183" spans="2:11" ht="20" x14ac:dyDescent="0.2">
      <c r="B183" s="96" t="s">
        <v>3479</v>
      </c>
      <c r="C183" s="22" t="s">
        <v>2804</v>
      </c>
      <c r="D183" s="22" t="s">
        <v>4235</v>
      </c>
      <c r="E183" s="269">
        <v>49.6868870898521</v>
      </c>
      <c r="F183" s="269">
        <v>-112.853650782624</v>
      </c>
      <c r="G183" s="67" t="s">
        <v>2379</v>
      </c>
      <c r="H183" s="79"/>
      <c r="I183" s="79"/>
    </row>
    <row r="184" spans="2:11" ht="20" x14ac:dyDescent="0.2">
      <c r="B184" s="96" t="s">
        <v>3480</v>
      </c>
      <c r="C184" s="22" t="s">
        <v>2670</v>
      </c>
      <c r="D184" s="22" t="s">
        <v>4235</v>
      </c>
      <c r="E184" s="269">
        <v>49.815920323361198</v>
      </c>
      <c r="F184" s="269">
        <v>-112.579583972544</v>
      </c>
      <c r="G184" s="67" t="s">
        <v>2379</v>
      </c>
      <c r="H184" s="79"/>
      <c r="I184" s="79"/>
    </row>
    <row r="185" spans="2:11" ht="20" x14ac:dyDescent="0.2">
      <c r="B185" s="96" t="s">
        <v>3481</v>
      </c>
      <c r="C185" s="22" t="s">
        <v>2805</v>
      </c>
      <c r="D185" s="22" t="s">
        <v>4235</v>
      </c>
      <c r="E185" s="269">
        <v>53.180423466241599</v>
      </c>
      <c r="F185" s="269">
        <v>-117.02196534388</v>
      </c>
      <c r="G185" s="67" t="s">
        <v>2379</v>
      </c>
      <c r="H185" s="79"/>
      <c r="I185" s="79"/>
    </row>
    <row r="186" spans="2:11" ht="20" x14ac:dyDescent="0.2">
      <c r="B186" s="96" t="s">
        <v>3482</v>
      </c>
      <c r="C186" s="22" t="s">
        <v>2806</v>
      </c>
      <c r="D186" s="22" t="s">
        <v>4235</v>
      </c>
      <c r="E186" s="269">
        <v>51.170724439529003</v>
      </c>
      <c r="F186" s="269">
        <v>-114.489063890469</v>
      </c>
      <c r="G186" s="67" t="s">
        <v>2379</v>
      </c>
      <c r="H186" s="79"/>
      <c r="I186" s="79"/>
    </row>
    <row r="187" spans="2:11" ht="20" x14ac:dyDescent="0.2">
      <c r="B187" s="96" t="s">
        <v>3483</v>
      </c>
      <c r="C187" s="22" t="s">
        <v>2647</v>
      </c>
      <c r="D187" s="22" t="s">
        <v>4235</v>
      </c>
      <c r="E187" s="269">
        <v>53.368354577030097</v>
      </c>
      <c r="F187" s="269">
        <v>-117.573054914624</v>
      </c>
      <c r="G187" s="67" t="s">
        <v>2379</v>
      </c>
      <c r="H187" s="79"/>
      <c r="I187" s="79"/>
    </row>
    <row r="188" spans="2:11" ht="20" x14ac:dyDescent="0.2">
      <c r="B188" s="96" t="s">
        <v>3484</v>
      </c>
      <c r="C188" s="22" t="s">
        <v>2807</v>
      </c>
      <c r="D188" s="22" t="s">
        <v>4235</v>
      </c>
      <c r="E188" s="269">
        <v>49.641064200113</v>
      </c>
      <c r="F188" s="269">
        <v>-114.493242620156</v>
      </c>
      <c r="G188" s="67" t="s">
        <v>2379</v>
      </c>
      <c r="H188" s="79"/>
      <c r="I188" s="79"/>
    </row>
    <row r="189" spans="2:11" ht="20" x14ac:dyDescent="0.2">
      <c r="B189" s="96" t="s">
        <v>3485</v>
      </c>
      <c r="C189" s="22" t="s">
        <v>2808</v>
      </c>
      <c r="D189" s="22" t="s">
        <v>4235</v>
      </c>
      <c r="E189" s="269">
        <v>54.618233410122699</v>
      </c>
      <c r="F189" s="269">
        <v>-113.309406881554</v>
      </c>
      <c r="G189" s="67" t="s">
        <v>2379</v>
      </c>
      <c r="H189" s="79"/>
      <c r="I189" s="79"/>
    </row>
    <row r="190" spans="2:11" ht="20" x14ac:dyDescent="0.2">
      <c r="B190" s="96" t="s">
        <v>3486</v>
      </c>
      <c r="C190" s="22" t="s">
        <v>2630</v>
      </c>
      <c r="D190" s="22" t="s">
        <v>4235</v>
      </c>
      <c r="E190" s="269">
        <v>55.663743416825902</v>
      </c>
      <c r="F190" s="269">
        <v>-110.718669445342</v>
      </c>
      <c r="G190" s="67" t="s">
        <v>2379</v>
      </c>
      <c r="H190" s="79"/>
      <c r="I190" s="79"/>
    </row>
    <row r="191" spans="2:11" ht="20" x14ac:dyDescent="0.2">
      <c r="B191" s="96" t="s">
        <v>3487</v>
      </c>
      <c r="C191" s="22" t="s">
        <v>2652</v>
      </c>
      <c r="D191" s="22" t="s">
        <v>4235</v>
      </c>
      <c r="E191" s="269">
        <v>49.524717352921797</v>
      </c>
      <c r="F191" s="269">
        <v>-111.967829396713</v>
      </c>
      <c r="G191" s="67" t="s">
        <v>2379</v>
      </c>
      <c r="H191" s="79"/>
      <c r="I191" s="79"/>
    </row>
    <row r="192" spans="2:11" ht="20" x14ac:dyDescent="0.2">
      <c r="B192" s="96" t="s">
        <v>3488</v>
      </c>
      <c r="C192" s="22" t="s">
        <v>2809</v>
      </c>
      <c r="D192" s="22" t="s">
        <v>4235</v>
      </c>
      <c r="E192" s="269">
        <v>53.3689420331728</v>
      </c>
      <c r="F192" s="269">
        <v>-113.097789531495</v>
      </c>
      <c r="G192" s="67" t="s">
        <v>2379</v>
      </c>
      <c r="H192" s="79"/>
      <c r="I192" s="79"/>
    </row>
    <row r="193" spans="2:11" ht="20" x14ac:dyDescent="0.2">
      <c r="B193" s="96" t="s">
        <v>3489</v>
      </c>
      <c r="C193" s="22" t="s">
        <v>2810</v>
      </c>
      <c r="D193" s="22" t="s">
        <v>4237</v>
      </c>
      <c r="E193" s="269">
        <v>52.464336340108197</v>
      </c>
      <c r="F193" s="269">
        <v>-112.131565806119</v>
      </c>
      <c r="G193" s="67" t="s">
        <v>2379</v>
      </c>
      <c r="H193" s="79"/>
      <c r="I193" s="79"/>
    </row>
    <row r="194" spans="2:11" ht="20" x14ac:dyDescent="0.2">
      <c r="B194" s="96" t="s">
        <v>3490</v>
      </c>
      <c r="C194" s="22" t="s">
        <v>2811</v>
      </c>
      <c r="D194" s="22" t="s">
        <v>4237</v>
      </c>
      <c r="E194" s="269">
        <v>52.056540667864198</v>
      </c>
      <c r="F194" s="269">
        <v>-111.45622836792</v>
      </c>
      <c r="G194" s="67" t="s">
        <v>2379</v>
      </c>
      <c r="H194" s="79"/>
      <c r="I194" s="79"/>
    </row>
    <row r="195" spans="2:11" ht="20" x14ac:dyDescent="0.2">
      <c r="B195" s="96" t="s">
        <v>3491</v>
      </c>
      <c r="C195" s="22" t="s">
        <v>2123</v>
      </c>
      <c r="D195" s="22" t="s">
        <v>4237</v>
      </c>
      <c r="E195" s="269">
        <v>51.997661399239902</v>
      </c>
      <c r="F195" s="269">
        <v>-111.45693675387299</v>
      </c>
      <c r="G195" s="67" t="s">
        <v>2379</v>
      </c>
      <c r="H195" s="79"/>
      <c r="I195" s="79"/>
      <c r="K195" s="183"/>
    </row>
    <row r="196" spans="2:11" ht="20" x14ac:dyDescent="0.2">
      <c r="B196" s="96" t="s">
        <v>3492</v>
      </c>
      <c r="C196" s="22" t="s">
        <v>2812</v>
      </c>
      <c r="D196" s="22" t="s">
        <v>4235</v>
      </c>
      <c r="E196" s="269">
        <v>49.552773764350697</v>
      </c>
      <c r="F196" s="269">
        <v>-114.10158750607501</v>
      </c>
      <c r="G196" s="67" t="s">
        <v>2379</v>
      </c>
      <c r="H196" s="79"/>
      <c r="I196" s="79"/>
    </row>
    <row r="197" spans="2:11" ht="20" x14ac:dyDescent="0.2">
      <c r="B197" s="96" t="s">
        <v>3493</v>
      </c>
      <c r="C197" s="22" t="s">
        <v>2110</v>
      </c>
      <c r="D197" s="22" t="s">
        <v>4235</v>
      </c>
      <c r="E197" s="269">
        <v>49.553239463623299</v>
      </c>
      <c r="F197" s="269">
        <v>-114.101440511696</v>
      </c>
      <c r="G197" s="67" t="s">
        <v>2379</v>
      </c>
      <c r="H197" s="79"/>
      <c r="I197" s="79"/>
      <c r="K197" s="183"/>
    </row>
    <row r="198" spans="2:11" ht="20" x14ac:dyDescent="0.2">
      <c r="B198" s="96" t="s">
        <v>3494</v>
      </c>
      <c r="C198" s="22" t="s">
        <v>2813</v>
      </c>
      <c r="D198" s="22" t="s">
        <v>4237</v>
      </c>
      <c r="E198" s="269">
        <v>51.442462546753603</v>
      </c>
      <c r="F198" s="269">
        <v>-112.21190535828001</v>
      </c>
      <c r="G198" s="67" t="s">
        <v>2379</v>
      </c>
      <c r="H198" s="11"/>
      <c r="I198" s="11"/>
    </row>
    <row r="199" spans="2:11" ht="20" x14ac:dyDescent="0.2">
      <c r="B199" s="96" t="s">
        <v>3495</v>
      </c>
      <c r="C199" s="22" t="s">
        <v>2814</v>
      </c>
      <c r="D199" s="22" t="s">
        <v>4237</v>
      </c>
      <c r="E199" s="269">
        <v>56.249548870412497</v>
      </c>
      <c r="F199" s="269">
        <v>-115.35519769133199</v>
      </c>
      <c r="G199" s="67" t="s">
        <v>2379</v>
      </c>
      <c r="H199" s="79"/>
      <c r="I199" s="79"/>
    </row>
    <row r="200" spans="2:11" ht="20" x14ac:dyDescent="0.2">
      <c r="B200" s="96" t="s">
        <v>3496</v>
      </c>
      <c r="C200" s="22" t="s">
        <v>2815</v>
      </c>
      <c r="D200" s="22" t="s">
        <v>4235</v>
      </c>
      <c r="E200" s="269">
        <v>50.9616518492682</v>
      </c>
      <c r="F200" s="269">
        <v>-113.719549207738</v>
      </c>
      <c r="G200" s="67" t="s">
        <v>2379</v>
      </c>
      <c r="H200" s="79"/>
      <c r="I200" s="79"/>
    </row>
    <row r="201" spans="2:11" ht="20" x14ac:dyDescent="0.2">
      <c r="B201" s="96" t="s">
        <v>3497</v>
      </c>
      <c r="C201" s="22" t="s">
        <v>2816</v>
      </c>
      <c r="D201" s="22" t="s">
        <v>4237</v>
      </c>
      <c r="E201" s="269">
        <v>55.737250335654302</v>
      </c>
      <c r="F201" s="269">
        <v>-112.20707720483399</v>
      </c>
      <c r="G201" s="67" t="s">
        <v>2379</v>
      </c>
      <c r="H201" s="79"/>
      <c r="I201" s="79"/>
    </row>
    <row r="202" spans="2:11" ht="20" x14ac:dyDescent="0.2">
      <c r="B202" s="96" t="s">
        <v>3498</v>
      </c>
      <c r="C202" s="22" t="s">
        <v>2817</v>
      </c>
      <c r="D202" s="22" t="s">
        <v>4237</v>
      </c>
      <c r="E202" s="269">
        <v>55.184600511173798</v>
      </c>
      <c r="F202" s="269">
        <v>-118.755116809819</v>
      </c>
      <c r="G202" s="67" t="s">
        <v>2379</v>
      </c>
      <c r="H202" s="79"/>
      <c r="I202" s="79"/>
    </row>
    <row r="203" spans="2:11" ht="20" x14ac:dyDescent="0.2">
      <c r="B203" s="96" t="s">
        <v>3499</v>
      </c>
      <c r="C203" s="22" t="s">
        <v>2818</v>
      </c>
      <c r="D203" s="22" t="s">
        <v>4235</v>
      </c>
      <c r="E203" s="269">
        <v>50.6198539711283</v>
      </c>
      <c r="F203" s="269">
        <v>-111.942868891253</v>
      </c>
      <c r="G203" s="67" t="s">
        <v>2379</v>
      </c>
      <c r="H203" s="79"/>
      <c r="I203" s="79"/>
    </row>
    <row r="204" spans="2:11" ht="20" x14ac:dyDescent="0.2">
      <c r="B204" s="96" t="s">
        <v>3500</v>
      </c>
      <c r="C204" s="22" t="s">
        <v>2188</v>
      </c>
      <c r="D204" s="22" t="s">
        <v>4235</v>
      </c>
      <c r="E204" s="269">
        <v>50.619879971124703</v>
      </c>
      <c r="F204" s="269">
        <v>-111.943311095852</v>
      </c>
      <c r="G204" s="67" t="s">
        <v>2379</v>
      </c>
      <c r="H204" s="79"/>
      <c r="I204" s="79"/>
      <c r="K204" s="183"/>
    </row>
    <row r="205" spans="2:11" ht="20" x14ac:dyDescent="0.2">
      <c r="B205" s="96" t="s">
        <v>4272</v>
      </c>
      <c r="C205" s="22" t="s">
        <v>2819</v>
      </c>
      <c r="D205" s="22" t="s">
        <v>4235</v>
      </c>
      <c r="E205" s="269">
        <v>53.288633817056002</v>
      </c>
      <c r="F205" s="269">
        <v>-115.631569157936</v>
      </c>
      <c r="G205" s="67" t="s">
        <v>2379</v>
      </c>
      <c r="H205" s="79"/>
      <c r="I205" s="79"/>
    </row>
    <row r="206" spans="2:11" ht="20" x14ac:dyDescent="0.2">
      <c r="B206" s="96" t="s">
        <v>3501</v>
      </c>
      <c r="C206" s="22" t="s">
        <v>2820</v>
      </c>
      <c r="D206" s="22" t="s">
        <v>4235</v>
      </c>
      <c r="E206" s="269">
        <v>50.657384148364599</v>
      </c>
      <c r="F206" s="269">
        <v>-110.05467507598399</v>
      </c>
      <c r="G206" s="67" t="s">
        <v>2379</v>
      </c>
      <c r="H206" s="11"/>
      <c r="I206" s="11"/>
    </row>
    <row r="207" spans="2:11" ht="20" x14ac:dyDescent="0.2">
      <c r="B207" s="96" t="s">
        <v>3502</v>
      </c>
      <c r="C207" s="22" t="s">
        <v>2671</v>
      </c>
      <c r="D207" s="22" t="s">
        <v>4237</v>
      </c>
      <c r="E207" s="269">
        <v>56.372869577591601</v>
      </c>
      <c r="F207" s="269">
        <v>-117.189995742135</v>
      </c>
      <c r="G207" s="67" t="s">
        <v>2379</v>
      </c>
      <c r="H207" s="79"/>
      <c r="I207" s="79"/>
    </row>
    <row r="208" spans="2:11" ht="20" x14ac:dyDescent="0.2">
      <c r="B208" s="96" t="s">
        <v>3503</v>
      </c>
      <c r="C208" s="22" t="s">
        <v>2627</v>
      </c>
      <c r="D208" s="22" t="s">
        <v>4235</v>
      </c>
      <c r="E208" s="269">
        <v>53.507755330765498</v>
      </c>
      <c r="F208" s="269">
        <v>-117.339066842986</v>
      </c>
      <c r="G208" s="67" t="s">
        <v>2379</v>
      </c>
      <c r="H208" s="79"/>
      <c r="I208" s="79"/>
    </row>
    <row r="209" spans="2:11" ht="20" x14ac:dyDescent="0.2">
      <c r="B209" s="96" t="s">
        <v>3504</v>
      </c>
      <c r="C209" s="22" t="s">
        <v>2143</v>
      </c>
      <c r="D209" s="22" t="s">
        <v>4235</v>
      </c>
      <c r="E209" s="269">
        <v>53.505447895078198</v>
      </c>
      <c r="F209" s="269">
        <v>-117.33701977840801</v>
      </c>
      <c r="G209" s="67" t="s">
        <v>2379</v>
      </c>
      <c r="H209" s="79"/>
      <c r="I209" s="79"/>
      <c r="K209" s="183"/>
    </row>
    <row r="210" spans="2:11" ht="20" x14ac:dyDescent="0.2">
      <c r="B210" s="96" t="s">
        <v>3505</v>
      </c>
      <c r="C210" s="22" t="s">
        <v>2821</v>
      </c>
      <c r="D210" s="22" t="s">
        <v>4237</v>
      </c>
      <c r="E210" s="269">
        <v>56.297278566803698</v>
      </c>
      <c r="F210" s="269">
        <v>-111.715328670839</v>
      </c>
      <c r="G210" s="67" t="s">
        <v>2379</v>
      </c>
      <c r="H210" s="11"/>
      <c r="I210" s="11"/>
    </row>
    <row r="211" spans="2:11" ht="20" x14ac:dyDescent="0.2">
      <c r="B211" s="271" t="s">
        <v>3506</v>
      </c>
      <c r="C211" s="22" t="s">
        <v>2822</v>
      </c>
      <c r="D211" s="22" t="s">
        <v>4235</v>
      </c>
      <c r="E211" s="301">
        <v>53.806344189433197</v>
      </c>
      <c r="F211" s="269">
        <v>-116.619470741735</v>
      </c>
      <c r="G211" s="67" t="s">
        <v>2379</v>
      </c>
      <c r="H211" s="79"/>
      <c r="I211" s="79"/>
    </row>
    <row r="212" spans="2:11" ht="20" x14ac:dyDescent="0.2">
      <c r="B212" s="96" t="s">
        <v>3507</v>
      </c>
      <c r="C212" s="22" t="s">
        <v>2823</v>
      </c>
      <c r="D212" s="22" t="s">
        <v>4235</v>
      </c>
      <c r="E212" s="269">
        <v>53.857352244205103</v>
      </c>
      <c r="F212" s="269">
        <v>-112.895053658713</v>
      </c>
      <c r="G212" s="67" t="s">
        <v>2379</v>
      </c>
      <c r="H212" s="11"/>
      <c r="I212" s="11"/>
    </row>
    <row r="213" spans="2:11" ht="20" x14ac:dyDescent="0.2">
      <c r="B213" s="96" t="s">
        <v>3508</v>
      </c>
      <c r="C213" s="22" t="s">
        <v>2824</v>
      </c>
      <c r="D213" s="22" t="s">
        <v>4235</v>
      </c>
      <c r="E213" s="269">
        <v>53.354957373587503</v>
      </c>
      <c r="F213" s="269">
        <v>-113.71884057055399</v>
      </c>
      <c r="G213" s="67" t="s">
        <v>2379</v>
      </c>
      <c r="H213" s="79"/>
      <c r="I213" s="79"/>
    </row>
    <row r="214" spans="2:11" ht="20" x14ac:dyDescent="0.2">
      <c r="B214" s="96" t="s">
        <v>3509</v>
      </c>
      <c r="C214" s="22" t="s">
        <v>2825</v>
      </c>
      <c r="D214" s="22" t="s">
        <v>4237</v>
      </c>
      <c r="E214" s="269">
        <v>56.924123401904701</v>
      </c>
      <c r="F214" s="269">
        <v>-111.470518018748</v>
      </c>
      <c r="G214" s="67" t="s">
        <v>2379</v>
      </c>
      <c r="H214" s="79"/>
      <c r="I214" s="79"/>
    </row>
    <row r="215" spans="2:11" ht="20" x14ac:dyDescent="0.2">
      <c r="B215" s="96" t="s">
        <v>4275</v>
      </c>
      <c r="C215" s="22" t="s">
        <v>4276</v>
      </c>
      <c r="D215" s="22" t="s">
        <v>4239</v>
      </c>
      <c r="E215" s="269">
        <v>53.456606273154001</v>
      </c>
      <c r="F215" s="269">
        <v>-113.481185901336</v>
      </c>
      <c r="G215" s="67" t="s">
        <v>2379</v>
      </c>
      <c r="H215" s="79"/>
      <c r="I215" s="79"/>
    </row>
    <row r="216" spans="2:11" ht="20" x14ac:dyDescent="0.2">
      <c r="B216" s="96" t="s">
        <v>3510</v>
      </c>
      <c r="C216" s="22" t="s">
        <v>2827</v>
      </c>
      <c r="D216" s="22" t="s">
        <v>4237</v>
      </c>
      <c r="E216" s="269">
        <v>54.399687489116303</v>
      </c>
      <c r="F216" s="269">
        <v>-118.826750205346</v>
      </c>
      <c r="G216" s="67" t="s">
        <v>2379</v>
      </c>
      <c r="H216" s="79"/>
      <c r="I216" s="79"/>
    </row>
    <row r="217" spans="2:11" ht="20" x14ac:dyDescent="0.2">
      <c r="B217" s="96" t="s">
        <v>3511</v>
      </c>
      <c r="C217" s="22" t="s">
        <v>2828</v>
      </c>
      <c r="D217" s="22" t="s">
        <v>4237</v>
      </c>
      <c r="E217" s="269">
        <v>55.722701713110197</v>
      </c>
      <c r="F217" s="269">
        <v>-117.132457850376</v>
      </c>
      <c r="G217" s="67" t="s">
        <v>2379</v>
      </c>
      <c r="H217" s="79"/>
      <c r="I217" s="79"/>
    </row>
    <row r="218" spans="2:11" ht="20" x14ac:dyDescent="0.2">
      <c r="B218" s="96" t="s">
        <v>3512</v>
      </c>
      <c r="C218" s="22" t="s">
        <v>2829</v>
      </c>
      <c r="D218" s="22" t="s">
        <v>4237</v>
      </c>
      <c r="E218" s="269">
        <v>57.030096254381199</v>
      </c>
      <c r="F218" s="269">
        <v>-111.91990894771401</v>
      </c>
      <c r="G218" s="67" t="s">
        <v>2379</v>
      </c>
      <c r="H218" s="79"/>
      <c r="I218" s="79"/>
    </row>
    <row r="219" spans="2:11" ht="20" x14ac:dyDescent="0.2">
      <c r="B219" s="96" t="s">
        <v>3513</v>
      </c>
      <c r="C219" s="22" t="s">
        <v>3251</v>
      </c>
      <c r="D219" s="22" t="s">
        <v>4235</v>
      </c>
      <c r="E219" s="269">
        <v>53.731395046560699</v>
      </c>
      <c r="F219" s="269">
        <v>-113.173806461815</v>
      </c>
      <c r="G219" s="67" t="s">
        <v>2379</v>
      </c>
      <c r="H219" s="79"/>
      <c r="I219" s="79"/>
    </row>
    <row r="220" spans="2:11" ht="20" x14ac:dyDescent="0.2">
      <c r="B220" s="96" t="s">
        <v>3514</v>
      </c>
      <c r="C220" s="22" t="s">
        <v>3252</v>
      </c>
      <c r="D220" s="22" t="s">
        <v>4235</v>
      </c>
      <c r="E220" s="269">
        <v>53.751261937700903</v>
      </c>
      <c r="F220" s="269">
        <v>-113.148272500069</v>
      </c>
      <c r="G220" s="67" t="s">
        <v>2379</v>
      </c>
      <c r="H220" s="79"/>
      <c r="I220" s="79"/>
    </row>
    <row r="221" spans="2:11" ht="20" x14ac:dyDescent="0.2">
      <c r="B221" s="96" t="s">
        <v>3515</v>
      </c>
      <c r="C221" s="22" t="s">
        <v>2830</v>
      </c>
      <c r="D221" s="22" t="s">
        <v>4235</v>
      </c>
      <c r="E221" s="269">
        <v>51.245067264991697</v>
      </c>
      <c r="F221" s="269">
        <v>-114.014209390301</v>
      </c>
      <c r="G221" s="67" t="s">
        <v>2379</v>
      </c>
      <c r="H221" s="11"/>
      <c r="I221" s="11"/>
    </row>
    <row r="222" spans="2:11" ht="20" x14ac:dyDescent="0.2">
      <c r="B222" s="96" t="s">
        <v>3516</v>
      </c>
      <c r="C222" s="22" t="s">
        <v>2831</v>
      </c>
      <c r="D222" s="22" t="s">
        <v>4235</v>
      </c>
      <c r="E222" s="269">
        <v>49.312805618929801</v>
      </c>
      <c r="F222" s="269">
        <v>-113.80314767011799</v>
      </c>
      <c r="G222" s="67" t="s">
        <v>2379</v>
      </c>
      <c r="H222" s="11"/>
      <c r="I222" s="11"/>
    </row>
    <row r="223" spans="2:11" ht="20" x14ac:dyDescent="0.2">
      <c r="B223" s="96" t="s">
        <v>3517</v>
      </c>
      <c r="C223" s="22" t="s">
        <v>2832</v>
      </c>
      <c r="D223" s="22" t="s">
        <v>4235</v>
      </c>
      <c r="E223" s="269">
        <v>50.740364183826699</v>
      </c>
      <c r="F223" s="269">
        <v>-111.942890958292</v>
      </c>
      <c r="G223" s="67" t="s">
        <v>2379</v>
      </c>
      <c r="H223" s="79"/>
      <c r="I223" s="79"/>
    </row>
    <row r="224" spans="2:11" ht="20" x14ac:dyDescent="0.2">
      <c r="B224" s="96" t="s">
        <v>3518</v>
      </c>
      <c r="C224" s="22" t="s">
        <v>4355</v>
      </c>
      <c r="D224" s="22" t="s">
        <v>4235</v>
      </c>
      <c r="E224" s="269">
        <v>51.919457646358602</v>
      </c>
      <c r="F224" s="269">
        <v>-114.564494692556</v>
      </c>
      <c r="G224" s="67" t="s">
        <v>2379</v>
      </c>
      <c r="H224" s="79"/>
      <c r="I224" s="79"/>
    </row>
    <row r="225" spans="2:11" ht="20" x14ac:dyDescent="0.2">
      <c r="B225" s="96" t="s">
        <v>3519</v>
      </c>
      <c r="C225" s="22" t="s">
        <v>2834</v>
      </c>
      <c r="D225" s="22" t="s">
        <v>4235</v>
      </c>
      <c r="E225" s="269">
        <v>51.300900669857</v>
      </c>
      <c r="F225" s="269">
        <v>-113.988631257788</v>
      </c>
      <c r="G225" s="67" t="s">
        <v>2379</v>
      </c>
      <c r="H225" s="11"/>
      <c r="I225" s="11"/>
    </row>
    <row r="226" spans="2:11" ht="20" x14ac:dyDescent="0.2">
      <c r="B226" s="96" t="s">
        <v>3520</v>
      </c>
      <c r="C226" s="22" t="s">
        <v>2835</v>
      </c>
      <c r="D226" s="22" t="s">
        <v>4235</v>
      </c>
      <c r="E226" s="269">
        <v>51.026455603734298</v>
      </c>
      <c r="F226" s="269">
        <v>-114.03761629716099</v>
      </c>
      <c r="G226" s="67" t="s">
        <v>2379</v>
      </c>
      <c r="H226" s="11"/>
      <c r="I226" s="11"/>
    </row>
    <row r="227" spans="2:11" ht="20" x14ac:dyDescent="0.2">
      <c r="B227" s="96" t="s">
        <v>3521</v>
      </c>
      <c r="C227" s="22" t="s">
        <v>2662</v>
      </c>
      <c r="D227" s="22" t="s">
        <v>4235</v>
      </c>
      <c r="E227" s="269">
        <v>53.025076930281003</v>
      </c>
      <c r="F227" s="269">
        <v>-112.78105938802599</v>
      </c>
      <c r="G227" s="67" t="s">
        <v>2379</v>
      </c>
      <c r="H227" s="79"/>
      <c r="I227" s="79"/>
    </row>
    <row r="228" spans="2:11" ht="20" x14ac:dyDescent="0.2">
      <c r="B228" s="96" t="s">
        <v>3522</v>
      </c>
      <c r="C228" s="22" t="s">
        <v>2836</v>
      </c>
      <c r="D228" s="22" t="s">
        <v>4235</v>
      </c>
      <c r="E228" s="269">
        <v>51.431387316932899</v>
      </c>
      <c r="F228" s="269">
        <v>-113.83720592421901</v>
      </c>
      <c r="G228" s="67" t="s">
        <v>2379</v>
      </c>
      <c r="H228" s="11"/>
      <c r="I228" s="11"/>
    </row>
    <row r="229" spans="2:11" ht="20" x14ac:dyDescent="0.2">
      <c r="B229" s="96" t="s">
        <v>3523</v>
      </c>
      <c r="C229" s="22" t="s">
        <v>2197</v>
      </c>
      <c r="D229" s="22" t="s">
        <v>4235</v>
      </c>
      <c r="E229" s="269">
        <v>51.431060244697598</v>
      </c>
      <c r="F229" s="269">
        <v>-113.837955499214</v>
      </c>
      <c r="G229" s="67" t="s">
        <v>2379</v>
      </c>
      <c r="H229" s="11"/>
      <c r="I229" s="11"/>
      <c r="K229" s="183"/>
    </row>
    <row r="230" spans="2:11" ht="20" x14ac:dyDescent="0.2">
      <c r="B230" s="96" t="s">
        <v>3524</v>
      </c>
      <c r="C230" s="22" t="s">
        <v>2837</v>
      </c>
      <c r="D230" s="22" t="s">
        <v>4235</v>
      </c>
      <c r="E230" s="269">
        <v>53.539768101189999</v>
      </c>
      <c r="F230" s="269">
        <v>-113.37134250963901</v>
      </c>
      <c r="G230" s="67" t="s">
        <v>2379</v>
      </c>
      <c r="H230" s="11"/>
      <c r="I230" s="11"/>
    </row>
    <row r="231" spans="2:11" ht="20" x14ac:dyDescent="0.2">
      <c r="B231" s="96" t="s">
        <v>3525</v>
      </c>
      <c r="C231" s="22" t="s">
        <v>2838</v>
      </c>
      <c r="D231" s="22" t="s">
        <v>4235</v>
      </c>
      <c r="E231" s="269">
        <v>53.512993600214799</v>
      </c>
      <c r="F231" s="269">
        <v>-113.38281073052001</v>
      </c>
      <c r="G231" s="67" t="s">
        <v>2379</v>
      </c>
      <c r="H231" s="11"/>
      <c r="I231" s="11"/>
    </row>
    <row r="232" spans="2:11" ht="20" x14ac:dyDescent="0.2">
      <c r="B232" s="96" t="s">
        <v>3526</v>
      </c>
      <c r="C232" s="22" t="s">
        <v>2221</v>
      </c>
      <c r="D232" s="22" t="s">
        <v>4235</v>
      </c>
      <c r="E232" s="269">
        <v>53.5130726160438</v>
      </c>
      <c r="F232" s="269">
        <v>-113.381783874619</v>
      </c>
      <c r="G232" s="67" t="s">
        <v>2379</v>
      </c>
      <c r="H232" s="11"/>
      <c r="I232" s="11"/>
      <c r="K232" s="183"/>
    </row>
    <row r="233" spans="2:11" ht="20" x14ac:dyDescent="0.2">
      <c r="B233" s="96" t="s">
        <v>3527</v>
      </c>
      <c r="C233" s="22" t="s">
        <v>2614</v>
      </c>
      <c r="D233" s="22" t="s">
        <v>4235</v>
      </c>
      <c r="E233" s="269">
        <v>50.166791039457699</v>
      </c>
      <c r="F233" s="269">
        <v>-113.391504974223</v>
      </c>
      <c r="G233" s="67" t="s">
        <v>2379</v>
      </c>
      <c r="H233" s="79"/>
      <c r="I233" s="79"/>
    </row>
    <row r="234" spans="2:11" ht="20" x14ac:dyDescent="0.2">
      <c r="B234" s="96" t="s">
        <v>3528</v>
      </c>
      <c r="C234" s="22" t="s">
        <v>2839</v>
      </c>
      <c r="D234" s="22" t="s">
        <v>4235</v>
      </c>
      <c r="E234" s="269">
        <v>52.349090596245198</v>
      </c>
      <c r="F234" s="269">
        <v>-114.373710313524</v>
      </c>
      <c r="G234" s="67" t="s">
        <v>2379</v>
      </c>
      <c r="H234" s="79"/>
      <c r="I234" s="79"/>
    </row>
    <row r="235" spans="2:11" ht="20" x14ac:dyDescent="0.2">
      <c r="B235" s="96" t="s">
        <v>3529</v>
      </c>
      <c r="C235" s="22" t="s">
        <v>2146</v>
      </c>
      <c r="D235" s="22" t="s">
        <v>4235</v>
      </c>
      <c r="E235" s="269">
        <v>52.348706794531097</v>
      </c>
      <c r="F235" s="269">
        <v>-114.291555848478</v>
      </c>
      <c r="G235" s="67" t="s">
        <v>2379</v>
      </c>
      <c r="H235" s="79"/>
      <c r="I235" s="79"/>
      <c r="K235" s="183"/>
    </row>
    <row r="236" spans="2:11" ht="20" x14ac:dyDescent="0.2">
      <c r="B236" s="96" t="s">
        <v>3530</v>
      </c>
      <c r="C236" s="22" t="s">
        <v>2840</v>
      </c>
      <c r="D236" s="22" t="s">
        <v>4235</v>
      </c>
      <c r="E236" s="269">
        <v>52.770528144189001</v>
      </c>
      <c r="F236" s="269">
        <v>-110.464686107115</v>
      </c>
      <c r="G236" s="67" t="s">
        <v>2379</v>
      </c>
      <c r="H236" s="11"/>
      <c r="I236" s="11"/>
    </row>
    <row r="237" spans="2:11" ht="20" x14ac:dyDescent="0.2">
      <c r="B237" s="96" t="s">
        <v>3531</v>
      </c>
      <c r="C237" s="22" t="s">
        <v>2841</v>
      </c>
      <c r="D237" s="22" t="s">
        <v>4237</v>
      </c>
      <c r="E237" s="269">
        <v>54.817758449484202</v>
      </c>
      <c r="F237" s="269">
        <v>-115.43188687486899</v>
      </c>
      <c r="G237" s="67" t="s">
        <v>2379</v>
      </c>
      <c r="H237" s="79"/>
      <c r="I237" s="79"/>
    </row>
    <row r="238" spans="2:11" ht="20" x14ac:dyDescent="0.2">
      <c r="B238" s="96" t="s">
        <v>3532</v>
      </c>
      <c r="C238" s="22" t="s">
        <v>2672</v>
      </c>
      <c r="D238" s="22" t="s">
        <v>4235</v>
      </c>
      <c r="E238" s="269">
        <v>53.5783653212602</v>
      </c>
      <c r="F238" s="269">
        <v>-116.502289155222</v>
      </c>
      <c r="G238" s="67" t="s">
        <v>2379</v>
      </c>
      <c r="H238" s="11"/>
      <c r="I238" s="11"/>
    </row>
    <row r="239" spans="2:11" ht="20" x14ac:dyDescent="0.2">
      <c r="B239" s="96" t="s">
        <v>3533</v>
      </c>
      <c r="C239" s="22" t="s">
        <v>2842</v>
      </c>
      <c r="D239" s="22" t="s">
        <v>4235</v>
      </c>
      <c r="E239" s="269">
        <v>52.941299143921398</v>
      </c>
      <c r="F239" s="269">
        <v>-115.89368352299699</v>
      </c>
      <c r="G239" s="67" t="s">
        <v>2379</v>
      </c>
      <c r="H239" s="79"/>
      <c r="I239" s="79"/>
    </row>
    <row r="240" spans="2:11" ht="20" x14ac:dyDescent="0.2">
      <c r="B240" s="96" t="s">
        <v>3534</v>
      </c>
      <c r="C240" s="22" t="s">
        <v>2182</v>
      </c>
      <c r="D240" s="22" t="s">
        <v>4235</v>
      </c>
      <c r="E240" s="269">
        <v>52.948059804138403</v>
      </c>
      <c r="F240" s="269">
        <v>-115.881278726354</v>
      </c>
      <c r="G240" s="67" t="s">
        <v>2379</v>
      </c>
      <c r="H240" s="79"/>
      <c r="I240" s="79"/>
      <c r="K240" s="183"/>
    </row>
    <row r="241" spans="2:11" ht="20" x14ac:dyDescent="0.2">
      <c r="B241" s="96" t="s">
        <v>3535</v>
      </c>
      <c r="C241" s="22" t="s">
        <v>2843</v>
      </c>
      <c r="D241" s="22" t="s">
        <v>4235</v>
      </c>
      <c r="E241" s="269">
        <v>53.433811321438</v>
      </c>
      <c r="F241" s="269">
        <v>-113.45953885767599</v>
      </c>
      <c r="G241" s="67" t="s">
        <v>2379</v>
      </c>
      <c r="H241" s="11"/>
      <c r="I241" s="11"/>
    </row>
    <row r="242" spans="2:11" ht="20" x14ac:dyDescent="0.2">
      <c r="B242" s="96" t="s">
        <v>3536</v>
      </c>
      <c r="C242" s="22" t="s">
        <v>2844</v>
      </c>
      <c r="D242" s="22" t="s">
        <v>4235</v>
      </c>
      <c r="E242" s="269">
        <v>52.390608611282197</v>
      </c>
      <c r="F242" s="269">
        <v>-113.598753875071</v>
      </c>
      <c r="G242" s="67" t="s">
        <v>2379</v>
      </c>
      <c r="H242" s="79"/>
      <c r="I242" s="79"/>
    </row>
    <row r="243" spans="2:11" ht="20" x14ac:dyDescent="0.2">
      <c r="B243" s="96" t="s">
        <v>3537</v>
      </c>
      <c r="C243" s="22" t="s">
        <v>2617</v>
      </c>
      <c r="D243" s="22" t="s">
        <v>4237</v>
      </c>
      <c r="E243" s="269">
        <v>55.046359804045302</v>
      </c>
      <c r="F243" s="269">
        <v>-119.63321797302</v>
      </c>
      <c r="G243" s="67" t="s">
        <v>2379</v>
      </c>
      <c r="H243" s="11"/>
      <c r="I243" s="11"/>
    </row>
    <row r="244" spans="2:11" ht="20" x14ac:dyDescent="0.2">
      <c r="B244" s="96" t="s">
        <v>3538</v>
      </c>
      <c r="C244" s="22" t="s">
        <v>2845</v>
      </c>
      <c r="D244" s="22" t="s">
        <v>4235</v>
      </c>
      <c r="E244" s="269">
        <v>50.6741302803119</v>
      </c>
      <c r="F244" s="269">
        <v>-110.02885373293699</v>
      </c>
      <c r="G244" s="67" t="s">
        <v>2379</v>
      </c>
      <c r="H244" s="79"/>
      <c r="I244" s="79"/>
    </row>
    <row r="245" spans="2:11" ht="20" x14ac:dyDescent="0.2">
      <c r="B245" s="96" t="s">
        <v>3539</v>
      </c>
      <c r="C245" s="22" t="s">
        <v>3253</v>
      </c>
      <c r="D245" s="22" t="s">
        <v>4235</v>
      </c>
      <c r="E245" s="269">
        <v>50.6787605927966</v>
      </c>
      <c r="F245" s="269">
        <v>-110.05295107448499</v>
      </c>
      <c r="G245" s="67" t="s">
        <v>2379</v>
      </c>
      <c r="H245" s="79"/>
      <c r="I245" s="79"/>
    </row>
    <row r="246" spans="2:11" ht="20" x14ac:dyDescent="0.2">
      <c r="B246" s="96" t="s">
        <v>3540</v>
      </c>
      <c r="C246" s="22" t="s">
        <v>2147</v>
      </c>
      <c r="D246" s="22" t="s">
        <v>4235</v>
      </c>
      <c r="E246" s="269">
        <v>50.688515535957102</v>
      </c>
      <c r="F246" s="269">
        <v>-110.051040429751</v>
      </c>
      <c r="G246" s="67" t="s">
        <v>2379</v>
      </c>
      <c r="H246" s="79"/>
      <c r="I246" s="79"/>
      <c r="K246" s="183"/>
    </row>
    <row r="247" spans="2:11" ht="20" x14ac:dyDescent="0.2">
      <c r="B247" s="96" t="s">
        <v>3541</v>
      </c>
      <c r="C247" s="22" t="s">
        <v>2846</v>
      </c>
      <c r="D247" s="22" t="s">
        <v>4235</v>
      </c>
      <c r="E247" s="269">
        <v>50.280217252541902</v>
      </c>
      <c r="F247" s="269">
        <v>-112.41135437637401</v>
      </c>
      <c r="G247" s="67" t="s">
        <v>2379</v>
      </c>
      <c r="H247" s="79"/>
      <c r="I247" s="79"/>
    </row>
    <row r="248" spans="2:11" ht="20" x14ac:dyDescent="0.2">
      <c r="B248" s="96" t="s">
        <v>3542</v>
      </c>
      <c r="C248" s="22" t="s">
        <v>2148</v>
      </c>
      <c r="D248" s="22" t="s">
        <v>4235</v>
      </c>
      <c r="E248" s="269">
        <v>50.278827997800597</v>
      </c>
      <c r="F248" s="269">
        <v>-112.112236058698</v>
      </c>
      <c r="G248" s="67" t="s">
        <v>2379</v>
      </c>
      <c r="H248" s="79"/>
      <c r="I248" s="79"/>
      <c r="K248" s="183"/>
    </row>
    <row r="249" spans="2:11" ht="20" x14ac:dyDescent="0.2">
      <c r="B249" s="96" t="s">
        <v>3543</v>
      </c>
      <c r="C249" s="22" t="s">
        <v>2847</v>
      </c>
      <c r="D249" s="22" t="s">
        <v>4237</v>
      </c>
      <c r="E249" s="269">
        <v>56.198542407074399</v>
      </c>
      <c r="F249" s="269">
        <v>-110.944900165457</v>
      </c>
      <c r="G249" s="67" t="s">
        <v>2379</v>
      </c>
      <c r="H249" s="79"/>
      <c r="I249" s="79"/>
    </row>
    <row r="250" spans="2:11" ht="20" x14ac:dyDescent="0.2">
      <c r="B250" s="96" t="s">
        <v>3544</v>
      </c>
      <c r="C250" s="22" t="s">
        <v>2848</v>
      </c>
      <c r="D250" s="22" t="s">
        <v>4235</v>
      </c>
      <c r="E250" s="301">
        <v>53.583248029361997</v>
      </c>
      <c r="F250" s="269">
        <v>-114.985351988289</v>
      </c>
      <c r="G250" s="67" t="s">
        <v>2379</v>
      </c>
      <c r="H250" s="79"/>
      <c r="I250" s="79"/>
    </row>
    <row r="251" spans="2:11" ht="20" x14ac:dyDescent="0.2">
      <c r="B251" s="96" t="s">
        <v>3545</v>
      </c>
      <c r="C251" s="22" t="s">
        <v>2849</v>
      </c>
      <c r="D251" s="22" t="s">
        <v>4235</v>
      </c>
      <c r="E251" s="269">
        <v>52.989877034780598</v>
      </c>
      <c r="F251" s="269">
        <v>-112.90820766671099</v>
      </c>
      <c r="G251" s="67" t="s">
        <v>2379</v>
      </c>
      <c r="H251" s="79"/>
      <c r="I251" s="79"/>
    </row>
    <row r="252" spans="2:11" ht="20" x14ac:dyDescent="0.2">
      <c r="B252" s="96" t="s">
        <v>3546</v>
      </c>
      <c r="C252" s="22" t="s">
        <v>3254</v>
      </c>
      <c r="D252" s="22" t="s">
        <v>4235</v>
      </c>
      <c r="E252" s="269">
        <v>54.475945536476502</v>
      </c>
      <c r="F252" s="269">
        <v>-115.642436548483</v>
      </c>
      <c r="G252" s="67" t="s">
        <v>2379</v>
      </c>
      <c r="H252" s="79"/>
      <c r="I252" s="79"/>
    </row>
    <row r="253" spans="2:11" ht="20" x14ac:dyDescent="0.2">
      <c r="B253" s="96" t="s">
        <v>3547</v>
      </c>
      <c r="C253" s="22" t="s">
        <v>2115</v>
      </c>
      <c r="D253" s="22" t="s">
        <v>4235</v>
      </c>
      <c r="E253" s="269">
        <v>54.460514499034197</v>
      </c>
      <c r="F253" s="269">
        <v>-115.57440775262999</v>
      </c>
      <c r="G253" s="67" t="s">
        <v>2379</v>
      </c>
      <c r="H253" s="79"/>
      <c r="I253" s="79"/>
      <c r="K253" s="183"/>
    </row>
    <row r="254" spans="2:11" ht="20" x14ac:dyDescent="0.2">
      <c r="B254" s="96" t="s">
        <v>3548</v>
      </c>
      <c r="C254" s="22" t="s">
        <v>2850</v>
      </c>
      <c r="D254" s="22" t="s">
        <v>4237</v>
      </c>
      <c r="E254" s="269">
        <v>54.541389000333801</v>
      </c>
      <c r="F254" s="269">
        <v>-110.369281852</v>
      </c>
      <c r="G254" s="67" t="s">
        <v>2379</v>
      </c>
      <c r="H254" s="79"/>
      <c r="I254" s="79"/>
    </row>
    <row r="255" spans="2:11" ht="20" x14ac:dyDescent="0.2">
      <c r="B255" s="96" t="s">
        <v>3549</v>
      </c>
      <c r="C255" s="22" t="s">
        <v>2851</v>
      </c>
      <c r="D255" s="22" t="s">
        <v>4237</v>
      </c>
      <c r="E255" s="269">
        <v>56.422922767107202</v>
      </c>
      <c r="F255" s="269">
        <v>-119.00406543648</v>
      </c>
      <c r="G255" s="67" t="s">
        <v>2379</v>
      </c>
      <c r="H255" s="79"/>
      <c r="I255" s="79"/>
    </row>
    <row r="256" spans="2:11" ht="20" x14ac:dyDescent="0.2">
      <c r="B256" s="96" t="s">
        <v>3550</v>
      </c>
      <c r="C256" s="22" t="s">
        <v>2852</v>
      </c>
      <c r="D256" s="22" t="s">
        <v>4237</v>
      </c>
      <c r="E256" s="269">
        <v>51.415494721771402</v>
      </c>
      <c r="F256" s="269">
        <v>-110.52755974620599</v>
      </c>
      <c r="G256" s="67" t="s">
        <v>2379</v>
      </c>
      <c r="H256" s="79"/>
      <c r="I256" s="79"/>
    </row>
    <row r="257" spans="2:11" ht="20" x14ac:dyDescent="0.2">
      <c r="B257" s="96" t="s">
        <v>3551</v>
      </c>
      <c r="C257" s="22" t="s">
        <v>2853</v>
      </c>
      <c r="D257" s="22" t="s">
        <v>4235</v>
      </c>
      <c r="E257" s="269">
        <v>51.059595724403103</v>
      </c>
      <c r="F257" s="269">
        <v>-115.16778691043299</v>
      </c>
      <c r="G257" s="67" t="s">
        <v>2379</v>
      </c>
      <c r="H257" s="79"/>
      <c r="I257" s="79"/>
    </row>
    <row r="258" spans="2:11" ht="20" x14ac:dyDescent="0.2">
      <c r="B258" s="96" t="s">
        <v>3552</v>
      </c>
      <c r="C258" s="22" t="s">
        <v>2140</v>
      </c>
      <c r="D258" s="22" t="s">
        <v>4235</v>
      </c>
      <c r="E258" s="269">
        <v>51.058030026664497</v>
      </c>
      <c r="F258" s="269">
        <v>-115.170121887243</v>
      </c>
      <c r="G258" s="67" t="s">
        <v>2379</v>
      </c>
      <c r="H258" s="79"/>
      <c r="I258" s="79"/>
      <c r="K258" s="183"/>
    </row>
    <row r="259" spans="2:11" ht="20" x14ac:dyDescent="0.2">
      <c r="B259" s="96" t="s">
        <v>3553</v>
      </c>
      <c r="C259" s="22" t="s">
        <v>2854</v>
      </c>
      <c r="D259" s="22" t="s">
        <v>4235</v>
      </c>
      <c r="E259" s="269">
        <v>52.3476088356989</v>
      </c>
      <c r="F259" s="269">
        <v>-110.767492396874</v>
      </c>
      <c r="G259" s="67" t="s">
        <v>2379</v>
      </c>
      <c r="H259" s="79"/>
      <c r="I259" s="79"/>
    </row>
    <row r="260" spans="2:11" ht="20" x14ac:dyDescent="0.2">
      <c r="B260" s="96" t="s">
        <v>4029</v>
      </c>
      <c r="C260" s="22" t="s">
        <v>3255</v>
      </c>
      <c r="D260" s="22" t="s">
        <v>4235</v>
      </c>
      <c r="E260" s="269">
        <v>54.500457813348902</v>
      </c>
      <c r="F260" s="269">
        <v>-115.41915076091701</v>
      </c>
      <c r="G260" s="67" t="s">
        <v>2379</v>
      </c>
      <c r="H260" s="79"/>
      <c r="I260" s="79"/>
    </row>
    <row r="261" spans="2:11" ht="20" x14ac:dyDescent="0.2">
      <c r="B261" s="96" t="s">
        <v>4277</v>
      </c>
      <c r="C261" s="22" t="s">
        <v>4279</v>
      </c>
      <c r="D261" s="22" t="s">
        <v>4235</v>
      </c>
      <c r="E261" s="269">
        <v>53.571262664636301</v>
      </c>
      <c r="F261" s="269">
        <v>-113.349732995181</v>
      </c>
      <c r="G261" s="67" t="s">
        <v>2379</v>
      </c>
      <c r="H261" s="79"/>
      <c r="I261" s="79"/>
    </row>
    <row r="262" spans="2:11" ht="20" x14ac:dyDescent="0.2">
      <c r="B262" s="96" t="s">
        <v>4278</v>
      </c>
      <c r="C262" s="22" t="s">
        <v>4280</v>
      </c>
      <c r="D262" s="22" t="s">
        <v>4235</v>
      </c>
      <c r="E262" s="269">
        <v>53.572505997328797</v>
      </c>
      <c r="F262" s="269">
        <v>-113.34279630501101</v>
      </c>
      <c r="G262" s="67" t="s">
        <v>2379</v>
      </c>
      <c r="H262" s="79"/>
      <c r="I262" s="79"/>
      <c r="K262" s="183"/>
    </row>
    <row r="263" spans="2:11" ht="20" x14ac:dyDescent="0.2">
      <c r="B263" s="96" t="s">
        <v>3554</v>
      </c>
      <c r="C263" s="22" t="s">
        <v>2856</v>
      </c>
      <c r="D263" s="22" t="s">
        <v>4235</v>
      </c>
      <c r="E263" s="269">
        <v>53.428630251136603</v>
      </c>
      <c r="F263" s="269">
        <v>-116.709910093376</v>
      </c>
      <c r="G263" s="67" t="s">
        <v>2379</v>
      </c>
      <c r="H263" s="79"/>
      <c r="I263" s="79"/>
    </row>
    <row r="264" spans="2:11" ht="20" x14ac:dyDescent="0.2">
      <c r="B264" s="96" t="s">
        <v>3555</v>
      </c>
      <c r="C264" s="22" t="s">
        <v>2857</v>
      </c>
      <c r="D264" s="22" t="s">
        <v>4235</v>
      </c>
      <c r="E264" s="269">
        <v>49.569204933516502</v>
      </c>
      <c r="F264" s="269">
        <v>-113.82165002719999</v>
      </c>
      <c r="G264" s="67" t="s">
        <v>2379</v>
      </c>
      <c r="H264" s="11"/>
      <c r="I264" s="11"/>
    </row>
    <row r="265" spans="2:11" ht="20" x14ac:dyDescent="0.2">
      <c r="B265" s="96" t="s">
        <v>3556</v>
      </c>
      <c r="C265" s="22" t="s">
        <v>2628</v>
      </c>
      <c r="D265" s="22" t="s">
        <v>4237</v>
      </c>
      <c r="E265" s="269">
        <v>54.516664338093499</v>
      </c>
      <c r="F265" s="269">
        <v>-115.504710814696</v>
      </c>
      <c r="G265" s="67" t="s">
        <v>2379</v>
      </c>
      <c r="H265" s="79"/>
      <c r="I265" s="79"/>
    </row>
    <row r="266" spans="2:11" ht="20" x14ac:dyDescent="0.2">
      <c r="B266" s="96" t="s">
        <v>3557</v>
      </c>
      <c r="C266" s="22" t="s">
        <v>2858</v>
      </c>
      <c r="D266" s="22" t="s">
        <v>4235</v>
      </c>
      <c r="E266" s="269">
        <v>49.817006111359497</v>
      </c>
      <c r="F266" s="269">
        <v>-111.967733975936</v>
      </c>
      <c r="G266" s="67" t="s">
        <v>2379</v>
      </c>
      <c r="H266" s="11"/>
      <c r="I266" s="11"/>
    </row>
    <row r="267" spans="2:11" ht="20" x14ac:dyDescent="0.2">
      <c r="B267" s="96" t="s">
        <v>3558</v>
      </c>
      <c r="C267" s="22" t="s">
        <v>2859</v>
      </c>
      <c r="D267" s="22" t="s">
        <v>4235</v>
      </c>
      <c r="E267" s="269">
        <v>54.768880579323699</v>
      </c>
      <c r="F267" s="269">
        <v>-112.67558965786201</v>
      </c>
      <c r="G267" s="67" t="s">
        <v>2379</v>
      </c>
      <c r="H267" s="79"/>
      <c r="I267" s="79"/>
    </row>
    <row r="268" spans="2:11" ht="20" x14ac:dyDescent="0.2">
      <c r="B268" s="96" t="s">
        <v>3559</v>
      </c>
      <c r="C268" s="22" t="s">
        <v>2155</v>
      </c>
      <c r="D268" s="22" t="s">
        <v>4235</v>
      </c>
      <c r="E268" s="269">
        <v>54.762121860654297</v>
      </c>
      <c r="F268" s="269">
        <v>-112.674860654103</v>
      </c>
      <c r="G268" s="67" t="s">
        <v>2379</v>
      </c>
      <c r="H268" s="79"/>
      <c r="I268" s="79"/>
      <c r="K268" s="183"/>
    </row>
    <row r="269" spans="2:11" ht="20" x14ac:dyDescent="0.2">
      <c r="B269" s="96" t="s">
        <v>3560</v>
      </c>
      <c r="C269" s="22" t="s">
        <v>2860</v>
      </c>
      <c r="D269" s="22" t="s">
        <v>4235</v>
      </c>
      <c r="E269" s="269">
        <v>54.7330604261441</v>
      </c>
      <c r="F269" s="269">
        <v>-114.100934404223</v>
      </c>
      <c r="G269" s="67" t="s">
        <v>2379</v>
      </c>
      <c r="H269" s="79"/>
      <c r="I269" s="79"/>
    </row>
    <row r="270" spans="2:11" ht="20" x14ac:dyDescent="0.2">
      <c r="B270" s="96" t="s">
        <v>3561</v>
      </c>
      <c r="C270" s="22" t="s">
        <v>2209</v>
      </c>
      <c r="D270" s="22" t="s">
        <v>4235</v>
      </c>
      <c r="E270" s="269">
        <v>54.181239197080103</v>
      </c>
      <c r="F270" s="269">
        <v>-113.900695690381</v>
      </c>
      <c r="G270" s="67" t="s">
        <v>2379</v>
      </c>
      <c r="H270" s="79"/>
      <c r="I270" s="79"/>
      <c r="K270" s="183"/>
    </row>
    <row r="271" spans="2:11" ht="20" x14ac:dyDescent="0.2">
      <c r="B271" s="96" t="s">
        <v>3562</v>
      </c>
      <c r="C271" s="22" t="s">
        <v>2861</v>
      </c>
      <c r="D271" s="22" t="s">
        <v>4237</v>
      </c>
      <c r="E271" s="269">
        <v>55.133064945885501</v>
      </c>
      <c r="F271" s="269">
        <v>-118.84767462471601</v>
      </c>
      <c r="G271" s="67" t="s">
        <v>2379</v>
      </c>
      <c r="H271" s="11"/>
      <c r="I271" s="11"/>
    </row>
    <row r="272" spans="2:11" ht="20" x14ac:dyDescent="0.2">
      <c r="B272" s="96" t="s">
        <v>3563</v>
      </c>
      <c r="C272" s="22" t="s">
        <v>2862</v>
      </c>
      <c r="D272" s="22" t="s">
        <v>4235</v>
      </c>
      <c r="E272" s="269">
        <v>50.598059417472399</v>
      </c>
      <c r="F272" s="269">
        <v>-113.71447858017601</v>
      </c>
      <c r="G272" s="67" t="s">
        <v>2379</v>
      </c>
      <c r="H272" s="11"/>
      <c r="I272" s="11"/>
    </row>
    <row r="273" spans="2:11" ht="20" x14ac:dyDescent="0.2">
      <c r="B273" s="96" t="s">
        <v>3564</v>
      </c>
      <c r="C273" s="22" t="s">
        <v>2863</v>
      </c>
      <c r="D273" s="22" t="s">
        <v>4235</v>
      </c>
      <c r="E273" s="269">
        <v>54.311672033386998</v>
      </c>
      <c r="F273" s="269">
        <v>-114.768717535441</v>
      </c>
      <c r="G273" s="67" t="s">
        <v>2379</v>
      </c>
      <c r="H273" s="79"/>
      <c r="I273" s="79"/>
    </row>
    <row r="274" spans="2:11" ht="20" x14ac:dyDescent="0.2">
      <c r="B274" s="96" t="s">
        <v>3565</v>
      </c>
      <c r="C274" s="22" t="s">
        <v>2168</v>
      </c>
      <c r="D274" s="22" t="s">
        <v>4235</v>
      </c>
      <c r="E274" s="269">
        <v>54.312354740467001</v>
      </c>
      <c r="F274" s="269">
        <v>-114.769666575993</v>
      </c>
      <c r="G274" s="67" t="s">
        <v>2379</v>
      </c>
      <c r="H274" s="79"/>
      <c r="I274" s="79"/>
      <c r="K274" s="183"/>
    </row>
    <row r="275" spans="2:11" ht="20" x14ac:dyDescent="0.2">
      <c r="B275" s="273" t="s">
        <v>3566</v>
      </c>
      <c r="C275" s="22" t="s">
        <v>2673</v>
      </c>
      <c r="D275" s="22" t="s">
        <v>4238</v>
      </c>
      <c r="E275" s="269">
        <v>57.390711144419797</v>
      </c>
      <c r="F275" s="269">
        <v>-111.587174288618</v>
      </c>
      <c r="G275" s="67" t="s">
        <v>2379</v>
      </c>
      <c r="H275" s="79"/>
      <c r="I275" s="79"/>
    </row>
    <row r="276" spans="2:11" ht="20" x14ac:dyDescent="0.2">
      <c r="B276" s="96" t="s">
        <v>3567</v>
      </c>
      <c r="C276" s="22" t="s">
        <v>2691</v>
      </c>
      <c r="D276" s="22" t="s">
        <v>4235</v>
      </c>
      <c r="E276" s="269">
        <v>49.728171044103597</v>
      </c>
      <c r="F276" s="269">
        <v>-113.391367574553</v>
      </c>
      <c r="G276" s="67" t="s">
        <v>2379</v>
      </c>
      <c r="H276" s="79"/>
      <c r="I276" s="79"/>
    </row>
    <row r="277" spans="2:11" ht="20" x14ac:dyDescent="0.2">
      <c r="B277" s="96" t="s">
        <v>3568</v>
      </c>
      <c r="C277" s="22" t="s">
        <v>2864</v>
      </c>
      <c r="D277" s="22" t="s">
        <v>4235</v>
      </c>
      <c r="E277" s="269">
        <v>53.714510426015799</v>
      </c>
      <c r="F277" s="269">
        <v>-113.190547016347</v>
      </c>
      <c r="G277" s="67" t="s">
        <v>2379</v>
      </c>
      <c r="H277" s="11"/>
      <c r="I277" s="11"/>
    </row>
    <row r="278" spans="2:11" ht="20" x14ac:dyDescent="0.2">
      <c r="B278" s="96" t="s">
        <v>4030</v>
      </c>
      <c r="C278" s="22" t="s">
        <v>3256</v>
      </c>
      <c r="D278" s="22" t="s">
        <v>4235</v>
      </c>
      <c r="E278" s="269">
        <v>53.736184202692598</v>
      </c>
      <c r="F278" s="269">
        <v>-113.17409204339</v>
      </c>
      <c r="G278" s="67" t="s">
        <v>2379</v>
      </c>
      <c r="H278" s="79"/>
      <c r="I278" s="79"/>
    </row>
    <row r="279" spans="2:11" ht="20" x14ac:dyDescent="0.2">
      <c r="B279" s="96" t="s">
        <v>3569</v>
      </c>
      <c r="C279" s="22" t="s">
        <v>2674</v>
      </c>
      <c r="D279" s="22" t="s">
        <v>4237</v>
      </c>
      <c r="E279" s="269">
        <v>55.067701474045002</v>
      </c>
      <c r="F279" s="269">
        <v>-110.536956272566</v>
      </c>
      <c r="G279" s="67" t="s">
        <v>2379</v>
      </c>
      <c r="H279" s="79"/>
      <c r="I279" s="79"/>
    </row>
    <row r="280" spans="2:11" ht="20" x14ac:dyDescent="0.2">
      <c r="B280" s="96" t="s">
        <v>3570</v>
      </c>
      <c r="C280" s="22" t="s">
        <v>2865</v>
      </c>
      <c r="D280" s="22" t="s">
        <v>4237</v>
      </c>
      <c r="E280" s="269">
        <v>54.408078645681599</v>
      </c>
      <c r="F280" s="269">
        <v>-116.850081304772</v>
      </c>
      <c r="G280" s="67" t="s">
        <v>2379</v>
      </c>
      <c r="H280" s="11"/>
      <c r="I280" s="11"/>
    </row>
    <row r="281" spans="2:11" ht="20" x14ac:dyDescent="0.2">
      <c r="B281" s="96" t="s">
        <v>3571</v>
      </c>
      <c r="C281" s="22" t="s">
        <v>2866</v>
      </c>
      <c r="D281" s="22" t="s">
        <v>4235</v>
      </c>
      <c r="E281" s="269">
        <v>54.3218313687292</v>
      </c>
      <c r="F281" s="269">
        <v>-116.60892649808299</v>
      </c>
      <c r="G281" s="67" t="s">
        <v>2379</v>
      </c>
      <c r="H281" s="79"/>
      <c r="I281" s="79"/>
    </row>
    <row r="282" spans="2:11" ht="20" x14ac:dyDescent="0.2">
      <c r="B282" s="96" t="s">
        <v>3572</v>
      </c>
      <c r="C282" s="22" t="s">
        <v>2867</v>
      </c>
      <c r="D282" s="22" t="s">
        <v>4237</v>
      </c>
      <c r="E282" s="269">
        <v>54.690311485118599</v>
      </c>
      <c r="F282" s="269">
        <v>-115.53331674398299</v>
      </c>
      <c r="G282" s="67" t="s">
        <v>2379</v>
      </c>
      <c r="H282" s="79"/>
      <c r="I282" s="79"/>
    </row>
    <row r="283" spans="2:11" ht="20" x14ac:dyDescent="0.2">
      <c r="B283" s="96" t="s">
        <v>3573</v>
      </c>
      <c r="C283" s="22" t="s">
        <v>2868</v>
      </c>
      <c r="D283" s="22" t="s">
        <v>4237</v>
      </c>
      <c r="E283" s="269">
        <v>56.060353337358102</v>
      </c>
      <c r="F283" s="269">
        <v>-118.364544548654</v>
      </c>
      <c r="G283" s="67" t="s">
        <v>2379</v>
      </c>
      <c r="H283" s="79"/>
      <c r="I283" s="79"/>
    </row>
    <row r="284" spans="2:11" ht="20" x14ac:dyDescent="0.2">
      <c r="B284" s="96" t="s">
        <v>3574</v>
      </c>
      <c r="C284" s="22" t="s">
        <v>2869</v>
      </c>
      <c r="D284" s="22" t="s">
        <v>4235</v>
      </c>
      <c r="E284" s="269">
        <v>52.302068292858401</v>
      </c>
      <c r="F284" s="269">
        <v>-113.728788423472</v>
      </c>
      <c r="G284" s="67" t="s">
        <v>2379</v>
      </c>
      <c r="H284" s="79"/>
      <c r="I284" s="79"/>
    </row>
    <row r="285" spans="2:11" ht="20" x14ac:dyDescent="0.2">
      <c r="B285" s="96" t="s">
        <v>3575</v>
      </c>
      <c r="C285" s="22" t="s">
        <v>2870</v>
      </c>
      <c r="D285" s="22" t="s">
        <v>4235</v>
      </c>
      <c r="E285" s="269">
        <v>49.385946444158598</v>
      </c>
      <c r="F285" s="269">
        <v>-112.943463138008</v>
      </c>
      <c r="G285" s="67" t="s">
        <v>2379</v>
      </c>
      <c r="H285" s="79"/>
      <c r="I285" s="79"/>
    </row>
    <row r="286" spans="2:11" ht="20" x14ac:dyDescent="0.2">
      <c r="B286" s="96" t="s">
        <v>3948</v>
      </c>
      <c r="C286" s="22" t="s">
        <v>2193</v>
      </c>
      <c r="D286" s="22" t="s">
        <v>4235</v>
      </c>
      <c r="E286" s="269">
        <v>49.421400271186897</v>
      </c>
      <c r="F286" s="269">
        <v>-112.89844803611</v>
      </c>
      <c r="G286" s="67" t="s">
        <v>2379</v>
      </c>
      <c r="H286" s="79"/>
      <c r="I286" s="79"/>
      <c r="K286" s="183"/>
    </row>
    <row r="287" spans="2:11" ht="20" x14ac:dyDescent="0.2">
      <c r="B287" s="96" t="s">
        <v>3576</v>
      </c>
      <c r="C287" s="22" t="s">
        <v>2871</v>
      </c>
      <c r="D287" s="22" t="s">
        <v>4239</v>
      </c>
      <c r="E287" s="269">
        <v>53.520679812710497</v>
      </c>
      <c r="F287" s="269">
        <v>-113.51871638902099</v>
      </c>
      <c r="G287" s="67" t="s">
        <v>2379</v>
      </c>
      <c r="H287" s="79"/>
      <c r="I287" s="79"/>
    </row>
    <row r="288" spans="2:11" ht="20" x14ac:dyDescent="0.2">
      <c r="B288" s="96" t="s">
        <v>3577</v>
      </c>
      <c r="C288" s="22" t="s">
        <v>2872</v>
      </c>
      <c r="D288" s="22" t="s">
        <v>4235</v>
      </c>
      <c r="E288" s="269">
        <v>53.345000557433202</v>
      </c>
      <c r="F288" s="269">
        <v>-114.304051203725</v>
      </c>
      <c r="G288" s="67" t="s">
        <v>2379</v>
      </c>
      <c r="H288" s="11"/>
      <c r="I288" s="11"/>
    </row>
    <row r="289" spans="2:11" ht="20" x14ac:dyDescent="0.2">
      <c r="B289" s="96" t="s">
        <v>3578</v>
      </c>
      <c r="C289" s="22" t="s">
        <v>2873</v>
      </c>
      <c r="D289" s="22" t="s">
        <v>4237</v>
      </c>
      <c r="E289" s="269">
        <v>56.367111865475103</v>
      </c>
      <c r="F289" s="269">
        <v>-113.39538198439401</v>
      </c>
      <c r="G289" s="67" t="s">
        <v>2379</v>
      </c>
      <c r="H289" s="79"/>
      <c r="I289" s="79"/>
    </row>
    <row r="290" spans="2:11" ht="20" x14ac:dyDescent="0.2">
      <c r="B290" s="96" t="s">
        <v>3579</v>
      </c>
      <c r="C290" s="22" t="s">
        <v>2675</v>
      </c>
      <c r="D290" s="22" t="s">
        <v>4235</v>
      </c>
      <c r="E290" s="269">
        <v>51.218518870485703</v>
      </c>
      <c r="F290" s="269">
        <v>-114.706634050631</v>
      </c>
      <c r="G290" s="67" t="s">
        <v>2379</v>
      </c>
      <c r="H290" s="79"/>
      <c r="I290" s="79"/>
    </row>
    <row r="291" spans="2:11" ht="20" x14ac:dyDescent="0.2">
      <c r="B291" s="96" t="s">
        <v>3580</v>
      </c>
      <c r="C291" s="22" t="s">
        <v>2623</v>
      </c>
      <c r="D291" s="22" t="s">
        <v>4237</v>
      </c>
      <c r="E291" s="269">
        <v>51.8723478</v>
      </c>
      <c r="F291" s="269">
        <v>-113.31805199999999</v>
      </c>
      <c r="G291" s="67" t="s">
        <v>2379</v>
      </c>
      <c r="H291" s="79"/>
      <c r="I291" s="79"/>
    </row>
    <row r="292" spans="2:11" ht="20" x14ac:dyDescent="0.2">
      <c r="B292" s="96" t="s">
        <v>3949</v>
      </c>
      <c r="C292" s="22" t="s">
        <v>2165</v>
      </c>
      <c r="D292" s="22" t="s">
        <v>4237</v>
      </c>
      <c r="E292" s="269">
        <v>51.911317695776397</v>
      </c>
      <c r="F292" s="269">
        <v>-113.241354787509</v>
      </c>
      <c r="G292" s="67" t="s">
        <v>2379</v>
      </c>
      <c r="H292" s="79"/>
      <c r="I292" s="79"/>
    </row>
    <row r="293" spans="2:11" ht="20" x14ac:dyDescent="0.2">
      <c r="B293" s="96" t="s">
        <v>3581</v>
      </c>
      <c r="C293" s="22" t="s">
        <v>2874</v>
      </c>
      <c r="D293" s="22" t="s">
        <v>4235</v>
      </c>
      <c r="E293" s="269">
        <v>50.848579796258399</v>
      </c>
      <c r="F293" s="269">
        <v>-113.051025403653</v>
      </c>
      <c r="G293" s="67" t="s">
        <v>2379</v>
      </c>
      <c r="H293" s="79"/>
      <c r="I293" s="79"/>
    </row>
    <row r="294" spans="2:11" ht="20" x14ac:dyDescent="0.2">
      <c r="B294" s="96" t="s">
        <v>3582</v>
      </c>
      <c r="C294" s="22" t="s">
        <v>2602</v>
      </c>
      <c r="D294" s="22" t="s">
        <v>4235</v>
      </c>
      <c r="E294" s="269">
        <v>49.348727043627697</v>
      </c>
      <c r="F294" s="269">
        <v>-113.38759970285599</v>
      </c>
      <c r="G294" s="67" t="s">
        <v>2379</v>
      </c>
      <c r="H294" s="79"/>
      <c r="I294" s="79"/>
    </row>
    <row r="295" spans="2:11" ht="20" x14ac:dyDescent="0.2">
      <c r="B295" s="96" t="s">
        <v>3583</v>
      </c>
      <c r="C295" s="22" t="s">
        <v>2875</v>
      </c>
      <c r="D295" s="22" t="s">
        <v>4237</v>
      </c>
      <c r="E295" s="269">
        <v>55.286149458745598</v>
      </c>
      <c r="F295" s="269">
        <v>-119.614070291782</v>
      </c>
      <c r="G295" s="67" t="s">
        <v>2379</v>
      </c>
      <c r="H295" s="11"/>
      <c r="I295" s="11"/>
    </row>
    <row r="296" spans="2:11" ht="20" x14ac:dyDescent="0.2">
      <c r="B296" s="96" t="s">
        <v>3584</v>
      </c>
      <c r="C296" s="22" t="s">
        <v>2620</v>
      </c>
      <c r="D296" s="22" t="s">
        <v>4235</v>
      </c>
      <c r="E296" s="269">
        <v>49.515548869992003</v>
      </c>
      <c r="F296" s="269">
        <v>-113.92319256844399</v>
      </c>
      <c r="G296" s="67" t="s">
        <v>2379</v>
      </c>
      <c r="H296" s="11"/>
      <c r="I296" s="11"/>
    </row>
    <row r="297" spans="2:11" ht="20" x14ac:dyDescent="0.2">
      <c r="B297" s="96" t="s">
        <v>3585</v>
      </c>
      <c r="C297" s="22" t="s">
        <v>2876</v>
      </c>
      <c r="D297" s="22" t="s">
        <v>4237</v>
      </c>
      <c r="E297" s="269">
        <v>54.694094873883699</v>
      </c>
      <c r="F297" s="269">
        <v>-116.643505522872</v>
      </c>
      <c r="G297" s="67" t="s">
        <v>2379</v>
      </c>
      <c r="H297" s="79"/>
      <c r="I297" s="79"/>
    </row>
    <row r="298" spans="2:11" ht="20" x14ac:dyDescent="0.2">
      <c r="B298" s="96" t="s">
        <v>3586</v>
      </c>
      <c r="C298" s="22" t="s">
        <v>2877</v>
      </c>
      <c r="D298" s="22" t="s">
        <v>4237</v>
      </c>
      <c r="E298" s="269">
        <v>54.4098891542369</v>
      </c>
      <c r="F298" s="269">
        <v>-110.236265247999</v>
      </c>
      <c r="G298" s="67" t="s">
        <v>2379</v>
      </c>
      <c r="H298" s="79"/>
      <c r="I298" s="79"/>
    </row>
    <row r="299" spans="2:11" ht="20" x14ac:dyDescent="0.2">
      <c r="B299" s="96" t="s">
        <v>3587</v>
      </c>
      <c r="C299" s="22" t="s">
        <v>2878</v>
      </c>
      <c r="D299" s="22" t="s">
        <v>4235</v>
      </c>
      <c r="E299" s="269">
        <v>53.816119731647902</v>
      </c>
      <c r="F299" s="269">
        <v>-113.12572290571001</v>
      </c>
      <c r="G299" s="67" t="s">
        <v>2379</v>
      </c>
      <c r="H299" s="79"/>
      <c r="I299" s="79"/>
    </row>
    <row r="300" spans="2:11" ht="20" x14ac:dyDescent="0.2">
      <c r="B300" s="96" t="s">
        <v>4381</v>
      </c>
      <c r="C300" s="22" t="s">
        <v>4382</v>
      </c>
      <c r="D300" s="22" t="s">
        <v>4235</v>
      </c>
      <c r="E300" s="269">
        <v>50.0350053594439</v>
      </c>
      <c r="F300" s="269">
        <v>-113.39122325544101</v>
      </c>
      <c r="G300" s="67" t="s">
        <v>2379</v>
      </c>
      <c r="H300" s="79"/>
      <c r="I300" s="79"/>
      <c r="K300" s="183"/>
    </row>
    <row r="301" spans="2:11" ht="20" x14ac:dyDescent="0.2">
      <c r="B301" s="96" t="s">
        <v>3588</v>
      </c>
      <c r="C301" s="22" t="s">
        <v>2879</v>
      </c>
      <c r="D301" s="22" t="s">
        <v>4235</v>
      </c>
      <c r="E301" s="269">
        <v>54.921362010190002</v>
      </c>
      <c r="F301" s="269">
        <v>-112.86405443951401</v>
      </c>
      <c r="G301" s="67" t="s">
        <v>2379</v>
      </c>
      <c r="H301" s="79"/>
      <c r="I301" s="79"/>
    </row>
    <row r="302" spans="2:11" ht="20" x14ac:dyDescent="0.2">
      <c r="B302" s="96" t="s">
        <v>3589</v>
      </c>
      <c r="C302" s="22" t="s">
        <v>2880</v>
      </c>
      <c r="D302" s="22" t="s">
        <v>4237</v>
      </c>
      <c r="E302" s="269">
        <v>57.242699980977903</v>
      </c>
      <c r="F302" s="269">
        <v>-111.071193120583</v>
      </c>
      <c r="G302" s="67" t="s">
        <v>2379</v>
      </c>
      <c r="H302" s="79"/>
      <c r="I302" s="79"/>
    </row>
    <row r="303" spans="2:11" ht="20" x14ac:dyDescent="0.2">
      <c r="B303" s="96" t="s">
        <v>3590</v>
      </c>
      <c r="C303" s="22" t="s">
        <v>2881</v>
      </c>
      <c r="D303" s="22" t="s">
        <v>4237</v>
      </c>
      <c r="E303" s="269">
        <v>56.4668556331209</v>
      </c>
      <c r="F303" s="269">
        <v>-111.305662222343</v>
      </c>
      <c r="G303" s="67" t="s">
        <v>2379</v>
      </c>
      <c r="H303" s="79"/>
      <c r="I303" s="79"/>
    </row>
    <row r="304" spans="2:11" ht="20" x14ac:dyDescent="0.2">
      <c r="B304" s="96" t="s">
        <v>3591</v>
      </c>
      <c r="C304" s="22" t="s">
        <v>2882</v>
      </c>
      <c r="D304" s="22" t="s">
        <v>4235</v>
      </c>
      <c r="E304" s="269">
        <v>53.204711766644699</v>
      </c>
      <c r="F304" s="269">
        <v>-116.811354888156</v>
      </c>
      <c r="G304" s="67" t="s">
        <v>2379</v>
      </c>
      <c r="H304" s="79"/>
      <c r="I304" s="79"/>
    </row>
    <row r="305" spans="2:9" ht="20" x14ac:dyDescent="0.2">
      <c r="B305" s="96" t="s">
        <v>3950</v>
      </c>
      <c r="C305" s="22" t="s">
        <v>2138</v>
      </c>
      <c r="D305" s="22" t="s">
        <v>4235</v>
      </c>
      <c r="E305" s="269">
        <v>53.234092707302899</v>
      </c>
      <c r="F305" s="269">
        <v>-116.973446139191</v>
      </c>
      <c r="G305" s="67" t="s">
        <v>2379</v>
      </c>
      <c r="H305" s="79"/>
      <c r="I305" s="79"/>
    </row>
    <row r="306" spans="2:9" ht="20" x14ac:dyDescent="0.2">
      <c r="B306" s="96" t="s">
        <v>3592</v>
      </c>
      <c r="C306" s="22" t="s">
        <v>2680</v>
      </c>
      <c r="D306" s="22" t="s">
        <v>4237</v>
      </c>
      <c r="E306" s="269">
        <v>54.006605684407901</v>
      </c>
      <c r="F306" s="269">
        <v>-119.10223721116</v>
      </c>
      <c r="G306" s="67" t="s">
        <v>2379</v>
      </c>
      <c r="H306" s="79"/>
      <c r="I306" s="79"/>
    </row>
    <row r="307" spans="2:9" ht="20" x14ac:dyDescent="0.2">
      <c r="B307" s="96" t="s">
        <v>3593</v>
      </c>
      <c r="C307" s="22" t="s">
        <v>2883</v>
      </c>
      <c r="D307" s="22" t="s">
        <v>4237</v>
      </c>
      <c r="E307" s="269">
        <v>58.054437605067498</v>
      </c>
      <c r="F307" s="269">
        <v>-118.47164373107699</v>
      </c>
      <c r="G307" s="67" t="s">
        <v>2379</v>
      </c>
      <c r="H307" s="79"/>
      <c r="I307" s="79"/>
    </row>
    <row r="308" spans="2:9" ht="20" x14ac:dyDescent="0.2">
      <c r="B308" s="96" t="s">
        <v>3594</v>
      </c>
      <c r="C308" s="22" t="s">
        <v>2884</v>
      </c>
      <c r="D308" s="22" t="s">
        <v>4237</v>
      </c>
      <c r="E308" s="269">
        <v>56.626737988164798</v>
      </c>
      <c r="F308" s="269">
        <v>-111.34362718764901</v>
      </c>
      <c r="G308" s="67" t="s">
        <v>2379</v>
      </c>
      <c r="H308" s="79"/>
      <c r="I308" s="79"/>
    </row>
    <row r="309" spans="2:9" ht="20" x14ac:dyDescent="0.2">
      <c r="B309" s="96" t="s">
        <v>3951</v>
      </c>
      <c r="C309" s="22" t="s">
        <v>2180</v>
      </c>
      <c r="D309" s="22" t="s">
        <v>4237</v>
      </c>
      <c r="E309" s="269">
        <v>56.6267247834042</v>
      </c>
      <c r="F309" s="269">
        <v>-111.342436360455</v>
      </c>
      <c r="G309" s="67" t="s">
        <v>2379</v>
      </c>
      <c r="H309" s="79"/>
      <c r="I309" s="79"/>
    </row>
    <row r="310" spans="2:9" ht="20" x14ac:dyDescent="0.2">
      <c r="B310" s="96" t="s">
        <v>3595</v>
      </c>
      <c r="C310" s="22" t="s">
        <v>2676</v>
      </c>
      <c r="D310" s="22" t="s">
        <v>4237</v>
      </c>
      <c r="E310" s="269">
        <v>52.279407627794001</v>
      </c>
      <c r="F310" s="269">
        <v>-112.04913830581</v>
      </c>
      <c r="G310" s="67" t="s">
        <v>2379</v>
      </c>
      <c r="H310" s="79"/>
      <c r="I310" s="79"/>
    </row>
    <row r="311" spans="2:9" ht="20" x14ac:dyDescent="0.2">
      <c r="B311" s="96" t="s">
        <v>3596</v>
      </c>
      <c r="C311" s="22" t="s">
        <v>2885</v>
      </c>
      <c r="D311" s="22" t="s">
        <v>4237</v>
      </c>
      <c r="E311" s="269">
        <v>57.3651981454097</v>
      </c>
      <c r="F311" s="269">
        <v>-119.755509504594</v>
      </c>
      <c r="G311" s="67" t="s">
        <v>2379</v>
      </c>
      <c r="H311" s="79"/>
      <c r="I311" s="79"/>
    </row>
    <row r="312" spans="2:9" ht="20" x14ac:dyDescent="0.2">
      <c r="B312" s="96" t="s">
        <v>3597</v>
      </c>
      <c r="C312" s="22" t="s">
        <v>2886</v>
      </c>
      <c r="D312" s="22" t="s">
        <v>4237</v>
      </c>
      <c r="E312" s="269">
        <v>56.623741296956702</v>
      </c>
      <c r="F312" s="269">
        <v>-111.34245364574799</v>
      </c>
      <c r="G312" s="67" t="s">
        <v>2379</v>
      </c>
      <c r="H312" s="79"/>
      <c r="I312" s="79"/>
    </row>
    <row r="313" spans="2:9" ht="20" x14ac:dyDescent="0.2">
      <c r="B313" s="96" t="s">
        <v>3598</v>
      </c>
      <c r="C313" s="22" t="s">
        <v>2887</v>
      </c>
      <c r="D313" s="22" t="s">
        <v>4237</v>
      </c>
      <c r="E313" s="269">
        <v>51.633923304704197</v>
      </c>
      <c r="F313" s="269">
        <v>-111.91953084042299</v>
      </c>
      <c r="G313" s="67" t="s">
        <v>2379</v>
      </c>
      <c r="H313" s="79"/>
      <c r="I313" s="79"/>
    </row>
    <row r="314" spans="2:9" ht="20" x14ac:dyDescent="0.2">
      <c r="B314" s="96" t="s">
        <v>3599</v>
      </c>
      <c r="C314" s="22" t="s">
        <v>2888</v>
      </c>
      <c r="D314" s="22" t="s">
        <v>4235</v>
      </c>
      <c r="E314" s="269">
        <v>52.406919848453597</v>
      </c>
      <c r="F314" s="269">
        <v>-110.586554575232</v>
      </c>
      <c r="G314" s="67" t="s">
        <v>2379</v>
      </c>
      <c r="H314" s="11"/>
      <c r="I314" s="11"/>
    </row>
    <row r="315" spans="2:9" ht="20" x14ac:dyDescent="0.2">
      <c r="B315" s="96" t="s">
        <v>3600</v>
      </c>
      <c r="C315" s="22" t="s">
        <v>2890</v>
      </c>
      <c r="D315" s="22" t="s">
        <v>4235</v>
      </c>
      <c r="E315" s="269">
        <v>52.645111075076002</v>
      </c>
      <c r="F315" s="269">
        <v>-111.275781409012</v>
      </c>
      <c r="G315" s="67" t="s">
        <v>2379</v>
      </c>
      <c r="H315" s="79"/>
      <c r="I315" s="79"/>
    </row>
    <row r="316" spans="2:9" ht="20" x14ac:dyDescent="0.2">
      <c r="B316" s="96" t="s">
        <v>3601</v>
      </c>
      <c r="C316" s="22" t="s">
        <v>4266</v>
      </c>
      <c r="D316" s="22" t="s">
        <v>4235</v>
      </c>
      <c r="E316" s="269">
        <v>51.686186497080897</v>
      </c>
      <c r="F316" s="269">
        <v>-114.47338300403599</v>
      </c>
      <c r="G316" s="67" t="s">
        <v>2379</v>
      </c>
      <c r="H316" s="79"/>
      <c r="I316" s="79"/>
    </row>
    <row r="317" spans="2:9" ht="20" x14ac:dyDescent="0.2">
      <c r="B317" s="96" t="s">
        <v>3602</v>
      </c>
      <c r="C317" s="22" t="s">
        <v>2892</v>
      </c>
      <c r="D317" s="22" t="s">
        <v>4235</v>
      </c>
      <c r="E317" s="269">
        <v>53.482144796556497</v>
      </c>
      <c r="F317" s="269">
        <v>-113.85169481001</v>
      </c>
      <c r="G317" s="67" t="s">
        <v>2379</v>
      </c>
      <c r="H317" s="11"/>
      <c r="I317" s="11"/>
    </row>
    <row r="318" spans="2:9" ht="20" x14ac:dyDescent="0.2">
      <c r="B318" s="96" t="s">
        <v>3603</v>
      </c>
      <c r="C318" s="22" t="s">
        <v>2893</v>
      </c>
      <c r="D318" s="22" t="s">
        <v>4235</v>
      </c>
      <c r="E318" s="269">
        <v>50.630867622231499</v>
      </c>
      <c r="F318" s="269">
        <v>-114.23998490424501</v>
      </c>
      <c r="G318" s="67" t="s">
        <v>2379</v>
      </c>
      <c r="H318" s="79"/>
      <c r="I318" s="79"/>
    </row>
    <row r="319" spans="2:9" ht="20" x14ac:dyDescent="0.2">
      <c r="B319" s="96" t="s">
        <v>3952</v>
      </c>
      <c r="C319" s="22" t="s">
        <v>2186</v>
      </c>
      <c r="D319" s="22" t="s">
        <v>4235</v>
      </c>
      <c r="E319" s="269">
        <v>50.630243355555002</v>
      </c>
      <c r="F319" s="269">
        <v>-114.239724365546</v>
      </c>
      <c r="G319" s="67" t="s">
        <v>2379</v>
      </c>
      <c r="H319" s="79"/>
      <c r="I319" s="79"/>
    </row>
    <row r="320" spans="2:9" ht="20" x14ac:dyDescent="0.2">
      <c r="B320" s="96" t="s">
        <v>3604</v>
      </c>
      <c r="C320" s="22" t="s">
        <v>4356</v>
      </c>
      <c r="D320" s="22" t="s">
        <v>4235</v>
      </c>
      <c r="E320" s="269">
        <v>52.323121784801799</v>
      </c>
      <c r="F320" s="269">
        <v>-113.517509720588</v>
      </c>
      <c r="G320" s="67" t="s">
        <v>2379</v>
      </c>
      <c r="H320" s="79"/>
      <c r="I320" s="79"/>
    </row>
    <row r="321" spans="2:9" ht="20" x14ac:dyDescent="0.2">
      <c r="B321" s="96" t="s">
        <v>3953</v>
      </c>
      <c r="C321" s="22" t="s">
        <v>2151</v>
      </c>
      <c r="D321" s="22" t="s">
        <v>4235</v>
      </c>
      <c r="E321" s="300">
        <v>52.3175438257568</v>
      </c>
      <c r="F321" s="300">
        <v>-113.555189049037</v>
      </c>
      <c r="G321" s="67" t="s">
        <v>2379</v>
      </c>
      <c r="H321" s="79"/>
      <c r="I321" s="79"/>
    </row>
    <row r="322" spans="2:9" ht="20" x14ac:dyDescent="0.2">
      <c r="B322" s="96" t="s">
        <v>3605</v>
      </c>
      <c r="C322" s="22" t="s">
        <v>2678</v>
      </c>
      <c r="D322" s="22" t="s">
        <v>4235</v>
      </c>
      <c r="E322" s="269">
        <v>50.077967408811602</v>
      </c>
      <c r="F322" s="269">
        <v>-111.788275621862</v>
      </c>
      <c r="G322" s="67" t="s">
        <v>2379</v>
      </c>
      <c r="H322" s="79"/>
      <c r="I322" s="79"/>
    </row>
    <row r="323" spans="2:9" ht="20" x14ac:dyDescent="0.2">
      <c r="B323" s="96" t="s">
        <v>3606</v>
      </c>
      <c r="C323" s="22" t="s">
        <v>2606</v>
      </c>
      <c r="D323" s="22" t="s">
        <v>4235</v>
      </c>
      <c r="E323" s="269">
        <v>52.522039480117499</v>
      </c>
      <c r="F323" s="269">
        <v>-110.104728838143</v>
      </c>
      <c r="G323" s="67" t="s">
        <v>2379</v>
      </c>
      <c r="H323" s="11"/>
      <c r="I323" s="11"/>
    </row>
    <row r="324" spans="2:9" ht="20" x14ac:dyDescent="0.2">
      <c r="B324" s="96" t="s">
        <v>3607</v>
      </c>
      <c r="C324" s="22" t="s">
        <v>2895</v>
      </c>
      <c r="D324" s="22" t="s">
        <v>4235</v>
      </c>
      <c r="E324" s="269">
        <v>52.048565706759398</v>
      </c>
      <c r="F324" s="269">
        <v>-113.84987433585501</v>
      </c>
      <c r="G324" s="67" t="s">
        <v>2379</v>
      </c>
      <c r="H324" s="79"/>
      <c r="I324" s="79"/>
    </row>
    <row r="325" spans="2:9" ht="20" x14ac:dyDescent="0.2">
      <c r="B325" s="96" t="s">
        <v>3608</v>
      </c>
      <c r="C325" s="22" t="s">
        <v>2896</v>
      </c>
      <c r="D325" s="22" t="s">
        <v>4237</v>
      </c>
      <c r="E325" s="269">
        <v>55.044371531577603</v>
      </c>
      <c r="F325" s="269">
        <v>-111.64878492148701</v>
      </c>
      <c r="G325" s="67" t="s">
        <v>2379</v>
      </c>
      <c r="H325" s="11"/>
      <c r="I325" s="11"/>
    </row>
    <row r="326" spans="2:9" ht="20" x14ac:dyDescent="0.2">
      <c r="B326" s="96" t="s">
        <v>3609</v>
      </c>
      <c r="C326" s="22" t="s">
        <v>2897</v>
      </c>
      <c r="D326" s="22" t="s">
        <v>4235</v>
      </c>
      <c r="E326" s="269">
        <v>55.0441330666524</v>
      </c>
      <c r="F326" s="269">
        <v>-111.648976158797</v>
      </c>
      <c r="G326" s="67" t="s">
        <v>2379</v>
      </c>
      <c r="H326" s="11"/>
      <c r="I326" s="11"/>
    </row>
    <row r="327" spans="2:9" ht="20" x14ac:dyDescent="0.2">
      <c r="B327" s="96" t="s">
        <v>3610</v>
      </c>
      <c r="C327" s="22" t="s">
        <v>2898</v>
      </c>
      <c r="D327" s="22" t="s">
        <v>4237</v>
      </c>
      <c r="E327" s="269">
        <v>52.142016938231002</v>
      </c>
      <c r="F327" s="269">
        <v>-113.239779351666</v>
      </c>
      <c r="G327" s="67" t="s">
        <v>2379</v>
      </c>
      <c r="H327" s="79"/>
      <c r="I327" s="79"/>
    </row>
    <row r="328" spans="2:9" ht="20" x14ac:dyDescent="0.2">
      <c r="B328" s="96" t="s">
        <v>3611</v>
      </c>
      <c r="C328" s="22" t="s">
        <v>4352</v>
      </c>
      <c r="D328" s="22" t="s">
        <v>4237</v>
      </c>
      <c r="E328" s="269">
        <v>53.851711227518102</v>
      </c>
      <c r="F328" s="269">
        <v>-113.206855341207</v>
      </c>
      <c r="G328" s="67" t="s">
        <v>2379</v>
      </c>
      <c r="H328" s="79"/>
      <c r="I328" s="79"/>
    </row>
    <row r="329" spans="2:9" ht="20" x14ac:dyDescent="0.2">
      <c r="B329" s="96" t="s">
        <v>3612</v>
      </c>
      <c r="C329" s="22" t="s">
        <v>2900</v>
      </c>
      <c r="D329" s="22" t="s">
        <v>4237</v>
      </c>
      <c r="E329" s="269">
        <v>52.638687864011203</v>
      </c>
      <c r="F329" s="269">
        <v>-112.162917643336</v>
      </c>
      <c r="G329" s="67" t="s">
        <v>2379</v>
      </c>
      <c r="H329" s="79"/>
      <c r="I329" s="79"/>
    </row>
    <row r="330" spans="2:9" ht="20" x14ac:dyDescent="0.2">
      <c r="B330" s="96" t="s">
        <v>3954</v>
      </c>
      <c r="C330" s="22" t="s">
        <v>2175</v>
      </c>
      <c r="D330" s="22" t="s">
        <v>4237</v>
      </c>
      <c r="E330" s="269">
        <v>52.6385041097464</v>
      </c>
      <c r="F330" s="269">
        <v>-112.162971571246</v>
      </c>
      <c r="G330" s="67" t="s">
        <v>2379</v>
      </c>
      <c r="H330" s="79"/>
      <c r="I330" s="79"/>
    </row>
    <row r="331" spans="2:9" ht="20" x14ac:dyDescent="0.2">
      <c r="B331" s="96" t="s">
        <v>3613</v>
      </c>
      <c r="C331" s="22" t="s">
        <v>2901</v>
      </c>
      <c r="D331" s="22" t="s">
        <v>4237</v>
      </c>
      <c r="E331" s="269">
        <v>58.504679546599597</v>
      </c>
      <c r="F331" s="269">
        <v>-117.14778532323101</v>
      </c>
      <c r="G331" s="67" t="s">
        <v>2379</v>
      </c>
      <c r="H331" s="79"/>
      <c r="I331" s="79"/>
    </row>
    <row r="332" spans="2:9" ht="20" x14ac:dyDescent="0.2">
      <c r="B332" s="96" t="s">
        <v>3614</v>
      </c>
      <c r="C332" s="22" t="s">
        <v>2902</v>
      </c>
      <c r="D332" s="22" t="s">
        <v>4237</v>
      </c>
      <c r="E332" s="269">
        <v>55.430011552283801</v>
      </c>
      <c r="F332" s="269">
        <v>-116.516645498443</v>
      </c>
      <c r="G332" s="67" t="s">
        <v>2379</v>
      </c>
      <c r="H332" s="79"/>
      <c r="I332" s="79"/>
    </row>
    <row r="333" spans="2:9" ht="20" x14ac:dyDescent="0.2">
      <c r="B333" s="96" t="s">
        <v>3615</v>
      </c>
      <c r="C333" s="22" t="s">
        <v>2903</v>
      </c>
      <c r="D333" s="22" t="s">
        <v>4235</v>
      </c>
      <c r="E333" s="269">
        <v>50.600595983037699</v>
      </c>
      <c r="F333" s="269">
        <v>-113.90731780041099</v>
      </c>
      <c r="G333" s="67" t="s">
        <v>2379</v>
      </c>
      <c r="H333" s="11"/>
      <c r="I333" s="11"/>
    </row>
    <row r="334" spans="2:9" ht="20" x14ac:dyDescent="0.2">
      <c r="B334" s="96" t="s">
        <v>3616</v>
      </c>
      <c r="C334" s="22" t="s">
        <v>2904</v>
      </c>
      <c r="D334" s="22" t="s">
        <v>4237</v>
      </c>
      <c r="E334" s="269">
        <v>53.293551835396201</v>
      </c>
      <c r="F334" s="269">
        <v>-110.03170244935799</v>
      </c>
      <c r="G334" s="67" t="s">
        <v>2379</v>
      </c>
      <c r="H334" s="79"/>
      <c r="I334" s="79"/>
    </row>
    <row r="335" spans="2:9" ht="20" x14ac:dyDescent="0.2">
      <c r="B335" s="96" t="s">
        <v>3617</v>
      </c>
      <c r="C335" s="22" t="s">
        <v>2613</v>
      </c>
      <c r="D335" s="22" t="s">
        <v>4235</v>
      </c>
      <c r="E335" s="269">
        <v>49.693129809376401</v>
      </c>
      <c r="F335" s="269">
        <v>-112.329035006336</v>
      </c>
      <c r="G335" s="67" t="s">
        <v>2379</v>
      </c>
      <c r="H335" s="79"/>
      <c r="I335" s="79"/>
    </row>
    <row r="336" spans="2:9" ht="20" x14ac:dyDescent="0.2">
      <c r="B336" s="96" t="s">
        <v>3955</v>
      </c>
      <c r="C336" s="22" t="s">
        <v>2100</v>
      </c>
      <c r="D336" s="22" t="s">
        <v>4235</v>
      </c>
      <c r="E336" s="269">
        <v>49.814984561004202</v>
      </c>
      <c r="F336" s="269">
        <v>-112.42073845203799</v>
      </c>
      <c r="G336" s="67" t="s">
        <v>2379</v>
      </c>
      <c r="H336" s="79"/>
      <c r="I336" s="79"/>
    </row>
    <row r="337" spans="2:11" ht="20" x14ac:dyDescent="0.2">
      <c r="B337" s="96" t="s">
        <v>3618</v>
      </c>
      <c r="C337" s="22" t="s">
        <v>2905</v>
      </c>
      <c r="D337" s="22" t="s">
        <v>4237</v>
      </c>
      <c r="E337" s="269">
        <v>56.277179191120801</v>
      </c>
      <c r="F337" s="269">
        <v>-118.58003626254801</v>
      </c>
      <c r="G337" s="67" t="s">
        <v>2379</v>
      </c>
      <c r="H337" s="79"/>
      <c r="I337" s="79"/>
    </row>
    <row r="338" spans="2:11" ht="20" x14ac:dyDescent="0.2">
      <c r="B338" s="96" t="s">
        <v>3619</v>
      </c>
      <c r="C338" s="22" t="s">
        <v>3257</v>
      </c>
      <c r="D338" s="22" t="s">
        <v>4240</v>
      </c>
      <c r="E338" s="269">
        <v>57.344546294066397</v>
      </c>
      <c r="F338" s="269">
        <v>-111.802774696006</v>
      </c>
      <c r="G338" s="67" t="s">
        <v>2379</v>
      </c>
      <c r="H338" s="79"/>
      <c r="I338" s="79"/>
    </row>
    <row r="339" spans="2:11" ht="20" x14ac:dyDescent="0.2">
      <c r="B339" s="96" t="s">
        <v>3620</v>
      </c>
      <c r="C339" s="22" t="s">
        <v>2679</v>
      </c>
      <c r="D339" s="22" t="s">
        <v>4240</v>
      </c>
      <c r="E339" s="269">
        <v>57.340440509460798</v>
      </c>
      <c r="F339" s="269">
        <v>-111.757945949983</v>
      </c>
      <c r="G339" s="67" t="s">
        <v>2379</v>
      </c>
      <c r="H339" s="79"/>
      <c r="I339" s="79"/>
    </row>
    <row r="340" spans="2:11" ht="20" x14ac:dyDescent="0.2">
      <c r="B340" s="96" t="s">
        <v>3621</v>
      </c>
      <c r="C340" s="22" t="s">
        <v>2906</v>
      </c>
      <c r="D340" s="22" t="s">
        <v>4235</v>
      </c>
      <c r="E340" s="269">
        <v>51.221797327437997</v>
      </c>
      <c r="F340" s="269">
        <v>-114.49750988287801</v>
      </c>
      <c r="G340" s="67" t="s">
        <v>2379</v>
      </c>
      <c r="H340" s="79"/>
      <c r="I340" s="79"/>
    </row>
    <row r="341" spans="2:11" ht="20" x14ac:dyDescent="0.2">
      <c r="B341" s="96" t="s">
        <v>3622</v>
      </c>
      <c r="C341" s="22" t="s">
        <v>2907</v>
      </c>
      <c r="D341" s="22" t="s">
        <v>4237</v>
      </c>
      <c r="E341" s="269">
        <v>56.110983269572202</v>
      </c>
      <c r="F341" s="269">
        <v>-111.806893937056</v>
      </c>
      <c r="G341" s="67" t="s">
        <v>2379</v>
      </c>
      <c r="H341" s="79"/>
      <c r="I341" s="79"/>
    </row>
    <row r="342" spans="2:11" ht="20" x14ac:dyDescent="0.2">
      <c r="B342" s="96" t="s">
        <v>3623</v>
      </c>
      <c r="C342" s="22" t="s">
        <v>2908</v>
      </c>
      <c r="D342" s="22" t="s">
        <v>4235</v>
      </c>
      <c r="E342" s="269">
        <v>51.117846933433498</v>
      </c>
      <c r="F342" s="269">
        <v>-115.03426256429999</v>
      </c>
      <c r="G342" s="67" t="s">
        <v>2379</v>
      </c>
      <c r="H342" s="79"/>
      <c r="I342" s="79"/>
    </row>
    <row r="343" spans="2:11" ht="20" x14ac:dyDescent="0.2">
      <c r="B343" s="96" t="s">
        <v>3624</v>
      </c>
      <c r="C343" s="22" t="s">
        <v>2909</v>
      </c>
      <c r="D343" s="22" t="s">
        <v>4238</v>
      </c>
      <c r="E343" s="269">
        <v>57.026059951689199</v>
      </c>
      <c r="F343" s="269">
        <v>-111.512500501481</v>
      </c>
      <c r="G343" s="67" t="s">
        <v>2379</v>
      </c>
      <c r="H343" s="79"/>
      <c r="I343" s="79"/>
    </row>
    <row r="344" spans="2:11" ht="20" x14ac:dyDescent="0.2">
      <c r="B344" s="96" t="s">
        <v>3625</v>
      </c>
      <c r="C344" s="22" t="s">
        <v>2910</v>
      </c>
      <c r="D344" s="22" t="s">
        <v>4237</v>
      </c>
      <c r="E344" s="269">
        <v>57.090627086568098</v>
      </c>
      <c r="F344" s="269">
        <v>-117.579749144404</v>
      </c>
      <c r="G344" s="67" t="s">
        <v>2379</v>
      </c>
      <c r="H344" s="79"/>
      <c r="I344" s="79"/>
    </row>
    <row r="345" spans="2:11" ht="20" x14ac:dyDescent="0.2">
      <c r="B345" s="96" t="s">
        <v>4016</v>
      </c>
      <c r="C345" s="22" t="s">
        <v>4351</v>
      </c>
      <c r="D345" s="22" t="s">
        <v>4235</v>
      </c>
      <c r="E345" s="269">
        <v>52.6354081236802</v>
      </c>
      <c r="F345" s="269">
        <v>-111.26428836425799</v>
      </c>
      <c r="G345" s="67" t="s">
        <v>2379</v>
      </c>
      <c r="H345" s="79"/>
      <c r="I345" s="79"/>
    </row>
    <row r="346" spans="2:11" ht="20" x14ac:dyDescent="0.2">
      <c r="B346" s="96" t="s">
        <v>4017</v>
      </c>
      <c r="C346" s="22" t="s">
        <v>2125</v>
      </c>
      <c r="D346" s="22" t="s">
        <v>4235</v>
      </c>
      <c r="E346" s="269">
        <v>52.638068504683297</v>
      </c>
      <c r="F346" s="269">
        <v>-111.276571431924</v>
      </c>
      <c r="G346" s="67" t="s">
        <v>2379</v>
      </c>
      <c r="H346" s="79"/>
      <c r="I346" s="79"/>
    </row>
    <row r="347" spans="2:11" ht="20" x14ac:dyDescent="0.2">
      <c r="B347" s="96" t="s">
        <v>3626</v>
      </c>
      <c r="C347" s="22" t="s">
        <v>2912</v>
      </c>
      <c r="D347" s="22" t="s">
        <v>4235</v>
      </c>
      <c r="E347" s="269">
        <v>52.494694521134299</v>
      </c>
      <c r="F347" s="269">
        <v>-110.93977144303</v>
      </c>
      <c r="G347" s="67" t="s">
        <v>2379</v>
      </c>
      <c r="H347" s="11"/>
      <c r="I347" s="11"/>
    </row>
    <row r="348" spans="2:11" ht="20" x14ac:dyDescent="0.2">
      <c r="B348" s="96" t="s">
        <v>3627</v>
      </c>
      <c r="C348" s="22" t="s">
        <v>2636</v>
      </c>
      <c r="D348" s="22" t="s">
        <v>4235</v>
      </c>
      <c r="E348" s="269">
        <v>49.990668889186502</v>
      </c>
      <c r="F348" s="269">
        <v>-112.143940807798</v>
      </c>
      <c r="G348" s="67" t="s">
        <v>2379</v>
      </c>
      <c r="H348" s="11"/>
      <c r="I348" s="11"/>
    </row>
    <row r="349" spans="2:11" ht="20" x14ac:dyDescent="0.2">
      <c r="B349" s="96" t="s">
        <v>4367</v>
      </c>
      <c r="C349" s="22" t="s">
        <v>4368</v>
      </c>
      <c r="D349" s="22" t="s">
        <v>4237</v>
      </c>
      <c r="E349" s="269">
        <v>51.489155359648002</v>
      </c>
      <c r="F349" s="269">
        <v>-111.167095102397</v>
      </c>
      <c r="G349" s="67" t="s">
        <v>2379</v>
      </c>
      <c r="H349" s="11"/>
      <c r="I349" s="11"/>
      <c r="K349" s="183"/>
    </row>
    <row r="350" spans="2:11" ht="20" x14ac:dyDescent="0.2">
      <c r="B350" s="96" t="s">
        <v>3628</v>
      </c>
      <c r="C350" s="22" t="s">
        <v>2913</v>
      </c>
      <c r="D350" s="22" t="s">
        <v>4235</v>
      </c>
      <c r="E350" s="269">
        <v>50.966420260322003</v>
      </c>
      <c r="F350" s="269">
        <v>-112.66241803596201</v>
      </c>
      <c r="G350" s="67" t="s">
        <v>2379</v>
      </c>
      <c r="H350" s="79"/>
      <c r="I350" s="79"/>
    </row>
    <row r="351" spans="2:11" ht="20" x14ac:dyDescent="0.2">
      <c r="B351" s="96" t="s">
        <v>3629</v>
      </c>
      <c r="C351" s="22" t="s">
        <v>3258</v>
      </c>
      <c r="D351" s="22" t="s">
        <v>4235</v>
      </c>
      <c r="E351" s="269">
        <v>54.307477563678397</v>
      </c>
      <c r="F351" s="269">
        <v>-115.654110837988</v>
      </c>
      <c r="G351" s="67" t="s">
        <v>2379</v>
      </c>
      <c r="H351" s="79"/>
      <c r="I351" s="79"/>
    </row>
    <row r="352" spans="2:11" ht="20" x14ac:dyDescent="0.2">
      <c r="B352" s="96" t="s">
        <v>3956</v>
      </c>
      <c r="C352" s="22" t="s">
        <v>2112</v>
      </c>
      <c r="D352" s="22" t="s">
        <v>4235</v>
      </c>
      <c r="E352" s="269">
        <v>54.3179897539938</v>
      </c>
      <c r="F352" s="269">
        <v>-115.688625554502</v>
      </c>
      <c r="G352" s="67" t="s">
        <v>2379</v>
      </c>
      <c r="H352" s="79"/>
      <c r="I352" s="79"/>
    </row>
    <row r="353" spans="2:9" ht="20" x14ac:dyDescent="0.2">
      <c r="B353" s="96" t="s">
        <v>3630</v>
      </c>
      <c r="C353" s="22" t="s">
        <v>3259</v>
      </c>
      <c r="D353" s="22" t="s">
        <v>4235</v>
      </c>
      <c r="E353" s="269">
        <v>53.546006373026302</v>
      </c>
      <c r="F353" s="269">
        <v>-113.398867413994</v>
      </c>
      <c r="G353" s="67" t="s">
        <v>2379</v>
      </c>
      <c r="H353" s="79"/>
      <c r="I353" s="79"/>
    </row>
    <row r="354" spans="2:9" ht="20" x14ac:dyDescent="0.2">
      <c r="B354" s="96" t="s">
        <v>3631</v>
      </c>
      <c r="C354" s="22" t="s">
        <v>2914</v>
      </c>
      <c r="D354" s="22" t="s">
        <v>4235</v>
      </c>
      <c r="E354" s="269">
        <v>53.580175808282902</v>
      </c>
      <c r="F354" s="269">
        <v>-113.603847011794</v>
      </c>
      <c r="G354" s="67" t="s">
        <v>2379</v>
      </c>
      <c r="H354" s="79"/>
      <c r="I354" s="79"/>
    </row>
    <row r="355" spans="2:9" ht="20" x14ac:dyDescent="0.2">
      <c r="B355" s="96" t="s">
        <v>3957</v>
      </c>
      <c r="C355" s="22" t="s">
        <v>2128</v>
      </c>
      <c r="D355" s="22" t="s">
        <v>4235</v>
      </c>
      <c r="E355" s="269">
        <v>53.6139368941909</v>
      </c>
      <c r="F355" s="269">
        <v>-113.590471379701</v>
      </c>
      <c r="G355" s="67" t="s">
        <v>2379</v>
      </c>
      <c r="H355" s="79"/>
      <c r="I355" s="79"/>
    </row>
    <row r="356" spans="2:9" ht="20" x14ac:dyDescent="0.2">
      <c r="B356" s="96" t="s">
        <v>3632</v>
      </c>
      <c r="C356" s="22" t="s">
        <v>2681</v>
      </c>
      <c r="D356" s="22" t="s">
        <v>4235</v>
      </c>
      <c r="E356" s="269">
        <v>52.0285372407861</v>
      </c>
      <c r="F356" s="269">
        <v>-114.00069703398199</v>
      </c>
      <c r="G356" s="67" t="s">
        <v>2379</v>
      </c>
      <c r="H356" s="79"/>
      <c r="I356" s="79"/>
    </row>
    <row r="357" spans="2:9" ht="20" x14ac:dyDescent="0.2">
      <c r="B357" s="271" t="s">
        <v>4018</v>
      </c>
      <c r="C357" s="22" t="s">
        <v>2204</v>
      </c>
      <c r="D357" s="22" t="s">
        <v>3341</v>
      </c>
      <c r="E357" s="269">
        <v>48.998674422587499</v>
      </c>
      <c r="F357" s="269">
        <v>-112.209671085228</v>
      </c>
      <c r="G357" s="67" t="s">
        <v>2379</v>
      </c>
      <c r="H357" s="79"/>
      <c r="I357" s="79"/>
    </row>
    <row r="358" spans="2:9" ht="20" x14ac:dyDescent="0.2">
      <c r="B358" s="96" t="s">
        <v>3633</v>
      </c>
      <c r="C358" s="22" t="s">
        <v>2682</v>
      </c>
      <c r="D358" s="22" t="s">
        <v>4235</v>
      </c>
      <c r="E358" s="269">
        <v>50.6334667</v>
      </c>
      <c r="F358" s="269">
        <v>-115.13923629999999</v>
      </c>
      <c r="G358" s="67" t="s">
        <v>2379</v>
      </c>
      <c r="H358" s="79"/>
      <c r="I358" s="79"/>
    </row>
    <row r="359" spans="2:9" ht="20" x14ac:dyDescent="0.2">
      <c r="B359" s="96" t="s">
        <v>3634</v>
      </c>
      <c r="C359" s="22" t="s">
        <v>2915</v>
      </c>
      <c r="D359" s="22" t="s">
        <v>4235</v>
      </c>
      <c r="E359" s="269">
        <v>55.357077735525202</v>
      </c>
      <c r="F359" s="269">
        <v>-111.063301486925</v>
      </c>
      <c r="G359" s="67" t="s">
        <v>2379</v>
      </c>
      <c r="H359" s="11"/>
      <c r="I359" s="11"/>
    </row>
    <row r="360" spans="2:9" ht="20" x14ac:dyDescent="0.2">
      <c r="B360" s="96" t="s">
        <v>3336</v>
      </c>
      <c r="C360" s="22" t="s">
        <v>2199</v>
      </c>
      <c r="D360" s="22" t="s">
        <v>3342</v>
      </c>
      <c r="E360" s="269">
        <v>49.644751690016903</v>
      </c>
      <c r="F360" s="269">
        <v>-114.661874120859</v>
      </c>
      <c r="G360" s="67" t="s">
        <v>2379</v>
      </c>
      <c r="H360" s="79"/>
      <c r="I360" s="79"/>
    </row>
    <row r="361" spans="2:9" ht="20" x14ac:dyDescent="0.2">
      <c r="B361" s="271" t="s">
        <v>3337</v>
      </c>
      <c r="C361" s="22" t="s">
        <v>2202</v>
      </c>
      <c r="D361" s="22" t="s">
        <v>3343</v>
      </c>
      <c r="E361" s="269">
        <v>50.589379500421202</v>
      </c>
      <c r="F361" s="269">
        <v>-110.003956399665</v>
      </c>
      <c r="G361" s="67" t="s">
        <v>2379</v>
      </c>
      <c r="H361" s="79"/>
      <c r="I361" s="79"/>
    </row>
    <row r="362" spans="2:9" ht="20" x14ac:dyDescent="0.2">
      <c r="B362" s="96" t="s">
        <v>3338</v>
      </c>
      <c r="C362" s="22" t="s">
        <v>2200</v>
      </c>
      <c r="D362" s="22" t="s">
        <v>3342</v>
      </c>
      <c r="E362" s="269">
        <v>49.645446551065199</v>
      </c>
      <c r="F362" s="269">
        <v>-114.661781416973</v>
      </c>
      <c r="G362" s="67" t="s">
        <v>2379</v>
      </c>
      <c r="H362" s="79"/>
      <c r="I362" s="79"/>
    </row>
    <row r="363" spans="2:9" ht="20" x14ac:dyDescent="0.2">
      <c r="B363" s="96" t="s">
        <v>3339</v>
      </c>
      <c r="C363" s="22" t="s">
        <v>2203</v>
      </c>
      <c r="D363" s="22" t="s">
        <v>3342</v>
      </c>
      <c r="E363" s="269">
        <v>50.5867971867075</v>
      </c>
      <c r="F363" s="269">
        <v>-115.070472898492</v>
      </c>
      <c r="G363" s="67" t="s">
        <v>2379</v>
      </c>
      <c r="H363" s="79"/>
      <c r="I363" s="79"/>
    </row>
    <row r="364" spans="2:9" ht="20" x14ac:dyDescent="0.2">
      <c r="B364" s="96" t="s">
        <v>3340</v>
      </c>
      <c r="C364" s="22" t="s">
        <v>2201</v>
      </c>
      <c r="D364" s="22" t="s">
        <v>3342</v>
      </c>
      <c r="E364" s="269">
        <v>58.544390642286999</v>
      </c>
      <c r="F364" s="269">
        <v>-120.00001388969299</v>
      </c>
      <c r="G364" s="67" t="s">
        <v>2379</v>
      </c>
      <c r="H364" s="79"/>
      <c r="I364" s="79"/>
    </row>
    <row r="365" spans="2:9" ht="20" x14ac:dyDescent="0.2">
      <c r="B365" s="96" t="s">
        <v>3635</v>
      </c>
      <c r="C365" s="22" t="s">
        <v>2916</v>
      </c>
      <c r="D365" s="22" t="s">
        <v>4237</v>
      </c>
      <c r="E365" s="301">
        <v>53.758036759164497</v>
      </c>
      <c r="F365" s="269">
        <v>-110.847635358826</v>
      </c>
      <c r="G365" s="67" t="s">
        <v>2379</v>
      </c>
      <c r="H365" s="79"/>
      <c r="I365" s="79"/>
    </row>
    <row r="366" spans="2:9" ht="20" x14ac:dyDescent="0.2">
      <c r="B366" s="96" t="s">
        <v>3636</v>
      </c>
      <c r="C366" s="22" t="s">
        <v>3260</v>
      </c>
      <c r="D366" s="22" t="s">
        <v>4235</v>
      </c>
      <c r="E366" s="269">
        <v>49.580982911810302</v>
      </c>
      <c r="F366" s="269">
        <v>-112.735856501846</v>
      </c>
      <c r="G366" s="67" t="s">
        <v>2379</v>
      </c>
      <c r="H366" s="79"/>
      <c r="I366" s="79"/>
    </row>
    <row r="367" spans="2:9" ht="20" x14ac:dyDescent="0.2">
      <c r="B367" s="96" t="s">
        <v>3637</v>
      </c>
      <c r="C367" s="22" t="s">
        <v>2917</v>
      </c>
      <c r="D367" s="22" t="s">
        <v>4237</v>
      </c>
      <c r="E367" s="301">
        <v>57.239188613502101</v>
      </c>
      <c r="F367" s="269">
        <v>-111.393855959031</v>
      </c>
      <c r="G367" s="67" t="s">
        <v>2379</v>
      </c>
      <c r="H367" s="79"/>
      <c r="I367" s="79"/>
    </row>
    <row r="368" spans="2:9" ht="20" x14ac:dyDescent="0.2">
      <c r="B368" s="96" t="s">
        <v>3638</v>
      </c>
      <c r="C368" s="22" t="s">
        <v>2918</v>
      </c>
      <c r="D368" s="22" t="s">
        <v>4235</v>
      </c>
      <c r="E368" s="269">
        <v>55.533012124065102</v>
      </c>
      <c r="F368" s="269">
        <v>-110.90402145928201</v>
      </c>
      <c r="G368" s="67" t="s">
        <v>2379</v>
      </c>
      <c r="H368" s="79"/>
      <c r="I368" s="79"/>
    </row>
    <row r="369" spans="2:9" ht="20" x14ac:dyDescent="0.2">
      <c r="B369" s="96" t="s">
        <v>3639</v>
      </c>
      <c r="C369" s="22" t="s">
        <v>2919</v>
      </c>
      <c r="D369" s="22" t="s">
        <v>4235</v>
      </c>
      <c r="E369" s="269">
        <v>51.007113180149901</v>
      </c>
      <c r="F369" s="269">
        <v>-113.89103199965901</v>
      </c>
      <c r="G369" s="67" t="s">
        <v>2379</v>
      </c>
      <c r="H369" s="11"/>
      <c r="I369" s="11"/>
    </row>
    <row r="370" spans="2:9" ht="20" x14ac:dyDescent="0.2">
      <c r="B370" s="96" t="s">
        <v>3640</v>
      </c>
      <c r="C370" s="22" t="s">
        <v>2920</v>
      </c>
      <c r="D370" s="22" t="s">
        <v>4235</v>
      </c>
      <c r="E370" s="269">
        <v>52.9655913851552</v>
      </c>
      <c r="F370" s="269">
        <v>-111.431782213847</v>
      </c>
      <c r="G370" s="67" t="s">
        <v>2379</v>
      </c>
      <c r="H370" s="79"/>
      <c r="I370" s="79"/>
    </row>
    <row r="371" spans="2:9" ht="20" x14ac:dyDescent="0.2">
      <c r="B371" s="96" t="s">
        <v>3958</v>
      </c>
      <c r="C371" s="22" t="s">
        <v>2108</v>
      </c>
      <c r="D371" s="22" t="s">
        <v>4235</v>
      </c>
      <c r="E371" s="269">
        <v>52.966890874800598</v>
      </c>
      <c r="F371" s="269">
        <v>-111.435087755444</v>
      </c>
      <c r="G371" s="67" t="s">
        <v>2379</v>
      </c>
      <c r="H371" s="79"/>
      <c r="I371" s="79"/>
    </row>
    <row r="372" spans="2:9" ht="20" x14ac:dyDescent="0.2">
      <c r="B372" s="96" t="s">
        <v>3641</v>
      </c>
      <c r="C372" s="22" t="s">
        <v>2642</v>
      </c>
      <c r="D372" s="22" t="s">
        <v>4239</v>
      </c>
      <c r="E372" s="269">
        <v>53.5495054963814</v>
      </c>
      <c r="F372" s="269">
        <v>-113.616748564947</v>
      </c>
      <c r="G372" s="67" t="s">
        <v>2379</v>
      </c>
      <c r="H372" s="11"/>
      <c r="I372" s="11"/>
    </row>
    <row r="373" spans="2:9" ht="20" x14ac:dyDescent="0.2">
      <c r="B373" s="96" t="s">
        <v>3642</v>
      </c>
      <c r="C373" s="22" t="s">
        <v>2683</v>
      </c>
      <c r="D373" s="22" t="s">
        <v>4235</v>
      </c>
      <c r="E373" s="269">
        <v>50.710701466235399</v>
      </c>
      <c r="F373" s="269">
        <v>-111.09159620217901</v>
      </c>
      <c r="G373" s="67" t="s">
        <v>2379</v>
      </c>
      <c r="H373" s="79"/>
      <c r="I373" s="79"/>
    </row>
    <row r="374" spans="2:9" ht="20" x14ac:dyDescent="0.2">
      <c r="B374" s="96" t="s">
        <v>3643</v>
      </c>
      <c r="C374" s="22" t="s">
        <v>2684</v>
      </c>
      <c r="D374" s="22" t="s">
        <v>4235</v>
      </c>
      <c r="E374" s="269">
        <v>52.303843641865797</v>
      </c>
      <c r="F374" s="269">
        <v>-113.560056271069</v>
      </c>
      <c r="G374" s="67" t="s">
        <v>2379</v>
      </c>
      <c r="H374" s="79"/>
      <c r="I374" s="79"/>
    </row>
    <row r="375" spans="2:9" ht="20" x14ac:dyDescent="0.2">
      <c r="B375" s="96" t="s">
        <v>3644</v>
      </c>
      <c r="C375" s="22" t="s">
        <v>2921</v>
      </c>
      <c r="D375" s="22" t="s">
        <v>4235</v>
      </c>
      <c r="E375" s="269">
        <v>51.677317439252697</v>
      </c>
      <c r="F375" s="269">
        <v>-114.270286645781</v>
      </c>
      <c r="G375" s="67" t="s">
        <v>2379</v>
      </c>
      <c r="H375" s="79"/>
      <c r="I375" s="79"/>
    </row>
    <row r="376" spans="2:9" ht="20" x14ac:dyDescent="0.2">
      <c r="B376" s="96" t="s">
        <v>3645</v>
      </c>
      <c r="C376" s="22" t="s">
        <v>2922</v>
      </c>
      <c r="D376" s="22" t="s">
        <v>4235</v>
      </c>
      <c r="E376" s="269">
        <v>53.782780011589999</v>
      </c>
      <c r="F376" s="269">
        <v>-113.10958465014799</v>
      </c>
      <c r="G376" s="67" t="s">
        <v>2379</v>
      </c>
      <c r="H376" s="11"/>
      <c r="I376" s="11"/>
    </row>
    <row r="377" spans="2:9" ht="20" x14ac:dyDescent="0.2">
      <c r="B377" s="96" t="s">
        <v>3646</v>
      </c>
      <c r="C377" s="22" t="s">
        <v>2923</v>
      </c>
      <c r="D377" s="22" t="s">
        <v>4237</v>
      </c>
      <c r="E377" s="269">
        <v>57.304376799163798</v>
      </c>
      <c r="F377" s="269">
        <v>-111.87343341021</v>
      </c>
      <c r="G377" s="67" t="s">
        <v>2379</v>
      </c>
      <c r="H377" s="79"/>
      <c r="I377" s="79"/>
    </row>
    <row r="378" spans="2:9" ht="20" x14ac:dyDescent="0.2">
      <c r="B378" s="96" t="s">
        <v>3647</v>
      </c>
      <c r="C378" s="22" t="s">
        <v>3261</v>
      </c>
      <c r="D378" s="22" t="s">
        <v>4237</v>
      </c>
      <c r="E378" s="269">
        <v>54.568225747814303</v>
      </c>
      <c r="F378" s="269">
        <v>-115.52008475365901</v>
      </c>
      <c r="G378" s="67" t="s">
        <v>2379</v>
      </c>
      <c r="H378" s="79"/>
      <c r="I378" s="79"/>
    </row>
    <row r="379" spans="2:9" ht="20" x14ac:dyDescent="0.2">
      <c r="B379" s="96" t="s">
        <v>3648</v>
      </c>
      <c r="C379" s="22" t="s">
        <v>2924</v>
      </c>
      <c r="D379" s="22" t="s">
        <v>4235</v>
      </c>
      <c r="E379" s="269">
        <v>51.140278589351396</v>
      </c>
      <c r="F379" s="269">
        <v>-114.58182527515601</v>
      </c>
      <c r="G379" s="67" t="s">
        <v>2379</v>
      </c>
      <c r="H379" s="79"/>
      <c r="I379" s="79"/>
    </row>
    <row r="380" spans="2:9" ht="20" x14ac:dyDescent="0.2">
      <c r="B380" s="96" t="s">
        <v>3959</v>
      </c>
      <c r="C380" s="22" t="s">
        <v>2097</v>
      </c>
      <c r="D380" s="22" t="s">
        <v>4235</v>
      </c>
      <c r="E380" s="269">
        <v>51.166593535256297</v>
      </c>
      <c r="F380" s="269">
        <v>-114.583192680134</v>
      </c>
      <c r="G380" s="67" t="s">
        <v>2379</v>
      </c>
      <c r="H380" s="79"/>
      <c r="I380" s="79"/>
    </row>
    <row r="381" spans="2:9" ht="20" x14ac:dyDescent="0.2">
      <c r="B381" s="96" t="s">
        <v>3649</v>
      </c>
      <c r="C381" s="22" t="s">
        <v>2925</v>
      </c>
      <c r="D381" s="22" t="s">
        <v>4235</v>
      </c>
      <c r="E381" s="269">
        <v>51.126512300570802</v>
      </c>
      <c r="F381" s="269">
        <v>-114.715777081654</v>
      </c>
      <c r="G381" s="67" t="s">
        <v>2379</v>
      </c>
      <c r="H381" s="79"/>
      <c r="I381" s="79"/>
    </row>
    <row r="382" spans="2:9" ht="20" x14ac:dyDescent="0.2">
      <c r="B382" s="96" t="s">
        <v>3960</v>
      </c>
      <c r="C382" s="22" t="s">
        <v>2105</v>
      </c>
      <c r="D382" s="22" t="s">
        <v>4235</v>
      </c>
      <c r="E382" s="269">
        <v>51.130339268284203</v>
      </c>
      <c r="F382" s="269">
        <v>-114.71323589955</v>
      </c>
      <c r="G382" s="67" t="s">
        <v>2379</v>
      </c>
      <c r="H382" s="79"/>
      <c r="I382" s="79"/>
    </row>
    <row r="383" spans="2:9" ht="20" x14ac:dyDescent="0.2">
      <c r="B383" s="96" t="s">
        <v>3650</v>
      </c>
      <c r="C383" s="22" t="s">
        <v>2926</v>
      </c>
      <c r="D383" s="22" t="s">
        <v>4237</v>
      </c>
      <c r="E383" s="269">
        <v>54.124651733219999</v>
      </c>
      <c r="F383" s="269">
        <v>-118.873912480971</v>
      </c>
      <c r="G383" s="67" t="s">
        <v>2379</v>
      </c>
      <c r="H383" s="79"/>
      <c r="I383" s="79"/>
    </row>
    <row r="384" spans="2:9" ht="20" x14ac:dyDescent="0.2">
      <c r="B384" s="96" t="s">
        <v>3651</v>
      </c>
      <c r="C384" s="22" t="s">
        <v>2685</v>
      </c>
      <c r="D384" s="22" t="s">
        <v>4235</v>
      </c>
      <c r="E384" s="269">
        <v>51.0970721266441</v>
      </c>
      <c r="F384" s="269">
        <v>-115.057344306088</v>
      </c>
      <c r="G384" s="67" t="s">
        <v>2379</v>
      </c>
      <c r="H384" s="79"/>
      <c r="I384" s="79"/>
    </row>
    <row r="385" spans="2:9" ht="20" x14ac:dyDescent="0.2">
      <c r="B385" s="96" t="s">
        <v>3652</v>
      </c>
      <c r="C385" s="22" t="s">
        <v>2686</v>
      </c>
      <c r="D385" s="22" t="s">
        <v>4235</v>
      </c>
      <c r="E385" s="269">
        <v>54.098625996647598</v>
      </c>
      <c r="F385" s="269">
        <v>-116.613828436828</v>
      </c>
      <c r="G385" s="67" t="s">
        <v>2379</v>
      </c>
      <c r="H385" s="79"/>
      <c r="I385" s="79"/>
    </row>
    <row r="386" spans="2:9" ht="20" x14ac:dyDescent="0.2">
      <c r="B386" s="96" t="s">
        <v>3961</v>
      </c>
      <c r="C386" s="22" t="s">
        <v>2194</v>
      </c>
      <c r="D386" s="22" t="s">
        <v>4235</v>
      </c>
      <c r="E386" s="269">
        <v>54.102298817498799</v>
      </c>
      <c r="F386" s="269">
        <v>-116.61020268888601</v>
      </c>
      <c r="G386" s="67" t="s">
        <v>2379</v>
      </c>
      <c r="H386" s="79"/>
      <c r="I386" s="79"/>
    </row>
    <row r="387" spans="2:9" ht="20" x14ac:dyDescent="0.2">
      <c r="B387" s="96" t="s">
        <v>3653</v>
      </c>
      <c r="C387" s="22" t="s">
        <v>2687</v>
      </c>
      <c r="D387" s="22" t="s">
        <v>2387</v>
      </c>
      <c r="E387" s="269">
        <v>57.429335347183098</v>
      </c>
      <c r="F387" s="269">
        <v>-111.13859186523899</v>
      </c>
      <c r="G387" s="67" t="s">
        <v>2379</v>
      </c>
      <c r="H387" s="79"/>
      <c r="I387" s="79"/>
    </row>
    <row r="388" spans="2:9" ht="20" x14ac:dyDescent="0.2">
      <c r="B388" s="96" t="s">
        <v>3654</v>
      </c>
      <c r="C388" s="22" t="s">
        <v>2688</v>
      </c>
      <c r="D388" s="22" t="s">
        <v>4235</v>
      </c>
      <c r="E388" s="269">
        <v>53.450461151147003</v>
      </c>
      <c r="F388" s="269">
        <v>-114.44756620949001</v>
      </c>
      <c r="G388" s="67" t="s">
        <v>2379</v>
      </c>
      <c r="H388" s="11"/>
      <c r="I388" s="11"/>
    </row>
    <row r="389" spans="2:9" ht="20" x14ac:dyDescent="0.2">
      <c r="B389" s="96" t="s">
        <v>3655</v>
      </c>
      <c r="C389" s="22" t="s">
        <v>2927</v>
      </c>
      <c r="D389" s="22" t="s">
        <v>4237</v>
      </c>
      <c r="E389" s="269">
        <v>57.7892942623088</v>
      </c>
      <c r="F389" s="269">
        <v>-117.615036794978</v>
      </c>
      <c r="G389" s="67" t="s">
        <v>2379</v>
      </c>
      <c r="H389" s="79"/>
      <c r="I389" s="79"/>
    </row>
    <row r="390" spans="2:9" ht="20" x14ac:dyDescent="0.2">
      <c r="B390" s="96" t="s">
        <v>3656</v>
      </c>
      <c r="C390" s="22" t="s">
        <v>2928</v>
      </c>
      <c r="D390" s="22" t="s">
        <v>4237</v>
      </c>
      <c r="E390" s="269">
        <v>57.591394230927001</v>
      </c>
      <c r="F390" s="269">
        <v>-117.520632843527</v>
      </c>
      <c r="G390" s="67" t="s">
        <v>2379</v>
      </c>
      <c r="H390" s="79"/>
      <c r="I390" s="79"/>
    </row>
    <row r="391" spans="2:9" ht="20" x14ac:dyDescent="0.2">
      <c r="B391" s="96" t="s">
        <v>3657</v>
      </c>
      <c r="C391" s="22" t="s">
        <v>2929</v>
      </c>
      <c r="D391" s="22" t="s">
        <v>4239</v>
      </c>
      <c r="E391" s="269">
        <v>53.587128512446299</v>
      </c>
      <c r="F391" s="269">
        <v>-113.419417211517</v>
      </c>
      <c r="G391" s="67" t="s">
        <v>2379</v>
      </c>
      <c r="H391" s="79"/>
      <c r="I391" s="79"/>
    </row>
    <row r="392" spans="2:9" ht="20" x14ac:dyDescent="0.2">
      <c r="B392" s="96" t="s">
        <v>3658</v>
      </c>
      <c r="C392" s="22" t="s">
        <v>2930</v>
      </c>
      <c r="D392" s="22" t="s">
        <v>4237</v>
      </c>
      <c r="E392" s="269">
        <v>55.918498774212999</v>
      </c>
      <c r="F392" s="269">
        <v>-110.883039688867</v>
      </c>
      <c r="G392" s="67" t="s">
        <v>2379</v>
      </c>
      <c r="H392" s="79"/>
      <c r="I392" s="79"/>
    </row>
    <row r="393" spans="2:9" ht="20" x14ac:dyDescent="0.2">
      <c r="B393" s="96" t="s">
        <v>4019</v>
      </c>
      <c r="C393" s="22" t="s">
        <v>2689</v>
      </c>
      <c r="D393" s="22" t="s">
        <v>4235</v>
      </c>
      <c r="E393" s="269">
        <v>49.515974040817902</v>
      </c>
      <c r="F393" s="269">
        <v>-113.821888073143</v>
      </c>
      <c r="G393" s="67" t="s">
        <v>2379</v>
      </c>
      <c r="H393" s="79"/>
      <c r="I393" s="79"/>
    </row>
    <row r="394" spans="2:9" ht="20" x14ac:dyDescent="0.2">
      <c r="B394" s="96" t="s">
        <v>4020</v>
      </c>
      <c r="C394" s="22" t="s">
        <v>2121</v>
      </c>
      <c r="D394" s="22" t="s">
        <v>4235</v>
      </c>
      <c r="E394" s="269">
        <v>49.516729739144502</v>
      </c>
      <c r="F394" s="269">
        <v>-113.82133150601101</v>
      </c>
      <c r="G394" s="67" t="s">
        <v>2379</v>
      </c>
      <c r="H394" s="79"/>
      <c r="I394" s="79"/>
    </row>
    <row r="395" spans="2:9" ht="20" x14ac:dyDescent="0.2">
      <c r="B395" s="96" t="s">
        <v>3659</v>
      </c>
      <c r="C395" s="22" t="s">
        <v>2931</v>
      </c>
      <c r="D395" s="22" t="s">
        <v>4235</v>
      </c>
      <c r="E395" s="269">
        <v>53.195982519676797</v>
      </c>
      <c r="F395" s="269">
        <v>-114.43945055340301</v>
      </c>
      <c r="G395" s="67" t="s">
        <v>2379</v>
      </c>
      <c r="H395" s="79"/>
      <c r="I395" s="79"/>
    </row>
    <row r="396" spans="2:9" ht="20" x14ac:dyDescent="0.2">
      <c r="B396" s="96" t="s">
        <v>3660</v>
      </c>
      <c r="C396" s="22" t="s">
        <v>2932</v>
      </c>
      <c r="D396" s="22" t="s">
        <v>4237</v>
      </c>
      <c r="E396" s="269">
        <v>56.876434308811902</v>
      </c>
      <c r="F396" s="269">
        <v>-114.808760308204</v>
      </c>
      <c r="G396" s="67" t="s">
        <v>2379</v>
      </c>
      <c r="H396" s="79"/>
      <c r="I396" s="79"/>
    </row>
    <row r="397" spans="2:9" ht="20" x14ac:dyDescent="0.2">
      <c r="B397" s="96" t="s">
        <v>3661</v>
      </c>
      <c r="C397" s="22" t="s">
        <v>2933</v>
      </c>
      <c r="D397" s="22" t="s">
        <v>4235</v>
      </c>
      <c r="E397" s="269">
        <v>52.580321439543603</v>
      </c>
      <c r="F397" s="269">
        <v>-110.31571518221899</v>
      </c>
      <c r="G397" s="67" t="s">
        <v>2379</v>
      </c>
      <c r="H397" s="11"/>
      <c r="I397" s="11"/>
    </row>
    <row r="398" spans="2:9" ht="20" x14ac:dyDescent="0.2">
      <c r="B398" s="96" t="s">
        <v>3962</v>
      </c>
      <c r="C398" s="22" t="s">
        <v>2144</v>
      </c>
      <c r="D398" s="22" t="s">
        <v>4235</v>
      </c>
      <c r="E398" s="269">
        <v>52.579566150397397</v>
      </c>
      <c r="F398" s="269">
        <v>-110.58096029514699</v>
      </c>
      <c r="G398" s="67" t="s">
        <v>2379</v>
      </c>
      <c r="H398" s="11"/>
      <c r="I398" s="11"/>
    </row>
    <row r="399" spans="2:9" ht="20" x14ac:dyDescent="0.2">
      <c r="B399" s="96" t="s">
        <v>3662</v>
      </c>
      <c r="C399" s="22" t="s">
        <v>2934</v>
      </c>
      <c r="D399" s="22" t="s">
        <v>4235</v>
      </c>
      <c r="E399" s="269">
        <v>53.193843115408001</v>
      </c>
      <c r="F399" s="269">
        <v>-112.880108260485</v>
      </c>
      <c r="G399" s="67" t="s">
        <v>2379</v>
      </c>
      <c r="H399" s="79"/>
      <c r="I399" s="79"/>
    </row>
    <row r="400" spans="2:9" ht="20" x14ac:dyDescent="0.2">
      <c r="B400" s="96" t="s">
        <v>3963</v>
      </c>
      <c r="C400" s="22" t="s">
        <v>2135</v>
      </c>
      <c r="D400" s="22" t="s">
        <v>4235</v>
      </c>
      <c r="E400" s="269">
        <v>53.192717836997602</v>
      </c>
      <c r="F400" s="269">
        <v>-112.757778191382</v>
      </c>
      <c r="G400" s="67" t="s">
        <v>2379</v>
      </c>
      <c r="H400" s="79"/>
      <c r="I400" s="79"/>
    </row>
    <row r="401" spans="2:9" ht="20" x14ac:dyDescent="0.2">
      <c r="B401" s="96" t="s">
        <v>3663</v>
      </c>
      <c r="C401" s="22" t="s">
        <v>2935</v>
      </c>
      <c r="D401" s="22" t="s">
        <v>4237</v>
      </c>
      <c r="E401" s="269">
        <v>56.304590752540797</v>
      </c>
      <c r="F401" s="269">
        <v>-110.950917068077</v>
      </c>
      <c r="G401" s="67" t="s">
        <v>2379</v>
      </c>
      <c r="H401" s="11"/>
      <c r="I401" s="11"/>
    </row>
    <row r="402" spans="2:9" ht="20" x14ac:dyDescent="0.2">
      <c r="B402" s="96" t="s">
        <v>3664</v>
      </c>
      <c r="C402" s="22" t="s">
        <v>2936</v>
      </c>
      <c r="D402" s="22" t="s">
        <v>4237</v>
      </c>
      <c r="E402" s="269">
        <v>55.317066744026</v>
      </c>
      <c r="F402" s="269">
        <v>-115.359122839094</v>
      </c>
      <c r="G402" s="67" t="s">
        <v>2379</v>
      </c>
      <c r="H402" s="79"/>
      <c r="I402" s="79"/>
    </row>
    <row r="403" spans="2:9" ht="20" x14ac:dyDescent="0.2">
      <c r="B403" s="96" t="s">
        <v>3665</v>
      </c>
      <c r="C403" s="22" t="s">
        <v>2937</v>
      </c>
      <c r="D403" s="22" t="s">
        <v>4235</v>
      </c>
      <c r="E403" s="269">
        <v>55.3433500809926</v>
      </c>
      <c r="F403" s="269">
        <v>-111.028843324446</v>
      </c>
      <c r="G403" s="67" t="s">
        <v>2379</v>
      </c>
      <c r="H403" s="79"/>
      <c r="I403" s="79"/>
    </row>
    <row r="404" spans="2:9" ht="20" x14ac:dyDescent="0.2">
      <c r="B404" s="96" t="s">
        <v>3666</v>
      </c>
      <c r="C404" s="22" t="s">
        <v>2938</v>
      </c>
      <c r="D404" s="22" t="s">
        <v>4237</v>
      </c>
      <c r="E404" s="269">
        <v>53.366522167719801</v>
      </c>
      <c r="F404" s="269">
        <v>-110.32585047996901</v>
      </c>
      <c r="G404" s="67" t="s">
        <v>2379</v>
      </c>
      <c r="H404" s="79"/>
      <c r="I404" s="79"/>
    </row>
    <row r="405" spans="2:9" ht="20" x14ac:dyDescent="0.2">
      <c r="B405" s="96" t="s">
        <v>3667</v>
      </c>
      <c r="C405" s="22" t="s">
        <v>2939</v>
      </c>
      <c r="D405" s="22" t="s">
        <v>4235</v>
      </c>
      <c r="E405" s="269">
        <v>53.542867510631602</v>
      </c>
      <c r="F405" s="269">
        <v>-113.356354557912</v>
      </c>
      <c r="G405" s="67" t="s">
        <v>2379</v>
      </c>
      <c r="H405" s="79"/>
      <c r="I405" s="79"/>
    </row>
    <row r="406" spans="2:9" ht="20" x14ac:dyDescent="0.2">
      <c r="B406" s="96" t="s">
        <v>3668</v>
      </c>
      <c r="C406" s="22" t="s">
        <v>2940</v>
      </c>
      <c r="D406" s="22" t="s">
        <v>4237</v>
      </c>
      <c r="E406" s="269">
        <v>55.728844519785703</v>
      </c>
      <c r="F406" s="269">
        <v>-119.40884205853099</v>
      </c>
      <c r="G406" s="67" t="s">
        <v>2379</v>
      </c>
      <c r="H406" s="11"/>
      <c r="I406" s="11"/>
    </row>
    <row r="407" spans="2:9" ht="20" x14ac:dyDescent="0.2">
      <c r="B407" s="96" t="s">
        <v>3669</v>
      </c>
      <c r="C407" s="22" t="s">
        <v>2941</v>
      </c>
      <c r="D407" s="22" t="s">
        <v>4235</v>
      </c>
      <c r="E407" s="269">
        <v>54.733702990260198</v>
      </c>
      <c r="F407" s="269">
        <v>-111.979334447661</v>
      </c>
      <c r="G407" s="67" t="s">
        <v>2379</v>
      </c>
      <c r="H407" s="79"/>
      <c r="I407" s="79"/>
    </row>
    <row r="408" spans="2:9" ht="20" x14ac:dyDescent="0.2">
      <c r="B408" s="96" t="s">
        <v>3670</v>
      </c>
      <c r="C408" s="22" t="s">
        <v>2942</v>
      </c>
      <c r="D408" s="22" t="s">
        <v>4237</v>
      </c>
      <c r="E408" s="269">
        <v>54.492639794805299</v>
      </c>
      <c r="F408" s="269">
        <v>-110.760509825602</v>
      </c>
      <c r="G408" s="67" t="s">
        <v>2379</v>
      </c>
      <c r="H408" s="79"/>
      <c r="I408" s="79"/>
    </row>
    <row r="409" spans="2:9" ht="20" x14ac:dyDescent="0.2">
      <c r="B409" s="96" t="s">
        <v>3671</v>
      </c>
      <c r="C409" s="22" t="s">
        <v>2943</v>
      </c>
      <c r="D409" s="22" t="s">
        <v>4235</v>
      </c>
      <c r="E409" s="269">
        <v>51.429991911892202</v>
      </c>
      <c r="F409" s="269">
        <v>-116.17427673089</v>
      </c>
      <c r="G409" s="67" t="s">
        <v>2379</v>
      </c>
      <c r="H409" s="79"/>
      <c r="I409" s="79"/>
    </row>
    <row r="410" spans="2:9" ht="20" x14ac:dyDescent="0.2">
      <c r="B410" s="96" t="s">
        <v>3672</v>
      </c>
      <c r="C410" s="22" t="s">
        <v>2944</v>
      </c>
      <c r="D410" s="22" t="s">
        <v>4237</v>
      </c>
      <c r="E410" s="269">
        <v>52.297208701428303</v>
      </c>
      <c r="F410" s="269">
        <v>-111.07761648537</v>
      </c>
      <c r="G410" s="67" t="s">
        <v>2379</v>
      </c>
      <c r="H410" s="79"/>
      <c r="I410" s="79"/>
    </row>
    <row r="411" spans="2:9" ht="20" x14ac:dyDescent="0.2">
      <c r="B411" s="96" t="s">
        <v>3673</v>
      </c>
      <c r="C411" s="22" t="s">
        <v>2945</v>
      </c>
      <c r="D411" s="22" t="s">
        <v>4235</v>
      </c>
      <c r="E411" s="269">
        <v>49.670647710951499</v>
      </c>
      <c r="F411" s="269">
        <v>-112.778175127365</v>
      </c>
      <c r="G411" s="67" t="s">
        <v>2379</v>
      </c>
      <c r="H411" s="79"/>
      <c r="I411" s="79"/>
    </row>
    <row r="412" spans="2:9" ht="20" x14ac:dyDescent="0.2">
      <c r="B412" s="96" t="s">
        <v>4252</v>
      </c>
      <c r="C412" s="22" t="s">
        <v>4253</v>
      </c>
      <c r="D412" s="22" t="s">
        <v>4239</v>
      </c>
      <c r="E412" s="269">
        <v>53.497309522524702</v>
      </c>
      <c r="F412" s="269">
        <v>-113.416786388882</v>
      </c>
      <c r="G412" s="67" t="s">
        <v>2379</v>
      </c>
      <c r="H412" s="11"/>
      <c r="I412" s="11"/>
    </row>
    <row r="413" spans="2:9" ht="20" x14ac:dyDescent="0.2">
      <c r="B413" s="96" t="s">
        <v>3674</v>
      </c>
      <c r="C413" s="22" t="s">
        <v>2947</v>
      </c>
      <c r="D413" s="22" t="s">
        <v>4235</v>
      </c>
      <c r="E413" s="269">
        <v>53.740713186458898</v>
      </c>
      <c r="F413" s="269">
        <v>-113.20829882037501</v>
      </c>
      <c r="G413" s="67" t="s">
        <v>2379</v>
      </c>
      <c r="H413" s="11"/>
      <c r="I413" s="11"/>
    </row>
    <row r="414" spans="2:9" ht="20" x14ac:dyDescent="0.2">
      <c r="B414" s="96" t="s">
        <v>3675</v>
      </c>
      <c r="C414" s="22" t="s">
        <v>2948</v>
      </c>
      <c r="D414" s="22" t="s">
        <v>4237</v>
      </c>
      <c r="E414" s="269">
        <v>51.405300983028098</v>
      </c>
      <c r="F414" s="269">
        <v>-110.561189303598</v>
      </c>
      <c r="G414" s="67" t="s">
        <v>2379</v>
      </c>
      <c r="H414" s="11"/>
      <c r="I414" s="11"/>
    </row>
    <row r="415" spans="2:9" ht="20" x14ac:dyDescent="0.2">
      <c r="B415" s="96" t="s">
        <v>3676</v>
      </c>
      <c r="C415" s="22" t="s">
        <v>2949</v>
      </c>
      <c r="D415" s="22" t="s">
        <v>4235</v>
      </c>
      <c r="E415" s="269">
        <v>50.959340077523002</v>
      </c>
      <c r="F415" s="269">
        <v>-113.719784170903</v>
      </c>
      <c r="G415" s="67" t="s">
        <v>2379</v>
      </c>
      <c r="H415" s="79"/>
      <c r="I415" s="79"/>
    </row>
    <row r="416" spans="2:9" ht="20" x14ac:dyDescent="0.2">
      <c r="B416" s="96" t="s">
        <v>3677</v>
      </c>
      <c r="C416" s="22" t="s">
        <v>2950</v>
      </c>
      <c r="D416" s="22" t="s">
        <v>4235</v>
      </c>
      <c r="E416" s="269">
        <v>54.322989180810097</v>
      </c>
      <c r="F416" s="269">
        <v>-115.67343123532299</v>
      </c>
      <c r="G416" s="67" t="s">
        <v>2379</v>
      </c>
      <c r="H416" s="79"/>
      <c r="I416" s="79"/>
    </row>
    <row r="417" spans="2:9" ht="20" x14ac:dyDescent="0.2">
      <c r="B417" s="96" t="s">
        <v>3964</v>
      </c>
      <c r="C417" s="22" t="s">
        <v>2111</v>
      </c>
      <c r="D417" s="22" t="s">
        <v>4235</v>
      </c>
      <c r="E417" s="269">
        <v>54.319465208965099</v>
      </c>
      <c r="F417" s="269">
        <v>-115.68844424466999</v>
      </c>
      <c r="G417" s="67" t="s">
        <v>2379</v>
      </c>
      <c r="H417" s="79"/>
      <c r="I417" s="79"/>
    </row>
    <row r="418" spans="2:9" ht="20" x14ac:dyDescent="0.2">
      <c r="B418" s="96" t="s">
        <v>3678</v>
      </c>
      <c r="C418" s="22" t="s">
        <v>2951</v>
      </c>
      <c r="D418" s="22" t="s">
        <v>4235</v>
      </c>
      <c r="E418" s="269">
        <v>53.243739209008197</v>
      </c>
      <c r="F418" s="269">
        <v>-113.609296559489</v>
      </c>
      <c r="G418" s="67" t="s">
        <v>2379</v>
      </c>
      <c r="H418" s="79"/>
      <c r="I418" s="79"/>
    </row>
    <row r="419" spans="2:9" ht="20" x14ac:dyDescent="0.2">
      <c r="B419" s="96" t="s">
        <v>3679</v>
      </c>
      <c r="C419" s="22" t="s">
        <v>2952</v>
      </c>
      <c r="D419" s="22" t="s">
        <v>4235</v>
      </c>
      <c r="E419" s="269">
        <v>55.660108348551901</v>
      </c>
      <c r="F419" s="269">
        <v>-111.152247013562</v>
      </c>
      <c r="G419" s="67" t="s">
        <v>2379</v>
      </c>
      <c r="H419" s="11"/>
      <c r="I419" s="11"/>
    </row>
    <row r="420" spans="2:9" ht="20" x14ac:dyDescent="0.2">
      <c r="B420" s="96" t="s">
        <v>3680</v>
      </c>
      <c r="C420" s="22" t="s">
        <v>2953</v>
      </c>
      <c r="D420" s="22" t="s">
        <v>4237</v>
      </c>
      <c r="E420" s="269">
        <v>54.604198551914799</v>
      </c>
      <c r="F420" s="269">
        <v>-110.476696851657</v>
      </c>
      <c r="G420" s="67" t="s">
        <v>2379</v>
      </c>
      <c r="H420" s="79"/>
      <c r="I420" s="79"/>
    </row>
    <row r="421" spans="2:9" ht="20" x14ac:dyDescent="0.2">
      <c r="B421" s="96" t="s">
        <v>3681</v>
      </c>
      <c r="C421" s="22" t="s">
        <v>2954</v>
      </c>
      <c r="D421" s="22" t="s">
        <v>4235</v>
      </c>
      <c r="E421" s="269">
        <v>51.815627708841497</v>
      </c>
      <c r="F421" s="269">
        <v>-115.296675256497</v>
      </c>
      <c r="G421" s="67" t="s">
        <v>2379</v>
      </c>
      <c r="H421" s="79"/>
      <c r="I421" s="79"/>
    </row>
    <row r="422" spans="2:9" ht="20" x14ac:dyDescent="0.2">
      <c r="B422" s="96" t="s">
        <v>3682</v>
      </c>
      <c r="C422" s="22" t="s">
        <v>2692</v>
      </c>
      <c r="D422" s="22" t="s">
        <v>4237</v>
      </c>
      <c r="E422" s="269">
        <v>53.9943399971894</v>
      </c>
      <c r="F422" s="269">
        <v>-110.59701059182299</v>
      </c>
      <c r="G422" s="67" t="s">
        <v>2379</v>
      </c>
      <c r="H422" s="79"/>
      <c r="I422" s="79"/>
    </row>
    <row r="423" spans="2:9" ht="20" x14ac:dyDescent="0.2">
      <c r="B423" s="96" t="s">
        <v>3965</v>
      </c>
      <c r="C423" s="22" t="s">
        <v>2173</v>
      </c>
      <c r="D423" s="22" t="s">
        <v>4237</v>
      </c>
      <c r="E423" s="269">
        <v>53.991529796247399</v>
      </c>
      <c r="F423" s="269">
        <v>-110.94564520882901</v>
      </c>
      <c r="G423" s="67" t="s">
        <v>2379</v>
      </c>
      <c r="H423" s="79"/>
      <c r="I423" s="79"/>
    </row>
    <row r="424" spans="2:9" ht="20" x14ac:dyDescent="0.2">
      <c r="B424" s="96" t="s">
        <v>3683</v>
      </c>
      <c r="C424" s="22" t="s">
        <v>2645</v>
      </c>
      <c r="D424" s="22" t="s">
        <v>4237</v>
      </c>
      <c r="E424" s="269">
        <v>54.9419789736166</v>
      </c>
      <c r="F424" s="269">
        <v>-117.20293611847499</v>
      </c>
      <c r="G424" s="67" t="s">
        <v>2379</v>
      </c>
      <c r="H424" s="11"/>
      <c r="I424" s="11"/>
    </row>
    <row r="425" spans="2:9" ht="20" x14ac:dyDescent="0.2">
      <c r="B425" s="96" t="s">
        <v>3684</v>
      </c>
      <c r="C425" s="22" t="s">
        <v>2955</v>
      </c>
      <c r="D425" s="22" t="s">
        <v>4237</v>
      </c>
      <c r="E425" s="269">
        <v>56.380991115545598</v>
      </c>
      <c r="F425" s="269">
        <v>-113.00605188304399</v>
      </c>
      <c r="G425" s="67" t="s">
        <v>2379</v>
      </c>
      <c r="H425" s="11"/>
      <c r="I425" s="11"/>
    </row>
    <row r="426" spans="2:9" ht="20" x14ac:dyDescent="0.2">
      <c r="B426" s="96" t="s">
        <v>3685</v>
      </c>
      <c r="C426" s="22" t="s">
        <v>2956</v>
      </c>
      <c r="D426" s="22" t="s">
        <v>4237</v>
      </c>
      <c r="E426" s="269">
        <v>53.250060741579702</v>
      </c>
      <c r="F426" s="269">
        <v>-110.05223918256701</v>
      </c>
      <c r="G426" s="67" t="s">
        <v>2379</v>
      </c>
      <c r="H426" s="79"/>
      <c r="I426" s="79"/>
    </row>
    <row r="427" spans="2:9" ht="20" x14ac:dyDescent="0.2">
      <c r="B427" s="96" t="s">
        <v>3686</v>
      </c>
      <c r="C427" s="22" t="s">
        <v>2957</v>
      </c>
      <c r="D427" s="22" t="s">
        <v>4235</v>
      </c>
      <c r="E427" s="269">
        <v>53.160876396143301</v>
      </c>
      <c r="F427" s="269">
        <v>-115.31612648553001</v>
      </c>
      <c r="G427" s="67" t="s">
        <v>2379</v>
      </c>
      <c r="H427" s="79"/>
      <c r="I427" s="79"/>
    </row>
    <row r="428" spans="2:9" ht="20" x14ac:dyDescent="0.2">
      <c r="B428" s="96" t="s">
        <v>3687</v>
      </c>
      <c r="C428" s="22" t="s">
        <v>2958</v>
      </c>
      <c r="D428" s="22" t="s">
        <v>4237</v>
      </c>
      <c r="E428" s="269">
        <v>56.406271327881001</v>
      </c>
      <c r="F428" s="269">
        <v>-110.95169623891999</v>
      </c>
      <c r="G428" s="67" t="s">
        <v>2379</v>
      </c>
      <c r="H428" s="79"/>
      <c r="I428" s="79"/>
    </row>
    <row r="429" spans="2:9" ht="20" x14ac:dyDescent="0.2">
      <c r="B429" s="96" t="s">
        <v>3688</v>
      </c>
      <c r="C429" s="22" t="s">
        <v>2700</v>
      </c>
      <c r="D429" s="22" t="s">
        <v>4237</v>
      </c>
      <c r="E429" s="269">
        <v>56.405843819189897</v>
      </c>
      <c r="F429" s="269">
        <v>-110.950840061739</v>
      </c>
      <c r="G429" s="67" t="s">
        <v>2379</v>
      </c>
      <c r="H429" s="79"/>
      <c r="I429" s="79"/>
    </row>
    <row r="430" spans="2:9" ht="20" x14ac:dyDescent="0.2">
      <c r="B430" s="96" t="s">
        <v>3689</v>
      </c>
      <c r="C430" s="22" t="s">
        <v>2959</v>
      </c>
      <c r="D430" s="22" t="s">
        <v>4237</v>
      </c>
      <c r="E430" s="269">
        <v>54.613900220945503</v>
      </c>
      <c r="F430" s="269">
        <v>-115.567253087688</v>
      </c>
      <c r="G430" s="67" t="s">
        <v>2379</v>
      </c>
      <c r="H430" s="11"/>
      <c r="I430" s="11"/>
    </row>
    <row r="431" spans="2:9" ht="20" x14ac:dyDescent="0.2">
      <c r="B431" s="96" t="s">
        <v>3690</v>
      </c>
      <c r="C431" s="22" t="s">
        <v>2632</v>
      </c>
      <c r="D431" s="22" t="s">
        <v>4237</v>
      </c>
      <c r="E431" s="269">
        <v>55.331513578114297</v>
      </c>
      <c r="F431" s="269">
        <v>-119.211216445047</v>
      </c>
      <c r="G431" s="67" t="s">
        <v>2379</v>
      </c>
      <c r="H431" s="79"/>
      <c r="I431" s="79"/>
    </row>
    <row r="432" spans="2:9" ht="20" x14ac:dyDescent="0.2">
      <c r="B432" s="96" t="s">
        <v>3691</v>
      </c>
      <c r="C432" s="22" t="s">
        <v>2960</v>
      </c>
      <c r="D432" s="22" t="s">
        <v>4237</v>
      </c>
      <c r="E432" s="269">
        <v>51.926470387487498</v>
      </c>
      <c r="F432" s="269">
        <v>-110.61483095852</v>
      </c>
      <c r="G432" s="67" t="s">
        <v>2379</v>
      </c>
      <c r="H432" s="79"/>
      <c r="I432" s="79"/>
    </row>
    <row r="433" spans="2:11" ht="20" x14ac:dyDescent="0.2">
      <c r="B433" s="96" t="s">
        <v>3692</v>
      </c>
      <c r="C433" s="22" t="s">
        <v>2961</v>
      </c>
      <c r="D433" s="22" t="s">
        <v>4237</v>
      </c>
      <c r="E433" s="269">
        <v>56.238780295418302</v>
      </c>
      <c r="F433" s="269">
        <v>-115.640948580678</v>
      </c>
      <c r="G433" s="67" t="s">
        <v>2379</v>
      </c>
      <c r="H433" s="79"/>
      <c r="I433" s="79"/>
    </row>
    <row r="434" spans="2:11" ht="20" x14ac:dyDescent="0.2">
      <c r="B434" s="96" t="s">
        <v>3693</v>
      </c>
      <c r="C434" s="22" t="s">
        <v>2962</v>
      </c>
      <c r="D434" s="22" t="s">
        <v>4235</v>
      </c>
      <c r="E434" s="269">
        <v>49.785668438493403</v>
      </c>
      <c r="F434" s="269">
        <v>-114.113718103995</v>
      </c>
      <c r="G434" s="67" t="s">
        <v>2379</v>
      </c>
      <c r="H434" s="79"/>
      <c r="I434" s="79"/>
    </row>
    <row r="435" spans="2:11" ht="20" x14ac:dyDescent="0.2">
      <c r="B435" s="96" t="s">
        <v>3694</v>
      </c>
      <c r="C435" s="22" t="s">
        <v>2963</v>
      </c>
      <c r="D435" s="22" t="s">
        <v>4235</v>
      </c>
      <c r="E435" s="269">
        <v>49.713207703616298</v>
      </c>
      <c r="F435" s="269">
        <v>-112.78001194289099</v>
      </c>
      <c r="G435" s="67" t="s">
        <v>2379</v>
      </c>
      <c r="H435" s="79"/>
      <c r="I435" s="79"/>
    </row>
    <row r="436" spans="2:11" ht="20" x14ac:dyDescent="0.2">
      <c r="B436" s="96" t="s">
        <v>3695</v>
      </c>
      <c r="C436" s="22" t="s">
        <v>2693</v>
      </c>
      <c r="D436" s="22" t="s">
        <v>4237</v>
      </c>
      <c r="E436" s="269">
        <v>57.041153956653602</v>
      </c>
      <c r="F436" s="269">
        <v>-111.90433015449599</v>
      </c>
      <c r="G436" s="67" t="s">
        <v>2379</v>
      </c>
      <c r="H436" s="79"/>
      <c r="I436" s="79"/>
    </row>
    <row r="437" spans="2:11" ht="20" x14ac:dyDescent="0.2">
      <c r="B437" s="96" t="s">
        <v>3696</v>
      </c>
      <c r="C437" s="22" t="s">
        <v>2964</v>
      </c>
      <c r="D437" s="22" t="s">
        <v>4235</v>
      </c>
      <c r="E437" s="269">
        <v>51.533274429552499</v>
      </c>
      <c r="F437" s="269">
        <v>-114.208034048644</v>
      </c>
      <c r="G437" s="67" t="s">
        <v>2379</v>
      </c>
      <c r="H437" s="79"/>
      <c r="I437" s="79"/>
    </row>
    <row r="438" spans="2:11" ht="20" x14ac:dyDescent="0.2">
      <c r="B438" s="96" t="s">
        <v>3966</v>
      </c>
      <c r="C438" s="22" t="s">
        <v>2101</v>
      </c>
      <c r="D438" s="22" t="s">
        <v>4235</v>
      </c>
      <c r="E438" s="269">
        <v>51.5331314158</v>
      </c>
      <c r="F438" s="269">
        <v>-114.380488906921</v>
      </c>
      <c r="G438" s="67" t="s">
        <v>2379</v>
      </c>
      <c r="H438" s="79"/>
      <c r="I438" s="79"/>
    </row>
    <row r="439" spans="2:11" ht="20" x14ac:dyDescent="0.2">
      <c r="B439" s="96" t="s">
        <v>3697</v>
      </c>
      <c r="C439" s="22" t="s">
        <v>2965</v>
      </c>
      <c r="D439" s="22" t="s">
        <v>4235</v>
      </c>
      <c r="E439" s="269">
        <v>50.654655778817499</v>
      </c>
      <c r="F439" s="269">
        <v>-113.871584250941</v>
      </c>
      <c r="G439" s="67" t="s">
        <v>2379</v>
      </c>
      <c r="H439" s="79"/>
      <c r="I439" s="79"/>
    </row>
    <row r="440" spans="2:11" ht="20" x14ac:dyDescent="0.2">
      <c r="B440" s="96" t="s">
        <v>3967</v>
      </c>
      <c r="C440" s="22" t="s">
        <v>2133</v>
      </c>
      <c r="D440" s="22" t="s">
        <v>4235</v>
      </c>
      <c r="E440" s="269">
        <v>50.659533235482598</v>
      </c>
      <c r="F440" s="269">
        <v>-113.905501102895</v>
      </c>
      <c r="G440" s="67" t="s">
        <v>2379</v>
      </c>
      <c r="H440" s="79"/>
      <c r="I440" s="79"/>
    </row>
    <row r="441" spans="2:11" ht="20" x14ac:dyDescent="0.2">
      <c r="B441" s="96" t="s">
        <v>3698</v>
      </c>
      <c r="C441" s="22" t="s">
        <v>2694</v>
      </c>
      <c r="D441" s="22" t="s">
        <v>4235</v>
      </c>
      <c r="E441" s="269">
        <v>49.422076294626102</v>
      </c>
      <c r="F441" s="269">
        <v>-112.898241518585</v>
      </c>
      <c r="G441" s="67" t="s">
        <v>2379</v>
      </c>
      <c r="H441" s="11"/>
      <c r="I441" s="11"/>
    </row>
    <row r="442" spans="2:11" ht="20" x14ac:dyDescent="0.2">
      <c r="B442" s="96" t="s">
        <v>3699</v>
      </c>
      <c r="C442" s="22" t="s">
        <v>2966</v>
      </c>
      <c r="D442" s="22" t="s">
        <v>4237</v>
      </c>
      <c r="E442" s="269">
        <v>54.626993634301897</v>
      </c>
      <c r="F442" s="269">
        <v>-110.553959509799</v>
      </c>
      <c r="G442" s="67" t="s">
        <v>2379</v>
      </c>
      <c r="H442" s="269"/>
      <c r="I442" s="269"/>
    </row>
    <row r="443" spans="2:11" ht="20" x14ac:dyDescent="0.2">
      <c r="B443" s="96" t="s">
        <v>3700</v>
      </c>
      <c r="C443" s="22" t="s">
        <v>2695</v>
      </c>
      <c r="D443" s="22" t="s">
        <v>4237</v>
      </c>
      <c r="E443" s="269">
        <v>54.585324196296902</v>
      </c>
      <c r="F443" s="269">
        <v>-110.391754726071</v>
      </c>
      <c r="G443" s="67" t="s">
        <v>2379</v>
      </c>
      <c r="H443" s="79"/>
      <c r="I443" s="79"/>
    </row>
    <row r="444" spans="2:11" ht="20" x14ac:dyDescent="0.2">
      <c r="B444" s="96" t="s">
        <v>3701</v>
      </c>
      <c r="C444" s="22" t="s">
        <v>2967</v>
      </c>
      <c r="D444" s="22" t="s">
        <v>4237</v>
      </c>
      <c r="E444" s="269">
        <v>54.688009143204098</v>
      </c>
      <c r="F444" s="269">
        <v>-110.506908527479</v>
      </c>
      <c r="G444" s="67" t="s">
        <v>2379</v>
      </c>
      <c r="H444" s="79"/>
      <c r="I444" s="79"/>
    </row>
    <row r="445" spans="2:11" ht="20" x14ac:dyDescent="0.2">
      <c r="B445" s="96" t="s">
        <v>3702</v>
      </c>
      <c r="C445" s="22" t="s">
        <v>2968</v>
      </c>
      <c r="D445" s="22" t="s">
        <v>4237</v>
      </c>
      <c r="E445" s="269">
        <v>52.459918034540401</v>
      </c>
      <c r="F445" s="269">
        <v>-112.163391021249</v>
      </c>
      <c r="G445" s="67" t="s">
        <v>2379</v>
      </c>
      <c r="H445" s="79"/>
      <c r="I445" s="79"/>
    </row>
    <row r="446" spans="2:11" ht="20" x14ac:dyDescent="0.2">
      <c r="B446" s="96" t="s">
        <v>3968</v>
      </c>
      <c r="C446" s="22" t="s">
        <v>2122</v>
      </c>
      <c r="D446" s="22" t="s">
        <v>4237</v>
      </c>
      <c r="E446" s="269">
        <v>52.461543333804102</v>
      </c>
      <c r="F446" s="269">
        <v>-112.16416384052</v>
      </c>
      <c r="G446" s="67" t="s">
        <v>2379</v>
      </c>
      <c r="H446" s="79"/>
      <c r="I446" s="79"/>
    </row>
    <row r="447" spans="2:11" ht="20" x14ac:dyDescent="0.2">
      <c r="B447" s="96" t="s">
        <v>4390</v>
      </c>
      <c r="C447" s="22" t="s">
        <v>4391</v>
      </c>
      <c r="D447" s="22" t="s">
        <v>4235</v>
      </c>
      <c r="E447" s="269">
        <v>55.460078141764299</v>
      </c>
      <c r="F447" s="269">
        <v>-111.22491526354899</v>
      </c>
      <c r="G447" s="67" t="s">
        <v>2379</v>
      </c>
      <c r="H447" s="79"/>
      <c r="I447" s="79"/>
      <c r="K447" s="183"/>
    </row>
    <row r="448" spans="2:11" ht="20" x14ac:dyDescent="0.2">
      <c r="B448" s="96" t="s">
        <v>4392</v>
      </c>
      <c r="C448" s="22" t="s">
        <v>4393</v>
      </c>
      <c r="D448" s="22" t="s">
        <v>4235</v>
      </c>
      <c r="E448" s="269">
        <v>55.350423930588498</v>
      </c>
      <c r="F448" s="269">
        <v>-111.23420868121499</v>
      </c>
      <c r="G448" s="67" t="s">
        <v>2379</v>
      </c>
      <c r="H448" s="79"/>
      <c r="I448" s="79"/>
      <c r="K448" s="183"/>
    </row>
    <row r="449" spans="2:9" ht="20" x14ac:dyDescent="0.2">
      <c r="B449" s="96" t="s">
        <v>3703</v>
      </c>
      <c r="C449" s="22" t="s">
        <v>2969</v>
      </c>
      <c r="D449" s="22" t="s">
        <v>4237</v>
      </c>
      <c r="E449" s="269">
        <v>54.586261398791699</v>
      </c>
      <c r="F449" s="269">
        <v>-110.810572984247</v>
      </c>
      <c r="G449" s="67" t="s">
        <v>2379</v>
      </c>
      <c r="H449" s="79"/>
      <c r="I449" s="79"/>
    </row>
    <row r="450" spans="2:9" ht="20" x14ac:dyDescent="0.2">
      <c r="B450" s="96" t="s">
        <v>3704</v>
      </c>
      <c r="C450" s="22" t="s">
        <v>2970</v>
      </c>
      <c r="D450" s="22" t="s">
        <v>4237</v>
      </c>
      <c r="E450" s="269">
        <v>55.984125227653998</v>
      </c>
      <c r="F450" s="269">
        <v>-111.97919907638899</v>
      </c>
      <c r="G450" s="67" t="s">
        <v>2379</v>
      </c>
      <c r="H450" s="79"/>
      <c r="I450" s="79"/>
    </row>
    <row r="451" spans="2:9" ht="20" x14ac:dyDescent="0.2">
      <c r="B451" s="96" t="s">
        <v>3969</v>
      </c>
      <c r="C451" s="22" t="s">
        <v>2161</v>
      </c>
      <c r="D451" s="22" t="s">
        <v>4237</v>
      </c>
      <c r="E451" s="269">
        <v>55.983629372386098</v>
      </c>
      <c r="F451" s="269">
        <v>-111.97289203650899</v>
      </c>
      <c r="G451" s="67" t="s">
        <v>2379</v>
      </c>
      <c r="H451" s="79"/>
      <c r="I451" s="79"/>
    </row>
    <row r="452" spans="2:9" ht="20" x14ac:dyDescent="0.2">
      <c r="B452" s="96" t="s">
        <v>3705</v>
      </c>
      <c r="C452" s="22" t="s">
        <v>2971</v>
      </c>
      <c r="D452" s="22" t="s">
        <v>4235</v>
      </c>
      <c r="E452" s="269">
        <v>53.5124501671649</v>
      </c>
      <c r="F452" s="269">
        <v>-114.663397426361</v>
      </c>
      <c r="G452" s="67" t="s">
        <v>2379</v>
      </c>
      <c r="H452" s="79"/>
      <c r="I452" s="79"/>
    </row>
    <row r="453" spans="2:9" ht="20" x14ac:dyDescent="0.2">
      <c r="B453" s="96" t="s">
        <v>3970</v>
      </c>
      <c r="C453" s="22" t="s">
        <v>2149</v>
      </c>
      <c r="D453" s="22" t="s">
        <v>4235</v>
      </c>
      <c r="E453" s="269">
        <v>53.5120142757319</v>
      </c>
      <c r="F453" s="269">
        <v>-114.662712802442</v>
      </c>
      <c r="G453" s="67" t="s">
        <v>2379</v>
      </c>
      <c r="H453" s="79"/>
      <c r="I453" s="79"/>
    </row>
    <row r="454" spans="2:9" ht="20" x14ac:dyDescent="0.2">
      <c r="B454" s="96" t="s">
        <v>3706</v>
      </c>
      <c r="C454" s="22" t="s">
        <v>2972</v>
      </c>
      <c r="D454" s="22" t="s">
        <v>4237</v>
      </c>
      <c r="E454" s="269">
        <v>52.2884668710523</v>
      </c>
      <c r="F454" s="269">
        <v>-112.529252147216</v>
      </c>
      <c r="G454" s="67" t="s">
        <v>2379</v>
      </c>
      <c r="H454" s="79"/>
      <c r="I454" s="79"/>
    </row>
    <row r="455" spans="2:9" ht="20" x14ac:dyDescent="0.2">
      <c r="B455" s="96" t="s">
        <v>3707</v>
      </c>
      <c r="C455" s="22" t="s">
        <v>2973</v>
      </c>
      <c r="D455" s="22" t="s">
        <v>4235</v>
      </c>
      <c r="E455" s="269">
        <v>53.677159354810101</v>
      </c>
      <c r="F455" s="269">
        <v>-116.786183297812</v>
      </c>
      <c r="G455" s="67" t="s">
        <v>2379</v>
      </c>
      <c r="H455" s="79"/>
      <c r="I455" s="79"/>
    </row>
    <row r="456" spans="2:9" ht="20" x14ac:dyDescent="0.2">
      <c r="B456" s="96" t="s">
        <v>3971</v>
      </c>
      <c r="C456" s="22" t="s">
        <v>2192</v>
      </c>
      <c r="D456" s="22" t="s">
        <v>4235</v>
      </c>
      <c r="E456" s="269">
        <v>53.657547522345197</v>
      </c>
      <c r="F456" s="269">
        <v>-116.63021766250399</v>
      </c>
      <c r="G456" s="67" t="s">
        <v>2379</v>
      </c>
      <c r="H456" s="79"/>
      <c r="I456" s="79"/>
    </row>
    <row r="457" spans="2:9" ht="20" x14ac:dyDescent="0.2">
      <c r="B457" s="96" t="s">
        <v>3708</v>
      </c>
      <c r="C457" s="22" t="s">
        <v>2696</v>
      </c>
      <c r="D457" s="22" t="s">
        <v>4235</v>
      </c>
      <c r="E457" s="269">
        <v>49.612282745325999</v>
      </c>
      <c r="F457" s="269">
        <v>-113.481634413609</v>
      </c>
      <c r="G457" s="67" t="s">
        <v>2379</v>
      </c>
      <c r="H457" s="79"/>
      <c r="I457" s="79"/>
    </row>
    <row r="458" spans="2:9" ht="20" x14ac:dyDescent="0.2">
      <c r="B458" s="96" t="s">
        <v>3972</v>
      </c>
      <c r="C458" s="22" t="s">
        <v>2132</v>
      </c>
      <c r="D458" s="22" t="s">
        <v>4235</v>
      </c>
      <c r="E458" s="269">
        <v>49.640689422323298</v>
      </c>
      <c r="F458" s="269">
        <v>-113.479422569072</v>
      </c>
      <c r="G458" s="67" t="s">
        <v>2379</v>
      </c>
      <c r="H458" s="79"/>
      <c r="I458" s="79"/>
    </row>
    <row r="459" spans="2:9" ht="20" x14ac:dyDescent="0.2">
      <c r="B459" s="96" t="s">
        <v>3709</v>
      </c>
      <c r="C459" s="22" t="s">
        <v>2974</v>
      </c>
      <c r="D459" s="22" t="s">
        <v>4237</v>
      </c>
      <c r="E459" s="269">
        <v>57.4291999810346</v>
      </c>
      <c r="F459" s="269">
        <v>-111.143589272707</v>
      </c>
      <c r="G459" s="67" t="s">
        <v>2379</v>
      </c>
      <c r="H459" s="79"/>
      <c r="I459" s="79"/>
    </row>
    <row r="460" spans="2:9" ht="20" x14ac:dyDescent="0.2">
      <c r="B460" s="96" t="s">
        <v>3710</v>
      </c>
      <c r="C460" s="22" t="s">
        <v>2975</v>
      </c>
      <c r="D460" s="22" t="s">
        <v>4237</v>
      </c>
      <c r="E460" s="301">
        <v>55.753718501696703</v>
      </c>
      <c r="F460" s="269">
        <v>-112.233817982123</v>
      </c>
      <c r="G460" s="67" t="s">
        <v>2379</v>
      </c>
      <c r="H460" s="11"/>
      <c r="I460" s="11"/>
    </row>
    <row r="461" spans="2:9" ht="20" x14ac:dyDescent="0.2">
      <c r="B461" s="96" t="s">
        <v>3711</v>
      </c>
      <c r="C461" s="22" t="s">
        <v>4375</v>
      </c>
      <c r="D461" s="22" t="s">
        <v>4235</v>
      </c>
      <c r="E461" s="269">
        <v>50.599332345056297</v>
      </c>
      <c r="F461" s="269">
        <v>-110.02360041643701</v>
      </c>
      <c r="G461" s="67" t="s">
        <v>2379</v>
      </c>
      <c r="H461" s="79"/>
      <c r="I461" s="79"/>
    </row>
    <row r="462" spans="2:9" ht="20" x14ac:dyDescent="0.2">
      <c r="B462" s="96" t="s">
        <v>3712</v>
      </c>
      <c r="C462" s="22" t="s">
        <v>2977</v>
      </c>
      <c r="D462" s="22" t="s">
        <v>4237</v>
      </c>
      <c r="E462" s="269">
        <v>56.256988393531998</v>
      </c>
      <c r="F462" s="269">
        <v>-110.92109440126799</v>
      </c>
      <c r="G462" s="67" t="s">
        <v>2379</v>
      </c>
      <c r="H462" s="79"/>
      <c r="I462" s="79"/>
    </row>
    <row r="463" spans="2:9" ht="20" x14ac:dyDescent="0.2">
      <c r="B463" s="96" t="s">
        <v>3973</v>
      </c>
      <c r="C463" s="22" t="s">
        <v>2166</v>
      </c>
      <c r="D463" s="22" t="s">
        <v>4237</v>
      </c>
      <c r="E463" s="269">
        <v>56.259958183976401</v>
      </c>
      <c r="F463" s="269">
        <v>-110.921625659094</v>
      </c>
      <c r="G463" s="67" t="s">
        <v>2379</v>
      </c>
      <c r="H463" s="79"/>
      <c r="I463" s="79"/>
    </row>
    <row r="464" spans="2:9" ht="20" x14ac:dyDescent="0.2">
      <c r="B464" s="96" t="s">
        <v>3713</v>
      </c>
      <c r="C464" s="22" t="s">
        <v>2978</v>
      </c>
      <c r="D464" s="22" t="s">
        <v>4239</v>
      </c>
      <c r="E464" s="269">
        <v>53.517601451424802</v>
      </c>
      <c r="F464" s="269">
        <v>-113.58693574153099</v>
      </c>
      <c r="G464" s="67" t="s">
        <v>2379</v>
      </c>
      <c r="H464" s="79"/>
      <c r="I464" s="79"/>
    </row>
    <row r="465" spans="2:9" ht="20" x14ac:dyDescent="0.2">
      <c r="B465" s="96" t="s">
        <v>3714</v>
      </c>
      <c r="C465" s="22" t="s">
        <v>2697</v>
      </c>
      <c r="D465" s="22" t="s">
        <v>4235</v>
      </c>
      <c r="E465" s="269">
        <v>50.100425600000001</v>
      </c>
      <c r="F465" s="269">
        <v>-110.7275681</v>
      </c>
      <c r="G465" s="67" t="s">
        <v>2379</v>
      </c>
      <c r="H465" s="11"/>
      <c r="I465" s="11"/>
    </row>
    <row r="466" spans="2:9" ht="20" x14ac:dyDescent="0.2">
      <c r="B466" s="96" t="s">
        <v>3715</v>
      </c>
      <c r="C466" s="22" t="s">
        <v>2979</v>
      </c>
      <c r="D466" s="22" t="s">
        <v>4237</v>
      </c>
      <c r="E466" s="269">
        <v>57.103101532664603</v>
      </c>
      <c r="F466" s="269">
        <v>-117.564842630689</v>
      </c>
      <c r="G466" s="67" t="s">
        <v>2379</v>
      </c>
      <c r="H466" s="79"/>
      <c r="I466" s="79"/>
    </row>
    <row r="467" spans="2:9" ht="20" x14ac:dyDescent="0.2">
      <c r="B467" s="96" t="s">
        <v>3716</v>
      </c>
      <c r="C467" s="22" t="s">
        <v>2980</v>
      </c>
      <c r="D467" s="22" t="s">
        <v>4237</v>
      </c>
      <c r="E467" s="269">
        <v>58.441563576527898</v>
      </c>
      <c r="F467" s="269">
        <v>-117.219334939197</v>
      </c>
      <c r="G467" s="67" t="s">
        <v>2379</v>
      </c>
      <c r="H467" s="79"/>
      <c r="I467" s="79"/>
    </row>
    <row r="468" spans="2:9" ht="20" x14ac:dyDescent="0.2">
      <c r="B468" s="96" t="s">
        <v>3974</v>
      </c>
      <c r="C468" s="22" t="s">
        <v>2174</v>
      </c>
      <c r="D468" s="22" t="s">
        <v>4237</v>
      </c>
      <c r="E468" s="301">
        <v>58.442557445054703</v>
      </c>
      <c r="F468" s="269">
        <v>-117.226255000287</v>
      </c>
      <c r="G468" s="67" t="s">
        <v>2379</v>
      </c>
      <c r="H468" s="79"/>
      <c r="I468" s="79"/>
    </row>
    <row r="469" spans="2:9" ht="20" x14ac:dyDescent="0.2">
      <c r="B469" s="96" t="s">
        <v>3717</v>
      </c>
      <c r="C469" s="22" t="s">
        <v>2981</v>
      </c>
      <c r="D469" s="22" t="s">
        <v>4237</v>
      </c>
      <c r="E469" s="301">
        <v>55.287582958512203</v>
      </c>
      <c r="F469" s="269">
        <v>-118.768625691393</v>
      </c>
      <c r="G469" s="67" t="s">
        <v>2379</v>
      </c>
      <c r="H469" s="11"/>
      <c r="I469" s="11"/>
    </row>
    <row r="470" spans="2:9" ht="20" x14ac:dyDescent="0.2">
      <c r="B470" s="96" t="s">
        <v>3975</v>
      </c>
      <c r="C470" s="22" t="s">
        <v>2170</v>
      </c>
      <c r="D470" s="22" t="s">
        <v>4237</v>
      </c>
      <c r="E470" s="269">
        <v>55.257962851104899</v>
      </c>
      <c r="F470" s="269">
        <v>-118.743660073383</v>
      </c>
      <c r="G470" s="67" t="s">
        <v>2379</v>
      </c>
      <c r="H470" s="11"/>
      <c r="I470" s="11"/>
    </row>
    <row r="471" spans="2:9" ht="20" x14ac:dyDescent="0.2">
      <c r="B471" s="96" t="s">
        <v>3718</v>
      </c>
      <c r="C471" s="22" t="s">
        <v>2982</v>
      </c>
      <c r="D471" s="22" t="s">
        <v>4235</v>
      </c>
      <c r="E471" s="269">
        <v>52.405528804302499</v>
      </c>
      <c r="F471" s="269">
        <v>-110.579964209134</v>
      </c>
      <c r="G471" s="67" t="s">
        <v>2379</v>
      </c>
      <c r="H471" s="11"/>
      <c r="I471" s="11"/>
    </row>
    <row r="472" spans="2:9" ht="20" x14ac:dyDescent="0.2">
      <c r="B472" s="96" t="s">
        <v>3719</v>
      </c>
      <c r="C472" s="22" t="s">
        <v>2619</v>
      </c>
      <c r="D472" s="22" t="s">
        <v>4237</v>
      </c>
      <c r="E472" s="269">
        <v>51.502269880748102</v>
      </c>
      <c r="F472" s="269">
        <v>-112.72786778024199</v>
      </c>
      <c r="G472" s="67" t="s">
        <v>2379</v>
      </c>
      <c r="H472" s="11"/>
      <c r="I472" s="11"/>
    </row>
    <row r="473" spans="2:9" ht="20" x14ac:dyDescent="0.2">
      <c r="B473" s="96" t="s">
        <v>3720</v>
      </c>
      <c r="C473" s="22" t="s">
        <v>4259</v>
      </c>
      <c r="D473" s="22" t="s">
        <v>396</v>
      </c>
      <c r="E473" s="304">
        <v>57.030439392669102</v>
      </c>
      <c r="F473" s="269">
        <v>-111.609259986967</v>
      </c>
      <c r="G473" s="67" t="s">
        <v>2379</v>
      </c>
      <c r="H473" s="79"/>
      <c r="I473" s="79"/>
    </row>
    <row r="474" spans="2:9" ht="20" x14ac:dyDescent="0.2">
      <c r="B474" s="96" t="s">
        <v>3721</v>
      </c>
      <c r="C474" s="22" t="s">
        <v>2984</v>
      </c>
      <c r="D474" s="22" t="s">
        <v>4235</v>
      </c>
      <c r="E474" s="269">
        <v>54.1448061346317</v>
      </c>
      <c r="F474" s="269">
        <v>-115.69689981965</v>
      </c>
      <c r="G474" s="67" t="s">
        <v>2379</v>
      </c>
      <c r="H474" s="79"/>
      <c r="I474" s="79"/>
    </row>
    <row r="475" spans="2:9" ht="20" x14ac:dyDescent="0.2">
      <c r="B475" s="96" t="s">
        <v>3722</v>
      </c>
      <c r="C475" s="22" t="s">
        <v>2985</v>
      </c>
      <c r="D475" s="22" t="s">
        <v>4235</v>
      </c>
      <c r="E475" s="269">
        <v>50.521816706823898</v>
      </c>
      <c r="F475" s="269">
        <v>-112.767726223594</v>
      </c>
      <c r="G475" s="67" t="s">
        <v>2379</v>
      </c>
      <c r="H475" s="79"/>
      <c r="I475" s="79"/>
    </row>
    <row r="476" spans="2:9" ht="20" x14ac:dyDescent="0.2">
      <c r="B476" s="271" t="s">
        <v>3723</v>
      </c>
      <c r="C476" s="22" t="s">
        <v>2986</v>
      </c>
      <c r="D476" s="22" t="s">
        <v>4237</v>
      </c>
      <c r="E476" s="269">
        <v>55.267831752105501</v>
      </c>
      <c r="F476" s="269">
        <v>-114.578894078991</v>
      </c>
      <c r="G476" s="67" t="s">
        <v>2379</v>
      </c>
      <c r="H476" s="11"/>
      <c r="I476" s="11"/>
    </row>
    <row r="477" spans="2:9" ht="20" x14ac:dyDescent="0.2">
      <c r="B477" s="96" t="s">
        <v>3724</v>
      </c>
      <c r="C477" s="22" t="s">
        <v>3262</v>
      </c>
      <c r="D477" s="22" t="s">
        <v>4235</v>
      </c>
      <c r="E477" s="269">
        <v>54.317366945440703</v>
      </c>
      <c r="F477" s="269">
        <v>-115.691560799721</v>
      </c>
      <c r="G477" s="67" t="s">
        <v>2379</v>
      </c>
      <c r="H477" s="79"/>
      <c r="I477" s="79"/>
    </row>
    <row r="478" spans="2:9" ht="20" x14ac:dyDescent="0.2">
      <c r="B478" s="96" t="s">
        <v>3976</v>
      </c>
      <c r="C478" s="22" t="s">
        <v>2113</v>
      </c>
      <c r="D478" s="22" t="s">
        <v>4235</v>
      </c>
      <c r="E478" s="269">
        <v>54.319517087384597</v>
      </c>
      <c r="F478" s="269">
        <v>-115.688213621451</v>
      </c>
      <c r="G478" s="67" t="s">
        <v>2379</v>
      </c>
      <c r="H478" s="79"/>
      <c r="I478" s="79"/>
    </row>
    <row r="479" spans="2:9" ht="20" x14ac:dyDescent="0.2">
      <c r="B479" s="96" t="s">
        <v>3725</v>
      </c>
      <c r="C479" s="22" t="s">
        <v>2987</v>
      </c>
      <c r="D479" s="22" t="s">
        <v>4235</v>
      </c>
      <c r="E479" s="269">
        <v>49.830311110816403</v>
      </c>
      <c r="F479" s="269">
        <v>-112.98051885234599</v>
      </c>
      <c r="G479" s="67" t="s">
        <v>2379</v>
      </c>
      <c r="H479" s="79"/>
      <c r="I479" s="79"/>
    </row>
    <row r="480" spans="2:9" ht="20" x14ac:dyDescent="0.2">
      <c r="B480" s="96" t="s">
        <v>3977</v>
      </c>
      <c r="C480" s="22" t="s">
        <v>2106</v>
      </c>
      <c r="D480" s="22" t="s">
        <v>4235</v>
      </c>
      <c r="E480" s="269">
        <v>49.727398656827702</v>
      </c>
      <c r="F480" s="269">
        <v>-112.959553615869</v>
      </c>
      <c r="G480" s="67" t="s">
        <v>2379</v>
      </c>
      <c r="H480" s="79"/>
      <c r="I480" s="79"/>
    </row>
    <row r="481" spans="2:9" ht="20" x14ac:dyDescent="0.2">
      <c r="B481" s="96" t="s">
        <v>3726</v>
      </c>
      <c r="C481" s="22" t="s">
        <v>2988</v>
      </c>
      <c r="D481" s="22" t="s">
        <v>4237</v>
      </c>
      <c r="E481" s="269">
        <v>51.982038184107701</v>
      </c>
      <c r="F481" s="269">
        <v>-110.58381476338</v>
      </c>
      <c r="G481" s="67" t="s">
        <v>2379</v>
      </c>
      <c r="H481" s="79"/>
      <c r="I481" s="79"/>
    </row>
    <row r="482" spans="2:9" ht="20" x14ac:dyDescent="0.2">
      <c r="B482" s="96" t="s">
        <v>3727</v>
      </c>
      <c r="C482" s="22" t="s">
        <v>2644</v>
      </c>
      <c r="D482" s="22" t="s">
        <v>4235</v>
      </c>
      <c r="E482" s="269">
        <v>53.424593586894801</v>
      </c>
      <c r="F482" s="269">
        <v>-114.98535708634699</v>
      </c>
      <c r="G482" s="67" t="s">
        <v>2379</v>
      </c>
      <c r="H482" s="79"/>
      <c r="I482" s="79"/>
    </row>
    <row r="483" spans="2:9" ht="20" x14ac:dyDescent="0.2">
      <c r="B483" s="96" t="s">
        <v>3728</v>
      </c>
      <c r="C483" s="22" t="s">
        <v>2989</v>
      </c>
      <c r="D483" s="22" t="s">
        <v>4237</v>
      </c>
      <c r="E483" s="269">
        <v>54.5731160608115</v>
      </c>
      <c r="F483" s="269">
        <v>-115.51672756002699</v>
      </c>
      <c r="G483" s="67" t="s">
        <v>2379</v>
      </c>
      <c r="H483" s="79"/>
      <c r="I483" s="79"/>
    </row>
    <row r="484" spans="2:9" ht="20" x14ac:dyDescent="0.2">
      <c r="B484" s="96" t="s">
        <v>3729</v>
      </c>
      <c r="C484" s="22" t="s">
        <v>2990</v>
      </c>
      <c r="D484" s="22" t="s">
        <v>4235</v>
      </c>
      <c r="E484" s="269">
        <v>53.5803505878729</v>
      </c>
      <c r="F484" s="269">
        <v>-117.438188470724</v>
      </c>
      <c r="G484" s="67" t="s">
        <v>2379</v>
      </c>
      <c r="H484" s="79"/>
      <c r="I484" s="79"/>
    </row>
    <row r="485" spans="2:9" ht="20" x14ac:dyDescent="0.2">
      <c r="B485" s="96" t="s">
        <v>3978</v>
      </c>
      <c r="C485" s="22" t="s">
        <v>2142</v>
      </c>
      <c r="D485" s="22" t="s">
        <v>4235</v>
      </c>
      <c r="E485" s="269">
        <v>53.515421022384103</v>
      </c>
      <c r="F485" s="269">
        <v>-117.345069134105</v>
      </c>
      <c r="G485" s="67" t="s">
        <v>2379</v>
      </c>
      <c r="H485" s="79"/>
      <c r="I485" s="79"/>
    </row>
    <row r="486" spans="2:9" ht="20" x14ac:dyDescent="0.2">
      <c r="B486" s="96" t="s">
        <v>3730</v>
      </c>
      <c r="C486" s="22" t="s">
        <v>2991</v>
      </c>
      <c r="D486" s="22" t="s">
        <v>4237</v>
      </c>
      <c r="E486" s="269">
        <v>55.752967474233103</v>
      </c>
      <c r="F486" s="269">
        <v>-118.98440504733099</v>
      </c>
      <c r="G486" s="67" t="s">
        <v>2379</v>
      </c>
      <c r="H486" s="79"/>
      <c r="I486" s="79"/>
    </row>
    <row r="487" spans="2:9" ht="20" x14ac:dyDescent="0.2">
      <c r="B487" s="96" t="s">
        <v>3979</v>
      </c>
      <c r="C487" s="22" t="s">
        <v>2157</v>
      </c>
      <c r="D487" s="22" t="s">
        <v>4237</v>
      </c>
      <c r="E487" s="269">
        <v>55.752189685492702</v>
      </c>
      <c r="F487" s="269">
        <v>-118.98484149293201</v>
      </c>
      <c r="G487" s="67" t="s">
        <v>2379</v>
      </c>
      <c r="H487" s="79"/>
      <c r="I487" s="79"/>
    </row>
    <row r="488" spans="2:9" ht="20" x14ac:dyDescent="0.2">
      <c r="B488" s="96" t="s">
        <v>3731</v>
      </c>
      <c r="C488" s="22" t="s">
        <v>2992</v>
      </c>
      <c r="D488" s="22" t="s">
        <v>4235</v>
      </c>
      <c r="E488" s="269">
        <v>50.951754726263701</v>
      </c>
      <c r="F488" s="269">
        <v>-115.14033495149501</v>
      </c>
      <c r="G488" s="67" t="s">
        <v>2379</v>
      </c>
      <c r="H488" s="11"/>
      <c r="I488" s="11"/>
    </row>
    <row r="489" spans="2:9" ht="20" x14ac:dyDescent="0.2">
      <c r="B489" s="96" t="s">
        <v>3732</v>
      </c>
      <c r="C489" s="22" t="s">
        <v>2993</v>
      </c>
      <c r="D489" s="22" t="s">
        <v>4237</v>
      </c>
      <c r="E489" s="269">
        <v>54.387420816644799</v>
      </c>
      <c r="F489" s="269">
        <v>-116.97168800621399</v>
      </c>
      <c r="G489" s="67" t="s">
        <v>2379</v>
      </c>
      <c r="H489" s="79"/>
      <c r="I489" s="79"/>
    </row>
    <row r="490" spans="2:9" ht="20" x14ac:dyDescent="0.2">
      <c r="B490" s="96" t="s">
        <v>3980</v>
      </c>
      <c r="C490" s="22" t="s">
        <v>2178</v>
      </c>
      <c r="D490" s="22" t="s">
        <v>4237</v>
      </c>
      <c r="E490" s="269">
        <v>54.411642286397502</v>
      </c>
      <c r="F490" s="269">
        <v>-116.864745139861</v>
      </c>
      <c r="G490" s="67" t="s">
        <v>2379</v>
      </c>
      <c r="H490" s="79"/>
      <c r="I490" s="79"/>
    </row>
    <row r="491" spans="2:9" ht="20" x14ac:dyDescent="0.2">
      <c r="B491" s="96" t="s">
        <v>3733</v>
      </c>
      <c r="C491" s="22" t="s">
        <v>2698</v>
      </c>
      <c r="D491" s="22" t="s">
        <v>4237</v>
      </c>
      <c r="E491" s="302">
        <v>57.2527883738085</v>
      </c>
      <c r="F491" s="269">
        <v>-111.505900001548</v>
      </c>
      <c r="G491" s="67" t="s">
        <v>2379</v>
      </c>
      <c r="H491" s="79"/>
      <c r="I491" s="79"/>
    </row>
    <row r="492" spans="2:9" ht="20" x14ac:dyDescent="0.2">
      <c r="B492" s="96" t="s">
        <v>3734</v>
      </c>
      <c r="C492" s="22" t="s">
        <v>2994</v>
      </c>
      <c r="D492" s="22" t="s">
        <v>4235</v>
      </c>
      <c r="E492" s="269">
        <v>52.4997415840838</v>
      </c>
      <c r="F492" s="269">
        <v>-113.6270682052</v>
      </c>
      <c r="G492" s="67" t="s">
        <v>2379</v>
      </c>
      <c r="H492" s="79"/>
      <c r="I492" s="79"/>
    </row>
    <row r="493" spans="2:9" ht="20" x14ac:dyDescent="0.2">
      <c r="B493" s="96" t="s">
        <v>3735</v>
      </c>
      <c r="C493" s="22" t="s">
        <v>2995</v>
      </c>
      <c r="D493" s="22" t="s">
        <v>4235</v>
      </c>
      <c r="E493" s="269">
        <v>53.8046985788882</v>
      </c>
      <c r="F493" s="269">
        <v>-113.593782091653</v>
      </c>
      <c r="G493" s="67" t="s">
        <v>2379</v>
      </c>
      <c r="H493" s="79"/>
      <c r="I493" s="79"/>
    </row>
    <row r="494" spans="2:9" ht="20" x14ac:dyDescent="0.2">
      <c r="B494" s="96" t="s">
        <v>3736</v>
      </c>
      <c r="C494" s="22" t="s">
        <v>2699</v>
      </c>
      <c r="D494" s="22" t="s">
        <v>4237</v>
      </c>
      <c r="E494" s="269">
        <v>54.727283890553402</v>
      </c>
      <c r="F494" s="269">
        <v>-110.34649731590901</v>
      </c>
      <c r="G494" s="67" t="s">
        <v>2379</v>
      </c>
      <c r="H494" s="79"/>
      <c r="I494" s="79"/>
    </row>
    <row r="495" spans="2:9" ht="20" x14ac:dyDescent="0.2">
      <c r="B495" s="96" t="s">
        <v>3737</v>
      </c>
      <c r="C495" s="22" t="s">
        <v>2621</v>
      </c>
      <c r="D495" s="22" t="s">
        <v>4235</v>
      </c>
      <c r="E495" s="269">
        <v>51.023862522197703</v>
      </c>
      <c r="F495" s="269">
        <v>-113.145574074264</v>
      </c>
      <c r="G495" s="67" t="s">
        <v>2379</v>
      </c>
      <c r="H495" s="79"/>
      <c r="I495" s="79"/>
    </row>
    <row r="496" spans="2:9" ht="20" x14ac:dyDescent="0.2">
      <c r="B496" s="96" t="s">
        <v>3738</v>
      </c>
      <c r="C496" s="22" t="s">
        <v>2996</v>
      </c>
      <c r="D496" s="22" t="s">
        <v>4239</v>
      </c>
      <c r="E496" s="269">
        <v>53.585199553884998</v>
      </c>
      <c r="F496" s="269">
        <v>-113.492935598701</v>
      </c>
      <c r="G496" s="67" t="s">
        <v>2379</v>
      </c>
      <c r="H496" s="79"/>
      <c r="I496" s="79"/>
    </row>
    <row r="497" spans="2:9" ht="20" x14ac:dyDescent="0.2">
      <c r="B497" s="96" t="s">
        <v>3739</v>
      </c>
      <c r="C497" s="22" t="s">
        <v>2997</v>
      </c>
      <c r="D497" s="22" t="s">
        <v>4237</v>
      </c>
      <c r="E497" s="269">
        <v>55.610470967076601</v>
      </c>
      <c r="F497" s="269">
        <v>-114.97105451765999</v>
      </c>
      <c r="G497" s="67" t="s">
        <v>2379</v>
      </c>
      <c r="H497" s="79"/>
      <c r="I497" s="79"/>
    </row>
    <row r="498" spans="2:9" ht="20" x14ac:dyDescent="0.2">
      <c r="B498" s="96" t="s">
        <v>3740</v>
      </c>
      <c r="C498" s="22" t="s">
        <v>2998</v>
      </c>
      <c r="D498" s="22" t="s">
        <v>4235</v>
      </c>
      <c r="E498" s="269">
        <v>52.6964127729821</v>
      </c>
      <c r="F498" s="269">
        <v>-113.268379116004</v>
      </c>
      <c r="G498" s="67" t="s">
        <v>2379</v>
      </c>
      <c r="H498" s="79"/>
      <c r="I498" s="79"/>
    </row>
    <row r="499" spans="2:9" ht="20" x14ac:dyDescent="0.2">
      <c r="B499" s="96" t="s">
        <v>3741</v>
      </c>
      <c r="C499" s="22" t="s">
        <v>2999</v>
      </c>
      <c r="D499" s="22" t="s">
        <v>4237</v>
      </c>
      <c r="E499" s="269">
        <v>52.384009317520402</v>
      </c>
      <c r="F499" s="269">
        <v>-113.025469597026</v>
      </c>
      <c r="G499" s="67" t="s">
        <v>2379</v>
      </c>
      <c r="H499" s="11"/>
      <c r="I499" s="11"/>
    </row>
    <row r="500" spans="2:9" ht="20" x14ac:dyDescent="0.2">
      <c r="B500" s="96" t="s">
        <v>3742</v>
      </c>
      <c r="C500" s="22" t="s">
        <v>3000</v>
      </c>
      <c r="D500" s="22" t="s">
        <v>4235</v>
      </c>
      <c r="E500" s="269">
        <v>53.430008094321401</v>
      </c>
      <c r="F500" s="269">
        <v>-114.466063781827</v>
      </c>
      <c r="G500" s="67" t="s">
        <v>2379</v>
      </c>
      <c r="H500" s="79"/>
      <c r="I500" s="79"/>
    </row>
    <row r="501" spans="2:9" ht="20" x14ac:dyDescent="0.2">
      <c r="B501" s="96" t="s">
        <v>3981</v>
      </c>
      <c r="C501" s="22" t="s">
        <v>2150</v>
      </c>
      <c r="D501" s="22" t="s">
        <v>4235</v>
      </c>
      <c r="E501" s="269">
        <v>53.439826986001499</v>
      </c>
      <c r="F501" s="269">
        <v>-114.468628311554</v>
      </c>
      <c r="G501" s="67" t="s">
        <v>2379</v>
      </c>
      <c r="H501" s="79"/>
      <c r="I501" s="79"/>
    </row>
    <row r="502" spans="2:9" ht="20" x14ac:dyDescent="0.2">
      <c r="B502" s="96" t="s">
        <v>3743</v>
      </c>
      <c r="C502" s="22" t="s">
        <v>3001</v>
      </c>
      <c r="D502" s="22" t="s">
        <v>4237</v>
      </c>
      <c r="E502" s="269">
        <v>50.5072764372172</v>
      </c>
      <c r="F502" s="269">
        <v>-112.014559510674</v>
      </c>
      <c r="G502" s="67" t="s">
        <v>2379</v>
      </c>
      <c r="H502" s="79"/>
      <c r="I502" s="79"/>
    </row>
    <row r="503" spans="2:9" ht="20" x14ac:dyDescent="0.2">
      <c r="B503" s="96" t="s">
        <v>3744</v>
      </c>
      <c r="C503" s="22" t="s">
        <v>3002</v>
      </c>
      <c r="D503" s="22" t="s">
        <v>4235</v>
      </c>
      <c r="E503" s="269">
        <v>52.607934437384202</v>
      </c>
      <c r="F503" s="269">
        <v>-111.23928752983601</v>
      </c>
      <c r="G503" s="67" t="s">
        <v>2379</v>
      </c>
      <c r="H503" s="11"/>
      <c r="I503" s="11"/>
    </row>
    <row r="504" spans="2:9" ht="20" x14ac:dyDescent="0.2">
      <c r="B504" s="96" t="s">
        <v>3745</v>
      </c>
      <c r="C504" s="22" t="s">
        <v>3003</v>
      </c>
      <c r="D504" s="22" t="s">
        <v>4237</v>
      </c>
      <c r="E504" s="269">
        <v>55.907156767467697</v>
      </c>
      <c r="F504" s="269">
        <v>-115.142761529178</v>
      </c>
      <c r="G504" s="67" t="s">
        <v>2379</v>
      </c>
      <c r="H504" s="79"/>
      <c r="I504" s="79"/>
    </row>
    <row r="505" spans="2:9" ht="20" x14ac:dyDescent="0.2">
      <c r="B505" s="96" t="s">
        <v>3746</v>
      </c>
      <c r="C505" s="22" t="s">
        <v>3004</v>
      </c>
      <c r="D505" s="22" t="s">
        <v>4235</v>
      </c>
      <c r="E505" s="269">
        <v>53.308277145506302</v>
      </c>
      <c r="F505" s="269">
        <v>-113.51213954449899</v>
      </c>
      <c r="G505" s="67" t="s">
        <v>2379</v>
      </c>
      <c r="H505" s="79"/>
      <c r="I505" s="79"/>
    </row>
    <row r="506" spans="2:9" ht="20" x14ac:dyDescent="0.2">
      <c r="B506" s="96" t="s">
        <v>3747</v>
      </c>
      <c r="C506" s="22" t="s">
        <v>3005</v>
      </c>
      <c r="D506" s="22" t="s">
        <v>4237</v>
      </c>
      <c r="E506" s="269">
        <v>54.271603185081702</v>
      </c>
      <c r="F506" s="269">
        <v>-111.475330018996</v>
      </c>
      <c r="G506" s="67" t="s">
        <v>2379</v>
      </c>
      <c r="H506" s="79"/>
      <c r="I506" s="79"/>
    </row>
    <row r="507" spans="2:9" ht="20" x14ac:dyDescent="0.2">
      <c r="B507" s="96" t="s">
        <v>3982</v>
      </c>
      <c r="C507" s="22" t="s">
        <v>2164</v>
      </c>
      <c r="D507" s="22" t="s">
        <v>4237</v>
      </c>
      <c r="E507" s="269">
        <v>54.267787192248001</v>
      </c>
      <c r="F507" s="269">
        <v>-111.478265134309</v>
      </c>
      <c r="G507" s="67" t="s">
        <v>2379</v>
      </c>
      <c r="H507" s="79"/>
      <c r="I507" s="79"/>
    </row>
    <row r="508" spans="2:9" ht="20" x14ac:dyDescent="0.2">
      <c r="B508" s="96" t="s">
        <v>3748</v>
      </c>
      <c r="C508" s="22" t="s">
        <v>3006</v>
      </c>
      <c r="D508" s="22" t="s">
        <v>4237</v>
      </c>
      <c r="E508" s="269">
        <v>56.526394661193002</v>
      </c>
      <c r="F508" s="269">
        <v>-116.055471662863</v>
      </c>
      <c r="G508" s="67" t="s">
        <v>2379</v>
      </c>
      <c r="H508" s="79"/>
      <c r="I508" s="79"/>
    </row>
    <row r="509" spans="2:9" ht="20" x14ac:dyDescent="0.2">
      <c r="B509" s="96" t="s">
        <v>3749</v>
      </c>
      <c r="C509" s="22" t="s">
        <v>3007</v>
      </c>
      <c r="D509" s="22" t="s">
        <v>4235</v>
      </c>
      <c r="E509" s="269">
        <v>54.155822142721398</v>
      </c>
      <c r="F509" s="269">
        <v>-114.473305572933</v>
      </c>
      <c r="G509" s="67" t="s">
        <v>2379</v>
      </c>
      <c r="H509" s="11"/>
      <c r="I509" s="11"/>
    </row>
    <row r="510" spans="2:9" ht="20" x14ac:dyDescent="0.2">
      <c r="B510" s="96" t="s">
        <v>3750</v>
      </c>
      <c r="C510" s="22" t="s">
        <v>3008</v>
      </c>
      <c r="D510" s="22" t="s">
        <v>4235</v>
      </c>
      <c r="E510" s="269">
        <v>53.614569279796299</v>
      </c>
      <c r="F510" s="269">
        <v>-113.587706879295</v>
      </c>
      <c r="G510" s="67" t="s">
        <v>2379</v>
      </c>
      <c r="H510" s="11"/>
      <c r="I510" s="11"/>
    </row>
    <row r="511" spans="2:9" ht="20" x14ac:dyDescent="0.2">
      <c r="B511" s="96" t="s">
        <v>3751</v>
      </c>
      <c r="C511" s="22" t="s">
        <v>3009</v>
      </c>
      <c r="D511" s="22" t="s">
        <v>4235</v>
      </c>
      <c r="E511" s="269">
        <v>53.280194443772402</v>
      </c>
      <c r="F511" s="269">
        <v>-112.22184789874299</v>
      </c>
      <c r="G511" s="67" t="s">
        <v>2379</v>
      </c>
      <c r="H511" s="79"/>
      <c r="I511" s="79"/>
    </row>
    <row r="512" spans="2:9" ht="20" x14ac:dyDescent="0.2">
      <c r="B512" s="96" t="s">
        <v>3752</v>
      </c>
      <c r="C512" s="22" t="s">
        <v>3010</v>
      </c>
      <c r="D512" s="22" t="s">
        <v>4235</v>
      </c>
      <c r="E512" s="269">
        <v>49.729339659941303</v>
      </c>
      <c r="F512" s="269">
        <v>-112.836625468611</v>
      </c>
      <c r="G512" s="67" t="s">
        <v>2379</v>
      </c>
      <c r="H512" s="11"/>
      <c r="I512" s="11"/>
    </row>
    <row r="513" spans="2:9" ht="20" x14ac:dyDescent="0.2">
      <c r="B513" s="96" t="s">
        <v>3753</v>
      </c>
      <c r="C513" s="22" t="s">
        <v>3011</v>
      </c>
      <c r="D513" s="22" t="s">
        <v>4235</v>
      </c>
      <c r="E513" s="269">
        <v>52.317070569287402</v>
      </c>
      <c r="F513" s="269">
        <v>-113.80176724865601</v>
      </c>
      <c r="G513" s="67" t="s">
        <v>2379</v>
      </c>
      <c r="H513" s="79"/>
      <c r="I513" s="79"/>
    </row>
    <row r="514" spans="2:9" ht="20" x14ac:dyDescent="0.2">
      <c r="B514" s="96" t="s">
        <v>3754</v>
      </c>
      <c r="C514" s="22" t="s">
        <v>3012</v>
      </c>
      <c r="D514" s="22" t="s">
        <v>4235</v>
      </c>
      <c r="E514" s="269">
        <v>53.658705027495699</v>
      </c>
      <c r="F514" s="269">
        <v>-113.675054557819</v>
      </c>
      <c r="G514" s="67" t="s">
        <v>2379</v>
      </c>
      <c r="H514" s="79"/>
      <c r="I514" s="79"/>
    </row>
    <row r="515" spans="2:9" ht="20" x14ac:dyDescent="0.2">
      <c r="B515" s="96" t="s">
        <v>3755</v>
      </c>
      <c r="C515" s="22" t="s">
        <v>3013</v>
      </c>
      <c r="D515" s="22" t="s">
        <v>4235</v>
      </c>
      <c r="E515" s="269">
        <v>51.400205810255201</v>
      </c>
      <c r="F515" s="269">
        <v>-114.032037896136</v>
      </c>
      <c r="G515" s="67" t="s">
        <v>2379</v>
      </c>
      <c r="H515" s="79"/>
      <c r="I515" s="79"/>
    </row>
    <row r="516" spans="2:9" ht="20" x14ac:dyDescent="0.2">
      <c r="B516" s="96" t="s">
        <v>3756</v>
      </c>
      <c r="C516" s="22" t="s">
        <v>3014</v>
      </c>
      <c r="D516" s="22" t="s">
        <v>4237</v>
      </c>
      <c r="E516" s="269">
        <v>51.357032730694598</v>
      </c>
      <c r="F516" s="269">
        <v>-111.806535751927</v>
      </c>
      <c r="G516" s="67" t="s">
        <v>2379</v>
      </c>
      <c r="H516" s="79"/>
      <c r="I516" s="79"/>
    </row>
    <row r="517" spans="2:9" ht="20" x14ac:dyDescent="0.2">
      <c r="B517" s="96" t="s">
        <v>3757</v>
      </c>
      <c r="C517" s="22" t="s">
        <v>3015</v>
      </c>
      <c r="D517" s="22" t="s">
        <v>4235</v>
      </c>
      <c r="E517" s="269">
        <v>50.718483853221699</v>
      </c>
      <c r="F517" s="269">
        <v>-113.90288892918799</v>
      </c>
      <c r="G517" s="67" t="s">
        <v>2379</v>
      </c>
      <c r="H517" s="79"/>
      <c r="I517" s="79"/>
    </row>
    <row r="518" spans="2:9" ht="20" x14ac:dyDescent="0.2">
      <c r="B518" s="96" t="s">
        <v>3758</v>
      </c>
      <c r="C518" s="22" t="s">
        <v>2701</v>
      </c>
      <c r="D518" s="22" t="s">
        <v>4235</v>
      </c>
      <c r="E518" s="269">
        <v>49.560689355019001</v>
      </c>
      <c r="F518" s="269">
        <v>-113.895646802478</v>
      </c>
      <c r="G518" s="67" t="s">
        <v>2379</v>
      </c>
      <c r="H518" s="79"/>
      <c r="I518" s="79"/>
    </row>
    <row r="519" spans="2:9" ht="20" x14ac:dyDescent="0.2">
      <c r="B519" s="96" t="s">
        <v>3759</v>
      </c>
      <c r="C519" s="22" t="s">
        <v>3016</v>
      </c>
      <c r="D519" s="22" t="s">
        <v>4235</v>
      </c>
      <c r="E519" s="269">
        <v>51.795560096300903</v>
      </c>
      <c r="F519" s="269">
        <v>-114.152737882693</v>
      </c>
      <c r="G519" s="67" t="s">
        <v>2379</v>
      </c>
      <c r="H519" s="79"/>
      <c r="I519" s="79"/>
    </row>
    <row r="520" spans="2:9" ht="20" x14ac:dyDescent="0.2">
      <c r="B520" s="96" t="s">
        <v>3760</v>
      </c>
      <c r="C520" s="22" t="s">
        <v>3017</v>
      </c>
      <c r="D520" s="22" t="s">
        <v>4235</v>
      </c>
      <c r="E520" s="269">
        <v>53.700219493912201</v>
      </c>
      <c r="F520" s="269">
        <v>-114.172815247196</v>
      </c>
      <c r="G520" s="67" t="s">
        <v>2379</v>
      </c>
      <c r="H520" s="79"/>
      <c r="I520" s="79"/>
    </row>
    <row r="521" spans="2:9" ht="20" x14ac:dyDescent="0.2">
      <c r="B521" s="96" t="s">
        <v>3761</v>
      </c>
      <c r="C521" s="22" t="s">
        <v>3018</v>
      </c>
      <c r="D521" s="22" t="s">
        <v>4235</v>
      </c>
      <c r="E521" s="269">
        <v>53.820175498683199</v>
      </c>
      <c r="F521" s="269">
        <v>-113.12997659047301</v>
      </c>
      <c r="G521" s="67" t="s">
        <v>2379</v>
      </c>
      <c r="H521" s="79"/>
      <c r="I521" s="79"/>
    </row>
    <row r="522" spans="2:9" ht="20" x14ac:dyDescent="0.2">
      <c r="B522" s="96" t="s">
        <v>3762</v>
      </c>
      <c r="C522" s="22" t="s">
        <v>2640</v>
      </c>
      <c r="D522" s="22" t="s">
        <v>4237</v>
      </c>
      <c r="E522" s="269">
        <v>55.266749837833601</v>
      </c>
      <c r="F522" s="269">
        <v>-114.590800106746</v>
      </c>
      <c r="G522" s="67" t="s">
        <v>2379</v>
      </c>
      <c r="H522" s="79"/>
      <c r="I522" s="79"/>
    </row>
    <row r="523" spans="2:9" ht="20" x14ac:dyDescent="0.2">
      <c r="B523" s="96" t="s">
        <v>3763</v>
      </c>
      <c r="C523" s="22" t="s">
        <v>2639</v>
      </c>
      <c r="D523" s="22" t="s">
        <v>4237</v>
      </c>
      <c r="E523" s="269">
        <v>51.360772733961603</v>
      </c>
      <c r="F523" s="269">
        <v>-110.47220802918</v>
      </c>
      <c r="G523" s="67" t="s">
        <v>2379</v>
      </c>
      <c r="H523" s="79"/>
      <c r="I523" s="79"/>
    </row>
    <row r="524" spans="2:9" ht="20" x14ac:dyDescent="0.2">
      <c r="B524" s="96" t="s">
        <v>4388</v>
      </c>
      <c r="C524" s="22" t="s">
        <v>4431</v>
      </c>
      <c r="D524" s="22" t="s">
        <v>4237</v>
      </c>
      <c r="E524" s="269">
        <v>55.069174638953903</v>
      </c>
      <c r="F524" s="269">
        <v>-118.687944867195</v>
      </c>
      <c r="G524" s="67" t="s">
        <v>2379</v>
      </c>
      <c r="H524" s="79"/>
      <c r="I524" s="79"/>
    </row>
    <row r="525" spans="2:9" ht="20" x14ac:dyDescent="0.2">
      <c r="B525" s="96" t="s">
        <v>3764</v>
      </c>
      <c r="C525" s="22" t="s">
        <v>3019</v>
      </c>
      <c r="D525" s="22" t="s">
        <v>4235</v>
      </c>
      <c r="E525" s="269">
        <v>53.600612386395603</v>
      </c>
      <c r="F525" s="269">
        <v>-115.44857742043</v>
      </c>
      <c r="G525" s="67" t="s">
        <v>2379</v>
      </c>
      <c r="H525" s="79"/>
      <c r="I525" s="79"/>
    </row>
    <row r="526" spans="2:9" ht="20" x14ac:dyDescent="0.2">
      <c r="B526" s="96" t="s">
        <v>3983</v>
      </c>
      <c r="C526" s="22" t="s">
        <v>2141</v>
      </c>
      <c r="D526" s="22" t="s">
        <v>4235</v>
      </c>
      <c r="E526" s="301">
        <v>53.599498210072298</v>
      </c>
      <c r="F526" s="269">
        <v>-115.44867396119901</v>
      </c>
      <c r="G526" s="67" t="s">
        <v>2379</v>
      </c>
      <c r="H526" s="79"/>
      <c r="I526" s="79"/>
    </row>
    <row r="527" spans="2:9" ht="20" x14ac:dyDescent="0.2">
      <c r="B527" s="96" t="s">
        <v>3765</v>
      </c>
      <c r="C527" s="22" t="s">
        <v>4365</v>
      </c>
      <c r="D527" s="22" t="s">
        <v>4237</v>
      </c>
      <c r="E527" s="269">
        <v>52.4302249695657</v>
      </c>
      <c r="F527" s="269">
        <v>-111.75505135152</v>
      </c>
      <c r="G527" s="67" t="s">
        <v>2379</v>
      </c>
      <c r="H527" s="79"/>
      <c r="I527" s="79"/>
    </row>
    <row r="528" spans="2:9" ht="20" x14ac:dyDescent="0.2">
      <c r="B528" s="96" t="s">
        <v>3766</v>
      </c>
      <c r="C528" s="22" t="s">
        <v>3021</v>
      </c>
      <c r="D528" s="22" t="s">
        <v>4237</v>
      </c>
      <c r="E528" s="269">
        <v>56.780047991903501</v>
      </c>
      <c r="F528" s="269">
        <v>-111.43023916348</v>
      </c>
      <c r="G528" s="67" t="s">
        <v>2379</v>
      </c>
      <c r="H528" s="79"/>
      <c r="I528" s="79"/>
    </row>
    <row r="529" spans="2:9" ht="20" x14ac:dyDescent="0.2">
      <c r="B529" s="96" t="s">
        <v>3767</v>
      </c>
      <c r="C529" s="22" t="s">
        <v>2607</v>
      </c>
      <c r="D529" s="22" t="s">
        <v>4235</v>
      </c>
      <c r="E529" s="269">
        <v>49.768893749910099</v>
      </c>
      <c r="F529" s="269">
        <v>-110.71555841167699</v>
      </c>
      <c r="G529" s="67" t="s">
        <v>2379</v>
      </c>
      <c r="H529" s="11"/>
      <c r="I529" s="11"/>
    </row>
    <row r="530" spans="2:9" ht="20" x14ac:dyDescent="0.2">
      <c r="B530" s="96" t="s">
        <v>3768</v>
      </c>
      <c r="C530" s="22" t="s">
        <v>3022</v>
      </c>
      <c r="D530" s="22" t="s">
        <v>4235</v>
      </c>
      <c r="E530" s="269">
        <v>54.326310399086999</v>
      </c>
      <c r="F530" s="269">
        <v>-115.69671145254399</v>
      </c>
      <c r="G530" s="67" t="s">
        <v>2379</v>
      </c>
      <c r="H530" s="79"/>
      <c r="I530" s="79"/>
    </row>
    <row r="531" spans="2:9" ht="20" x14ac:dyDescent="0.2">
      <c r="B531" s="96" t="s">
        <v>3984</v>
      </c>
      <c r="C531" s="22" t="s">
        <v>2116</v>
      </c>
      <c r="D531" s="22" t="s">
        <v>4235</v>
      </c>
      <c r="E531" s="269">
        <v>54.326771286837001</v>
      </c>
      <c r="F531" s="269">
        <v>-115.68528904254001</v>
      </c>
      <c r="G531" s="67" t="s">
        <v>2379</v>
      </c>
      <c r="H531" s="79"/>
      <c r="I531" s="79"/>
    </row>
    <row r="532" spans="2:9" ht="20" x14ac:dyDescent="0.2">
      <c r="B532" s="96" t="s">
        <v>3769</v>
      </c>
      <c r="C532" s="22" t="s">
        <v>3023</v>
      </c>
      <c r="D532" s="22" t="s">
        <v>4235</v>
      </c>
      <c r="E532" s="269">
        <v>49.643003920211399</v>
      </c>
      <c r="F532" s="269">
        <v>-113.58629954511601</v>
      </c>
      <c r="G532" s="67" t="s">
        <v>2379</v>
      </c>
      <c r="H532" s="11"/>
      <c r="I532" s="11"/>
    </row>
    <row r="533" spans="2:9" ht="20" x14ac:dyDescent="0.2">
      <c r="B533" s="96" t="s">
        <v>3770</v>
      </c>
      <c r="C533" s="22" t="s">
        <v>3024</v>
      </c>
      <c r="D533" s="22" t="s">
        <v>4237</v>
      </c>
      <c r="E533" s="269">
        <v>51.984771024529302</v>
      </c>
      <c r="F533" s="269">
        <v>-110.603639552698</v>
      </c>
      <c r="G533" s="67" t="s">
        <v>2379</v>
      </c>
      <c r="H533" s="11"/>
      <c r="I533" s="11"/>
    </row>
    <row r="534" spans="2:9" ht="20" x14ac:dyDescent="0.2">
      <c r="B534" s="96" t="s">
        <v>3771</v>
      </c>
      <c r="C534" s="22" t="s">
        <v>3263</v>
      </c>
      <c r="D534" s="22" t="s">
        <v>4235</v>
      </c>
      <c r="E534" s="269">
        <v>53.178228238096203</v>
      </c>
      <c r="F534" s="269">
        <v>-115.75395881688701</v>
      </c>
      <c r="G534" s="67" t="s">
        <v>2379</v>
      </c>
      <c r="H534" s="79"/>
      <c r="I534" s="79"/>
    </row>
    <row r="535" spans="2:9" ht="20" x14ac:dyDescent="0.2">
      <c r="B535" s="96" t="s">
        <v>3772</v>
      </c>
      <c r="C535" s="22" t="s">
        <v>3025</v>
      </c>
      <c r="D535" s="22" t="s">
        <v>4235</v>
      </c>
      <c r="E535" s="269">
        <v>53.554131173611701</v>
      </c>
      <c r="F535" s="269">
        <v>-113.346080572117</v>
      </c>
      <c r="G535" s="67" t="s">
        <v>2379</v>
      </c>
      <c r="H535" s="79"/>
      <c r="I535" s="79"/>
    </row>
    <row r="536" spans="2:9" ht="20" x14ac:dyDescent="0.2">
      <c r="B536" s="96" t="s">
        <v>4262</v>
      </c>
      <c r="C536" s="22" t="s">
        <v>4263</v>
      </c>
      <c r="D536" s="22" t="s">
        <v>4239</v>
      </c>
      <c r="E536" s="269">
        <v>53.462192612110897</v>
      </c>
      <c r="F536" s="269">
        <v>-113.56229730915</v>
      </c>
      <c r="G536" s="67" t="s">
        <v>2379</v>
      </c>
      <c r="H536" s="79"/>
      <c r="I536" s="79"/>
    </row>
    <row r="537" spans="2:9" ht="20" x14ac:dyDescent="0.2">
      <c r="B537" s="96" t="s">
        <v>3773</v>
      </c>
      <c r="C537" s="22" t="s">
        <v>3027</v>
      </c>
      <c r="D537" s="22" t="s">
        <v>4235</v>
      </c>
      <c r="E537" s="269">
        <v>49.827778849979303</v>
      </c>
      <c r="F537" s="269">
        <v>-112.735100706579</v>
      </c>
      <c r="G537" s="67" t="s">
        <v>2379</v>
      </c>
      <c r="H537" s="79"/>
      <c r="I537" s="79"/>
    </row>
    <row r="538" spans="2:9" ht="20" x14ac:dyDescent="0.2">
      <c r="B538" s="96" t="s">
        <v>3774</v>
      </c>
      <c r="C538" s="22" t="s">
        <v>3028</v>
      </c>
      <c r="D538" s="22" t="s">
        <v>4235</v>
      </c>
      <c r="E538" s="269">
        <v>52.988004427536801</v>
      </c>
      <c r="F538" s="269">
        <v>-113.90106955643</v>
      </c>
      <c r="G538" s="67" t="s">
        <v>2379</v>
      </c>
      <c r="H538" s="79"/>
      <c r="I538" s="79"/>
    </row>
    <row r="539" spans="2:9" ht="20" x14ac:dyDescent="0.2">
      <c r="B539" s="96" t="s">
        <v>3775</v>
      </c>
      <c r="C539" s="22" t="s">
        <v>3029</v>
      </c>
      <c r="D539" s="22" t="s">
        <v>4235</v>
      </c>
      <c r="E539" s="269">
        <v>55.4072681590998</v>
      </c>
      <c r="F539" s="269">
        <v>-110.742939254609</v>
      </c>
      <c r="G539" s="67" t="s">
        <v>2379</v>
      </c>
      <c r="H539" s="11"/>
      <c r="I539" s="11"/>
    </row>
    <row r="540" spans="2:9" ht="20" x14ac:dyDescent="0.2">
      <c r="B540" s="96" t="s">
        <v>3776</v>
      </c>
      <c r="C540" s="22" t="s">
        <v>2615</v>
      </c>
      <c r="D540" s="22" t="s">
        <v>4235</v>
      </c>
      <c r="E540" s="269">
        <v>49.516488525567802</v>
      </c>
      <c r="F540" s="269">
        <v>-113.926087657674</v>
      </c>
      <c r="G540" s="67" t="s">
        <v>2379</v>
      </c>
      <c r="H540" s="11"/>
      <c r="I540" s="11"/>
    </row>
    <row r="541" spans="2:9" ht="20" x14ac:dyDescent="0.2">
      <c r="B541" s="96" t="s">
        <v>3777</v>
      </c>
      <c r="C541" s="22" t="s">
        <v>3030</v>
      </c>
      <c r="D541" s="22" t="s">
        <v>4235</v>
      </c>
      <c r="E541" s="269">
        <v>53.600127657054202</v>
      </c>
      <c r="F541" s="269">
        <v>-116.140022715019</v>
      </c>
      <c r="G541" s="67" t="s">
        <v>2379</v>
      </c>
      <c r="H541" s="79"/>
      <c r="I541" s="79"/>
    </row>
    <row r="542" spans="2:9" ht="20" x14ac:dyDescent="0.2">
      <c r="B542" s="96" t="s">
        <v>3778</v>
      </c>
      <c r="C542" s="22" t="s">
        <v>3031</v>
      </c>
      <c r="D542" s="22" t="s">
        <v>4235</v>
      </c>
      <c r="E542" s="269">
        <v>52.236726669667398</v>
      </c>
      <c r="F542" s="269">
        <v>-113.764882864283</v>
      </c>
      <c r="G542" s="67" t="s">
        <v>2379</v>
      </c>
      <c r="H542" s="79"/>
      <c r="I542" s="79"/>
    </row>
    <row r="543" spans="2:9" ht="20" x14ac:dyDescent="0.2">
      <c r="B543" s="96" t="s">
        <v>3779</v>
      </c>
      <c r="C543" s="22" t="s">
        <v>3032</v>
      </c>
      <c r="D543" s="22" t="s">
        <v>4235</v>
      </c>
      <c r="E543" s="269">
        <v>54.819350720084699</v>
      </c>
      <c r="F543" s="269">
        <v>-112.343720535516</v>
      </c>
      <c r="G543" s="67" t="s">
        <v>2379</v>
      </c>
      <c r="H543" s="79"/>
      <c r="I543" s="79"/>
    </row>
    <row r="544" spans="2:9" ht="20" x14ac:dyDescent="0.2">
      <c r="B544" s="96" t="s">
        <v>4021</v>
      </c>
      <c r="C544" s="22" t="s">
        <v>3033</v>
      </c>
      <c r="D544" s="22" t="s">
        <v>396</v>
      </c>
      <c r="E544" s="269">
        <v>57.059994538523199</v>
      </c>
      <c r="F544" s="269">
        <v>-111.563695165312</v>
      </c>
      <c r="G544" s="67" t="s">
        <v>2379</v>
      </c>
      <c r="H544" s="79"/>
      <c r="I544" s="79"/>
    </row>
    <row r="545" spans="2:9" ht="20" x14ac:dyDescent="0.2">
      <c r="B545" s="96" t="s">
        <v>3780</v>
      </c>
      <c r="C545" s="22" t="s">
        <v>2702</v>
      </c>
      <c r="D545" s="22" t="s">
        <v>4235</v>
      </c>
      <c r="E545" s="269">
        <v>50.698979695225901</v>
      </c>
      <c r="F545" s="269">
        <v>-115.119155895673</v>
      </c>
      <c r="G545" s="67" t="s">
        <v>2379</v>
      </c>
      <c r="H545" s="79"/>
      <c r="I545" s="79"/>
    </row>
    <row r="546" spans="2:9" ht="20" x14ac:dyDescent="0.2">
      <c r="B546" s="96" t="s">
        <v>3781</v>
      </c>
      <c r="C546" s="22" t="s">
        <v>3034</v>
      </c>
      <c r="D546" s="22" t="s">
        <v>4235</v>
      </c>
      <c r="E546" s="269">
        <v>52.698088254001497</v>
      </c>
      <c r="F546" s="269">
        <v>-113.551310116976</v>
      </c>
      <c r="G546" s="67" t="s">
        <v>2379</v>
      </c>
      <c r="H546" s="79"/>
      <c r="I546" s="79"/>
    </row>
    <row r="547" spans="2:9" ht="20" x14ac:dyDescent="0.2">
      <c r="B547" s="96" t="s">
        <v>3782</v>
      </c>
      <c r="C547" s="22" t="s">
        <v>2703</v>
      </c>
      <c r="D547" s="22" t="s">
        <v>4237</v>
      </c>
      <c r="E547" s="269">
        <v>55.338397104747401</v>
      </c>
      <c r="F547" s="269">
        <v>-119.21912247776299</v>
      </c>
      <c r="G547" s="67" t="s">
        <v>2379</v>
      </c>
      <c r="H547" s="11"/>
      <c r="I547" s="11"/>
    </row>
    <row r="548" spans="2:9" ht="20" x14ac:dyDescent="0.2">
      <c r="B548" s="96" t="s">
        <v>3783</v>
      </c>
      <c r="C548" s="22" t="s">
        <v>3035</v>
      </c>
      <c r="D548" s="22" t="s">
        <v>4239</v>
      </c>
      <c r="E548" s="269">
        <v>53.549428174563403</v>
      </c>
      <c r="F548" s="269">
        <v>-113.65084481870799</v>
      </c>
      <c r="G548" s="67" t="s">
        <v>2379</v>
      </c>
      <c r="H548" s="79"/>
      <c r="I548" s="79"/>
    </row>
    <row r="549" spans="2:9" ht="20" x14ac:dyDescent="0.2">
      <c r="B549" s="96" t="s">
        <v>3784</v>
      </c>
      <c r="C549" s="22" t="s">
        <v>2704</v>
      </c>
      <c r="D549" s="22" t="s">
        <v>4237</v>
      </c>
      <c r="E549" s="269">
        <v>54.774099716957302</v>
      </c>
      <c r="F549" s="269">
        <v>-110.580397327638</v>
      </c>
      <c r="G549" s="67" t="s">
        <v>2379</v>
      </c>
      <c r="H549" s="79"/>
      <c r="I549" s="79"/>
    </row>
    <row r="550" spans="2:9" ht="20" x14ac:dyDescent="0.2">
      <c r="B550" s="96" t="s">
        <v>3785</v>
      </c>
      <c r="C550" s="22" t="s">
        <v>3036</v>
      </c>
      <c r="D550" s="22" t="s">
        <v>4235</v>
      </c>
      <c r="E550" s="269">
        <v>52.346332615279003</v>
      </c>
      <c r="F550" s="269">
        <v>-110.291907977043</v>
      </c>
      <c r="G550" s="67" t="s">
        <v>2379</v>
      </c>
      <c r="H550" s="11"/>
      <c r="I550" s="11"/>
    </row>
    <row r="551" spans="2:9" ht="20" x14ac:dyDescent="0.2">
      <c r="B551" s="96" t="s">
        <v>3786</v>
      </c>
      <c r="C551" s="22" t="s">
        <v>3037</v>
      </c>
      <c r="D551" s="22" t="s">
        <v>4235</v>
      </c>
      <c r="E551" s="269">
        <v>53.194575088545001</v>
      </c>
      <c r="F551" s="269">
        <v>-112.88017870538199</v>
      </c>
      <c r="G551" s="67" t="s">
        <v>2379</v>
      </c>
      <c r="H551" s="79"/>
      <c r="I551" s="79"/>
    </row>
    <row r="552" spans="2:9" ht="20" x14ac:dyDescent="0.2">
      <c r="B552" s="96" t="s">
        <v>3985</v>
      </c>
      <c r="C552" s="22" t="s">
        <v>2136</v>
      </c>
      <c r="D552" s="22" t="s">
        <v>4235</v>
      </c>
      <c r="E552" s="269">
        <v>53.194105610832501</v>
      </c>
      <c r="F552" s="269">
        <v>-112.87957883663501</v>
      </c>
      <c r="G552" s="67" t="s">
        <v>2379</v>
      </c>
      <c r="H552" s="79"/>
      <c r="I552" s="79"/>
    </row>
    <row r="553" spans="2:9" ht="20" x14ac:dyDescent="0.2">
      <c r="B553" s="96" t="s">
        <v>3787</v>
      </c>
      <c r="C553" s="22" t="s">
        <v>3038</v>
      </c>
      <c r="D553" s="22" t="s">
        <v>4235</v>
      </c>
      <c r="E553" s="269">
        <v>50.602401657121597</v>
      </c>
      <c r="F553" s="269">
        <v>-113.02738834479899</v>
      </c>
      <c r="G553" s="67" t="s">
        <v>2379</v>
      </c>
      <c r="H553" s="79"/>
      <c r="I553" s="79"/>
    </row>
    <row r="554" spans="2:9" ht="20" x14ac:dyDescent="0.2">
      <c r="B554" s="96" t="s">
        <v>3788</v>
      </c>
      <c r="C554" s="22" t="s">
        <v>3039</v>
      </c>
      <c r="D554" s="22" t="s">
        <v>4237</v>
      </c>
      <c r="E554" s="269">
        <v>56.221915786772797</v>
      </c>
      <c r="F554" s="269">
        <v>-110.87639878662399</v>
      </c>
      <c r="G554" s="67" t="s">
        <v>2379</v>
      </c>
      <c r="H554" s="79"/>
      <c r="I554" s="79"/>
    </row>
    <row r="555" spans="2:9" ht="20" x14ac:dyDescent="0.2">
      <c r="B555" s="96" t="s">
        <v>3789</v>
      </c>
      <c r="C555" s="22" t="s">
        <v>2706</v>
      </c>
      <c r="D555" s="22" t="s">
        <v>4237</v>
      </c>
      <c r="E555" s="269">
        <v>58.447135967944398</v>
      </c>
      <c r="F555" s="269">
        <v>-119.237108451344</v>
      </c>
      <c r="G555" s="67" t="s">
        <v>2379</v>
      </c>
      <c r="H555" s="79"/>
      <c r="I555" s="79"/>
    </row>
    <row r="556" spans="2:9" ht="20" x14ac:dyDescent="0.2">
      <c r="B556" s="96" t="s">
        <v>458</v>
      </c>
      <c r="C556" s="22" t="s">
        <v>2705</v>
      </c>
      <c r="D556" s="22" t="s">
        <v>4237</v>
      </c>
      <c r="E556" s="301">
        <v>58.447211209815002</v>
      </c>
      <c r="F556" s="269">
        <v>-119.238785832101</v>
      </c>
      <c r="G556" s="67" t="s">
        <v>2379</v>
      </c>
      <c r="H556" s="79"/>
      <c r="I556" s="79"/>
    </row>
    <row r="557" spans="2:9" ht="20" x14ac:dyDescent="0.2">
      <c r="B557" s="96" t="s">
        <v>3790</v>
      </c>
      <c r="C557" s="22" t="s">
        <v>3040</v>
      </c>
      <c r="D557" s="22" t="s">
        <v>4235</v>
      </c>
      <c r="E557" s="269">
        <v>49.303523575641698</v>
      </c>
      <c r="F557" s="269">
        <v>-113.79213445564299</v>
      </c>
      <c r="G557" s="67" t="s">
        <v>2379</v>
      </c>
      <c r="H557" s="79"/>
      <c r="I557" s="79"/>
    </row>
    <row r="558" spans="2:9" ht="20" x14ac:dyDescent="0.2">
      <c r="B558" s="96" t="s">
        <v>3791</v>
      </c>
      <c r="C558" s="22" t="s">
        <v>3041</v>
      </c>
      <c r="D558" s="22" t="s">
        <v>4235</v>
      </c>
      <c r="E558" s="269">
        <v>52.006959109496698</v>
      </c>
      <c r="F558" s="269">
        <v>-114.722677706551</v>
      </c>
      <c r="G558" s="67" t="s">
        <v>2379</v>
      </c>
      <c r="H558" s="79"/>
      <c r="I558" s="79"/>
    </row>
    <row r="559" spans="2:9" ht="20" x14ac:dyDescent="0.2">
      <c r="B559" s="96" t="s">
        <v>3986</v>
      </c>
      <c r="C559" s="22" t="s">
        <v>2129</v>
      </c>
      <c r="D559" s="22" t="s">
        <v>4235</v>
      </c>
      <c r="E559" s="269">
        <v>51.9964533174388</v>
      </c>
      <c r="F559" s="269">
        <v>-114.809438165838</v>
      </c>
      <c r="G559" s="67" t="s">
        <v>2379</v>
      </c>
      <c r="H559" s="79"/>
      <c r="I559" s="79"/>
    </row>
    <row r="560" spans="2:9" ht="20" x14ac:dyDescent="0.2">
      <c r="B560" s="96" t="s">
        <v>3792</v>
      </c>
      <c r="C560" s="22" t="s">
        <v>2707</v>
      </c>
      <c r="D560" s="22" t="s">
        <v>4235</v>
      </c>
      <c r="E560" s="269">
        <v>49.407102575807897</v>
      </c>
      <c r="F560" s="269">
        <v>-112.692068585662</v>
      </c>
      <c r="G560" s="67" t="s">
        <v>2379</v>
      </c>
      <c r="H560" s="79"/>
      <c r="I560" s="79"/>
    </row>
    <row r="561" spans="2:9" ht="20" x14ac:dyDescent="0.2">
      <c r="B561" s="96" t="s">
        <v>3987</v>
      </c>
      <c r="C561" s="22" t="s">
        <v>2104</v>
      </c>
      <c r="D561" s="22" t="s">
        <v>4235</v>
      </c>
      <c r="E561" s="269">
        <v>49.435828182221499</v>
      </c>
      <c r="F561" s="269">
        <v>-112.69580367594</v>
      </c>
      <c r="G561" s="67" t="s">
        <v>2379</v>
      </c>
      <c r="H561" s="79"/>
      <c r="I561" s="79"/>
    </row>
    <row r="562" spans="2:9" ht="20" x14ac:dyDescent="0.2">
      <c r="B562" s="96" t="s">
        <v>3793</v>
      </c>
      <c r="C562" s="22" t="s">
        <v>2618</v>
      </c>
      <c r="D562" s="22" t="s">
        <v>4235</v>
      </c>
      <c r="E562" s="269">
        <v>52.236764727930499</v>
      </c>
      <c r="F562" s="269">
        <v>-113.869170468639</v>
      </c>
      <c r="G562" s="67" t="s">
        <v>2379</v>
      </c>
      <c r="H562" s="79"/>
      <c r="I562" s="79"/>
    </row>
    <row r="563" spans="2:9" ht="20" x14ac:dyDescent="0.2">
      <c r="B563" s="96" t="s">
        <v>4022</v>
      </c>
      <c r="C563" s="22" t="s">
        <v>3042</v>
      </c>
      <c r="D563" s="22" t="s">
        <v>4235</v>
      </c>
      <c r="E563" s="269">
        <v>52.270077281957697</v>
      </c>
      <c r="F563" s="269">
        <v>-113.821897071385</v>
      </c>
      <c r="G563" s="67" t="s">
        <v>2379</v>
      </c>
      <c r="H563" s="79"/>
      <c r="I563" s="79"/>
    </row>
    <row r="564" spans="2:9" ht="20" x14ac:dyDescent="0.2">
      <c r="B564" s="96" t="s">
        <v>4023</v>
      </c>
      <c r="C564" s="22" t="s">
        <v>3043</v>
      </c>
      <c r="D564" s="22" t="s">
        <v>4235</v>
      </c>
      <c r="E564" s="269">
        <v>52.317045993124701</v>
      </c>
      <c r="F564" s="269">
        <v>-113.802558758494</v>
      </c>
      <c r="G564" s="67" t="s">
        <v>2379</v>
      </c>
      <c r="H564" s="79"/>
      <c r="I564" s="79"/>
    </row>
    <row r="565" spans="2:9" ht="20" x14ac:dyDescent="0.2">
      <c r="B565" s="96" t="s">
        <v>3794</v>
      </c>
      <c r="C565" s="22" t="s">
        <v>3044</v>
      </c>
      <c r="D565" s="22" t="s">
        <v>4235</v>
      </c>
      <c r="E565" s="269">
        <v>53.935007634406801</v>
      </c>
      <c r="F565" s="269">
        <v>-113.075899413174</v>
      </c>
      <c r="G565" s="67" t="s">
        <v>2379</v>
      </c>
      <c r="H565" s="79"/>
      <c r="I565" s="79"/>
    </row>
    <row r="566" spans="2:9" ht="20" x14ac:dyDescent="0.2">
      <c r="B566" s="96" t="s">
        <v>3795</v>
      </c>
      <c r="C566" s="22" t="s">
        <v>3045</v>
      </c>
      <c r="D566" s="22" t="s">
        <v>4237</v>
      </c>
      <c r="E566" s="269">
        <v>52.144310006505798</v>
      </c>
      <c r="F566" s="269">
        <v>-111.19840089224699</v>
      </c>
      <c r="G566" s="67" t="s">
        <v>2379</v>
      </c>
      <c r="H566" s="79"/>
      <c r="I566" s="79"/>
    </row>
    <row r="567" spans="2:9" ht="20" x14ac:dyDescent="0.2">
      <c r="B567" s="96" t="s">
        <v>3796</v>
      </c>
      <c r="C567" s="22" t="s">
        <v>3046</v>
      </c>
      <c r="D567" s="22" t="s">
        <v>4237</v>
      </c>
      <c r="E567" s="269">
        <v>51.591328288233903</v>
      </c>
      <c r="F567" s="269">
        <v>-111.668379054995</v>
      </c>
      <c r="G567" s="67" t="s">
        <v>2379</v>
      </c>
      <c r="H567" s="79"/>
      <c r="I567" s="79"/>
    </row>
    <row r="568" spans="2:9" ht="20" x14ac:dyDescent="0.2">
      <c r="B568" s="96" t="s">
        <v>3797</v>
      </c>
      <c r="C568" s="22" t="s">
        <v>3047</v>
      </c>
      <c r="D568" s="22" t="s">
        <v>4235</v>
      </c>
      <c r="E568" s="269">
        <v>52.037477623194398</v>
      </c>
      <c r="F568" s="269">
        <v>-115.140096593422</v>
      </c>
      <c r="G568" s="67" t="s">
        <v>2379</v>
      </c>
      <c r="H568" s="79"/>
      <c r="I568" s="79"/>
    </row>
    <row r="569" spans="2:9" ht="20" x14ac:dyDescent="0.2">
      <c r="B569" s="96" t="s">
        <v>3988</v>
      </c>
      <c r="C569" s="22" t="s">
        <v>2130</v>
      </c>
      <c r="D569" s="22" t="s">
        <v>4235</v>
      </c>
      <c r="E569" s="301">
        <v>52.0564576835229</v>
      </c>
      <c r="F569" s="269">
        <v>-114.90379084106</v>
      </c>
      <c r="G569" s="67" t="s">
        <v>2379</v>
      </c>
      <c r="H569" s="79"/>
      <c r="I569" s="79"/>
    </row>
    <row r="570" spans="2:9" ht="20" x14ac:dyDescent="0.2">
      <c r="B570" s="96" t="s">
        <v>3798</v>
      </c>
      <c r="C570" s="22" t="s">
        <v>3048</v>
      </c>
      <c r="D570" s="22" t="s">
        <v>4235</v>
      </c>
      <c r="E570" s="269">
        <v>52.6391123940463</v>
      </c>
      <c r="F570" s="269">
        <v>-114.288757382545</v>
      </c>
      <c r="G570" s="67" t="s">
        <v>2379</v>
      </c>
      <c r="H570" s="79"/>
      <c r="I570" s="79"/>
    </row>
    <row r="571" spans="2:9" ht="20" x14ac:dyDescent="0.2">
      <c r="B571" s="96" t="s">
        <v>3799</v>
      </c>
      <c r="C571" s="22" t="s">
        <v>3049</v>
      </c>
      <c r="D571" s="22" t="s">
        <v>4237</v>
      </c>
      <c r="E571" s="269">
        <v>57.742503030496401</v>
      </c>
      <c r="F571" s="269">
        <v>-119.99196092747501</v>
      </c>
      <c r="G571" s="67" t="s">
        <v>2379</v>
      </c>
      <c r="H571" s="79"/>
      <c r="I571" s="79"/>
    </row>
    <row r="572" spans="2:9" ht="20" x14ac:dyDescent="0.2">
      <c r="B572" s="96" t="s">
        <v>3800</v>
      </c>
      <c r="C572" s="22" t="s">
        <v>3050</v>
      </c>
      <c r="D572" s="22" t="s">
        <v>4235</v>
      </c>
      <c r="E572" s="269">
        <v>49.611588649632999</v>
      </c>
      <c r="F572" s="269">
        <v>-112.868579446938</v>
      </c>
      <c r="G572" s="67" t="s">
        <v>2379</v>
      </c>
      <c r="H572" s="79"/>
      <c r="I572" s="79"/>
    </row>
    <row r="573" spans="2:9" ht="20" x14ac:dyDescent="0.2">
      <c r="B573" s="96" t="s">
        <v>3989</v>
      </c>
      <c r="C573" s="22" t="s">
        <v>2210</v>
      </c>
      <c r="D573" s="22" t="s">
        <v>4235</v>
      </c>
      <c r="E573" s="269">
        <v>49.640271467310299</v>
      </c>
      <c r="F573" s="269">
        <v>-112.86989583730799</v>
      </c>
      <c r="G573" s="67" t="s">
        <v>2379</v>
      </c>
      <c r="H573" s="79"/>
      <c r="I573" s="79"/>
    </row>
    <row r="574" spans="2:9" ht="20" x14ac:dyDescent="0.2">
      <c r="B574" s="96" t="s">
        <v>3801</v>
      </c>
      <c r="C574" s="22" t="s">
        <v>2638</v>
      </c>
      <c r="D574" s="22" t="s">
        <v>4235</v>
      </c>
      <c r="E574" s="269">
        <v>53.816447104833003</v>
      </c>
      <c r="F574" s="269">
        <v>-113.128970763588</v>
      </c>
      <c r="G574" s="67" t="s">
        <v>2379</v>
      </c>
      <c r="H574" s="79"/>
      <c r="I574" s="79"/>
    </row>
    <row r="575" spans="2:9" ht="20" x14ac:dyDescent="0.2">
      <c r="B575" s="96" t="s">
        <v>3990</v>
      </c>
      <c r="C575" s="22" t="s">
        <v>2127</v>
      </c>
      <c r="D575" s="22" t="s">
        <v>4235</v>
      </c>
      <c r="E575" s="269">
        <v>53.817511055693899</v>
      </c>
      <c r="F575" s="269">
        <v>-113.123223336376</v>
      </c>
      <c r="G575" s="67" t="s">
        <v>2379</v>
      </c>
      <c r="H575" s="79"/>
      <c r="I575" s="79"/>
    </row>
    <row r="576" spans="2:9" ht="20" x14ac:dyDescent="0.2">
      <c r="B576" s="96" t="s">
        <v>3802</v>
      </c>
      <c r="C576" s="22" t="s">
        <v>3051</v>
      </c>
      <c r="D576" s="22" t="s">
        <v>4235</v>
      </c>
      <c r="E576" s="269">
        <v>52.377058866523598</v>
      </c>
      <c r="F576" s="269">
        <v>-114.90188976617399</v>
      </c>
      <c r="G576" s="67" t="s">
        <v>2379</v>
      </c>
      <c r="H576" s="79"/>
      <c r="I576" s="79"/>
    </row>
    <row r="577" spans="2:9" ht="20" x14ac:dyDescent="0.2">
      <c r="B577" s="96" t="s">
        <v>3803</v>
      </c>
      <c r="C577" s="22" t="s">
        <v>3052</v>
      </c>
      <c r="D577" s="22" t="s">
        <v>4235</v>
      </c>
      <c r="E577" s="269">
        <v>53.724289947230197</v>
      </c>
      <c r="F577" s="269">
        <v>-113.17378896126</v>
      </c>
      <c r="G577" s="67" t="s">
        <v>2379</v>
      </c>
      <c r="H577" s="79"/>
      <c r="I577" s="79"/>
    </row>
    <row r="578" spans="2:9" ht="20" x14ac:dyDescent="0.2">
      <c r="B578" s="96" t="s">
        <v>3991</v>
      </c>
      <c r="C578" s="22" t="s">
        <v>2152</v>
      </c>
      <c r="D578" s="22" t="s">
        <v>4235</v>
      </c>
      <c r="E578" s="269">
        <v>53.724469396979401</v>
      </c>
      <c r="F578" s="269">
        <v>-113.17332232984199</v>
      </c>
      <c r="G578" s="67" t="s">
        <v>2379</v>
      </c>
      <c r="H578" s="79"/>
      <c r="I578" s="79"/>
    </row>
    <row r="579" spans="2:9" ht="20" x14ac:dyDescent="0.2">
      <c r="B579" s="96" t="s">
        <v>3804</v>
      </c>
      <c r="C579" s="22" t="s">
        <v>3053</v>
      </c>
      <c r="D579" s="22" t="s">
        <v>4239</v>
      </c>
      <c r="E579" s="269">
        <v>53.530046119057502</v>
      </c>
      <c r="F579" s="269">
        <v>-113.49949545667</v>
      </c>
      <c r="G579" s="67" t="s">
        <v>2379</v>
      </c>
      <c r="H579" s="79"/>
      <c r="I579" s="79"/>
    </row>
    <row r="580" spans="2:9" ht="20" x14ac:dyDescent="0.2">
      <c r="B580" s="96" t="s">
        <v>3805</v>
      </c>
      <c r="C580" s="22" t="s">
        <v>4350</v>
      </c>
      <c r="D580" s="22" t="s">
        <v>4235</v>
      </c>
      <c r="E580" s="269">
        <v>52.638483034422102</v>
      </c>
      <c r="F580" s="269">
        <v>-111.27836208266901</v>
      </c>
      <c r="G580" s="67" t="s">
        <v>2379</v>
      </c>
      <c r="H580" s="79"/>
      <c r="I580" s="79"/>
    </row>
    <row r="581" spans="2:9" ht="20" x14ac:dyDescent="0.2">
      <c r="B581" s="96" t="s">
        <v>3806</v>
      </c>
      <c r="C581" s="22" t="s">
        <v>3055</v>
      </c>
      <c r="D581" s="22" t="s">
        <v>4235</v>
      </c>
      <c r="E581" s="269">
        <v>55.301561585290401</v>
      </c>
      <c r="F581" s="269">
        <v>-111.99531913327</v>
      </c>
      <c r="G581" s="67" t="s">
        <v>2379</v>
      </c>
      <c r="H581" s="79"/>
      <c r="I581" s="79"/>
    </row>
    <row r="582" spans="2:9" ht="20" x14ac:dyDescent="0.2">
      <c r="B582" s="96" t="s">
        <v>3992</v>
      </c>
      <c r="C582" s="22" t="s">
        <v>2094</v>
      </c>
      <c r="D582" s="22" t="s">
        <v>4235</v>
      </c>
      <c r="E582" s="269">
        <v>55.264845952387702</v>
      </c>
      <c r="F582" s="269">
        <v>-112.120027175958</v>
      </c>
      <c r="G582" s="67" t="s">
        <v>2379</v>
      </c>
      <c r="H582" s="79"/>
      <c r="I582" s="79"/>
    </row>
    <row r="583" spans="2:9" ht="20" x14ac:dyDescent="0.2">
      <c r="B583" s="96" t="s">
        <v>3807</v>
      </c>
      <c r="C583" s="22" t="s">
        <v>3056</v>
      </c>
      <c r="D583" s="22" t="s">
        <v>4237</v>
      </c>
      <c r="E583" s="269">
        <v>51.736807313097202</v>
      </c>
      <c r="F583" s="269">
        <v>-112.72037283593301</v>
      </c>
      <c r="G583" s="67" t="s">
        <v>2379</v>
      </c>
      <c r="H583" s="79"/>
      <c r="I583" s="79"/>
    </row>
    <row r="584" spans="2:9" ht="20" x14ac:dyDescent="0.2">
      <c r="B584" s="96" t="s">
        <v>3808</v>
      </c>
      <c r="C584" s="22" t="s">
        <v>2708</v>
      </c>
      <c r="D584" s="22" t="s">
        <v>4235</v>
      </c>
      <c r="E584" s="269">
        <v>51.088983917710699</v>
      </c>
      <c r="F584" s="269">
        <v>-115.373810771466</v>
      </c>
      <c r="G584" s="67" t="s">
        <v>2379</v>
      </c>
      <c r="H584" s="79"/>
      <c r="I584" s="79"/>
    </row>
    <row r="585" spans="2:9" ht="20" x14ac:dyDescent="0.2">
      <c r="B585" s="96" t="s">
        <v>3993</v>
      </c>
      <c r="C585" s="22" t="s">
        <v>2117</v>
      </c>
      <c r="D585" s="22" t="s">
        <v>4235</v>
      </c>
      <c r="E585" s="269">
        <v>51.104933709956399</v>
      </c>
      <c r="F585" s="269">
        <v>-115.36085816308599</v>
      </c>
      <c r="G585" s="67" t="s">
        <v>2379</v>
      </c>
      <c r="H585" s="79"/>
      <c r="I585" s="79"/>
    </row>
    <row r="586" spans="2:9" ht="20" x14ac:dyDescent="0.2">
      <c r="B586" s="96" t="s">
        <v>3809</v>
      </c>
      <c r="C586" s="22" t="s">
        <v>3057</v>
      </c>
      <c r="D586" s="22" t="s">
        <v>4235</v>
      </c>
      <c r="E586" s="269">
        <v>49.516081062211803</v>
      </c>
      <c r="F586" s="269">
        <v>-114.027644826431</v>
      </c>
      <c r="G586" s="67" t="s">
        <v>2379</v>
      </c>
      <c r="H586" s="79"/>
      <c r="I586" s="79"/>
    </row>
    <row r="587" spans="2:9" ht="20" x14ac:dyDescent="0.2">
      <c r="B587" s="96" t="s">
        <v>3810</v>
      </c>
      <c r="C587" s="22" t="s">
        <v>2641</v>
      </c>
      <c r="D587" s="22" t="s">
        <v>4237</v>
      </c>
      <c r="E587" s="269">
        <v>56.9852356786825</v>
      </c>
      <c r="F587" s="269">
        <v>-111.54798583224</v>
      </c>
      <c r="G587" s="67" t="s">
        <v>2379</v>
      </c>
      <c r="H587" s="11"/>
      <c r="I587" s="11"/>
    </row>
    <row r="588" spans="2:9" ht="20" x14ac:dyDescent="0.2">
      <c r="B588" s="96" t="s">
        <v>3811</v>
      </c>
      <c r="C588" s="22" t="s">
        <v>3058</v>
      </c>
      <c r="D588" s="22" t="s">
        <v>4237</v>
      </c>
      <c r="E588" s="269">
        <v>55.751794809821099</v>
      </c>
      <c r="F588" s="269">
        <v>-118.699492369311</v>
      </c>
      <c r="G588" s="67" t="s">
        <v>2379</v>
      </c>
      <c r="H588" s="79"/>
      <c r="I588" s="79"/>
    </row>
    <row r="589" spans="2:9" ht="20" x14ac:dyDescent="0.2">
      <c r="B589" s="96" t="s">
        <v>3812</v>
      </c>
      <c r="C589" s="22" t="s">
        <v>2709</v>
      </c>
      <c r="D589" s="22" t="s">
        <v>4237</v>
      </c>
      <c r="E589" s="269">
        <v>55.460877919133999</v>
      </c>
      <c r="F589" s="269">
        <v>-119.06266833071901</v>
      </c>
      <c r="G589" s="67" t="s">
        <v>2379</v>
      </c>
      <c r="H589" s="79"/>
      <c r="I589" s="79"/>
    </row>
    <row r="590" spans="2:9" ht="20" x14ac:dyDescent="0.2">
      <c r="B590" s="96" t="s">
        <v>3994</v>
      </c>
      <c r="C590" s="22" t="s">
        <v>2167</v>
      </c>
      <c r="D590" s="22" t="s">
        <v>4237</v>
      </c>
      <c r="E590" s="269">
        <v>55.347002614143101</v>
      </c>
      <c r="F590" s="269">
        <v>-119.102628020111</v>
      </c>
      <c r="G590" s="67" t="s">
        <v>2379</v>
      </c>
      <c r="H590" s="79"/>
      <c r="I590" s="79"/>
    </row>
    <row r="591" spans="2:9" ht="20" x14ac:dyDescent="0.2">
      <c r="B591" s="96" t="s">
        <v>3813</v>
      </c>
      <c r="C591" s="22" t="s">
        <v>3059</v>
      </c>
      <c r="D591" s="22" t="s">
        <v>4235</v>
      </c>
      <c r="E591" s="269">
        <v>54.082986899345897</v>
      </c>
      <c r="F591" s="269">
        <v>-115.575008309138</v>
      </c>
      <c r="G591" s="67" t="s">
        <v>2379</v>
      </c>
      <c r="H591" s="11"/>
      <c r="I591" s="11"/>
    </row>
    <row r="592" spans="2:9" ht="20" x14ac:dyDescent="0.2">
      <c r="B592" s="96" t="s">
        <v>3814</v>
      </c>
      <c r="C592" s="22" t="s">
        <v>3060</v>
      </c>
      <c r="D592" s="22" t="s">
        <v>4237</v>
      </c>
      <c r="E592" s="269">
        <v>56.592877173393198</v>
      </c>
      <c r="F592" s="269">
        <v>-111.311853712808</v>
      </c>
      <c r="G592" s="67" t="s">
        <v>2379</v>
      </c>
      <c r="H592" s="11"/>
      <c r="I592" s="11"/>
    </row>
    <row r="593" spans="2:9" ht="20" x14ac:dyDescent="0.2">
      <c r="B593" s="96" t="s">
        <v>3815</v>
      </c>
      <c r="C593" s="22" t="s">
        <v>3061</v>
      </c>
      <c r="D593" s="22" t="s">
        <v>4235</v>
      </c>
      <c r="E593" s="269">
        <v>50.674447203601702</v>
      </c>
      <c r="F593" s="269">
        <v>-110.0249088219</v>
      </c>
      <c r="G593" s="67" t="s">
        <v>2379</v>
      </c>
      <c r="H593" s="79"/>
      <c r="I593" s="79"/>
    </row>
    <row r="594" spans="2:9" ht="20" x14ac:dyDescent="0.2">
      <c r="B594" s="96" t="s">
        <v>3816</v>
      </c>
      <c r="C594" s="22" t="s">
        <v>3062</v>
      </c>
      <c r="D594" s="22" t="s">
        <v>4235</v>
      </c>
      <c r="E594" s="269">
        <v>50.681728675677903</v>
      </c>
      <c r="F594" s="269">
        <v>-110.032250888121</v>
      </c>
      <c r="G594" s="67" t="s">
        <v>2379</v>
      </c>
      <c r="H594" s="79"/>
      <c r="I594" s="79"/>
    </row>
    <row r="595" spans="2:9" ht="20" x14ac:dyDescent="0.2">
      <c r="B595" s="96" t="s">
        <v>3817</v>
      </c>
      <c r="C595" s="22" t="s">
        <v>3063</v>
      </c>
      <c r="D595" s="22" t="s">
        <v>4237</v>
      </c>
      <c r="E595" s="269">
        <v>54.619330026124601</v>
      </c>
      <c r="F595" s="269">
        <v>-115.513782203668</v>
      </c>
      <c r="G595" s="67" t="s">
        <v>2379</v>
      </c>
      <c r="H595" s="79"/>
      <c r="I595" s="79"/>
    </row>
    <row r="596" spans="2:9" ht="20" x14ac:dyDescent="0.2">
      <c r="B596" s="96" t="s">
        <v>3818</v>
      </c>
      <c r="C596" s="22" t="s">
        <v>3064</v>
      </c>
      <c r="D596" s="22" t="s">
        <v>4235</v>
      </c>
      <c r="E596" s="269">
        <v>51.0104127869511</v>
      </c>
      <c r="F596" s="269">
        <v>-114.16698650776</v>
      </c>
      <c r="G596" s="67" t="s">
        <v>2379</v>
      </c>
      <c r="H596" s="11"/>
      <c r="I596" s="11"/>
    </row>
    <row r="597" spans="2:9" ht="20" x14ac:dyDescent="0.2">
      <c r="B597" s="96" t="s">
        <v>3819</v>
      </c>
      <c r="C597" s="22" t="s">
        <v>3065</v>
      </c>
      <c r="D597" s="22" t="s">
        <v>4235</v>
      </c>
      <c r="E597" s="269">
        <v>53.308251502544401</v>
      </c>
      <c r="F597" s="269">
        <v>-113.512203897902</v>
      </c>
      <c r="G597" s="67" t="s">
        <v>2379</v>
      </c>
      <c r="H597" s="79"/>
      <c r="I597" s="79"/>
    </row>
    <row r="598" spans="2:9" ht="20" x14ac:dyDescent="0.2">
      <c r="B598" s="96" t="s">
        <v>568</v>
      </c>
      <c r="C598" s="22" t="s">
        <v>4379</v>
      </c>
      <c r="D598" s="22" t="s">
        <v>4235</v>
      </c>
      <c r="E598" s="269">
        <v>50.165780669445603</v>
      </c>
      <c r="F598" s="269">
        <v>-113.615452949751</v>
      </c>
      <c r="G598" s="67" t="s">
        <v>2379</v>
      </c>
      <c r="H598" s="79"/>
      <c r="I598" s="79" t="s">
        <v>4380</v>
      </c>
    </row>
    <row r="599" spans="2:9" ht="20" x14ac:dyDescent="0.2">
      <c r="B599" s="96" t="s">
        <v>3820</v>
      </c>
      <c r="C599" s="22" t="s">
        <v>3067</v>
      </c>
      <c r="D599" s="22" t="s">
        <v>4235</v>
      </c>
      <c r="E599" s="269">
        <v>51.968717151678803</v>
      </c>
      <c r="F599" s="269">
        <v>-114.640177307317</v>
      </c>
      <c r="G599" s="67" t="s">
        <v>2379</v>
      </c>
      <c r="H599" s="79"/>
      <c r="I599" s="79"/>
    </row>
    <row r="600" spans="2:9" ht="20" x14ac:dyDescent="0.2">
      <c r="B600" s="96" t="s">
        <v>3995</v>
      </c>
      <c r="C600" s="22" t="s">
        <v>2190</v>
      </c>
      <c r="D600" s="22" t="s">
        <v>4235</v>
      </c>
      <c r="E600" s="269">
        <v>51.9695268716562</v>
      </c>
      <c r="F600" s="269">
        <v>-114.63927118007599</v>
      </c>
      <c r="G600" s="67" t="s">
        <v>2379</v>
      </c>
      <c r="H600" s="79"/>
      <c r="I600" s="79"/>
    </row>
    <row r="601" spans="2:9" ht="20" x14ac:dyDescent="0.2">
      <c r="B601" s="96" t="s">
        <v>3821</v>
      </c>
      <c r="C601" s="22" t="s">
        <v>3068</v>
      </c>
      <c r="D601" s="22" t="s">
        <v>4235</v>
      </c>
      <c r="E601" s="269">
        <v>53.8150530991689</v>
      </c>
      <c r="F601" s="269">
        <v>-113.134852332058</v>
      </c>
      <c r="G601" s="67" t="s">
        <v>2379</v>
      </c>
      <c r="H601" s="79"/>
      <c r="I601" s="79"/>
    </row>
    <row r="602" spans="2:9" ht="20" x14ac:dyDescent="0.2">
      <c r="B602" s="96" t="s">
        <v>3822</v>
      </c>
      <c r="C602" s="22" t="s">
        <v>2710</v>
      </c>
      <c r="D602" s="22" t="s">
        <v>4235</v>
      </c>
      <c r="E602" s="269">
        <v>53.789879349585497</v>
      </c>
      <c r="F602" s="269">
        <v>-113.096872248728</v>
      </c>
      <c r="G602" s="67" t="s">
        <v>2379</v>
      </c>
      <c r="H602" s="79"/>
      <c r="I602" s="79"/>
    </row>
    <row r="603" spans="2:9" ht="20" x14ac:dyDescent="0.2">
      <c r="B603" s="96" t="s">
        <v>3823</v>
      </c>
      <c r="C603" s="22" t="s">
        <v>3264</v>
      </c>
      <c r="D603" s="22" t="s">
        <v>4235</v>
      </c>
      <c r="E603" s="269">
        <v>53.794574690203703</v>
      </c>
      <c r="F603" s="269">
        <v>-113.115636327221</v>
      </c>
      <c r="G603" s="67" t="s">
        <v>2379</v>
      </c>
      <c r="H603" s="79"/>
      <c r="I603" s="79"/>
    </row>
    <row r="604" spans="2:9" ht="20" x14ac:dyDescent="0.2">
      <c r="B604" s="96" t="s">
        <v>3824</v>
      </c>
      <c r="C604" s="22" t="s">
        <v>3069</v>
      </c>
      <c r="D604" s="22" t="s">
        <v>4237</v>
      </c>
      <c r="E604" s="269">
        <v>56.267759559305198</v>
      </c>
      <c r="F604" s="269">
        <v>-116.113888865256</v>
      </c>
      <c r="G604" s="67" t="s">
        <v>2379</v>
      </c>
      <c r="H604" s="79"/>
      <c r="I604" s="79"/>
    </row>
    <row r="605" spans="2:9" ht="20" x14ac:dyDescent="0.2">
      <c r="B605" s="96" t="s">
        <v>3996</v>
      </c>
      <c r="C605" s="22" t="s">
        <v>2160</v>
      </c>
      <c r="D605" s="22" t="s">
        <v>4237</v>
      </c>
      <c r="E605" s="269">
        <v>56.266525188818797</v>
      </c>
      <c r="F605" s="269">
        <v>-116.114342655949</v>
      </c>
      <c r="G605" s="67" t="s">
        <v>2379</v>
      </c>
      <c r="H605" s="79"/>
      <c r="I605" s="79"/>
    </row>
    <row r="606" spans="2:9" ht="20" x14ac:dyDescent="0.2">
      <c r="B606" s="96" t="s">
        <v>3825</v>
      </c>
      <c r="C606" s="22" t="s">
        <v>3070</v>
      </c>
      <c r="D606" s="22" t="s">
        <v>4237</v>
      </c>
      <c r="E606" s="269">
        <v>57.395065294070299</v>
      </c>
      <c r="F606" s="269">
        <v>-111.624478543873</v>
      </c>
      <c r="G606" s="67" t="s">
        <v>2379</v>
      </c>
      <c r="H606" s="79"/>
      <c r="I606" s="79"/>
    </row>
    <row r="607" spans="2:9" ht="20" x14ac:dyDescent="0.2">
      <c r="B607" s="96" t="s">
        <v>3826</v>
      </c>
      <c r="C607" s="22" t="s">
        <v>2601</v>
      </c>
      <c r="D607" s="22" t="s">
        <v>4235</v>
      </c>
      <c r="E607" s="269">
        <v>52.771079199497201</v>
      </c>
      <c r="F607" s="269">
        <v>-111.711993509973</v>
      </c>
      <c r="G607" s="67" t="s">
        <v>2379</v>
      </c>
      <c r="H607" s="79"/>
      <c r="I607" s="79"/>
    </row>
    <row r="608" spans="2:9" ht="20" x14ac:dyDescent="0.2">
      <c r="B608" s="96" t="s">
        <v>3997</v>
      </c>
      <c r="C608" s="22" t="s">
        <v>2124</v>
      </c>
      <c r="D608" s="22" t="s">
        <v>4235</v>
      </c>
      <c r="E608" s="269">
        <v>52.770766083035099</v>
      </c>
      <c r="F608" s="269">
        <v>-111.71192092836201</v>
      </c>
      <c r="G608" s="67" t="s">
        <v>2379</v>
      </c>
      <c r="H608" s="79"/>
      <c r="I608" s="79"/>
    </row>
    <row r="609" spans="2:9" ht="20" x14ac:dyDescent="0.2">
      <c r="B609" s="96" t="s">
        <v>3827</v>
      </c>
      <c r="C609" s="22" t="s">
        <v>3071</v>
      </c>
      <c r="D609" s="22" t="s">
        <v>4235</v>
      </c>
      <c r="E609" s="269">
        <v>51.115638560900997</v>
      </c>
      <c r="F609" s="269">
        <v>-115.032200810848</v>
      </c>
      <c r="G609" s="67" t="s">
        <v>2379</v>
      </c>
      <c r="H609" s="11"/>
      <c r="I609" s="11"/>
    </row>
    <row r="610" spans="2:9" ht="20" x14ac:dyDescent="0.2">
      <c r="B610" s="96" t="s">
        <v>3828</v>
      </c>
      <c r="C610" s="22" t="s">
        <v>2650</v>
      </c>
      <c r="D610" s="22" t="s">
        <v>4235</v>
      </c>
      <c r="E610" s="269">
        <v>49.65099629278</v>
      </c>
      <c r="F610" s="269">
        <v>-111.29101379050201</v>
      </c>
      <c r="G610" s="67" t="s">
        <v>2379</v>
      </c>
      <c r="H610" s="79"/>
      <c r="I610" s="79"/>
    </row>
    <row r="611" spans="2:9" ht="20" x14ac:dyDescent="0.2">
      <c r="B611" s="96" t="s">
        <v>3829</v>
      </c>
      <c r="C611" s="22" t="s">
        <v>2711</v>
      </c>
      <c r="D611" s="22" t="s">
        <v>4237</v>
      </c>
      <c r="E611" s="269">
        <v>51.442781785453498</v>
      </c>
      <c r="F611" s="269">
        <v>-111.79368500546801</v>
      </c>
      <c r="G611" s="67" t="s">
        <v>2379</v>
      </c>
      <c r="H611" s="79"/>
      <c r="I611" s="79"/>
    </row>
    <row r="612" spans="2:9" ht="20" x14ac:dyDescent="0.2">
      <c r="B612" s="96" t="s">
        <v>4024</v>
      </c>
      <c r="C612" s="22" t="s">
        <v>3072</v>
      </c>
      <c r="D612" s="22" t="s">
        <v>4235</v>
      </c>
      <c r="E612" s="269">
        <v>53.8094130613567</v>
      </c>
      <c r="F612" s="269">
        <v>-113.09552597544899</v>
      </c>
      <c r="G612" s="67" t="s">
        <v>2379</v>
      </c>
      <c r="H612" s="79"/>
      <c r="I612" s="79"/>
    </row>
    <row r="613" spans="2:9" ht="20" x14ac:dyDescent="0.2">
      <c r="B613" s="96" t="s">
        <v>4025</v>
      </c>
      <c r="C613" s="22" t="s">
        <v>2184</v>
      </c>
      <c r="D613" s="22" t="s">
        <v>4235</v>
      </c>
      <c r="E613" s="269">
        <v>53.810405670239902</v>
      </c>
      <c r="F613" s="269">
        <v>-113.098877207526</v>
      </c>
      <c r="G613" s="67" t="s">
        <v>2379</v>
      </c>
      <c r="H613" s="79"/>
      <c r="I613" s="79"/>
    </row>
    <row r="614" spans="2:9" ht="20" x14ac:dyDescent="0.2">
      <c r="B614" s="96" t="s">
        <v>3830</v>
      </c>
      <c r="C614" s="22" t="s">
        <v>2677</v>
      </c>
      <c r="D614" s="22" t="s">
        <v>4235</v>
      </c>
      <c r="E614" s="269">
        <v>51.716865247901403</v>
      </c>
      <c r="F614" s="269">
        <v>-114.35679068021101</v>
      </c>
      <c r="G614" s="67" t="s">
        <v>2379</v>
      </c>
      <c r="H614" s="79"/>
      <c r="I614" s="79"/>
    </row>
    <row r="615" spans="2:9" ht="20" x14ac:dyDescent="0.2">
      <c r="B615" s="96" t="s">
        <v>3998</v>
      </c>
      <c r="C615" s="22" t="s">
        <v>2099</v>
      </c>
      <c r="D615" s="22" t="s">
        <v>4235</v>
      </c>
      <c r="E615" s="269">
        <v>51.678814263025899</v>
      </c>
      <c r="F615" s="269">
        <v>-114.355983920988</v>
      </c>
      <c r="G615" s="67" t="s">
        <v>2379</v>
      </c>
      <c r="H615" s="79"/>
      <c r="I615" s="79"/>
    </row>
    <row r="616" spans="2:9" ht="20" x14ac:dyDescent="0.2">
      <c r="B616" s="96" t="s">
        <v>3831</v>
      </c>
      <c r="C616" s="22" t="s">
        <v>3265</v>
      </c>
      <c r="D616" s="22" t="s">
        <v>4235</v>
      </c>
      <c r="E616" s="269">
        <v>49.307343659484403</v>
      </c>
      <c r="F616" s="269">
        <v>-114.008373023742</v>
      </c>
      <c r="G616" s="67" t="s">
        <v>2379</v>
      </c>
      <c r="H616" s="79"/>
      <c r="I616" s="79"/>
    </row>
    <row r="617" spans="2:9" ht="20" x14ac:dyDescent="0.2">
      <c r="B617" s="96" t="s">
        <v>4026</v>
      </c>
      <c r="C617" s="22" t="s">
        <v>2713</v>
      </c>
      <c r="D617" s="22" t="s">
        <v>4235</v>
      </c>
      <c r="E617" s="269">
        <v>50.971299999999999</v>
      </c>
      <c r="F617" s="269">
        <v>-113.8858</v>
      </c>
      <c r="G617" s="67" t="s">
        <v>2379</v>
      </c>
      <c r="H617" s="79"/>
      <c r="I617" s="79"/>
    </row>
    <row r="618" spans="2:9" ht="20" x14ac:dyDescent="0.2">
      <c r="B618" s="96" t="s">
        <v>3832</v>
      </c>
      <c r="C618" s="22" t="s">
        <v>2714</v>
      </c>
      <c r="D618" s="22" t="s">
        <v>4235</v>
      </c>
      <c r="E618" s="269">
        <v>53.722418051592697</v>
      </c>
      <c r="F618" s="269">
        <v>-113.191649512479</v>
      </c>
      <c r="G618" s="67" t="s">
        <v>2379</v>
      </c>
      <c r="H618" s="79"/>
      <c r="I618" s="79"/>
    </row>
    <row r="619" spans="2:9" ht="20" x14ac:dyDescent="0.2">
      <c r="B619" s="96" t="s">
        <v>3833</v>
      </c>
      <c r="C619" s="22" t="s">
        <v>3073</v>
      </c>
      <c r="D619" s="22" t="s">
        <v>4235</v>
      </c>
      <c r="E619" s="301">
        <v>53.545401079559298</v>
      </c>
      <c r="F619" s="269">
        <v>-113.271736639477</v>
      </c>
      <c r="G619" s="67" t="s">
        <v>2379</v>
      </c>
      <c r="H619" s="11"/>
      <c r="I619" s="11"/>
    </row>
    <row r="620" spans="2:9" ht="20" x14ac:dyDescent="0.2">
      <c r="B620" s="96" t="s">
        <v>3834</v>
      </c>
      <c r="C620" s="22" t="s">
        <v>4387</v>
      </c>
      <c r="D620" s="22" t="s">
        <v>4237</v>
      </c>
      <c r="E620" s="269">
        <v>54.423749915330802</v>
      </c>
      <c r="F620" s="269">
        <v>-117.759346764862</v>
      </c>
      <c r="G620" s="67" t="s">
        <v>2379</v>
      </c>
      <c r="H620" s="79"/>
      <c r="I620" s="79"/>
    </row>
    <row r="621" spans="2:9" ht="20" x14ac:dyDescent="0.2">
      <c r="B621" s="96" t="s">
        <v>3835</v>
      </c>
      <c r="C621" s="22" t="s">
        <v>3075</v>
      </c>
      <c r="D621" s="22" t="s">
        <v>4237</v>
      </c>
      <c r="E621" s="269">
        <v>55.280087248574802</v>
      </c>
      <c r="F621" s="269">
        <v>-114.798716072999</v>
      </c>
      <c r="G621" s="67" t="s">
        <v>2379</v>
      </c>
      <c r="H621" s="79"/>
      <c r="I621" s="79"/>
    </row>
    <row r="622" spans="2:9" ht="20" x14ac:dyDescent="0.2">
      <c r="B622" s="96" t="s">
        <v>3836</v>
      </c>
      <c r="C622" s="22" t="s">
        <v>2715</v>
      </c>
      <c r="D622" s="22" t="s">
        <v>4235</v>
      </c>
      <c r="E622" s="269">
        <v>49.538410392300896</v>
      </c>
      <c r="F622" s="269">
        <v>-113.52319416285999</v>
      </c>
      <c r="G622" s="67" t="s">
        <v>2379</v>
      </c>
      <c r="H622" s="79"/>
      <c r="I622" s="79"/>
    </row>
    <row r="623" spans="2:9" ht="20" x14ac:dyDescent="0.2">
      <c r="B623" s="96" t="s">
        <v>3837</v>
      </c>
      <c r="C623" s="22" t="s">
        <v>3076</v>
      </c>
      <c r="D623" s="22" t="s">
        <v>4237</v>
      </c>
      <c r="E623" s="269">
        <v>55.222053957458598</v>
      </c>
      <c r="F623" s="269">
        <v>-118.357955470823</v>
      </c>
      <c r="G623" s="67" t="s">
        <v>2379</v>
      </c>
      <c r="H623" s="79"/>
      <c r="I623" s="79"/>
    </row>
    <row r="624" spans="2:9" ht="20" x14ac:dyDescent="0.2">
      <c r="B624" s="96" t="s">
        <v>3838</v>
      </c>
      <c r="C624" s="22" t="s">
        <v>3077</v>
      </c>
      <c r="D624" s="22" t="s">
        <v>4235</v>
      </c>
      <c r="E624" s="269">
        <v>53.919671213754903</v>
      </c>
      <c r="F624" s="269">
        <v>-115.17275065619199</v>
      </c>
      <c r="G624" s="67" t="s">
        <v>2379</v>
      </c>
      <c r="H624" s="79"/>
      <c r="I624" s="79"/>
    </row>
    <row r="625" spans="2:9" ht="20" x14ac:dyDescent="0.2">
      <c r="B625" s="96" t="s">
        <v>3839</v>
      </c>
      <c r="C625" s="22" t="s">
        <v>3078</v>
      </c>
      <c r="D625" s="22" t="s">
        <v>4235</v>
      </c>
      <c r="E625" s="269">
        <v>52.270330172318999</v>
      </c>
      <c r="F625" s="269">
        <v>-113.822092566164</v>
      </c>
      <c r="G625" s="67" t="s">
        <v>2379</v>
      </c>
      <c r="H625" s="79"/>
      <c r="I625" s="79"/>
    </row>
    <row r="626" spans="2:9" ht="20" x14ac:dyDescent="0.2">
      <c r="B626" s="96" t="s">
        <v>3840</v>
      </c>
      <c r="C626" s="22" t="s">
        <v>2716</v>
      </c>
      <c r="D626" s="22" t="s">
        <v>4235</v>
      </c>
      <c r="E626" s="269">
        <v>51.0754398093855</v>
      </c>
      <c r="F626" s="269">
        <v>-115.402514767714</v>
      </c>
      <c r="G626" s="67" t="s">
        <v>2379</v>
      </c>
      <c r="H626" s="79"/>
      <c r="I626" s="79"/>
    </row>
    <row r="627" spans="2:9" ht="20" x14ac:dyDescent="0.2">
      <c r="B627" s="96" t="s">
        <v>3841</v>
      </c>
      <c r="C627" s="22" t="s">
        <v>2717</v>
      </c>
      <c r="D627" s="22" t="s">
        <v>4235</v>
      </c>
      <c r="E627" s="269">
        <v>49.290745824595298</v>
      </c>
      <c r="F627" s="269">
        <v>-113.14587594228399</v>
      </c>
      <c r="G627" s="67" t="s">
        <v>2379</v>
      </c>
      <c r="H627" s="79"/>
      <c r="I627" s="79"/>
    </row>
    <row r="628" spans="2:9" ht="20" x14ac:dyDescent="0.2">
      <c r="B628" s="96" t="s">
        <v>3842</v>
      </c>
      <c r="C628" s="22" t="s">
        <v>3079</v>
      </c>
      <c r="D628" s="22" t="s">
        <v>4235</v>
      </c>
      <c r="E628" s="269">
        <v>51.038769685259602</v>
      </c>
      <c r="F628" s="269">
        <v>-114.487973755762</v>
      </c>
      <c r="G628" s="67" t="s">
        <v>2379</v>
      </c>
      <c r="H628" s="79"/>
      <c r="I628" s="79"/>
    </row>
    <row r="629" spans="2:9" ht="20" x14ac:dyDescent="0.2">
      <c r="B629" s="96" t="s">
        <v>3843</v>
      </c>
      <c r="C629" s="22" t="s">
        <v>3080</v>
      </c>
      <c r="D629" s="22" t="s">
        <v>4235</v>
      </c>
      <c r="E629" s="269">
        <v>53.567246971273399</v>
      </c>
      <c r="F629" s="269">
        <v>-113.783866744167</v>
      </c>
      <c r="G629" s="67" t="s">
        <v>2379</v>
      </c>
      <c r="H629" s="79"/>
      <c r="I629" s="79"/>
    </row>
    <row r="630" spans="2:9" ht="20" x14ac:dyDescent="0.2">
      <c r="B630" s="96" t="s">
        <v>1750</v>
      </c>
      <c r="C630" s="22" t="s">
        <v>4283</v>
      </c>
      <c r="D630" s="22" t="s">
        <v>4236</v>
      </c>
      <c r="E630" s="269">
        <v>51.045423806898803</v>
      </c>
      <c r="F630" s="269">
        <v>-114.07798347765601</v>
      </c>
      <c r="G630" s="67" t="s">
        <v>2379</v>
      </c>
      <c r="H630" s="79"/>
      <c r="I630" s="79"/>
    </row>
    <row r="631" spans="2:9" ht="20" x14ac:dyDescent="0.2">
      <c r="B631" s="96" t="s">
        <v>1754</v>
      </c>
      <c r="C631" s="22" t="s">
        <v>3082</v>
      </c>
      <c r="D631" s="22" t="s">
        <v>4236</v>
      </c>
      <c r="E631" s="269">
        <v>51.008332726987398</v>
      </c>
      <c r="F631" s="269">
        <v>-114.095451177332</v>
      </c>
      <c r="G631" s="67" t="s">
        <v>2379</v>
      </c>
      <c r="H631" s="79"/>
      <c r="I631" s="79"/>
    </row>
    <row r="632" spans="2:9" ht="20" x14ac:dyDescent="0.2">
      <c r="B632" s="96" t="s">
        <v>1733</v>
      </c>
      <c r="C632" s="22" t="s">
        <v>3083</v>
      </c>
      <c r="D632" s="22" t="s">
        <v>4236</v>
      </c>
      <c r="E632" s="269">
        <v>51.124316245808998</v>
      </c>
      <c r="F632" s="269">
        <v>-114.04863171754</v>
      </c>
      <c r="G632" s="67" t="s">
        <v>2379</v>
      </c>
      <c r="H632" s="79"/>
      <c r="I632" s="79"/>
    </row>
    <row r="633" spans="2:9" ht="20" x14ac:dyDescent="0.2">
      <c r="B633" s="96" t="s">
        <v>1756</v>
      </c>
      <c r="C633" s="22" t="s">
        <v>3084</v>
      </c>
      <c r="D633" s="22" t="s">
        <v>4236</v>
      </c>
      <c r="E633" s="269">
        <v>51.008348474612802</v>
      </c>
      <c r="F633" s="269">
        <v>-114.06672249796399</v>
      </c>
      <c r="G633" s="67" t="s">
        <v>2379</v>
      </c>
      <c r="H633" s="79"/>
      <c r="I633" s="79"/>
    </row>
    <row r="634" spans="2:9" ht="20" x14ac:dyDescent="0.2">
      <c r="B634" s="96" t="s">
        <v>1735</v>
      </c>
      <c r="C634" s="22" t="s">
        <v>3085</v>
      </c>
      <c r="D634" s="22" t="s">
        <v>4236</v>
      </c>
      <c r="E634" s="269">
        <v>51.0820634167994</v>
      </c>
      <c r="F634" s="269">
        <v>-114.046454439088</v>
      </c>
      <c r="G634" s="67" t="s">
        <v>2379</v>
      </c>
      <c r="H634" s="79"/>
      <c r="I634" s="79"/>
    </row>
    <row r="635" spans="2:9" ht="20" x14ac:dyDescent="0.2">
      <c r="B635" s="96" t="s">
        <v>1737</v>
      </c>
      <c r="C635" s="22" t="s">
        <v>3086</v>
      </c>
      <c r="D635" s="22" t="s">
        <v>4236</v>
      </c>
      <c r="E635" s="269">
        <v>51.125380228462902</v>
      </c>
      <c r="F635" s="269">
        <v>-114.186727847163</v>
      </c>
      <c r="G635" s="67" t="s">
        <v>2379</v>
      </c>
      <c r="H635" s="79"/>
      <c r="I635" s="79"/>
    </row>
    <row r="636" spans="2:9" ht="20" x14ac:dyDescent="0.2">
      <c r="B636" s="96" t="s">
        <v>1792</v>
      </c>
      <c r="C636" s="22" t="s">
        <v>3087</v>
      </c>
      <c r="D636" s="22" t="s">
        <v>4236</v>
      </c>
      <c r="E636" s="269">
        <v>51.069583865989799</v>
      </c>
      <c r="F636" s="269">
        <v>-114.165077356333</v>
      </c>
      <c r="G636" s="67" t="s">
        <v>2379</v>
      </c>
      <c r="H636" s="79"/>
      <c r="I636" s="79"/>
    </row>
    <row r="637" spans="2:9" ht="20" x14ac:dyDescent="0.2">
      <c r="B637" s="96" t="s">
        <v>1786</v>
      </c>
      <c r="C637" s="22" t="s">
        <v>3088</v>
      </c>
      <c r="D637" s="22" t="s">
        <v>4236</v>
      </c>
      <c r="E637" s="269">
        <v>51.102383053347999</v>
      </c>
      <c r="F637" s="269">
        <v>-114.16343167423901</v>
      </c>
      <c r="G637" s="67" t="s">
        <v>2379</v>
      </c>
      <c r="H637" s="79"/>
      <c r="I637" s="79"/>
    </row>
    <row r="638" spans="2:9" ht="20" x14ac:dyDescent="0.2">
      <c r="B638" s="96" t="s">
        <v>1758</v>
      </c>
      <c r="C638" s="22" t="s">
        <v>4288</v>
      </c>
      <c r="D638" s="22" t="s">
        <v>4236</v>
      </c>
      <c r="E638" s="269">
        <v>51.026543142830697</v>
      </c>
      <c r="F638" s="269">
        <v>-114.03924038724701</v>
      </c>
      <c r="G638" s="67" t="s">
        <v>2379</v>
      </c>
      <c r="H638" s="79"/>
      <c r="I638" s="79"/>
    </row>
    <row r="639" spans="2:9" ht="20" x14ac:dyDescent="0.2">
      <c r="B639" s="96" t="s">
        <v>1749</v>
      </c>
      <c r="C639" s="22" t="s">
        <v>3090</v>
      </c>
      <c r="D639" s="22" t="s">
        <v>4236</v>
      </c>
      <c r="E639" s="269">
        <v>51.051617646340397</v>
      </c>
      <c r="F639" s="269">
        <v>-114.118785765354</v>
      </c>
      <c r="G639" s="67" t="s">
        <v>2379</v>
      </c>
      <c r="H639" s="79"/>
      <c r="I639" s="79"/>
    </row>
    <row r="640" spans="2:9" ht="20" x14ac:dyDescent="0.2">
      <c r="B640" s="96" t="s">
        <v>1741</v>
      </c>
      <c r="C640" s="22" t="s">
        <v>3091</v>
      </c>
      <c r="D640" s="22" t="s">
        <v>4236</v>
      </c>
      <c r="E640" s="269">
        <v>51.0517750636957</v>
      </c>
      <c r="F640" s="269">
        <v>-114.16589179502201</v>
      </c>
      <c r="G640" s="67" t="s">
        <v>2379</v>
      </c>
      <c r="H640" s="79"/>
      <c r="I640" s="79"/>
    </row>
    <row r="641" spans="2:9" ht="20" x14ac:dyDescent="0.2">
      <c r="B641" s="96" t="s">
        <v>1769</v>
      </c>
      <c r="C641" s="22" t="s">
        <v>3092</v>
      </c>
      <c r="D641" s="22" t="s">
        <v>4236</v>
      </c>
      <c r="E641" s="269">
        <v>51.070334972044897</v>
      </c>
      <c r="F641" s="269">
        <v>-114.00266593244601</v>
      </c>
      <c r="G641" s="67" t="s">
        <v>2379</v>
      </c>
      <c r="H641" s="79"/>
      <c r="I641" s="79"/>
    </row>
    <row r="642" spans="2:9" ht="20" x14ac:dyDescent="0.2">
      <c r="B642" s="96" t="s">
        <v>1781</v>
      </c>
      <c r="C642" s="22" t="s">
        <v>3093</v>
      </c>
      <c r="D642" s="22" t="s">
        <v>4236</v>
      </c>
      <c r="E642" s="269">
        <v>51.009259074182097</v>
      </c>
      <c r="F642" s="269">
        <v>-114.00261543404601</v>
      </c>
      <c r="G642" s="67" t="s">
        <v>2379</v>
      </c>
      <c r="H642" s="79"/>
      <c r="I642" s="79"/>
    </row>
    <row r="643" spans="2:9" ht="20" x14ac:dyDescent="0.2">
      <c r="B643" s="96" t="s">
        <v>1803</v>
      </c>
      <c r="C643" s="22" t="s">
        <v>2599</v>
      </c>
      <c r="D643" s="22" t="s">
        <v>4236</v>
      </c>
      <c r="E643" s="269">
        <v>50.964401821340502</v>
      </c>
      <c r="F643" s="269">
        <v>-113.936136133972</v>
      </c>
      <c r="G643" s="67" t="s">
        <v>2379</v>
      </c>
      <c r="H643" s="79"/>
      <c r="I643" s="79"/>
    </row>
    <row r="644" spans="2:9" ht="20" x14ac:dyDescent="0.2">
      <c r="B644" s="96" t="s">
        <v>1808</v>
      </c>
      <c r="C644" s="22" t="s">
        <v>3094</v>
      </c>
      <c r="D644" s="22" t="s">
        <v>4236</v>
      </c>
      <c r="E644" s="269">
        <v>50.901199530064403</v>
      </c>
      <c r="F644" s="269">
        <v>-113.953243064115</v>
      </c>
      <c r="G644" s="67" t="s">
        <v>2379</v>
      </c>
      <c r="H644" s="79"/>
      <c r="I644" s="79"/>
    </row>
    <row r="645" spans="2:9" ht="20" x14ac:dyDescent="0.2">
      <c r="B645" s="96" t="s">
        <v>1784</v>
      </c>
      <c r="C645" s="22" t="s">
        <v>3095</v>
      </c>
      <c r="D645" s="22" t="s">
        <v>4236</v>
      </c>
      <c r="E645" s="269">
        <v>51.0903598761615</v>
      </c>
      <c r="F645" s="269">
        <v>-114.093501987808</v>
      </c>
      <c r="G645" s="67" t="s">
        <v>2379</v>
      </c>
      <c r="H645" s="79"/>
      <c r="I645" s="79"/>
    </row>
    <row r="646" spans="2:9" ht="20" x14ac:dyDescent="0.2">
      <c r="B646" s="96" t="s">
        <v>1747</v>
      </c>
      <c r="C646" s="22" t="s">
        <v>3096</v>
      </c>
      <c r="D646" s="22" t="s">
        <v>4236</v>
      </c>
      <c r="E646" s="269">
        <v>51.010341045733902</v>
      </c>
      <c r="F646" s="269">
        <v>-114.160766558257</v>
      </c>
      <c r="G646" s="67" t="s">
        <v>2379</v>
      </c>
      <c r="H646" s="79"/>
      <c r="I646" s="79"/>
    </row>
    <row r="647" spans="2:9" ht="20" x14ac:dyDescent="0.2">
      <c r="B647" s="96" t="s">
        <v>1766</v>
      </c>
      <c r="C647" s="22" t="s">
        <v>4287</v>
      </c>
      <c r="D647" s="22" t="s">
        <v>4236</v>
      </c>
      <c r="E647" s="269">
        <v>51.0676728731504</v>
      </c>
      <c r="F647" s="269">
        <v>-114.06425978299799</v>
      </c>
      <c r="G647" s="67" t="s">
        <v>2379</v>
      </c>
      <c r="H647" s="79"/>
      <c r="I647" s="79"/>
    </row>
    <row r="648" spans="2:9" ht="20" x14ac:dyDescent="0.2">
      <c r="B648" s="96" t="s">
        <v>1805</v>
      </c>
      <c r="C648" s="22" t="s">
        <v>3098</v>
      </c>
      <c r="D648" s="22" t="s">
        <v>4236</v>
      </c>
      <c r="E648" s="269">
        <v>50.980132219070804</v>
      </c>
      <c r="F648" s="269">
        <v>-113.98592785439099</v>
      </c>
      <c r="G648" s="67" t="s">
        <v>2379</v>
      </c>
      <c r="H648" s="79"/>
      <c r="I648" s="79"/>
    </row>
    <row r="649" spans="2:9" ht="20" x14ac:dyDescent="0.2">
      <c r="B649" s="96" t="s">
        <v>1810</v>
      </c>
      <c r="C649" s="22" t="s">
        <v>3099</v>
      </c>
      <c r="D649" s="22" t="s">
        <v>4236</v>
      </c>
      <c r="E649" s="269">
        <v>50.950975415586001</v>
      </c>
      <c r="F649" s="269">
        <v>-114.018779340848</v>
      </c>
      <c r="G649" s="67" t="s">
        <v>2379</v>
      </c>
      <c r="H649" s="79"/>
      <c r="I649" s="79"/>
    </row>
    <row r="650" spans="2:9" ht="20" x14ac:dyDescent="0.2">
      <c r="B650" s="96" t="s">
        <v>1823</v>
      </c>
      <c r="C650" s="22" t="s">
        <v>3100</v>
      </c>
      <c r="D650" s="22" t="s">
        <v>4236</v>
      </c>
      <c r="E650" s="269">
        <v>50.949611465414101</v>
      </c>
      <c r="F650" s="269">
        <v>-114.07807145789801</v>
      </c>
      <c r="G650" s="67" t="s">
        <v>2379</v>
      </c>
      <c r="H650" s="79"/>
      <c r="I650" s="79"/>
    </row>
    <row r="651" spans="2:9" ht="20" x14ac:dyDescent="0.2">
      <c r="B651" s="96" t="s">
        <v>1788</v>
      </c>
      <c r="C651" s="22" t="s">
        <v>3101</v>
      </c>
      <c r="D651" s="22" t="s">
        <v>4236</v>
      </c>
      <c r="E651" s="269">
        <v>51.0820038002106</v>
      </c>
      <c r="F651" s="269">
        <v>-114.139416417113</v>
      </c>
      <c r="G651" s="67" t="s">
        <v>2379</v>
      </c>
      <c r="H651" s="79"/>
      <c r="I651" s="79"/>
    </row>
    <row r="652" spans="2:9" ht="20" x14ac:dyDescent="0.2">
      <c r="B652" s="96" t="s">
        <v>1828</v>
      </c>
      <c r="C652" s="22" t="s">
        <v>3102</v>
      </c>
      <c r="D652" s="22" t="s">
        <v>4236</v>
      </c>
      <c r="E652" s="269">
        <v>50.9790620944624</v>
      </c>
      <c r="F652" s="269">
        <v>-114.140492203115</v>
      </c>
      <c r="G652" s="67" t="s">
        <v>2379</v>
      </c>
      <c r="H652" s="79"/>
      <c r="I652" s="79"/>
    </row>
    <row r="653" spans="2:9" ht="20" x14ac:dyDescent="0.2">
      <c r="B653" s="96" t="s">
        <v>461</v>
      </c>
      <c r="C653" s="22" t="s">
        <v>2643</v>
      </c>
      <c r="D653" s="22" t="s">
        <v>4236</v>
      </c>
      <c r="E653" s="269">
        <v>51.106317585573002</v>
      </c>
      <c r="F653" s="269">
        <v>-114.236356050832</v>
      </c>
      <c r="G653" s="67" t="s">
        <v>2379</v>
      </c>
      <c r="H653" s="79"/>
      <c r="I653" s="79"/>
    </row>
    <row r="654" spans="2:9" ht="20" x14ac:dyDescent="0.2">
      <c r="B654" s="96" t="s">
        <v>1774</v>
      </c>
      <c r="C654" s="22" t="s">
        <v>3103</v>
      </c>
      <c r="D654" s="22" t="s">
        <v>4236</v>
      </c>
      <c r="E654" s="269">
        <v>51.009319849369597</v>
      </c>
      <c r="F654" s="269">
        <v>-113.936147716467</v>
      </c>
      <c r="G654" s="67" t="s">
        <v>2379</v>
      </c>
      <c r="H654" s="79"/>
      <c r="I654" s="79"/>
    </row>
    <row r="655" spans="2:9" ht="20" x14ac:dyDescent="0.2">
      <c r="B655" s="96" t="s">
        <v>1773</v>
      </c>
      <c r="C655" s="22" t="s">
        <v>3104</v>
      </c>
      <c r="D655" s="22" t="s">
        <v>4236</v>
      </c>
      <c r="E655" s="269">
        <v>51.053476501005797</v>
      </c>
      <c r="F655" s="269">
        <v>-113.936051199891</v>
      </c>
      <c r="G655" s="67" t="s">
        <v>2379</v>
      </c>
      <c r="H655" s="79"/>
      <c r="I655" s="79"/>
    </row>
    <row r="656" spans="2:9" ht="20" x14ac:dyDescent="0.2">
      <c r="B656" s="96" t="s">
        <v>1771</v>
      </c>
      <c r="C656" s="22" t="s">
        <v>3105</v>
      </c>
      <c r="D656" s="22" t="s">
        <v>4236</v>
      </c>
      <c r="E656" s="269">
        <v>51.095215765124202</v>
      </c>
      <c r="F656" s="269">
        <v>-113.94007890850099</v>
      </c>
      <c r="G656" s="67" t="s">
        <v>2379</v>
      </c>
      <c r="H656" s="79"/>
      <c r="I656" s="79"/>
    </row>
    <row r="657" spans="2:9" ht="20" x14ac:dyDescent="0.2">
      <c r="B657" s="96" t="s">
        <v>1820</v>
      </c>
      <c r="C657" s="22" t="s">
        <v>3106</v>
      </c>
      <c r="D657" s="22" t="s">
        <v>4236</v>
      </c>
      <c r="E657" s="269">
        <v>50.913977438782702</v>
      </c>
      <c r="F657" s="269">
        <v>-114.012498072291</v>
      </c>
      <c r="G657" s="67" t="s">
        <v>2379</v>
      </c>
      <c r="H657" s="79"/>
      <c r="I657" s="79"/>
    </row>
    <row r="658" spans="2:9" ht="20" x14ac:dyDescent="0.2">
      <c r="B658" s="96" t="s">
        <v>1814</v>
      </c>
      <c r="C658" s="22" t="s">
        <v>3107</v>
      </c>
      <c r="D658" s="22" t="s">
        <v>4236</v>
      </c>
      <c r="E658" s="269">
        <v>50.906396735726098</v>
      </c>
      <c r="F658" s="269">
        <v>-114.069436046703</v>
      </c>
      <c r="G658" s="67" t="s">
        <v>2379</v>
      </c>
      <c r="H658" s="79"/>
      <c r="I658" s="79"/>
    </row>
    <row r="659" spans="2:9" ht="20" x14ac:dyDescent="0.2">
      <c r="B659" s="96" t="s">
        <v>1818</v>
      </c>
      <c r="C659" s="22" t="s">
        <v>3108</v>
      </c>
      <c r="D659" s="22" t="s">
        <v>4236</v>
      </c>
      <c r="E659" s="269">
        <v>50.980389270754301</v>
      </c>
      <c r="F659" s="269">
        <v>-114.073614429478</v>
      </c>
      <c r="G659" s="67" t="s">
        <v>2379</v>
      </c>
      <c r="H659" s="79"/>
      <c r="I659" s="79"/>
    </row>
    <row r="660" spans="2:9" ht="20" x14ac:dyDescent="0.2">
      <c r="B660" s="96" t="s">
        <v>1731</v>
      </c>
      <c r="C660" s="22" t="s">
        <v>3109</v>
      </c>
      <c r="D660" s="22" t="s">
        <v>4236</v>
      </c>
      <c r="E660" s="269">
        <v>51.167940799331198</v>
      </c>
      <c r="F660" s="269">
        <v>-114.10606413109601</v>
      </c>
      <c r="G660" s="67" t="s">
        <v>2379</v>
      </c>
      <c r="H660" s="79"/>
      <c r="I660" s="79"/>
    </row>
    <row r="661" spans="2:9" ht="20" x14ac:dyDescent="0.2">
      <c r="B661" s="96" t="s">
        <v>1763</v>
      </c>
      <c r="C661" s="22" t="s">
        <v>4289</v>
      </c>
      <c r="D661" s="22" t="s">
        <v>4236</v>
      </c>
      <c r="E661" s="269">
        <v>51.043463165425599</v>
      </c>
      <c r="F661" s="269">
        <v>-114.057256405281</v>
      </c>
      <c r="G661" s="67" t="s">
        <v>2379</v>
      </c>
      <c r="H661" s="79"/>
      <c r="I661" s="79"/>
    </row>
    <row r="662" spans="2:9" ht="20" x14ac:dyDescent="0.2">
      <c r="B662" s="96" t="s">
        <v>1812</v>
      </c>
      <c r="C662" s="22" t="s">
        <v>3111</v>
      </c>
      <c r="D662" s="22" t="s">
        <v>4236</v>
      </c>
      <c r="E662" s="269">
        <v>50.851338540005798</v>
      </c>
      <c r="F662" s="269">
        <v>-113.976526396246</v>
      </c>
      <c r="G662" s="67" t="s">
        <v>2379</v>
      </c>
      <c r="H662" s="79"/>
      <c r="I662" s="79"/>
    </row>
    <row r="663" spans="2:9" ht="20" x14ac:dyDescent="0.2">
      <c r="B663" s="96" t="s">
        <v>1827</v>
      </c>
      <c r="C663" s="22" t="s">
        <v>4284</v>
      </c>
      <c r="D663" s="22" t="s">
        <v>4236</v>
      </c>
      <c r="E663" s="269">
        <v>50.906161490775901</v>
      </c>
      <c r="F663" s="269">
        <v>-114.139263349106</v>
      </c>
      <c r="G663" s="67" t="s">
        <v>2379</v>
      </c>
      <c r="H663" s="79"/>
      <c r="I663" s="79"/>
    </row>
    <row r="664" spans="2:9" ht="20" x14ac:dyDescent="0.2">
      <c r="B664" s="96" t="s">
        <v>637</v>
      </c>
      <c r="C664" s="22" t="s">
        <v>3113</v>
      </c>
      <c r="D664" s="22" t="s">
        <v>4236</v>
      </c>
      <c r="E664" s="269">
        <v>50.9088724014562</v>
      </c>
      <c r="F664" s="269">
        <v>-113.901200666664</v>
      </c>
      <c r="G664" s="67" t="s">
        <v>2379</v>
      </c>
      <c r="H664" s="11"/>
      <c r="I664" s="11"/>
    </row>
    <row r="665" spans="2:9" ht="20" x14ac:dyDescent="0.2">
      <c r="B665" s="96" t="s">
        <v>1743</v>
      </c>
      <c r="C665" s="22" t="s">
        <v>4285</v>
      </c>
      <c r="D665" s="22" t="s">
        <v>4236</v>
      </c>
      <c r="E665" s="269">
        <v>51.065787292453003</v>
      </c>
      <c r="F665" s="269">
        <v>-114.23010986984001</v>
      </c>
      <c r="G665" s="67" t="s">
        <v>2379</v>
      </c>
      <c r="H665" s="79"/>
      <c r="I665" s="79"/>
    </row>
    <row r="666" spans="2:9" ht="20" x14ac:dyDescent="0.2">
      <c r="B666" s="96" t="s">
        <v>1760</v>
      </c>
      <c r="C666" s="22" t="s">
        <v>4286</v>
      </c>
      <c r="D666" s="22" t="s">
        <v>4236</v>
      </c>
      <c r="E666" s="269">
        <v>51.049598756553301</v>
      </c>
      <c r="F666" s="269">
        <v>-114.08125850375799</v>
      </c>
      <c r="G666" s="67" t="s">
        <v>2379</v>
      </c>
      <c r="H666" s="79"/>
      <c r="I666" s="79" t="s">
        <v>4306</v>
      </c>
    </row>
    <row r="667" spans="2:9" ht="20" x14ac:dyDescent="0.2">
      <c r="B667" s="96" t="s">
        <v>1801</v>
      </c>
      <c r="C667" s="22" t="s">
        <v>4290</v>
      </c>
      <c r="D667" s="22" t="s">
        <v>4236</v>
      </c>
      <c r="E667" s="269">
        <v>50.995389731106101</v>
      </c>
      <c r="F667" s="269">
        <v>-114.043278435929</v>
      </c>
      <c r="G667" s="67" t="s">
        <v>2379</v>
      </c>
      <c r="H667" s="79"/>
      <c r="I667" s="79"/>
    </row>
    <row r="668" spans="2:9" ht="20" x14ac:dyDescent="0.2">
      <c r="B668" s="96" t="s">
        <v>3844</v>
      </c>
      <c r="C668" s="22" t="s">
        <v>3117</v>
      </c>
      <c r="D668" s="22" t="s">
        <v>4237</v>
      </c>
      <c r="E668" s="269">
        <v>54.006504389324498</v>
      </c>
      <c r="F668" s="269">
        <v>-111.31534787975799</v>
      </c>
      <c r="G668" s="67" t="s">
        <v>2379</v>
      </c>
      <c r="H668" s="79"/>
      <c r="I668" s="79"/>
    </row>
    <row r="669" spans="2:9" ht="20" x14ac:dyDescent="0.2">
      <c r="B669" s="96" t="s">
        <v>3845</v>
      </c>
      <c r="C669" s="22" t="s">
        <v>2635</v>
      </c>
      <c r="D669" s="22" t="s">
        <v>4235</v>
      </c>
      <c r="E669" s="269">
        <v>50.165368228906402</v>
      </c>
      <c r="F669" s="269">
        <v>-113.617419660659</v>
      </c>
      <c r="G669" s="67" t="s">
        <v>2379</v>
      </c>
      <c r="H669" s="79"/>
      <c r="I669" s="79"/>
    </row>
    <row r="670" spans="2:9" ht="20" x14ac:dyDescent="0.2">
      <c r="B670" s="96" t="s">
        <v>4395</v>
      </c>
      <c r="C670" s="22" t="s">
        <v>3118</v>
      </c>
      <c r="D670" s="22" t="s">
        <v>4238</v>
      </c>
      <c r="E670" s="269">
        <v>57.001139662968903</v>
      </c>
      <c r="F670" s="269">
        <v>-111.485173882116</v>
      </c>
      <c r="G670" s="67" t="s">
        <v>2379</v>
      </c>
      <c r="H670" s="79"/>
      <c r="I670" s="79"/>
    </row>
    <row r="671" spans="2:9" ht="20" x14ac:dyDescent="0.2">
      <c r="B671" s="96" t="s">
        <v>3846</v>
      </c>
      <c r="C671" s="22" t="s">
        <v>3119</v>
      </c>
      <c r="D671" s="22" t="s">
        <v>4235</v>
      </c>
      <c r="E671" s="269">
        <v>53.529609159939596</v>
      </c>
      <c r="F671" s="269">
        <v>-113.384167523993</v>
      </c>
      <c r="G671" s="67" t="s">
        <v>2379</v>
      </c>
      <c r="H671" s="79"/>
      <c r="I671" s="79"/>
    </row>
    <row r="672" spans="2:9" ht="20" x14ac:dyDescent="0.2">
      <c r="B672" s="96" t="s">
        <v>3847</v>
      </c>
      <c r="C672" s="22" t="s">
        <v>3120</v>
      </c>
      <c r="D672" s="22" t="s">
        <v>4237</v>
      </c>
      <c r="E672" s="269">
        <v>52.288177406907103</v>
      </c>
      <c r="F672" s="269">
        <v>-112.694133481751</v>
      </c>
      <c r="G672" s="67" t="s">
        <v>2379</v>
      </c>
      <c r="H672" s="79"/>
      <c r="I672" s="79"/>
    </row>
    <row r="673" spans="2:9" ht="20" x14ac:dyDescent="0.2">
      <c r="B673" s="96" t="s">
        <v>3848</v>
      </c>
      <c r="C673" s="22" t="s">
        <v>2718</v>
      </c>
      <c r="D673" s="22" t="s">
        <v>4235</v>
      </c>
      <c r="E673" s="269">
        <v>49.501722178734198</v>
      </c>
      <c r="F673" s="269">
        <v>-112.493508612827</v>
      </c>
      <c r="G673" s="67" t="s">
        <v>2379</v>
      </c>
      <c r="H673" s="11"/>
      <c r="I673" s="11"/>
    </row>
    <row r="674" spans="2:9" ht="20" x14ac:dyDescent="0.2">
      <c r="B674" s="96" t="s">
        <v>3849</v>
      </c>
      <c r="C674" s="22" t="s">
        <v>3121</v>
      </c>
      <c r="D674" s="22" t="s">
        <v>4235</v>
      </c>
      <c r="E674" s="269">
        <v>53.530861320103398</v>
      </c>
      <c r="F674" s="269">
        <v>-113.95801158886999</v>
      </c>
      <c r="G674" s="67" t="s">
        <v>2379</v>
      </c>
      <c r="H674" s="79"/>
      <c r="I674" s="79"/>
    </row>
    <row r="675" spans="2:9" ht="20" x14ac:dyDescent="0.2">
      <c r="B675" s="96" t="s">
        <v>3850</v>
      </c>
      <c r="C675" s="22" t="s">
        <v>3122</v>
      </c>
      <c r="D675" s="22" t="s">
        <v>4235</v>
      </c>
      <c r="E675" s="269">
        <v>52.232516627830698</v>
      </c>
      <c r="F675" s="269">
        <v>-115.181323546781</v>
      </c>
      <c r="G675" s="67" t="s">
        <v>2379</v>
      </c>
      <c r="H675" s="79"/>
      <c r="I675" s="79"/>
    </row>
    <row r="676" spans="2:9" ht="20" x14ac:dyDescent="0.2">
      <c r="B676" s="96" t="s">
        <v>2207</v>
      </c>
      <c r="C676" s="22" t="s">
        <v>2719</v>
      </c>
      <c r="D676" s="22" t="s">
        <v>4239</v>
      </c>
      <c r="E676" s="269">
        <v>53.488727056541002</v>
      </c>
      <c r="F676" s="269">
        <v>-113.486759538144</v>
      </c>
      <c r="G676" s="67" t="s">
        <v>2379</v>
      </c>
      <c r="H676" s="79"/>
      <c r="I676" s="79"/>
    </row>
    <row r="677" spans="2:9" ht="20" x14ac:dyDescent="0.2">
      <c r="B677" s="96" t="s">
        <v>3851</v>
      </c>
      <c r="C677" s="22" t="s">
        <v>2720</v>
      </c>
      <c r="D677" s="22" t="s">
        <v>4235</v>
      </c>
      <c r="E677" s="269">
        <v>51.032690029239298</v>
      </c>
      <c r="F677" s="269">
        <v>-113.37670362096</v>
      </c>
      <c r="G677" s="67" t="s">
        <v>2379</v>
      </c>
      <c r="H677" s="79"/>
      <c r="I677" s="79"/>
    </row>
    <row r="678" spans="2:9" ht="20" x14ac:dyDescent="0.2">
      <c r="B678" s="96" t="s">
        <v>3852</v>
      </c>
      <c r="C678" s="22" t="s">
        <v>3123</v>
      </c>
      <c r="D678" s="22" t="s">
        <v>4235</v>
      </c>
      <c r="E678" s="269">
        <v>52.934307583529097</v>
      </c>
      <c r="F678" s="269">
        <v>-112.083273788021</v>
      </c>
      <c r="G678" s="67" t="s">
        <v>2379</v>
      </c>
      <c r="H678" s="79"/>
      <c r="I678" s="79"/>
    </row>
    <row r="679" spans="2:9" ht="20" x14ac:dyDescent="0.2">
      <c r="B679" s="96" t="s">
        <v>3853</v>
      </c>
      <c r="C679" s="22" t="s">
        <v>3124</v>
      </c>
      <c r="D679" s="22" t="s">
        <v>4237</v>
      </c>
      <c r="E679" s="269">
        <v>54.942768016263301</v>
      </c>
      <c r="F679" s="269">
        <v>-117.204833225652</v>
      </c>
      <c r="G679" s="67" t="s">
        <v>2379</v>
      </c>
      <c r="H679" s="79"/>
      <c r="I679" s="79"/>
    </row>
    <row r="680" spans="2:9" ht="20" x14ac:dyDescent="0.2">
      <c r="B680" s="96" t="s">
        <v>3854</v>
      </c>
      <c r="C680" s="22" t="s">
        <v>3125</v>
      </c>
      <c r="D680" s="22" t="s">
        <v>4237</v>
      </c>
      <c r="E680" s="269">
        <v>54.9402759341001</v>
      </c>
      <c r="F680" s="269">
        <v>-117.20377110549499</v>
      </c>
      <c r="G680" s="67" t="s">
        <v>2379</v>
      </c>
      <c r="H680" s="79"/>
      <c r="I680" s="79"/>
    </row>
    <row r="681" spans="2:9" ht="20" x14ac:dyDescent="0.2">
      <c r="B681" s="96" t="s">
        <v>3855</v>
      </c>
      <c r="C681" s="22" t="s">
        <v>2721</v>
      </c>
      <c r="D681" s="22" t="s">
        <v>4235</v>
      </c>
      <c r="E681" s="269">
        <v>50.232023424356498</v>
      </c>
      <c r="F681" s="269">
        <v>-111.172421524456</v>
      </c>
      <c r="G681" s="67" t="s">
        <v>2379</v>
      </c>
      <c r="H681" s="11"/>
      <c r="I681" s="11"/>
    </row>
    <row r="682" spans="2:9" ht="20" x14ac:dyDescent="0.2">
      <c r="B682" s="96" t="s">
        <v>3856</v>
      </c>
      <c r="C682" s="22" t="s">
        <v>3126</v>
      </c>
      <c r="D682" s="22" t="s">
        <v>4237</v>
      </c>
      <c r="E682" s="269">
        <v>51.998034492611097</v>
      </c>
      <c r="F682" s="269">
        <v>-111.860811859362</v>
      </c>
      <c r="G682" s="67" t="s">
        <v>2379</v>
      </c>
      <c r="H682" s="79"/>
      <c r="I682" s="79"/>
    </row>
    <row r="683" spans="2:9" ht="20" x14ac:dyDescent="0.2">
      <c r="B683" s="96" t="s">
        <v>3857</v>
      </c>
      <c r="C683" s="22" t="s">
        <v>3127</v>
      </c>
      <c r="D683" s="22" t="s">
        <v>4237</v>
      </c>
      <c r="E683" s="269">
        <v>58.587978265966903</v>
      </c>
      <c r="F683" s="269">
        <v>-118.91462530696199</v>
      </c>
      <c r="G683" s="67" t="s">
        <v>2379</v>
      </c>
      <c r="H683" s="79"/>
      <c r="I683" s="79"/>
    </row>
    <row r="684" spans="2:9" ht="20" x14ac:dyDescent="0.2">
      <c r="B684" s="96" t="s">
        <v>3858</v>
      </c>
      <c r="C684" s="22" t="s">
        <v>3128</v>
      </c>
      <c r="D684" s="22" t="s">
        <v>4235</v>
      </c>
      <c r="E684" s="269">
        <v>53.434498435434897</v>
      </c>
      <c r="F684" s="269">
        <v>-113.459578234834</v>
      </c>
      <c r="G684" s="67" t="s">
        <v>2379</v>
      </c>
      <c r="H684" s="11"/>
      <c r="I684" s="11"/>
    </row>
    <row r="685" spans="2:9" ht="20" x14ac:dyDescent="0.2">
      <c r="B685" s="96" t="s">
        <v>3859</v>
      </c>
      <c r="C685" s="22" t="s">
        <v>2722</v>
      </c>
      <c r="D685" s="22" t="s">
        <v>4235</v>
      </c>
      <c r="E685" s="269">
        <v>49.582917962095202</v>
      </c>
      <c r="F685" s="269">
        <v>-113.793204425436</v>
      </c>
      <c r="G685" s="67" t="s">
        <v>2379</v>
      </c>
      <c r="H685" s="79"/>
      <c r="I685" s="79"/>
    </row>
    <row r="686" spans="2:9" ht="20" x14ac:dyDescent="0.2">
      <c r="B686" s="96" t="s">
        <v>3860</v>
      </c>
      <c r="C686" s="22" t="s">
        <v>2616</v>
      </c>
      <c r="D686" s="22" t="s">
        <v>4235</v>
      </c>
      <c r="E686" s="269">
        <v>51.396622901598803</v>
      </c>
      <c r="F686" s="269">
        <v>-114.01477539490099</v>
      </c>
      <c r="G686" s="67" t="s">
        <v>2379</v>
      </c>
      <c r="H686" s="79"/>
      <c r="I686" s="79"/>
    </row>
    <row r="687" spans="2:9" ht="20" x14ac:dyDescent="0.2">
      <c r="B687" s="96" t="s">
        <v>3999</v>
      </c>
      <c r="C687" s="22" t="s">
        <v>2145</v>
      </c>
      <c r="D687" s="22" t="s">
        <v>4235</v>
      </c>
      <c r="E687" s="269">
        <v>51.394697283548197</v>
      </c>
      <c r="F687" s="269">
        <v>-113.9900491146</v>
      </c>
      <c r="G687" s="67" t="s">
        <v>2379</v>
      </c>
      <c r="H687" s="79"/>
      <c r="I687" s="79"/>
    </row>
    <row r="688" spans="2:9" ht="20" x14ac:dyDescent="0.2">
      <c r="B688" s="96" t="s">
        <v>3861</v>
      </c>
      <c r="C688" s="22" t="s">
        <v>2723</v>
      </c>
      <c r="D688" s="22" t="s">
        <v>4235</v>
      </c>
      <c r="E688" s="269">
        <v>53.507725093867002</v>
      </c>
      <c r="F688" s="269">
        <v>-114.553230901055</v>
      </c>
      <c r="G688" s="67" t="s">
        <v>2379</v>
      </c>
      <c r="H688" s="11"/>
      <c r="I688" s="11"/>
    </row>
    <row r="689" spans="2:9" ht="20" x14ac:dyDescent="0.2">
      <c r="B689" s="96" t="s">
        <v>4000</v>
      </c>
      <c r="C689" s="22" t="s">
        <v>2096</v>
      </c>
      <c r="D689" s="22" t="s">
        <v>4235</v>
      </c>
      <c r="E689" s="269">
        <v>53.473167356969803</v>
      </c>
      <c r="F689" s="269">
        <v>-114.44366236058499</v>
      </c>
      <c r="G689" s="67" t="s">
        <v>2379</v>
      </c>
      <c r="H689" s="11"/>
      <c r="I689" s="11"/>
    </row>
    <row r="690" spans="2:9" ht="20" x14ac:dyDescent="0.2">
      <c r="B690" s="96" t="s">
        <v>4385</v>
      </c>
      <c r="C690" s="22" t="s">
        <v>3130</v>
      </c>
      <c r="D690" s="22" t="s">
        <v>4235</v>
      </c>
      <c r="E690" s="269">
        <v>53.5085023235414</v>
      </c>
      <c r="F690" s="269">
        <v>-114.55208372657</v>
      </c>
      <c r="G690" s="67" t="s">
        <v>2379</v>
      </c>
      <c r="H690" s="79"/>
      <c r="I690" s="79"/>
    </row>
    <row r="691" spans="2:9" ht="20" x14ac:dyDescent="0.2">
      <c r="B691" s="96" t="s">
        <v>3862</v>
      </c>
      <c r="C691" s="22" t="s">
        <v>3129</v>
      </c>
      <c r="D691" s="22" t="s">
        <v>4235</v>
      </c>
      <c r="E691" s="269">
        <v>53.472195506579403</v>
      </c>
      <c r="F691" s="269">
        <v>-114.52973548804</v>
      </c>
      <c r="G691" s="67" t="s">
        <v>2379</v>
      </c>
      <c r="H691" s="79"/>
      <c r="I691" s="79"/>
    </row>
    <row r="692" spans="2:9" ht="20" x14ac:dyDescent="0.2">
      <c r="B692" s="96" t="s">
        <v>4001</v>
      </c>
      <c r="C692" s="22" t="s">
        <v>2114</v>
      </c>
      <c r="D692" s="22" t="s">
        <v>4235</v>
      </c>
      <c r="E692" s="269">
        <v>53.482411781794198</v>
      </c>
      <c r="F692" s="269">
        <v>-114.51919977143601</v>
      </c>
      <c r="G692" s="67" t="s">
        <v>2379</v>
      </c>
      <c r="H692" s="79"/>
      <c r="I692" s="79"/>
    </row>
    <row r="693" spans="2:9" ht="20" x14ac:dyDescent="0.2">
      <c r="B693" s="96" t="s">
        <v>3863</v>
      </c>
      <c r="C693" s="22" t="s">
        <v>3131</v>
      </c>
      <c r="D693" s="22" t="s">
        <v>4235</v>
      </c>
      <c r="E693" s="269">
        <v>55.581247372321798</v>
      </c>
      <c r="F693" s="269">
        <v>-110.869132373455</v>
      </c>
      <c r="G693" s="67" t="s">
        <v>2379</v>
      </c>
      <c r="H693" s="79"/>
      <c r="I693" s="79"/>
    </row>
    <row r="694" spans="2:9" ht="20" x14ac:dyDescent="0.2">
      <c r="B694" s="96" t="s">
        <v>3864</v>
      </c>
      <c r="C694" s="22" t="s">
        <v>3132</v>
      </c>
      <c r="D694" s="22" t="s">
        <v>4235</v>
      </c>
      <c r="E694" s="269">
        <v>51.9120955809802</v>
      </c>
      <c r="F694" s="269">
        <v>-114.66498703629</v>
      </c>
      <c r="G694" s="67" t="s">
        <v>2379</v>
      </c>
      <c r="H694" s="79"/>
      <c r="I694" s="79"/>
    </row>
    <row r="695" spans="2:9" ht="20" x14ac:dyDescent="0.2">
      <c r="B695" s="96" t="s">
        <v>3865</v>
      </c>
      <c r="C695" s="22" t="s">
        <v>3133</v>
      </c>
      <c r="D695" s="22" t="s">
        <v>4235</v>
      </c>
      <c r="E695" s="269">
        <v>52.408017516306501</v>
      </c>
      <c r="F695" s="269">
        <v>-110.581495494808</v>
      </c>
      <c r="G695" s="67" t="s">
        <v>2379</v>
      </c>
      <c r="H695" s="11"/>
      <c r="I695" s="11"/>
    </row>
    <row r="696" spans="2:9" ht="20" x14ac:dyDescent="0.2">
      <c r="B696" s="96" t="s">
        <v>4002</v>
      </c>
      <c r="C696" s="22" t="s">
        <v>2107</v>
      </c>
      <c r="D696" s="22" t="s">
        <v>4235</v>
      </c>
      <c r="E696" s="269">
        <v>52.408824024081902</v>
      </c>
      <c r="F696" s="269">
        <v>-110.58045461238601</v>
      </c>
      <c r="G696" s="67" t="s">
        <v>2379</v>
      </c>
      <c r="H696" s="11"/>
      <c r="I696" s="11"/>
    </row>
    <row r="697" spans="2:9" ht="20" x14ac:dyDescent="0.2">
      <c r="B697" s="96" t="s">
        <v>3866</v>
      </c>
      <c r="C697" s="22" t="s">
        <v>3134</v>
      </c>
      <c r="D697" s="22" t="s">
        <v>4235</v>
      </c>
      <c r="E697" s="269">
        <v>53.352414371856398</v>
      </c>
      <c r="F697" s="269">
        <v>-114.31037036607</v>
      </c>
      <c r="G697" s="67" t="s">
        <v>2379</v>
      </c>
      <c r="H697" s="79"/>
      <c r="I697" s="79"/>
    </row>
    <row r="698" spans="2:9" ht="20" x14ac:dyDescent="0.2">
      <c r="B698" s="96" t="s">
        <v>3867</v>
      </c>
      <c r="C698" s="22" t="s">
        <v>3135</v>
      </c>
      <c r="D698" s="22" t="s">
        <v>4235</v>
      </c>
      <c r="E698" s="269">
        <v>51.166721348746698</v>
      </c>
      <c r="F698" s="269">
        <v>-115.686569558198</v>
      </c>
      <c r="G698" s="67" t="s">
        <v>2379</v>
      </c>
      <c r="H698" s="79"/>
      <c r="I698" s="79"/>
    </row>
    <row r="699" spans="2:9" ht="20" x14ac:dyDescent="0.2">
      <c r="B699" s="96" t="s">
        <v>3868</v>
      </c>
      <c r="C699" s="22" t="s">
        <v>3136</v>
      </c>
      <c r="D699" s="22" t="s">
        <v>4237</v>
      </c>
      <c r="E699" s="269">
        <v>54.873367687074101</v>
      </c>
      <c r="F699" s="269">
        <v>-115.285248673333</v>
      </c>
      <c r="G699" s="67" t="s">
        <v>2379</v>
      </c>
      <c r="H699" s="79"/>
      <c r="I699" s="79"/>
    </row>
    <row r="700" spans="2:9" ht="20" x14ac:dyDescent="0.2">
      <c r="B700" s="96" t="s">
        <v>3869</v>
      </c>
      <c r="C700" s="22" t="s">
        <v>3137</v>
      </c>
      <c r="D700" s="22" t="s">
        <v>4237</v>
      </c>
      <c r="E700" s="269">
        <v>54.765751097163701</v>
      </c>
      <c r="F700" s="269">
        <v>-115.442779611337</v>
      </c>
      <c r="G700" s="67" t="s">
        <v>2379</v>
      </c>
      <c r="H700" s="79"/>
      <c r="I700" s="79"/>
    </row>
    <row r="701" spans="2:9" ht="20" x14ac:dyDescent="0.2">
      <c r="B701" s="96" t="s">
        <v>3870</v>
      </c>
      <c r="C701" s="22" t="s">
        <v>3138</v>
      </c>
      <c r="D701" s="22" t="s">
        <v>4237</v>
      </c>
      <c r="E701" s="269">
        <v>56.2803174422206</v>
      </c>
      <c r="F701" s="269">
        <v>-111.62661038815899</v>
      </c>
      <c r="G701" s="67" t="s">
        <v>2379</v>
      </c>
      <c r="H701" s="79"/>
      <c r="I701" s="79"/>
    </row>
    <row r="702" spans="2:9" ht="20" x14ac:dyDescent="0.2">
      <c r="B702" s="96" t="s">
        <v>4353</v>
      </c>
      <c r="C702" s="22" t="s">
        <v>4354</v>
      </c>
      <c r="D702" s="22" t="s">
        <v>4235</v>
      </c>
      <c r="E702" s="269">
        <v>52.232434054418</v>
      </c>
      <c r="F702" s="269">
        <v>-114.112942936357</v>
      </c>
      <c r="G702" s="67" t="s">
        <v>2379</v>
      </c>
      <c r="H702" s="79"/>
      <c r="I702" s="79"/>
    </row>
    <row r="703" spans="2:9" ht="20" x14ac:dyDescent="0.2">
      <c r="B703" s="96" t="s">
        <v>4254</v>
      </c>
      <c r="C703" s="22" t="s">
        <v>4256</v>
      </c>
      <c r="D703" s="22" t="s">
        <v>396</v>
      </c>
      <c r="E703" s="269">
        <v>57.049741442707102</v>
      </c>
      <c r="F703" s="269">
        <v>-111.54916714226</v>
      </c>
      <c r="G703" s="67" t="s">
        <v>2379</v>
      </c>
      <c r="H703" s="79"/>
      <c r="I703" s="79"/>
    </row>
    <row r="704" spans="2:9" ht="20" x14ac:dyDescent="0.2">
      <c r="B704" s="96" t="s">
        <v>3871</v>
      </c>
      <c r="C704" s="22" t="s">
        <v>3266</v>
      </c>
      <c r="D704" s="22" t="s">
        <v>4235</v>
      </c>
      <c r="E704" s="269">
        <v>53.581772886787697</v>
      </c>
      <c r="F704" s="269">
        <v>-114.742323867002</v>
      </c>
      <c r="G704" s="67" t="s">
        <v>2379</v>
      </c>
      <c r="H704" s="79"/>
      <c r="I704" s="79"/>
    </row>
    <row r="705" spans="2:11" ht="20" x14ac:dyDescent="0.2">
      <c r="B705" s="96" t="s">
        <v>4003</v>
      </c>
      <c r="C705" s="22" t="s">
        <v>2098</v>
      </c>
      <c r="D705" s="22" t="s">
        <v>4235</v>
      </c>
      <c r="E705" s="269">
        <v>53.580188922794903</v>
      </c>
      <c r="F705" s="269">
        <v>-114.742106609884</v>
      </c>
      <c r="G705" s="67" t="s">
        <v>2379</v>
      </c>
      <c r="H705" s="79"/>
      <c r="I705" s="79"/>
    </row>
    <row r="706" spans="2:11" ht="20" x14ac:dyDescent="0.2">
      <c r="B706" s="96" t="s">
        <v>3872</v>
      </c>
      <c r="C706" s="22" t="s">
        <v>2629</v>
      </c>
      <c r="D706" s="22" t="s">
        <v>4235</v>
      </c>
      <c r="E706" s="269">
        <v>49.815607061304902</v>
      </c>
      <c r="F706" s="269">
        <v>-112.15615398602399</v>
      </c>
      <c r="G706" s="67" t="s">
        <v>2379</v>
      </c>
      <c r="H706" s="11"/>
      <c r="I706" s="11"/>
    </row>
    <row r="707" spans="2:11" ht="20" x14ac:dyDescent="0.2">
      <c r="B707" s="96" t="s">
        <v>3873</v>
      </c>
      <c r="C707" s="22" t="s">
        <v>2724</v>
      </c>
      <c r="D707" s="22" t="s">
        <v>4235</v>
      </c>
      <c r="E707" s="269">
        <v>49.697439398159801</v>
      </c>
      <c r="F707" s="269">
        <v>-111.947181272321</v>
      </c>
      <c r="G707" s="67" t="s">
        <v>2379</v>
      </c>
      <c r="H707" s="79"/>
      <c r="I707" s="79"/>
    </row>
    <row r="708" spans="2:11" ht="20" x14ac:dyDescent="0.2">
      <c r="B708" s="96" t="s">
        <v>4004</v>
      </c>
      <c r="C708" s="22" t="s">
        <v>2119</v>
      </c>
      <c r="D708" s="22" t="s">
        <v>4235</v>
      </c>
      <c r="E708" s="269">
        <v>49.698721574773998</v>
      </c>
      <c r="F708" s="269">
        <v>-111.968839927742</v>
      </c>
      <c r="G708" s="67" t="s">
        <v>2379</v>
      </c>
      <c r="H708" s="79"/>
      <c r="I708" s="79"/>
    </row>
    <row r="709" spans="2:11" ht="20" x14ac:dyDescent="0.2">
      <c r="B709" s="96" t="s">
        <v>3874</v>
      </c>
      <c r="C709" s="22" t="s">
        <v>3141</v>
      </c>
      <c r="D709" s="22" t="s">
        <v>4237</v>
      </c>
      <c r="E709" s="269">
        <v>56.7702312958832</v>
      </c>
      <c r="F709" s="269">
        <v>-111.713544922856</v>
      </c>
      <c r="G709" s="67" t="s">
        <v>2379</v>
      </c>
      <c r="H709" s="11"/>
      <c r="I709" s="11"/>
    </row>
    <row r="710" spans="2:11" ht="20" x14ac:dyDescent="0.2">
      <c r="B710" s="96" t="s">
        <v>3875</v>
      </c>
      <c r="C710" s="22" t="s">
        <v>3142</v>
      </c>
      <c r="D710" s="22" t="s">
        <v>4235</v>
      </c>
      <c r="E710" s="269">
        <v>54.774762564261998</v>
      </c>
      <c r="F710" s="269">
        <v>-111.834716027179</v>
      </c>
      <c r="G710" s="67" t="s">
        <v>2379</v>
      </c>
      <c r="H710" s="79"/>
      <c r="I710" s="79"/>
    </row>
    <row r="711" spans="2:11" ht="20" x14ac:dyDescent="0.2">
      <c r="B711" s="96" t="s">
        <v>4005</v>
      </c>
      <c r="C711" s="22" t="s">
        <v>2153</v>
      </c>
      <c r="D711" s="22" t="s">
        <v>4235</v>
      </c>
      <c r="E711" s="269">
        <v>54.762313456991798</v>
      </c>
      <c r="F711" s="269">
        <v>-111.818682551515</v>
      </c>
      <c r="G711" s="67" t="s">
        <v>2379</v>
      </c>
      <c r="H711" s="79"/>
      <c r="I711" s="79"/>
    </row>
    <row r="712" spans="2:11" ht="20" x14ac:dyDescent="0.2">
      <c r="B712" s="96" t="s">
        <v>3876</v>
      </c>
      <c r="C712" s="22" t="s">
        <v>3143</v>
      </c>
      <c r="D712" s="22" t="s">
        <v>4237</v>
      </c>
      <c r="E712" s="269">
        <v>54.473574876744102</v>
      </c>
      <c r="F712" s="269">
        <v>-118.747443168491</v>
      </c>
      <c r="G712" s="67" t="s">
        <v>2379</v>
      </c>
      <c r="H712" s="79"/>
      <c r="I712" s="79"/>
    </row>
    <row r="713" spans="2:11" ht="20" x14ac:dyDescent="0.2">
      <c r="B713" s="96" t="s">
        <v>3877</v>
      </c>
      <c r="C713" s="22" t="s">
        <v>3144</v>
      </c>
      <c r="D713" s="22" t="s">
        <v>4237</v>
      </c>
      <c r="E713" s="269">
        <v>51.7371189782721</v>
      </c>
      <c r="F713" s="269">
        <v>-113.263512935501</v>
      </c>
      <c r="G713" s="67" t="s">
        <v>2379</v>
      </c>
      <c r="H713" s="79"/>
      <c r="I713" s="79"/>
    </row>
    <row r="714" spans="2:11" ht="20" x14ac:dyDescent="0.2">
      <c r="B714" s="96" t="s">
        <v>3878</v>
      </c>
      <c r="C714" s="22" t="s">
        <v>2725</v>
      </c>
      <c r="D714" s="22" t="s">
        <v>4235</v>
      </c>
      <c r="E714" s="269">
        <v>50.998150296384601</v>
      </c>
      <c r="F714" s="269">
        <v>-115.37490135872601</v>
      </c>
      <c r="G714" s="67" t="s">
        <v>2379</v>
      </c>
      <c r="H714" s="79"/>
      <c r="I714" s="79"/>
    </row>
    <row r="715" spans="2:11" ht="20" x14ac:dyDescent="0.2">
      <c r="B715" s="96" t="s">
        <v>3879</v>
      </c>
      <c r="C715" s="22" t="s">
        <v>2598</v>
      </c>
      <c r="D715" s="22" t="s">
        <v>4235</v>
      </c>
      <c r="E715" s="269">
        <v>50.490503676497198</v>
      </c>
      <c r="F715" s="269">
        <v>-111.652480690145</v>
      </c>
      <c r="G715" s="67" t="s">
        <v>2379</v>
      </c>
      <c r="H715" s="79"/>
      <c r="I715" s="79"/>
    </row>
    <row r="716" spans="2:11" ht="20" x14ac:dyDescent="0.2">
      <c r="B716" s="96" t="s">
        <v>4360</v>
      </c>
      <c r="C716" s="22" t="s">
        <v>4361</v>
      </c>
      <c r="D716" s="22" t="s">
        <v>4235</v>
      </c>
      <c r="E716" s="269">
        <v>52.289535528854799</v>
      </c>
      <c r="F716" s="269">
        <v>-113.753697382426</v>
      </c>
      <c r="G716" s="67" t="s">
        <v>2379</v>
      </c>
      <c r="H716" s="79"/>
      <c r="I716" s="79"/>
      <c r="K716" s="183"/>
    </row>
    <row r="717" spans="2:11" ht="20" x14ac:dyDescent="0.2">
      <c r="B717" s="96" t="s">
        <v>4362</v>
      </c>
      <c r="C717" s="22" t="s">
        <v>4363</v>
      </c>
      <c r="D717" s="22" t="s">
        <v>4235</v>
      </c>
      <c r="E717" s="269">
        <v>52.303122504172897</v>
      </c>
      <c r="F717" s="269">
        <v>-113.754105020251</v>
      </c>
      <c r="G717" s="67" t="s">
        <v>2379</v>
      </c>
      <c r="H717" s="79"/>
      <c r="I717" s="79"/>
      <c r="K717" s="183"/>
    </row>
    <row r="718" spans="2:11" ht="20" x14ac:dyDescent="0.2">
      <c r="B718" s="96" t="s">
        <v>3880</v>
      </c>
      <c r="C718" s="22" t="s">
        <v>3145</v>
      </c>
      <c r="D718" s="22" t="s">
        <v>4237</v>
      </c>
      <c r="E718" s="269">
        <v>52.384323607538697</v>
      </c>
      <c r="F718" s="269">
        <v>-112.046829608349</v>
      </c>
      <c r="G718" s="67" t="s">
        <v>2379</v>
      </c>
      <c r="H718" s="79"/>
      <c r="I718" s="79"/>
    </row>
    <row r="719" spans="2:11" ht="20" x14ac:dyDescent="0.2">
      <c r="B719" s="96" t="s">
        <v>4027</v>
      </c>
      <c r="C719" s="22" t="s">
        <v>3267</v>
      </c>
      <c r="D719" s="22" t="s">
        <v>4235</v>
      </c>
      <c r="E719" s="269">
        <v>53.616118787750999</v>
      </c>
      <c r="F719" s="269">
        <v>-115.842906201674</v>
      </c>
      <c r="G719" s="67" t="s">
        <v>2379</v>
      </c>
      <c r="H719" s="79"/>
      <c r="I719" s="79"/>
    </row>
    <row r="720" spans="2:11" ht="20" x14ac:dyDescent="0.2">
      <c r="B720" s="96" t="s">
        <v>3881</v>
      </c>
      <c r="C720" s="22" t="s">
        <v>3146</v>
      </c>
      <c r="D720" s="22" t="s">
        <v>4237</v>
      </c>
      <c r="E720" s="269">
        <v>56.747523358804102</v>
      </c>
      <c r="F720" s="269">
        <v>-111.50691418214301</v>
      </c>
      <c r="G720" s="67" t="s">
        <v>2379</v>
      </c>
      <c r="H720" s="79"/>
      <c r="I720" s="79"/>
    </row>
    <row r="721" spans="2:9" ht="20" x14ac:dyDescent="0.2">
      <c r="B721" s="96" t="s">
        <v>3882</v>
      </c>
      <c r="C721" s="22" t="s">
        <v>3147</v>
      </c>
      <c r="D721" s="22" t="s">
        <v>4235</v>
      </c>
      <c r="E721" s="269">
        <v>50.136002619310602</v>
      </c>
      <c r="F721" s="269">
        <v>-112.724420176086</v>
      </c>
      <c r="G721" s="67" t="s">
        <v>2379</v>
      </c>
      <c r="H721" s="79"/>
      <c r="I721" s="79"/>
    </row>
    <row r="722" spans="2:9" ht="20" x14ac:dyDescent="0.2">
      <c r="B722" s="96" t="s">
        <v>3883</v>
      </c>
      <c r="C722" s="22" t="s">
        <v>3148</v>
      </c>
      <c r="D722" s="22" t="s">
        <v>4237</v>
      </c>
      <c r="E722" s="269">
        <v>55.446518771475802</v>
      </c>
      <c r="F722" s="269">
        <v>-116.643632163677</v>
      </c>
      <c r="G722" s="67" t="s">
        <v>2379</v>
      </c>
      <c r="H722" s="79"/>
      <c r="I722" s="79"/>
    </row>
    <row r="723" spans="2:9" ht="20" x14ac:dyDescent="0.2">
      <c r="B723" s="96" t="s">
        <v>4006</v>
      </c>
      <c r="C723" s="22" t="s">
        <v>2172</v>
      </c>
      <c r="D723" s="22" t="s">
        <v>4237</v>
      </c>
      <c r="E723" s="269">
        <v>55.4473746115832</v>
      </c>
      <c r="F723" s="269">
        <v>-116.64363474368101</v>
      </c>
      <c r="G723" s="67" t="s">
        <v>2379</v>
      </c>
      <c r="H723" s="79"/>
      <c r="I723" s="79"/>
    </row>
    <row r="724" spans="2:9" ht="20" x14ac:dyDescent="0.2">
      <c r="B724" s="96" t="s">
        <v>3884</v>
      </c>
      <c r="C724" s="22" t="s">
        <v>3268</v>
      </c>
      <c r="D724" s="22" t="s">
        <v>4235</v>
      </c>
      <c r="E724" s="269">
        <v>52.980129146447801</v>
      </c>
      <c r="F724" s="269">
        <v>-113.365579400408</v>
      </c>
      <c r="G724" s="67" t="s">
        <v>2379</v>
      </c>
      <c r="H724" s="79"/>
      <c r="I724" s="79"/>
    </row>
    <row r="725" spans="2:9" ht="20" x14ac:dyDescent="0.2">
      <c r="B725" s="96" t="s">
        <v>4007</v>
      </c>
      <c r="C725" s="22" t="s">
        <v>2134</v>
      </c>
      <c r="D725" s="22" t="s">
        <v>4235</v>
      </c>
      <c r="E725" s="269">
        <v>52.980449280795497</v>
      </c>
      <c r="F725" s="269">
        <v>-113.37313390703</v>
      </c>
      <c r="G725" s="67" t="s">
        <v>2379</v>
      </c>
      <c r="H725" s="79"/>
      <c r="I725" s="79"/>
    </row>
    <row r="726" spans="2:9" ht="20" x14ac:dyDescent="0.2">
      <c r="B726" s="96" t="s">
        <v>3885</v>
      </c>
      <c r="C726" s="22" t="s">
        <v>3149</v>
      </c>
      <c r="D726" s="22" t="s">
        <v>4235</v>
      </c>
      <c r="E726" s="269">
        <v>52.653435674247802</v>
      </c>
      <c r="F726" s="269">
        <v>-111.26321235597599</v>
      </c>
      <c r="G726" s="67" t="s">
        <v>2379</v>
      </c>
      <c r="H726" s="79"/>
      <c r="I726" s="79"/>
    </row>
    <row r="727" spans="2:9" ht="20" x14ac:dyDescent="0.2">
      <c r="B727" s="96" t="s">
        <v>3886</v>
      </c>
      <c r="C727" s="22" t="s">
        <v>2631</v>
      </c>
      <c r="D727" s="22" t="s">
        <v>4235</v>
      </c>
      <c r="E727" s="269">
        <v>51.184311879302903</v>
      </c>
      <c r="F727" s="269">
        <v>-113.953676282289</v>
      </c>
      <c r="G727" s="67" t="s">
        <v>2379</v>
      </c>
      <c r="H727" s="79"/>
      <c r="I727" s="79"/>
    </row>
    <row r="728" spans="2:9" ht="20" x14ac:dyDescent="0.2">
      <c r="B728" s="96" t="s">
        <v>3887</v>
      </c>
      <c r="C728" s="22" t="s">
        <v>3150</v>
      </c>
      <c r="D728" s="22" t="s">
        <v>4235</v>
      </c>
      <c r="E728" s="269">
        <v>55.383554756825603</v>
      </c>
      <c r="F728" s="269">
        <v>-110.74641898577499</v>
      </c>
      <c r="G728" s="67" t="s">
        <v>2379</v>
      </c>
      <c r="H728" s="79"/>
      <c r="I728" s="79"/>
    </row>
    <row r="729" spans="2:9" ht="20" x14ac:dyDescent="0.2">
      <c r="B729" s="96" t="s">
        <v>3888</v>
      </c>
      <c r="C729" s="22" t="s">
        <v>3269</v>
      </c>
      <c r="D729" s="22" t="s">
        <v>4235</v>
      </c>
      <c r="E729" s="269">
        <v>52.387287602556697</v>
      </c>
      <c r="F729" s="269">
        <v>-113.599967422478</v>
      </c>
      <c r="G729" s="67" t="s">
        <v>2379</v>
      </c>
      <c r="H729" s="79"/>
      <c r="I729" s="79"/>
    </row>
    <row r="730" spans="2:9" ht="20" x14ac:dyDescent="0.2">
      <c r="B730" s="96" t="s">
        <v>3889</v>
      </c>
      <c r="C730" s="22" t="s">
        <v>3151</v>
      </c>
      <c r="D730" s="22" t="s">
        <v>4237</v>
      </c>
      <c r="E730" s="269">
        <v>55.409907638265103</v>
      </c>
      <c r="F730" s="269">
        <v>-119.82170394489199</v>
      </c>
      <c r="G730" s="67" t="s">
        <v>2379</v>
      </c>
      <c r="H730" s="79"/>
      <c r="I730" s="79"/>
    </row>
    <row r="731" spans="2:9" ht="20" x14ac:dyDescent="0.2">
      <c r="B731" s="96" t="s">
        <v>3890</v>
      </c>
      <c r="C731" s="22" t="s">
        <v>3152</v>
      </c>
      <c r="D731" s="22" t="s">
        <v>4235</v>
      </c>
      <c r="E731" s="269">
        <v>49.7414753852918</v>
      </c>
      <c r="F731" s="269">
        <v>-112.795037494016</v>
      </c>
      <c r="G731" s="67" t="s">
        <v>2379</v>
      </c>
      <c r="H731" s="79"/>
      <c r="I731" s="79"/>
    </row>
    <row r="732" spans="2:9" ht="20" x14ac:dyDescent="0.2">
      <c r="B732" s="96" t="s">
        <v>3891</v>
      </c>
      <c r="C732" s="22" t="s">
        <v>3153</v>
      </c>
      <c r="D732" s="22" t="s">
        <v>4237</v>
      </c>
      <c r="E732" s="269">
        <v>55.0690955216402</v>
      </c>
      <c r="F732" s="269">
        <v>-117.25407568014499</v>
      </c>
      <c r="G732" s="67" t="s">
        <v>2379</v>
      </c>
      <c r="H732" s="79"/>
      <c r="I732" s="79"/>
    </row>
    <row r="733" spans="2:9" ht="20" x14ac:dyDescent="0.2">
      <c r="B733" s="96" t="s">
        <v>3892</v>
      </c>
      <c r="C733" s="22" t="s">
        <v>2637</v>
      </c>
      <c r="D733" s="22" t="s">
        <v>4235</v>
      </c>
      <c r="E733" s="269">
        <v>50.106922513987797</v>
      </c>
      <c r="F733" s="269">
        <v>-112.116642359392</v>
      </c>
      <c r="G733" s="67" t="s">
        <v>2379</v>
      </c>
      <c r="H733" s="11"/>
      <c r="I733" s="11"/>
    </row>
    <row r="734" spans="2:9" ht="20" x14ac:dyDescent="0.2">
      <c r="B734" s="96" t="s">
        <v>3893</v>
      </c>
      <c r="C734" s="22" t="s">
        <v>2646</v>
      </c>
      <c r="D734" s="22" t="s">
        <v>4237</v>
      </c>
      <c r="E734" s="269">
        <v>53.475301227686998</v>
      </c>
      <c r="F734" s="269">
        <v>-112.065010990917</v>
      </c>
      <c r="G734" s="67" t="s">
        <v>2379</v>
      </c>
      <c r="H734" s="79"/>
      <c r="I734" s="79"/>
    </row>
    <row r="735" spans="2:9" ht="20" x14ac:dyDescent="0.2">
      <c r="B735" s="96" t="s">
        <v>3894</v>
      </c>
      <c r="C735" s="22" t="s">
        <v>3154</v>
      </c>
      <c r="D735" s="22" t="s">
        <v>4237</v>
      </c>
      <c r="E735" s="269">
        <v>53.358165038110499</v>
      </c>
      <c r="F735" s="269">
        <v>-110.856917864845</v>
      </c>
      <c r="G735" s="67" t="s">
        <v>2379</v>
      </c>
      <c r="H735" s="79"/>
      <c r="I735" s="79"/>
    </row>
    <row r="736" spans="2:9" ht="20" x14ac:dyDescent="0.2">
      <c r="B736" s="96" t="s">
        <v>3895</v>
      </c>
      <c r="C736" s="22" t="s">
        <v>3155</v>
      </c>
      <c r="D736" s="22" t="s">
        <v>4237</v>
      </c>
      <c r="E736" s="269">
        <v>51.9981149671911</v>
      </c>
      <c r="F736" s="269">
        <v>-111.103673942935</v>
      </c>
      <c r="G736" s="67" t="s">
        <v>2379</v>
      </c>
      <c r="H736" s="79"/>
      <c r="I736" s="79"/>
    </row>
    <row r="737" spans="2:9" ht="20" x14ac:dyDescent="0.2">
      <c r="B737" s="96" t="s">
        <v>4281</v>
      </c>
      <c r="C737" s="22" t="s">
        <v>4282</v>
      </c>
      <c r="D737" s="22" t="s">
        <v>4239</v>
      </c>
      <c r="E737" s="269">
        <v>53.5488803745274</v>
      </c>
      <c r="F737" s="269">
        <v>-113.49979084291699</v>
      </c>
      <c r="G737" s="67" t="s">
        <v>2379</v>
      </c>
      <c r="H737" s="11"/>
      <c r="I737" s="11"/>
    </row>
    <row r="738" spans="2:9" ht="20" x14ac:dyDescent="0.2">
      <c r="B738" s="96" t="s">
        <v>3896</v>
      </c>
      <c r="C738" s="22" t="s">
        <v>3157</v>
      </c>
      <c r="D738" s="22" t="s">
        <v>4237</v>
      </c>
      <c r="E738" s="269">
        <v>54.112188593098502</v>
      </c>
      <c r="F738" s="269">
        <v>-111.93899573259201</v>
      </c>
      <c r="G738" s="67" t="s">
        <v>2379</v>
      </c>
      <c r="H738" s="79"/>
      <c r="I738" s="79"/>
    </row>
    <row r="739" spans="2:9" ht="20" x14ac:dyDescent="0.2">
      <c r="B739" s="96" t="s">
        <v>3897</v>
      </c>
      <c r="C739" s="22" t="s">
        <v>3158</v>
      </c>
      <c r="D739" s="22" t="s">
        <v>4235</v>
      </c>
      <c r="E739" s="269">
        <v>53.177432298188599</v>
      </c>
      <c r="F739" s="269">
        <v>-115.00392226917</v>
      </c>
      <c r="G739" s="67" t="s">
        <v>2379</v>
      </c>
      <c r="H739" s="79"/>
      <c r="I739" s="79"/>
    </row>
    <row r="740" spans="2:9" ht="20" x14ac:dyDescent="0.2">
      <c r="B740" s="96" t="s">
        <v>3898</v>
      </c>
      <c r="C740" s="22" t="s">
        <v>3159</v>
      </c>
      <c r="D740" s="22" t="s">
        <v>4237</v>
      </c>
      <c r="E740" s="269">
        <v>54.5945130294145</v>
      </c>
      <c r="F740" s="269">
        <v>-115.86161010957601</v>
      </c>
      <c r="G740" s="67" t="s">
        <v>2379</v>
      </c>
      <c r="H740" s="79"/>
      <c r="I740" s="79"/>
    </row>
    <row r="741" spans="2:9" ht="20" x14ac:dyDescent="0.2">
      <c r="B741" s="96" t="s">
        <v>3899</v>
      </c>
      <c r="C741" s="22" t="s">
        <v>3160</v>
      </c>
      <c r="D741" s="22" t="s">
        <v>4235</v>
      </c>
      <c r="E741" s="269">
        <v>53.652835295815599</v>
      </c>
      <c r="F741" s="269">
        <v>-113.56686025389099</v>
      </c>
      <c r="G741" s="67" t="s">
        <v>2379</v>
      </c>
      <c r="H741" s="79"/>
      <c r="I741" s="79"/>
    </row>
    <row r="742" spans="2:9" ht="20" x14ac:dyDescent="0.2">
      <c r="B742" s="96" t="s">
        <v>3900</v>
      </c>
      <c r="C742" s="22" t="s">
        <v>3161</v>
      </c>
      <c r="D742" s="22" t="s">
        <v>4235</v>
      </c>
      <c r="E742" s="269">
        <v>53.3645007124329</v>
      </c>
      <c r="F742" s="269">
        <v>-117.341569866889</v>
      </c>
      <c r="G742" s="67" t="s">
        <v>2379</v>
      </c>
      <c r="H742" s="79"/>
      <c r="I742" s="79"/>
    </row>
    <row r="743" spans="2:9" ht="20" x14ac:dyDescent="0.2">
      <c r="B743" s="96" t="s">
        <v>3901</v>
      </c>
      <c r="C743" s="22" t="s">
        <v>3162</v>
      </c>
      <c r="D743" s="22" t="s">
        <v>4235</v>
      </c>
      <c r="E743" s="269">
        <v>50.3685378110752</v>
      </c>
      <c r="F743" s="269">
        <v>-113.25490612410699</v>
      </c>
      <c r="G743" s="67" t="s">
        <v>2379</v>
      </c>
      <c r="H743" s="79"/>
      <c r="I743" s="79"/>
    </row>
    <row r="744" spans="2:9" ht="20" x14ac:dyDescent="0.2">
      <c r="B744" s="96" t="s">
        <v>3902</v>
      </c>
      <c r="C744" s="22" t="s">
        <v>3163</v>
      </c>
      <c r="D744" s="22" t="s">
        <v>4235</v>
      </c>
      <c r="E744" s="269">
        <v>53.559907162277398</v>
      </c>
      <c r="F744" s="269">
        <v>-114.49340959215</v>
      </c>
      <c r="G744" s="67" t="s">
        <v>2379</v>
      </c>
      <c r="H744" s="11"/>
      <c r="I744" s="11"/>
    </row>
    <row r="745" spans="2:9" ht="20" x14ac:dyDescent="0.2">
      <c r="B745" s="96" t="s">
        <v>3903</v>
      </c>
      <c r="C745" s="22" t="s">
        <v>3164</v>
      </c>
      <c r="D745" s="22" t="s">
        <v>4235</v>
      </c>
      <c r="E745" s="269">
        <v>53.5577167438598</v>
      </c>
      <c r="F745" s="269">
        <v>-114.48775418291</v>
      </c>
      <c r="G745" s="67" t="s">
        <v>2379</v>
      </c>
      <c r="H745" s="79"/>
      <c r="I745" s="79"/>
    </row>
    <row r="746" spans="2:9" ht="20" x14ac:dyDescent="0.2">
      <c r="B746" s="96" t="s">
        <v>3904</v>
      </c>
      <c r="C746" s="22" t="s">
        <v>3165</v>
      </c>
      <c r="D746" s="22" t="s">
        <v>4237</v>
      </c>
      <c r="E746" s="269">
        <v>55.951291607478197</v>
      </c>
      <c r="F746" s="269">
        <v>-113.812010244585</v>
      </c>
      <c r="G746" s="67" t="s">
        <v>2379</v>
      </c>
      <c r="H746" s="79"/>
      <c r="I746" s="79"/>
    </row>
    <row r="747" spans="2:9" ht="20" x14ac:dyDescent="0.2">
      <c r="B747" s="96" t="s">
        <v>3905</v>
      </c>
      <c r="C747" s="22" t="s">
        <v>3166</v>
      </c>
      <c r="D747" s="22" t="s">
        <v>4237</v>
      </c>
      <c r="E747" s="269">
        <v>55.817805606026901</v>
      </c>
      <c r="F747" s="269">
        <v>-111.452970686502</v>
      </c>
      <c r="G747" s="67" t="s">
        <v>2379</v>
      </c>
      <c r="H747" s="79"/>
      <c r="I747" s="79"/>
    </row>
    <row r="748" spans="2:9" ht="20" x14ac:dyDescent="0.2">
      <c r="B748" s="96" t="s">
        <v>3906</v>
      </c>
      <c r="C748" s="22" t="s">
        <v>3167</v>
      </c>
      <c r="D748" s="22" t="s">
        <v>4235</v>
      </c>
      <c r="E748" s="269">
        <v>52.858497047529397</v>
      </c>
      <c r="F748" s="269">
        <v>-110.923726761018</v>
      </c>
      <c r="G748" s="67" t="s">
        <v>2379</v>
      </c>
      <c r="H748" s="79"/>
      <c r="I748" s="79"/>
    </row>
    <row r="749" spans="2:9" ht="20" x14ac:dyDescent="0.2">
      <c r="B749" s="96" t="s">
        <v>3907</v>
      </c>
      <c r="C749" s="22" t="s">
        <v>3168</v>
      </c>
      <c r="D749" s="22" t="s">
        <v>4242</v>
      </c>
      <c r="E749" s="269">
        <v>54.414968777400297</v>
      </c>
      <c r="F749" s="269">
        <v>-114.17663794424701</v>
      </c>
      <c r="G749" s="67" t="s">
        <v>2379</v>
      </c>
      <c r="H749" s="79"/>
      <c r="I749" s="79"/>
    </row>
    <row r="750" spans="2:9" ht="20" x14ac:dyDescent="0.2">
      <c r="B750" s="96" t="s">
        <v>4008</v>
      </c>
      <c r="C750" s="22" t="s">
        <v>2131</v>
      </c>
      <c r="D750" s="22" t="s">
        <v>4242</v>
      </c>
      <c r="E750" s="269">
        <v>54.4423318720347</v>
      </c>
      <c r="F750" s="269">
        <v>-113.96271594984999</v>
      </c>
      <c r="G750" s="67" t="s">
        <v>2379</v>
      </c>
      <c r="H750" s="79"/>
      <c r="I750" s="79"/>
    </row>
    <row r="751" spans="2:9" ht="20" x14ac:dyDescent="0.2">
      <c r="B751" s="96" t="s">
        <v>3908</v>
      </c>
      <c r="C751" s="22" t="s">
        <v>3169</v>
      </c>
      <c r="D751" s="22" t="s">
        <v>4237</v>
      </c>
      <c r="E751" s="269">
        <v>54.959164347770802</v>
      </c>
      <c r="F751" s="269">
        <v>-119.192815950133</v>
      </c>
      <c r="G751" s="67" t="s">
        <v>2379</v>
      </c>
      <c r="H751" s="79"/>
      <c r="I751" s="79"/>
    </row>
    <row r="752" spans="2:9" ht="20" x14ac:dyDescent="0.2">
      <c r="B752" s="96" t="s">
        <v>4009</v>
      </c>
      <c r="C752" s="22" t="s">
        <v>2156</v>
      </c>
      <c r="D752" s="22" t="s">
        <v>4237</v>
      </c>
      <c r="E752" s="269">
        <v>55.141547562828897</v>
      </c>
      <c r="F752" s="269">
        <v>-119.17953987605701</v>
      </c>
      <c r="G752" s="67" t="s">
        <v>2379</v>
      </c>
      <c r="H752" s="79"/>
      <c r="I752" s="79"/>
    </row>
    <row r="753" spans="2:9" ht="20" x14ac:dyDescent="0.2">
      <c r="B753" s="96" t="s">
        <v>3909</v>
      </c>
      <c r="C753" s="22" t="s">
        <v>3170</v>
      </c>
      <c r="D753" s="22" t="s">
        <v>4235</v>
      </c>
      <c r="E753" s="269">
        <v>50.835157282249</v>
      </c>
      <c r="F753" s="269">
        <v>-111.250115969807</v>
      </c>
      <c r="G753" s="67" t="s">
        <v>2379</v>
      </c>
      <c r="H753" s="79"/>
      <c r="I753" s="79"/>
    </row>
    <row r="754" spans="2:9" ht="20" x14ac:dyDescent="0.2">
      <c r="B754" s="96" t="s">
        <v>3910</v>
      </c>
      <c r="C754" s="22" t="s">
        <v>3171</v>
      </c>
      <c r="D754" s="22" t="s">
        <v>4235</v>
      </c>
      <c r="E754" s="269">
        <v>50.8723954840654</v>
      </c>
      <c r="F754" s="269">
        <v>-111.919609784809</v>
      </c>
      <c r="G754" s="67" t="s">
        <v>2379</v>
      </c>
      <c r="H754" s="79"/>
      <c r="I754" s="79"/>
    </row>
    <row r="755" spans="2:9" ht="20" x14ac:dyDescent="0.2">
      <c r="B755" s="96" t="s">
        <v>3911</v>
      </c>
      <c r="C755" s="22" t="s">
        <v>3172</v>
      </c>
      <c r="D755" s="22" t="s">
        <v>4235</v>
      </c>
      <c r="E755" s="269">
        <v>49.283282646753698</v>
      </c>
      <c r="F755" s="269">
        <v>-112.22568164150699</v>
      </c>
      <c r="G755" s="67" t="s">
        <v>2379</v>
      </c>
      <c r="H755" s="79"/>
      <c r="I755" s="79"/>
    </row>
    <row r="756" spans="2:9" ht="20" x14ac:dyDescent="0.2">
      <c r="B756" s="96" t="s">
        <v>3912</v>
      </c>
      <c r="C756" s="22" t="s">
        <v>3173</v>
      </c>
      <c r="D756" s="22" t="s">
        <v>4235</v>
      </c>
      <c r="E756" s="269">
        <v>49.309028316543497</v>
      </c>
      <c r="F756" s="269">
        <v>-113.99981283728</v>
      </c>
      <c r="G756" s="67" t="s">
        <v>2379</v>
      </c>
      <c r="H756" s="79"/>
      <c r="I756" s="79"/>
    </row>
    <row r="757" spans="2:9" ht="20" x14ac:dyDescent="0.2">
      <c r="B757" s="96" t="s">
        <v>3913</v>
      </c>
      <c r="C757" s="22" t="s">
        <v>3174</v>
      </c>
      <c r="D757" s="22" t="s">
        <v>4235</v>
      </c>
      <c r="E757" s="269">
        <v>53.276909104189997</v>
      </c>
      <c r="F757" s="269">
        <v>-117.743929931053</v>
      </c>
      <c r="G757" s="67" t="s">
        <v>2379</v>
      </c>
      <c r="H757" s="79"/>
      <c r="I757" s="79"/>
    </row>
    <row r="758" spans="2:9" ht="20" x14ac:dyDescent="0.2">
      <c r="B758" s="96" t="s">
        <v>3914</v>
      </c>
      <c r="C758" s="22" t="s">
        <v>3175</v>
      </c>
      <c r="D758" s="22" t="s">
        <v>4237</v>
      </c>
      <c r="E758" s="269">
        <v>53.804055274549597</v>
      </c>
      <c r="F758" s="269">
        <v>-111.933911087171</v>
      </c>
      <c r="G758" s="67" t="s">
        <v>2379</v>
      </c>
      <c r="H758" s="79"/>
      <c r="I758" s="79"/>
    </row>
    <row r="759" spans="2:9" ht="20" x14ac:dyDescent="0.2">
      <c r="B759" s="96" t="s">
        <v>4010</v>
      </c>
      <c r="C759" s="22" t="s">
        <v>2179</v>
      </c>
      <c r="D759" s="22" t="s">
        <v>4237</v>
      </c>
      <c r="E759" s="269">
        <v>53.804123163834298</v>
      </c>
      <c r="F759" s="269">
        <v>-111.93535551063999</v>
      </c>
      <c r="G759" s="67" t="s">
        <v>2379</v>
      </c>
      <c r="H759" s="79"/>
      <c r="I759" s="79"/>
    </row>
    <row r="760" spans="2:9" ht="20" x14ac:dyDescent="0.2">
      <c r="B760" s="96" t="s">
        <v>3915</v>
      </c>
      <c r="C760" s="22" t="s">
        <v>3176</v>
      </c>
      <c r="D760" s="22" t="s">
        <v>4235</v>
      </c>
      <c r="E760" s="269">
        <v>54.762887121881803</v>
      </c>
      <c r="F760" s="269">
        <v>-112.618577923261</v>
      </c>
      <c r="G760" s="67" t="s">
        <v>2379</v>
      </c>
      <c r="H760" s="79"/>
      <c r="I760" s="79"/>
    </row>
    <row r="761" spans="2:9" ht="20" x14ac:dyDescent="0.2">
      <c r="B761" s="96" t="s">
        <v>3916</v>
      </c>
      <c r="C761" s="22" t="s">
        <v>3177</v>
      </c>
      <c r="D761" s="22" t="s">
        <v>4235</v>
      </c>
      <c r="E761" s="269">
        <v>54.150096880483702</v>
      </c>
      <c r="F761" s="269">
        <v>-112.811934582018</v>
      </c>
      <c r="G761" s="67" t="s">
        <v>2379</v>
      </c>
      <c r="H761" s="79"/>
      <c r="I761" s="79"/>
    </row>
    <row r="762" spans="2:9" ht="20" x14ac:dyDescent="0.2">
      <c r="B762" s="96" t="s">
        <v>4011</v>
      </c>
      <c r="C762" s="22" t="s">
        <v>2185</v>
      </c>
      <c r="D762" s="22" t="s">
        <v>4235</v>
      </c>
      <c r="E762" s="269">
        <v>54.095766095326901</v>
      </c>
      <c r="F762" s="269">
        <v>-112.813356042455</v>
      </c>
      <c r="G762" s="67" t="s">
        <v>2379</v>
      </c>
      <c r="H762" s="11"/>
      <c r="I762" s="11"/>
    </row>
    <row r="763" spans="2:9" ht="20" x14ac:dyDescent="0.2">
      <c r="B763" s="96" t="s">
        <v>3917</v>
      </c>
      <c r="C763" s="22" t="s">
        <v>3178</v>
      </c>
      <c r="D763" s="22" t="s">
        <v>4237</v>
      </c>
      <c r="E763" s="269">
        <v>56.277073797428102</v>
      </c>
      <c r="F763" s="269">
        <v>-116.975321973584</v>
      </c>
      <c r="G763" s="67" t="s">
        <v>2379</v>
      </c>
      <c r="H763" s="11"/>
      <c r="I763" s="11"/>
    </row>
    <row r="764" spans="2:9" ht="20" x14ac:dyDescent="0.2">
      <c r="B764" s="96" t="s">
        <v>3918</v>
      </c>
      <c r="C764" s="22" t="s">
        <v>3179</v>
      </c>
      <c r="D764" s="22" t="s">
        <v>4235</v>
      </c>
      <c r="E764" s="269">
        <v>50.556597062570397</v>
      </c>
      <c r="F764" s="269">
        <v>-112.01725731198</v>
      </c>
      <c r="G764" s="67" t="s">
        <v>2379</v>
      </c>
      <c r="H764" s="11"/>
      <c r="I764" s="11"/>
    </row>
    <row r="765" spans="2:9" ht="20" x14ac:dyDescent="0.2">
      <c r="B765" s="96" t="s">
        <v>3919</v>
      </c>
      <c r="C765" s="22" t="s">
        <v>3180</v>
      </c>
      <c r="D765" s="22" t="s">
        <v>4235</v>
      </c>
      <c r="E765" s="269">
        <v>51.2002004394</v>
      </c>
      <c r="F765" s="269">
        <v>-115.5020526532</v>
      </c>
      <c r="G765" s="67" t="s">
        <v>2379</v>
      </c>
      <c r="H765" s="79"/>
      <c r="I765" s="79"/>
    </row>
    <row r="766" spans="2:9" ht="20" x14ac:dyDescent="0.2">
      <c r="B766" s="96" t="s">
        <v>3920</v>
      </c>
      <c r="C766" s="22" t="s">
        <v>3181</v>
      </c>
      <c r="D766" s="22" t="s">
        <v>4235</v>
      </c>
      <c r="E766" s="269">
        <v>51.437955492690598</v>
      </c>
      <c r="F766" s="269">
        <v>-114.023698707086</v>
      </c>
      <c r="G766" s="67" t="s">
        <v>2379</v>
      </c>
      <c r="H766" s="79"/>
      <c r="I766" s="79"/>
    </row>
    <row r="767" spans="2:9" ht="20" x14ac:dyDescent="0.2">
      <c r="B767" s="96" t="s">
        <v>3921</v>
      </c>
      <c r="C767" s="22" t="s">
        <v>3182</v>
      </c>
      <c r="D767" s="22" t="s">
        <v>4235</v>
      </c>
      <c r="E767" s="269">
        <v>53.256027625546103</v>
      </c>
      <c r="F767" s="269">
        <v>-115.55703109807</v>
      </c>
      <c r="G767" s="67" t="s">
        <v>2379</v>
      </c>
      <c r="H767" s="79"/>
      <c r="I767" s="79"/>
    </row>
    <row r="768" spans="2:9" ht="20" x14ac:dyDescent="0.2">
      <c r="B768" s="96" t="s">
        <v>4012</v>
      </c>
      <c r="C768" s="22" t="s">
        <v>2103</v>
      </c>
      <c r="D768" s="22" t="s">
        <v>4235</v>
      </c>
      <c r="E768" s="301">
        <v>53.255196467960502</v>
      </c>
      <c r="F768" s="269">
        <v>-115.569252999479</v>
      </c>
      <c r="G768" s="67" t="s">
        <v>2379</v>
      </c>
      <c r="H768" s="79"/>
      <c r="I768" s="79"/>
    </row>
    <row r="769" spans="2:9" ht="20" x14ac:dyDescent="0.2">
      <c r="B769" s="96" t="s">
        <v>3922</v>
      </c>
      <c r="C769" s="22" t="s">
        <v>2726</v>
      </c>
      <c r="D769" s="22" t="s">
        <v>4235</v>
      </c>
      <c r="E769" s="304">
        <v>53.038933075630098</v>
      </c>
      <c r="F769" s="269">
        <v>-115.963982168472</v>
      </c>
      <c r="G769" s="67" t="s">
        <v>2379</v>
      </c>
      <c r="H769" s="79"/>
      <c r="I769" s="79"/>
    </row>
    <row r="770" spans="2:9" ht="20" x14ac:dyDescent="0.2">
      <c r="B770" s="96" t="s">
        <v>3923</v>
      </c>
      <c r="C770" s="22" t="s">
        <v>3183</v>
      </c>
      <c r="D770" s="22" t="s">
        <v>4235</v>
      </c>
      <c r="E770" s="269">
        <v>49.670250649885503</v>
      </c>
      <c r="F770" s="269">
        <v>-111.49387192386</v>
      </c>
      <c r="G770" s="67" t="s">
        <v>2379</v>
      </c>
      <c r="H770" s="11"/>
      <c r="I770" s="11"/>
    </row>
    <row r="771" spans="2:9" ht="20" x14ac:dyDescent="0.2">
      <c r="B771" s="96" t="s">
        <v>3924</v>
      </c>
      <c r="C771" s="22" t="s">
        <v>2727</v>
      </c>
      <c r="D771" s="22" t="s">
        <v>4235</v>
      </c>
      <c r="E771" s="269">
        <v>54.182275160145203</v>
      </c>
      <c r="F771" s="269">
        <v>-113.87450659216999</v>
      </c>
      <c r="G771" s="67" t="s">
        <v>2379</v>
      </c>
      <c r="H771" s="79"/>
      <c r="I771" s="79"/>
    </row>
    <row r="772" spans="2:9" ht="20" x14ac:dyDescent="0.2">
      <c r="B772" s="96" t="s">
        <v>3925</v>
      </c>
      <c r="C772" s="22" t="s">
        <v>3184</v>
      </c>
      <c r="D772" s="22" t="s">
        <v>4237</v>
      </c>
      <c r="E772" s="269">
        <v>56.2343190702287</v>
      </c>
      <c r="F772" s="269">
        <v>-117.372519022421</v>
      </c>
      <c r="G772" s="67" t="s">
        <v>2379</v>
      </c>
      <c r="H772" s="79"/>
      <c r="I772" s="79"/>
    </row>
    <row r="773" spans="2:9" ht="20" x14ac:dyDescent="0.2">
      <c r="B773" s="96" t="s">
        <v>3926</v>
      </c>
      <c r="C773" s="22" t="s">
        <v>3185</v>
      </c>
      <c r="D773" s="22" t="s">
        <v>4235</v>
      </c>
      <c r="E773" s="269">
        <v>53.680053306353599</v>
      </c>
      <c r="F773" s="269">
        <v>-113.195768432832</v>
      </c>
      <c r="G773" s="67" t="s">
        <v>2379</v>
      </c>
      <c r="H773" s="79"/>
      <c r="I773" s="79"/>
    </row>
    <row r="774" spans="2:9" ht="20" x14ac:dyDescent="0.2">
      <c r="B774" s="96" t="s">
        <v>3927</v>
      </c>
      <c r="C774" s="22" t="s">
        <v>3186</v>
      </c>
      <c r="D774" s="22" t="s">
        <v>4235</v>
      </c>
      <c r="E774" s="269">
        <v>52.972545970174302</v>
      </c>
      <c r="F774" s="269">
        <v>-113.375099509428</v>
      </c>
      <c r="G774" s="67" t="s">
        <v>2379</v>
      </c>
      <c r="H774" s="79"/>
      <c r="I774" s="79"/>
    </row>
    <row r="775" spans="2:9" ht="20" x14ac:dyDescent="0.2">
      <c r="B775" s="96" t="s">
        <v>4013</v>
      </c>
      <c r="C775" s="22" t="s">
        <v>2183</v>
      </c>
      <c r="D775" s="22" t="s">
        <v>4235</v>
      </c>
      <c r="E775" s="269">
        <v>53.0180613756105</v>
      </c>
      <c r="F775" s="269">
        <v>-113.36626026894</v>
      </c>
      <c r="G775" s="67" t="s">
        <v>2379</v>
      </c>
      <c r="H775" s="79"/>
      <c r="I775" s="79"/>
    </row>
    <row r="776" spans="2:9" ht="20" x14ac:dyDescent="0.2">
      <c r="B776" s="96" t="s">
        <v>3928</v>
      </c>
      <c r="C776" s="22" t="s">
        <v>2728</v>
      </c>
      <c r="D776" s="22" t="s">
        <v>4237</v>
      </c>
      <c r="E776" s="269">
        <v>51.211710950123503</v>
      </c>
      <c r="F776" s="269">
        <v>-112.562086424176</v>
      </c>
      <c r="G776" s="67" t="s">
        <v>2379</v>
      </c>
      <c r="H776" s="79"/>
      <c r="I776" s="79"/>
    </row>
    <row r="777" spans="2:9" ht="20" x14ac:dyDescent="0.2">
      <c r="B777" s="96" t="s">
        <v>3929</v>
      </c>
      <c r="C777" s="22" t="s">
        <v>3187</v>
      </c>
      <c r="D777" s="22" t="s">
        <v>4237</v>
      </c>
      <c r="E777" s="269">
        <v>54.165386031255601</v>
      </c>
      <c r="F777" s="269">
        <v>-111.92548372211201</v>
      </c>
      <c r="G777" s="67" t="s">
        <v>2379</v>
      </c>
      <c r="H777" s="79"/>
      <c r="I777" s="79"/>
    </row>
    <row r="778" spans="2:9" ht="20" x14ac:dyDescent="0.2">
      <c r="B778" s="96" t="s">
        <v>3930</v>
      </c>
      <c r="C778" s="22" t="s">
        <v>2609</v>
      </c>
      <c r="D778" s="22" t="s">
        <v>4235</v>
      </c>
      <c r="E778" s="269">
        <v>54.159966153233697</v>
      </c>
      <c r="F778" s="269">
        <v>-115.725780353174</v>
      </c>
      <c r="G778" s="67" t="s">
        <v>2379</v>
      </c>
      <c r="H778" s="79"/>
      <c r="I778" s="79"/>
    </row>
    <row r="779" spans="2:9" ht="20" x14ac:dyDescent="0.2">
      <c r="B779" s="96" t="s">
        <v>3931</v>
      </c>
      <c r="C779" s="22" t="s">
        <v>3270</v>
      </c>
      <c r="D779" s="22" t="s">
        <v>4235</v>
      </c>
      <c r="E779" s="269">
        <v>54.131412598679603</v>
      </c>
      <c r="F779" s="269">
        <v>-115.646073314402</v>
      </c>
      <c r="G779" s="67" t="s">
        <v>2379</v>
      </c>
      <c r="H779" s="79"/>
      <c r="I779" s="79"/>
    </row>
    <row r="780" spans="2:9" ht="20" x14ac:dyDescent="0.2">
      <c r="B780" s="96" t="s">
        <v>3932</v>
      </c>
      <c r="C780" s="22" t="s">
        <v>3243</v>
      </c>
      <c r="D780" s="22" t="s">
        <v>4235</v>
      </c>
      <c r="E780" s="269">
        <v>54.162697033518</v>
      </c>
      <c r="F780" s="269">
        <v>-115.73407934573</v>
      </c>
      <c r="G780" s="67" t="s">
        <v>2379</v>
      </c>
      <c r="H780" s="79"/>
      <c r="I780" s="79"/>
    </row>
    <row r="781" spans="2:9" ht="20" x14ac:dyDescent="0.2">
      <c r="B781" s="96" t="s">
        <v>3933</v>
      </c>
      <c r="C781" s="22" t="s">
        <v>3188</v>
      </c>
      <c r="D781" s="22" t="s">
        <v>4237</v>
      </c>
      <c r="E781" s="269">
        <v>54.412237406689897</v>
      </c>
      <c r="F781" s="269">
        <v>-111.75094388369899</v>
      </c>
      <c r="G781" s="67" t="s">
        <v>2379</v>
      </c>
      <c r="H781" s="79"/>
      <c r="I781" s="79"/>
    </row>
    <row r="782" spans="2:9" ht="20" x14ac:dyDescent="0.2">
      <c r="B782" s="96" t="s">
        <v>3934</v>
      </c>
      <c r="C782" s="22" t="s">
        <v>2622</v>
      </c>
      <c r="D782" s="22" t="s">
        <v>4235</v>
      </c>
      <c r="E782" s="269">
        <v>49.610194756712801</v>
      </c>
      <c r="F782" s="269">
        <v>-111.174819706813</v>
      </c>
      <c r="G782" s="67" t="s">
        <v>2379</v>
      </c>
      <c r="H782" s="79"/>
      <c r="I782" s="79"/>
    </row>
    <row r="783" spans="2:9" ht="20" x14ac:dyDescent="0.2">
      <c r="B783" s="96" t="s">
        <v>3935</v>
      </c>
      <c r="C783" s="22" t="s">
        <v>3189</v>
      </c>
      <c r="D783" s="22" t="s">
        <v>4235</v>
      </c>
      <c r="E783" s="269">
        <v>52.651506747381902</v>
      </c>
      <c r="F783" s="269">
        <v>-115.078971298863</v>
      </c>
      <c r="G783" s="67" t="s">
        <v>2379</v>
      </c>
      <c r="H783" s="79"/>
      <c r="I783" s="79"/>
    </row>
    <row r="784" spans="2:9" ht="20" x14ac:dyDescent="0.2">
      <c r="B784" s="96" t="s">
        <v>4014</v>
      </c>
      <c r="C784" s="22" t="s">
        <v>2198</v>
      </c>
      <c r="D784" s="22" t="s">
        <v>4235</v>
      </c>
      <c r="E784" s="269">
        <v>52.647791717068998</v>
      </c>
      <c r="F784" s="269">
        <v>-115.081306235206</v>
      </c>
      <c r="G784" s="67" t="s">
        <v>2379</v>
      </c>
      <c r="H784" s="79"/>
      <c r="I784" s="79"/>
    </row>
    <row r="785" spans="1:11" ht="20" x14ac:dyDescent="0.2">
      <c r="B785" s="96" t="s">
        <v>3936</v>
      </c>
      <c r="C785" s="22" t="s">
        <v>3190</v>
      </c>
      <c r="D785" s="22" t="s">
        <v>4237</v>
      </c>
      <c r="E785" s="269">
        <v>56.478712357217802</v>
      </c>
      <c r="F785" s="269">
        <v>-111.430076373083</v>
      </c>
      <c r="G785" s="67" t="s">
        <v>2379</v>
      </c>
      <c r="H785" s="79"/>
      <c r="I785" s="79"/>
    </row>
    <row r="786" spans="1:11" ht="20" x14ac:dyDescent="0.2">
      <c r="B786" s="96" t="s">
        <v>4377</v>
      </c>
      <c r="C786" s="22" t="s">
        <v>4378</v>
      </c>
      <c r="D786" s="22" t="s">
        <v>4235</v>
      </c>
      <c r="E786" s="269">
        <v>49.492219919311097</v>
      </c>
      <c r="F786" s="269">
        <v>-113.444912280143</v>
      </c>
      <c r="G786" s="67" t="s">
        <v>2379</v>
      </c>
      <c r="H786" s="79"/>
      <c r="I786" s="79"/>
      <c r="K786" s="183"/>
    </row>
    <row r="787" spans="1:11" ht="20" x14ac:dyDescent="0.2">
      <c r="B787" s="96" t="s">
        <v>3937</v>
      </c>
      <c r="C787" s="22" t="s">
        <v>2651</v>
      </c>
      <c r="D787" s="22" t="s">
        <v>4235</v>
      </c>
      <c r="E787" s="269">
        <v>49.641707534579702</v>
      </c>
      <c r="F787" s="269">
        <v>-113.49198226701</v>
      </c>
      <c r="G787" s="67" t="s">
        <v>2379</v>
      </c>
      <c r="H787" s="11"/>
      <c r="I787" s="11"/>
    </row>
    <row r="788" spans="1:11" ht="20" x14ac:dyDescent="0.2">
      <c r="B788" s="96" t="s">
        <v>3938</v>
      </c>
      <c r="C788" s="22" t="s">
        <v>2634</v>
      </c>
      <c r="D788" s="22" t="s">
        <v>4235</v>
      </c>
      <c r="E788" s="269">
        <v>49.583450649820499</v>
      </c>
      <c r="F788" s="269">
        <v>-113.843028227918</v>
      </c>
      <c r="G788" s="67" t="s">
        <v>2379</v>
      </c>
      <c r="H788" s="79"/>
      <c r="I788" s="79"/>
    </row>
    <row r="789" spans="1:11" ht="20" x14ac:dyDescent="0.2">
      <c r="B789" s="96" t="s">
        <v>4015</v>
      </c>
      <c r="C789" s="22" t="s">
        <v>2196</v>
      </c>
      <c r="D789" s="22" t="s">
        <v>4235</v>
      </c>
      <c r="E789" s="269">
        <v>49.582515160814999</v>
      </c>
      <c r="F789" s="269">
        <v>-113.84289235509701</v>
      </c>
      <c r="G789" s="67" t="s">
        <v>2379</v>
      </c>
      <c r="H789" s="79"/>
      <c r="I789" s="79"/>
    </row>
    <row r="790" spans="1:11" ht="20" x14ac:dyDescent="0.2">
      <c r="B790" s="96" t="s">
        <v>3939</v>
      </c>
      <c r="C790" s="22" t="s">
        <v>3191</v>
      </c>
      <c r="D790" s="22" t="s">
        <v>4235</v>
      </c>
      <c r="E790" s="269">
        <v>55.353180787625</v>
      </c>
      <c r="F790" s="269">
        <v>-111.05275990445701</v>
      </c>
      <c r="G790" s="67" t="s">
        <v>2379</v>
      </c>
      <c r="H790" s="79"/>
      <c r="I790" s="79"/>
    </row>
    <row r="791" spans="1:11" ht="20" x14ac:dyDescent="0.2">
      <c r="B791" s="96" t="s">
        <v>3940</v>
      </c>
      <c r="C791" s="22" t="s">
        <v>3192</v>
      </c>
      <c r="D791" s="22" t="s">
        <v>4237</v>
      </c>
      <c r="E791" s="269">
        <v>51.249105870468703</v>
      </c>
      <c r="F791" s="269">
        <v>-112.541417480164</v>
      </c>
      <c r="G791" s="67" t="s">
        <v>2379</v>
      </c>
      <c r="H791" s="79"/>
      <c r="I791" s="79"/>
    </row>
    <row r="792" spans="1:11" ht="20" x14ac:dyDescent="0.2">
      <c r="B792" s="96" t="s">
        <v>3941</v>
      </c>
      <c r="C792" s="22" t="s">
        <v>3193</v>
      </c>
      <c r="D792" s="22" t="s">
        <v>4235</v>
      </c>
      <c r="E792" s="269">
        <v>52.7013274744656</v>
      </c>
      <c r="F792" s="269">
        <v>-113.503954270376</v>
      </c>
      <c r="G792" s="67" t="s">
        <v>2379</v>
      </c>
      <c r="H792" s="79"/>
      <c r="I792" s="79"/>
    </row>
    <row r="793" spans="1:11" ht="20" x14ac:dyDescent="0.2">
      <c r="B793" s="96" t="s">
        <v>3942</v>
      </c>
      <c r="C793" s="22" t="s">
        <v>3194</v>
      </c>
      <c r="D793" s="22" t="s">
        <v>4237</v>
      </c>
      <c r="E793" s="269">
        <v>54.688681005712297</v>
      </c>
      <c r="F793" s="269">
        <v>-110.743658992777</v>
      </c>
      <c r="G793" s="67" t="s">
        <v>2379</v>
      </c>
      <c r="H793" s="79"/>
      <c r="I793" s="79"/>
    </row>
    <row r="794" spans="1:11" ht="20" x14ac:dyDescent="0.2">
      <c r="B794" s="96" t="s">
        <v>3943</v>
      </c>
      <c r="C794" s="22" t="s">
        <v>3195</v>
      </c>
      <c r="D794" s="22" t="s">
        <v>4239</v>
      </c>
      <c r="E794" s="269">
        <v>53.571099634940502</v>
      </c>
      <c r="F794" s="269">
        <v>-113.56514511579201</v>
      </c>
      <c r="G794" s="67" t="s">
        <v>2379</v>
      </c>
      <c r="H794" s="79"/>
      <c r="I794" s="79"/>
    </row>
    <row r="795" spans="1:11" ht="20" x14ac:dyDescent="0.2">
      <c r="B795" s="96" t="s">
        <v>3944</v>
      </c>
      <c r="C795" s="22" t="s">
        <v>3196</v>
      </c>
      <c r="D795" s="22" t="s">
        <v>4235</v>
      </c>
      <c r="E795" s="269">
        <v>53.552965434444197</v>
      </c>
      <c r="F795" s="269">
        <v>-113.360532064441</v>
      </c>
      <c r="G795" s="67" t="s">
        <v>2379</v>
      </c>
      <c r="H795" s="79"/>
      <c r="I795" s="79"/>
    </row>
    <row r="796" spans="1:11" ht="20" x14ac:dyDescent="0.2">
      <c r="B796" s="96" t="s">
        <v>3945</v>
      </c>
      <c r="C796" s="22" t="s">
        <v>3197</v>
      </c>
      <c r="D796" s="22" t="s">
        <v>4237</v>
      </c>
      <c r="E796" s="269">
        <v>56.758843099671502</v>
      </c>
      <c r="F796" s="269">
        <v>-112.151709001567</v>
      </c>
      <c r="G796" s="67" t="s">
        <v>2379</v>
      </c>
      <c r="H796" s="79"/>
      <c r="I796" s="79"/>
    </row>
    <row r="797" spans="1:11" ht="20" x14ac:dyDescent="0.2">
      <c r="B797" s="96" t="s">
        <v>3946</v>
      </c>
      <c r="C797" s="22" t="s">
        <v>3198</v>
      </c>
      <c r="D797" s="22" t="s">
        <v>4237</v>
      </c>
      <c r="E797" s="269">
        <v>51.523860958304503</v>
      </c>
      <c r="F797" s="269">
        <v>-111.19919793611</v>
      </c>
      <c r="G797" s="67" t="s">
        <v>2379</v>
      </c>
      <c r="H797" s="79"/>
      <c r="I797" s="79"/>
    </row>
    <row r="798" spans="1:11" ht="20" x14ac:dyDescent="0.2">
      <c r="B798" s="96" t="s">
        <v>3947</v>
      </c>
      <c r="C798" s="22" t="s">
        <v>3199</v>
      </c>
      <c r="D798" s="22" t="s">
        <v>4237</v>
      </c>
      <c r="E798" s="269">
        <v>59.067108524296103</v>
      </c>
      <c r="F798" s="269">
        <v>-118.84608817306101</v>
      </c>
      <c r="G798" s="67" t="s">
        <v>2379</v>
      </c>
      <c r="H798" s="79"/>
      <c r="I798" s="79"/>
    </row>
    <row r="799" spans="1:11" x14ac:dyDescent="0.2">
      <c r="D799"/>
      <c r="E799"/>
      <c r="F799"/>
      <c r="G799"/>
      <c r="I799"/>
    </row>
    <row r="800" spans="1:11" ht="19" x14ac:dyDescent="0.2">
      <c r="A800" s="315" t="s">
        <v>1491</v>
      </c>
      <c r="D800"/>
      <c r="E800"/>
      <c r="F800"/>
      <c r="G800"/>
      <c r="I800"/>
    </row>
    <row r="801" spans="1:15" ht="19" x14ac:dyDescent="0.25">
      <c r="A801" s="46" t="s">
        <v>3344</v>
      </c>
      <c r="D801"/>
      <c r="E801"/>
      <c r="F801"/>
      <c r="G801"/>
      <c r="I801"/>
    </row>
    <row r="802" spans="1:15" s="52" customFormat="1" ht="19" x14ac:dyDescent="0.25">
      <c r="A802" s="46" t="s">
        <v>2589</v>
      </c>
      <c r="B802" s="197"/>
      <c r="C802" s="197"/>
      <c r="D802"/>
      <c r="E802"/>
      <c r="F802"/>
      <c r="G802"/>
      <c r="H802" s="183"/>
      <c r="I802"/>
    </row>
    <row r="803" spans="1:15" s="52" customFormat="1" ht="19" x14ac:dyDescent="0.25">
      <c r="A803" s="46" t="s">
        <v>2590</v>
      </c>
      <c r="B803" s="197"/>
      <c r="C803" s="197"/>
      <c r="D803"/>
      <c r="E803"/>
      <c r="F803"/>
      <c r="G803"/>
      <c r="H803" s="183"/>
      <c r="I803"/>
      <c r="J803" s="103"/>
      <c r="L803" s="103"/>
      <c r="M803" s="104"/>
      <c r="N803" s="104"/>
      <c r="O803" s="2"/>
    </row>
    <row r="804" spans="1:15" s="52" customFormat="1" ht="19" x14ac:dyDescent="0.25">
      <c r="A804" s="46" t="s">
        <v>2591</v>
      </c>
      <c r="B804" s="197"/>
      <c r="C804" s="197"/>
      <c r="D804"/>
      <c r="E804"/>
      <c r="F804"/>
      <c r="G804"/>
      <c r="H804" s="183"/>
      <c r="I804"/>
      <c r="J804" s="103"/>
      <c r="L804" s="103"/>
      <c r="M804" s="104"/>
      <c r="N804" s="104"/>
      <c r="O804" s="2"/>
    </row>
    <row r="805" spans="1:15" ht="19" x14ac:dyDescent="0.25">
      <c r="A805" s="46" t="s">
        <v>2592</v>
      </c>
      <c r="D805"/>
      <c r="E805"/>
      <c r="F805"/>
      <c r="G805"/>
      <c r="I805"/>
    </row>
    <row r="806" spans="1:15" ht="19" x14ac:dyDescent="0.25">
      <c r="A806" s="46" t="s">
        <v>3345</v>
      </c>
      <c r="D806"/>
      <c r="E806"/>
      <c r="F806"/>
      <c r="G806"/>
      <c r="I806"/>
    </row>
    <row r="807" spans="1:15" ht="19" x14ac:dyDescent="0.25">
      <c r="A807" s="46" t="s">
        <v>3346</v>
      </c>
      <c r="D807"/>
      <c r="E807"/>
      <c r="F807"/>
      <c r="G807"/>
      <c r="I807"/>
    </row>
    <row r="808" spans="1:15" ht="19" x14ac:dyDescent="0.25">
      <c r="A808" s="46" t="s">
        <v>2593</v>
      </c>
      <c r="D808"/>
      <c r="E808"/>
      <c r="F808"/>
      <c r="G808"/>
      <c r="I808"/>
    </row>
    <row r="809" spans="1:15" ht="19" x14ac:dyDescent="0.25">
      <c r="A809" s="46" t="s">
        <v>1492</v>
      </c>
      <c r="D809"/>
      <c r="E809"/>
      <c r="F809"/>
      <c r="G809"/>
      <c r="I809"/>
    </row>
    <row r="810" spans="1:15" ht="19" x14ac:dyDescent="0.25">
      <c r="A810" s="46" t="s">
        <v>1493</v>
      </c>
      <c r="D810"/>
      <c r="E810"/>
      <c r="F810"/>
      <c r="G810"/>
      <c r="I810"/>
    </row>
    <row r="811" spans="1:15" ht="19" x14ac:dyDescent="0.25">
      <c r="A811" s="46" t="s">
        <v>2594</v>
      </c>
      <c r="D811"/>
      <c r="E811"/>
      <c r="F811"/>
      <c r="G811"/>
      <c r="I811"/>
    </row>
    <row r="812" spans="1:15" ht="19" x14ac:dyDescent="0.25">
      <c r="A812" s="46" t="s">
        <v>1494</v>
      </c>
      <c r="D812"/>
      <c r="E812"/>
      <c r="F812"/>
      <c r="G812"/>
      <c r="I812"/>
    </row>
    <row r="813" spans="1:15" ht="19" x14ac:dyDescent="0.25">
      <c r="A813" s="46" t="s">
        <v>2595</v>
      </c>
      <c r="D813"/>
      <c r="E813"/>
      <c r="F813"/>
      <c r="G813"/>
      <c r="I813"/>
    </row>
    <row r="814" spans="1:15" x14ac:dyDescent="0.2">
      <c r="D814"/>
      <c r="E814"/>
      <c r="F814"/>
      <c r="G814"/>
      <c r="I814"/>
    </row>
    <row r="815" spans="1:15" x14ac:dyDescent="0.2">
      <c r="D815"/>
      <c r="E815"/>
      <c r="F815"/>
      <c r="G815"/>
      <c r="I815"/>
    </row>
    <row r="816" spans="1:15" x14ac:dyDescent="0.2">
      <c r="D816"/>
      <c r="E816"/>
      <c r="F816"/>
      <c r="G816"/>
      <c r="I816"/>
    </row>
    <row r="817" spans="4:9" x14ac:dyDescent="0.2">
      <c r="D817"/>
      <c r="E817"/>
      <c r="F817"/>
      <c r="G817"/>
      <c r="I817"/>
    </row>
    <row r="818" spans="4:9" x14ac:dyDescent="0.2">
      <c r="D818"/>
      <c r="E818"/>
      <c r="F818"/>
      <c r="G818"/>
      <c r="I818"/>
    </row>
    <row r="819" spans="4:9" x14ac:dyDescent="0.2">
      <c r="D819"/>
      <c r="E819"/>
      <c r="F819"/>
      <c r="G819"/>
      <c r="I819"/>
    </row>
    <row r="820" spans="4:9" x14ac:dyDescent="0.2">
      <c r="D820"/>
      <c r="E820"/>
      <c r="F820"/>
      <c r="G820"/>
      <c r="I820"/>
    </row>
    <row r="821" spans="4:9" x14ac:dyDescent="0.2">
      <c r="D821"/>
      <c r="E821"/>
      <c r="F821"/>
      <c r="G821"/>
      <c r="I821"/>
    </row>
    <row r="822" spans="4:9" x14ac:dyDescent="0.2">
      <c r="D822"/>
      <c r="E822"/>
      <c r="F822"/>
      <c r="G822"/>
      <c r="I822"/>
    </row>
    <row r="823" spans="4:9" x14ac:dyDescent="0.2">
      <c r="D823"/>
      <c r="E823"/>
      <c r="F823"/>
      <c r="G823"/>
      <c r="I823"/>
    </row>
    <row r="824" spans="4:9" x14ac:dyDescent="0.2">
      <c r="D824"/>
      <c r="E824"/>
      <c r="F824"/>
      <c r="G824"/>
      <c r="I824"/>
    </row>
    <row r="825" spans="4:9" x14ac:dyDescent="0.2">
      <c r="D825"/>
      <c r="E825"/>
      <c r="F825"/>
      <c r="G825"/>
      <c r="I825"/>
    </row>
    <row r="826" spans="4:9" x14ac:dyDescent="0.2">
      <c r="D826"/>
      <c r="E826"/>
      <c r="F826"/>
      <c r="G826"/>
      <c r="I826"/>
    </row>
    <row r="827" spans="4:9" x14ac:dyDescent="0.2">
      <c r="D827"/>
      <c r="E827"/>
      <c r="F827"/>
      <c r="G827"/>
      <c r="I827"/>
    </row>
    <row r="828" spans="4:9" x14ac:dyDescent="0.2">
      <c r="D828"/>
      <c r="E828"/>
      <c r="F828"/>
      <c r="G828"/>
      <c r="I828"/>
    </row>
    <row r="829" spans="4:9" x14ac:dyDescent="0.2">
      <c r="D829"/>
      <c r="E829"/>
      <c r="F829"/>
      <c r="G829"/>
      <c r="I829"/>
    </row>
    <row r="830" spans="4:9" x14ac:dyDescent="0.2">
      <c r="D830"/>
      <c r="E830"/>
      <c r="F830"/>
      <c r="G830"/>
      <c r="I830"/>
    </row>
    <row r="831" spans="4:9" x14ac:dyDescent="0.2">
      <c r="D831"/>
      <c r="E831"/>
      <c r="F831"/>
      <c r="G831"/>
      <c r="I831"/>
    </row>
    <row r="832" spans="4:9" x14ac:dyDescent="0.2">
      <c r="D832"/>
      <c r="E832"/>
      <c r="F832"/>
      <c r="G832"/>
      <c r="I832"/>
    </row>
    <row r="833" spans="4:9" x14ac:dyDescent="0.2">
      <c r="D833"/>
      <c r="E833"/>
      <c r="F833"/>
      <c r="G833"/>
      <c r="I833"/>
    </row>
    <row r="834" spans="4:9" x14ac:dyDescent="0.2">
      <c r="D834"/>
      <c r="E834"/>
      <c r="F834"/>
      <c r="G834"/>
      <c r="I834"/>
    </row>
    <row r="835" spans="4:9" x14ac:dyDescent="0.2">
      <c r="D835"/>
      <c r="E835"/>
      <c r="F835"/>
      <c r="G835"/>
      <c r="I835"/>
    </row>
    <row r="836" spans="4:9" x14ac:dyDescent="0.2">
      <c r="D836"/>
      <c r="E836"/>
      <c r="F836"/>
      <c r="G836"/>
      <c r="I836"/>
    </row>
    <row r="837" spans="4:9" x14ac:dyDescent="0.2">
      <c r="D837"/>
      <c r="E837"/>
      <c r="F837"/>
      <c r="G837"/>
      <c r="I837"/>
    </row>
    <row r="838" spans="4:9" x14ac:dyDescent="0.2">
      <c r="D838"/>
      <c r="E838"/>
      <c r="F838"/>
      <c r="G838"/>
      <c r="I838"/>
    </row>
    <row r="839" spans="4:9" x14ac:dyDescent="0.2">
      <c r="D839"/>
      <c r="E839"/>
      <c r="F839"/>
      <c r="G839"/>
      <c r="I839"/>
    </row>
    <row r="840" spans="4:9" x14ac:dyDescent="0.2">
      <c r="D840"/>
      <c r="E840"/>
      <c r="F840"/>
      <c r="G840"/>
      <c r="I840"/>
    </row>
    <row r="841" spans="4:9" x14ac:dyDescent="0.2">
      <c r="D841"/>
      <c r="E841"/>
      <c r="F841"/>
      <c r="G841"/>
      <c r="I841"/>
    </row>
    <row r="842" spans="4:9" x14ac:dyDescent="0.2">
      <c r="D842"/>
      <c r="E842"/>
      <c r="F842"/>
      <c r="G842"/>
      <c r="I842"/>
    </row>
    <row r="843" spans="4:9" x14ac:dyDescent="0.2">
      <c r="D843"/>
      <c r="E843"/>
      <c r="F843"/>
      <c r="G843"/>
      <c r="I843"/>
    </row>
    <row r="844" spans="4:9" x14ac:dyDescent="0.2">
      <c r="D844"/>
      <c r="E844"/>
      <c r="F844"/>
      <c r="G844"/>
      <c r="I844"/>
    </row>
    <row r="845" spans="4:9" x14ac:dyDescent="0.2">
      <c r="D845"/>
      <c r="E845"/>
      <c r="F845"/>
      <c r="G845"/>
      <c r="I845"/>
    </row>
    <row r="846" spans="4:9" x14ac:dyDescent="0.2">
      <c r="D846"/>
      <c r="E846"/>
      <c r="F846"/>
      <c r="G846"/>
      <c r="I846"/>
    </row>
    <row r="847" spans="4:9" x14ac:dyDescent="0.2">
      <c r="D847"/>
      <c r="E847"/>
      <c r="F847"/>
      <c r="G847"/>
      <c r="I847"/>
    </row>
    <row r="848" spans="4:9" x14ac:dyDescent="0.2">
      <c r="D848"/>
      <c r="E848"/>
      <c r="F848"/>
      <c r="G848"/>
      <c r="I848"/>
    </row>
    <row r="849" spans="4:9" x14ac:dyDescent="0.2">
      <c r="D849"/>
      <c r="E849"/>
      <c r="F849"/>
      <c r="G849"/>
      <c r="I849"/>
    </row>
    <row r="850" spans="4:9" x14ac:dyDescent="0.2">
      <c r="D850"/>
      <c r="E850"/>
      <c r="F850"/>
      <c r="G850"/>
      <c r="I850"/>
    </row>
    <row r="851" spans="4:9" x14ac:dyDescent="0.2">
      <c r="D851"/>
      <c r="E851"/>
      <c r="F851"/>
      <c r="G851"/>
      <c r="I851"/>
    </row>
    <row r="852" spans="4:9" x14ac:dyDescent="0.2">
      <c r="D852"/>
      <c r="E852"/>
      <c r="F852"/>
      <c r="G852"/>
      <c r="I852"/>
    </row>
    <row r="853" spans="4:9" x14ac:dyDescent="0.2">
      <c r="D853"/>
      <c r="E853"/>
      <c r="F853"/>
      <c r="G853"/>
      <c r="I853"/>
    </row>
    <row r="854" spans="4:9" x14ac:dyDescent="0.2">
      <c r="D854"/>
      <c r="E854"/>
      <c r="F854"/>
      <c r="G854"/>
      <c r="I854"/>
    </row>
    <row r="855" spans="4:9" x14ac:dyDescent="0.2">
      <c r="D855"/>
      <c r="E855"/>
      <c r="F855"/>
      <c r="G855"/>
      <c r="I855"/>
    </row>
    <row r="856" spans="4:9" x14ac:dyDescent="0.2">
      <c r="D856"/>
      <c r="E856"/>
      <c r="F856"/>
      <c r="G856"/>
      <c r="I856"/>
    </row>
    <row r="857" spans="4:9" x14ac:dyDescent="0.2">
      <c r="D857"/>
      <c r="E857"/>
      <c r="F857"/>
      <c r="G857"/>
      <c r="I857"/>
    </row>
    <row r="858" spans="4:9" x14ac:dyDescent="0.2">
      <c r="D858"/>
      <c r="E858"/>
      <c r="F858"/>
      <c r="G858"/>
      <c r="I858"/>
    </row>
    <row r="859" spans="4:9" x14ac:dyDescent="0.2">
      <c r="D859"/>
      <c r="E859"/>
      <c r="F859"/>
      <c r="G859"/>
      <c r="I859"/>
    </row>
    <row r="860" spans="4:9" x14ac:dyDescent="0.2">
      <c r="D860"/>
      <c r="E860"/>
      <c r="F860"/>
      <c r="G860"/>
      <c r="I860"/>
    </row>
    <row r="861" spans="4:9" x14ac:dyDescent="0.2">
      <c r="D861"/>
      <c r="E861"/>
      <c r="F861"/>
      <c r="G861"/>
      <c r="I861"/>
    </row>
    <row r="862" spans="4:9" x14ac:dyDescent="0.2">
      <c r="D862"/>
      <c r="E862"/>
      <c r="F862"/>
      <c r="G862"/>
      <c r="I862"/>
    </row>
    <row r="863" spans="4:9" x14ac:dyDescent="0.2">
      <c r="D863"/>
      <c r="E863"/>
      <c r="F863"/>
      <c r="G863"/>
      <c r="I863"/>
    </row>
    <row r="864" spans="4:9" x14ac:dyDescent="0.2">
      <c r="D864"/>
      <c r="E864"/>
      <c r="F864"/>
      <c r="G864"/>
      <c r="I864"/>
    </row>
    <row r="865" spans="4:9" x14ac:dyDescent="0.2">
      <c r="D865"/>
      <c r="E865"/>
      <c r="F865"/>
      <c r="G865"/>
      <c r="I865"/>
    </row>
    <row r="866" spans="4:9" x14ac:dyDescent="0.2">
      <c r="D866"/>
      <c r="E866"/>
      <c r="F866"/>
      <c r="G866"/>
      <c r="I866"/>
    </row>
    <row r="867" spans="4:9" x14ac:dyDescent="0.2">
      <c r="D867"/>
      <c r="E867"/>
      <c r="F867"/>
      <c r="G867"/>
      <c r="I867"/>
    </row>
    <row r="868" spans="4:9" x14ac:dyDescent="0.2">
      <c r="D868"/>
      <c r="E868"/>
      <c r="F868"/>
      <c r="G868"/>
      <c r="I868"/>
    </row>
    <row r="869" spans="4:9" x14ac:dyDescent="0.2">
      <c r="D869"/>
      <c r="E869"/>
      <c r="F869"/>
      <c r="G869"/>
      <c r="I869"/>
    </row>
    <row r="870" spans="4:9" x14ac:dyDescent="0.2">
      <c r="D870"/>
      <c r="E870"/>
      <c r="F870"/>
      <c r="G870"/>
      <c r="I870"/>
    </row>
    <row r="871" spans="4:9" x14ac:dyDescent="0.2">
      <c r="D871"/>
      <c r="E871"/>
      <c r="F871"/>
      <c r="G871"/>
      <c r="I871"/>
    </row>
    <row r="872" spans="4:9" x14ac:dyDescent="0.2">
      <c r="D872"/>
      <c r="E872"/>
      <c r="F872"/>
      <c r="G872"/>
      <c r="I872"/>
    </row>
    <row r="873" spans="4:9" x14ac:dyDescent="0.2">
      <c r="D873"/>
      <c r="E873"/>
      <c r="F873"/>
      <c r="G873"/>
      <c r="I873"/>
    </row>
    <row r="874" spans="4:9" x14ac:dyDescent="0.2">
      <c r="D874"/>
      <c r="E874"/>
      <c r="F874"/>
      <c r="G874"/>
      <c r="I874"/>
    </row>
    <row r="875" spans="4:9" x14ac:dyDescent="0.2">
      <c r="D875"/>
      <c r="E875"/>
      <c r="F875"/>
      <c r="G875"/>
      <c r="I875"/>
    </row>
    <row r="876" spans="4:9" x14ac:dyDescent="0.2">
      <c r="D876"/>
      <c r="E876"/>
      <c r="F876"/>
      <c r="G876"/>
      <c r="I876"/>
    </row>
    <row r="877" spans="4:9" x14ac:dyDescent="0.2">
      <c r="D877"/>
      <c r="E877"/>
      <c r="F877"/>
      <c r="G877"/>
      <c r="I877"/>
    </row>
    <row r="878" spans="4:9" x14ac:dyDescent="0.2">
      <c r="D878"/>
      <c r="E878"/>
      <c r="F878"/>
      <c r="G878"/>
      <c r="I878"/>
    </row>
    <row r="879" spans="4:9" x14ac:dyDescent="0.2">
      <c r="D879"/>
      <c r="E879"/>
      <c r="F879"/>
      <c r="G879"/>
      <c r="I879"/>
    </row>
    <row r="880" spans="4:9" x14ac:dyDescent="0.2">
      <c r="D880"/>
      <c r="E880"/>
      <c r="F880"/>
      <c r="G880"/>
      <c r="I880"/>
    </row>
    <row r="881" spans="4:9" x14ac:dyDescent="0.2">
      <c r="D881"/>
      <c r="E881"/>
      <c r="F881"/>
      <c r="G881"/>
      <c r="I881"/>
    </row>
    <row r="882" spans="4:9" x14ac:dyDescent="0.2">
      <c r="D882"/>
      <c r="E882"/>
      <c r="F882"/>
      <c r="G882"/>
      <c r="I882"/>
    </row>
  </sheetData>
  <autoFilter ref="A3:I3" xr:uid="{5EAEDE50-0FFD-0147-9CF3-FC29AAA4FC84}">
    <sortState xmlns:xlrd2="http://schemas.microsoft.com/office/spreadsheetml/2017/richdata2" ref="A4:I795">
      <sortCondition ref="B3:B795"/>
    </sortState>
  </autoFilter>
  <phoneticPr fontId="40"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F74A0-F553-0B49-800B-1C8FB3B60A2D}">
  <dimension ref="A1"/>
  <sheetViews>
    <sheetView workbookViewId="0"/>
  </sheetViews>
  <sheetFormatPr baseColWidth="10" defaultRowHeight="16"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9EC3E-1EC2-3947-94AE-194D085DF81C}">
  <dimension ref="A1:AA767"/>
  <sheetViews>
    <sheetView zoomScaleNormal="100" workbookViewId="0">
      <pane ySplit="3" topLeftCell="A480" activePane="bottomLeft" state="frozen"/>
      <selection pane="bottomLeft" activeCell="A754" sqref="A754:XFD767"/>
    </sheetView>
  </sheetViews>
  <sheetFormatPr baseColWidth="10" defaultRowHeight="16" x14ac:dyDescent="0.2"/>
  <cols>
    <col min="1" max="1" width="4.6640625" style="183" customWidth="1"/>
    <col min="2" max="3" width="37.83203125" style="183" customWidth="1"/>
    <col min="4" max="4" width="24.83203125" style="183" customWidth="1"/>
    <col min="5" max="5" width="16.6640625" style="183" customWidth="1"/>
    <col min="6" max="6" width="16.83203125" style="183" customWidth="1"/>
    <col min="7" max="7" width="30.83203125" style="183" customWidth="1"/>
    <col min="8" max="15" width="18" style="183" customWidth="1"/>
    <col min="16" max="17" width="60.83203125" style="183" customWidth="1"/>
    <col min="18" max="16384" width="10.83203125" style="183"/>
  </cols>
  <sheetData>
    <row r="1" spans="1:27" s="2" customFormat="1" ht="21" x14ac:dyDescent="0.25">
      <c r="A1" s="30" t="s">
        <v>75</v>
      </c>
      <c r="B1" s="12" t="s">
        <v>2488</v>
      </c>
      <c r="C1" s="12"/>
      <c r="D1" s="12"/>
      <c r="E1" s="12"/>
      <c r="F1" s="12"/>
      <c r="G1" s="12"/>
      <c r="H1" s="183"/>
      <c r="I1" s="12"/>
      <c r="J1" s="12"/>
      <c r="K1" s="207"/>
      <c r="L1" s="207"/>
      <c r="M1" s="207"/>
      <c r="N1" s="207"/>
      <c r="O1" s="207"/>
      <c r="P1" s="208"/>
      <c r="Q1" s="208"/>
      <c r="R1" s="193"/>
      <c r="S1" s="193"/>
      <c r="T1" s="207"/>
      <c r="U1" s="207"/>
      <c r="V1" s="207"/>
      <c r="W1" s="193"/>
      <c r="X1" s="193"/>
      <c r="Y1" s="183"/>
      <c r="AA1" s="207"/>
    </row>
    <row r="2" spans="1:27" s="1" customFormat="1" ht="40" x14ac:dyDescent="0.2">
      <c r="B2" s="13" t="s">
        <v>111</v>
      </c>
      <c r="C2" s="13" t="s">
        <v>2218</v>
      </c>
      <c r="D2" s="13" t="s">
        <v>14</v>
      </c>
      <c r="E2" s="13" t="s">
        <v>15</v>
      </c>
      <c r="F2" s="13" t="s">
        <v>16</v>
      </c>
      <c r="G2" s="13" t="s">
        <v>2585</v>
      </c>
      <c r="H2" s="13" t="s">
        <v>2215</v>
      </c>
      <c r="I2" s="13" t="s">
        <v>1148</v>
      </c>
      <c r="J2" s="13" t="s">
        <v>1149</v>
      </c>
      <c r="K2" s="57" t="s">
        <v>453</v>
      </c>
      <c r="L2" s="57" t="s">
        <v>454</v>
      </c>
      <c r="M2" s="57" t="s">
        <v>545</v>
      </c>
      <c r="N2" s="57" t="s">
        <v>2219</v>
      </c>
      <c r="O2" s="57" t="s">
        <v>2220</v>
      </c>
      <c r="P2" s="13" t="s">
        <v>489</v>
      </c>
      <c r="Q2" s="13" t="s">
        <v>32</v>
      </c>
      <c r="R2" s="13" t="s">
        <v>548</v>
      </c>
    </row>
    <row r="3" spans="1:27" s="1" customFormat="1" ht="20" x14ac:dyDescent="0.2">
      <c r="B3" s="183"/>
      <c r="C3" s="183"/>
      <c r="D3" s="10"/>
      <c r="E3" s="10"/>
      <c r="F3" s="10"/>
      <c r="G3" s="10"/>
      <c r="H3" s="10"/>
      <c r="I3" s="10" t="s">
        <v>49</v>
      </c>
      <c r="J3" s="10" t="s">
        <v>49</v>
      </c>
      <c r="K3" s="10" t="s">
        <v>66</v>
      </c>
      <c r="L3" s="10" t="s">
        <v>66</v>
      </c>
      <c r="M3" s="10"/>
      <c r="N3" s="10" t="s">
        <v>20</v>
      </c>
      <c r="O3" s="10" t="s">
        <v>20</v>
      </c>
      <c r="P3" s="11"/>
      <c r="Q3" s="11"/>
      <c r="R3" s="10"/>
    </row>
    <row r="4" spans="1:27" ht="20" x14ac:dyDescent="0.2">
      <c r="B4" s="96" t="s">
        <v>701</v>
      </c>
      <c r="C4" s="22" t="s">
        <v>3212</v>
      </c>
      <c r="D4" s="22"/>
      <c r="E4" s="262"/>
      <c r="F4" s="262"/>
      <c r="G4" s="96" t="s">
        <v>2379</v>
      </c>
      <c r="H4" s="22"/>
      <c r="I4" s="201">
        <v>72</v>
      </c>
      <c r="J4" s="211"/>
      <c r="K4" s="211"/>
      <c r="L4" s="58"/>
      <c r="M4" s="58"/>
      <c r="N4" s="58"/>
      <c r="O4" s="58"/>
      <c r="P4" s="11"/>
      <c r="Q4" s="11"/>
      <c r="R4" s="34">
        <v>1</v>
      </c>
    </row>
    <row r="5" spans="1:27" ht="20" x14ac:dyDescent="0.2">
      <c r="B5" s="96" t="s">
        <v>460</v>
      </c>
      <c r="C5" s="22" t="s">
        <v>3213</v>
      </c>
      <c r="D5" s="22"/>
      <c r="E5" s="262"/>
      <c r="F5" s="262"/>
      <c r="G5" s="96" t="s">
        <v>2379</v>
      </c>
      <c r="H5" s="22"/>
      <c r="I5" s="201">
        <v>144</v>
      </c>
      <c r="J5" s="211"/>
      <c r="K5" s="211"/>
      <c r="L5" s="58"/>
      <c r="M5" s="58"/>
      <c r="N5" s="58"/>
      <c r="O5" s="58"/>
      <c r="P5" s="11"/>
      <c r="Q5" s="11"/>
      <c r="R5" s="34">
        <v>2</v>
      </c>
    </row>
    <row r="6" spans="1:27" ht="20" x14ac:dyDescent="0.2">
      <c r="B6" s="96" t="s">
        <v>1235</v>
      </c>
      <c r="C6" s="22" t="s">
        <v>3214</v>
      </c>
      <c r="D6" s="22"/>
      <c r="E6" s="262"/>
      <c r="F6" s="262"/>
      <c r="G6" s="96" t="s">
        <v>2379</v>
      </c>
      <c r="H6" s="22"/>
      <c r="I6" s="201">
        <v>72</v>
      </c>
      <c r="J6" s="211"/>
      <c r="K6" s="211"/>
      <c r="L6" s="58"/>
      <c r="M6" s="58"/>
      <c r="N6" s="58"/>
      <c r="O6" s="58"/>
      <c r="P6" s="11"/>
      <c r="Q6" s="11"/>
      <c r="R6" s="34">
        <v>3</v>
      </c>
    </row>
    <row r="7" spans="1:27" ht="20" x14ac:dyDescent="0.2">
      <c r="B7" s="96" t="s">
        <v>1257</v>
      </c>
      <c r="C7" s="22" t="s">
        <v>3215</v>
      </c>
      <c r="D7" s="22"/>
      <c r="E7" s="262"/>
      <c r="F7" s="262"/>
      <c r="G7" s="96" t="s">
        <v>2379</v>
      </c>
      <c r="H7" s="22"/>
      <c r="I7" s="201">
        <v>72</v>
      </c>
      <c r="J7" s="211"/>
      <c r="K7" s="211"/>
      <c r="L7" s="58"/>
      <c r="M7" s="58"/>
      <c r="N7" s="58"/>
      <c r="O7" s="58"/>
      <c r="P7" s="11"/>
      <c r="Q7" s="11"/>
      <c r="R7" s="34">
        <v>4</v>
      </c>
      <c r="S7" s="191"/>
      <c r="T7" s="191"/>
      <c r="U7" s="191"/>
    </row>
    <row r="8" spans="1:27" ht="20" x14ac:dyDescent="0.2">
      <c r="B8" s="96" t="s">
        <v>689</v>
      </c>
      <c r="C8" s="22" t="s">
        <v>3216</v>
      </c>
      <c r="D8" s="22"/>
      <c r="E8" s="262"/>
      <c r="F8" s="262"/>
      <c r="G8" s="96" t="s">
        <v>2379</v>
      </c>
      <c r="H8" s="22"/>
      <c r="I8" s="201">
        <v>144</v>
      </c>
      <c r="J8" s="211"/>
      <c r="K8" s="211"/>
      <c r="L8" s="58"/>
      <c r="M8" s="58"/>
      <c r="N8" s="58"/>
      <c r="O8" s="58"/>
      <c r="P8" s="11"/>
      <c r="Q8" s="11"/>
      <c r="R8" s="34">
        <v>5</v>
      </c>
      <c r="S8" s="191"/>
      <c r="T8" s="191"/>
      <c r="U8" s="191"/>
    </row>
    <row r="9" spans="1:27" ht="20" x14ac:dyDescent="0.2">
      <c r="B9" s="96" t="s">
        <v>1254</v>
      </c>
      <c r="C9" s="22" t="s">
        <v>3217</v>
      </c>
      <c r="D9" s="22"/>
      <c r="E9" s="262"/>
      <c r="F9" s="262"/>
      <c r="G9" s="96" t="s">
        <v>2379</v>
      </c>
      <c r="H9" s="22"/>
      <c r="I9" s="201">
        <v>72</v>
      </c>
      <c r="J9" s="211"/>
      <c r="K9" s="211"/>
      <c r="L9" s="58"/>
      <c r="M9" s="58"/>
      <c r="N9" s="58"/>
      <c r="O9" s="58"/>
      <c r="P9" s="11"/>
      <c r="Q9" s="11"/>
      <c r="R9" s="34">
        <v>6</v>
      </c>
      <c r="S9" s="191"/>
      <c r="T9" s="191"/>
      <c r="U9" s="191"/>
    </row>
    <row r="10" spans="1:27" ht="20" x14ac:dyDescent="0.2">
      <c r="B10" s="96" t="s">
        <v>1236</v>
      </c>
      <c r="C10" s="22" t="s">
        <v>3218</v>
      </c>
      <c r="D10" s="22"/>
      <c r="E10" s="262"/>
      <c r="F10" s="262"/>
      <c r="G10" s="96" t="s">
        <v>2379</v>
      </c>
      <c r="H10" s="22"/>
      <c r="I10" s="201">
        <v>72</v>
      </c>
      <c r="J10" s="211"/>
      <c r="K10" s="211"/>
      <c r="L10" s="58"/>
      <c r="M10" s="58"/>
      <c r="N10" s="58"/>
      <c r="O10" s="58"/>
      <c r="P10" s="11"/>
      <c r="Q10" s="11"/>
      <c r="R10" s="34">
        <v>7</v>
      </c>
      <c r="S10" s="191"/>
      <c r="T10" s="191"/>
      <c r="U10" s="191"/>
    </row>
    <row r="11" spans="1:27" ht="20" x14ac:dyDescent="0.2">
      <c r="B11" s="96" t="s">
        <v>1240</v>
      </c>
      <c r="C11" s="22" t="s">
        <v>3219</v>
      </c>
      <c r="D11" s="22"/>
      <c r="E11" s="262"/>
      <c r="F11" s="262"/>
      <c r="G11" s="96" t="s">
        <v>2379</v>
      </c>
      <c r="H11" s="22"/>
      <c r="I11" s="201">
        <v>72</v>
      </c>
      <c r="J11" s="211"/>
      <c r="K11" s="211"/>
      <c r="L11" s="58"/>
      <c r="M11" s="58"/>
      <c r="N11" s="58"/>
      <c r="O11" s="58"/>
      <c r="P11" s="11"/>
      <c r="Q11" s="11"/>
      <c r="R11" s="34">
        <v>8</v>
      </c>
      <c r="S11" s="191"/>
      <c r="T11" s="191"/>
      <c r="U11" s="191"/>
    </row>
    <row r="12" spans="1:27" ht="20" x14ac:dyDescent="0.2">
      <c r="B12" s="96" t="s">
        <v>2085</v>
      </c>
      <c r="C12" s="22" t="s">
        <v>3220</v>
      </c>
      <c r="D12" s="22"/>
      <c r="E12" s="262"/>
      <c r="F12" s="262"/>
      <c r="G12" s="96" t="s">
        <v>2379</v>
      </c>
      <c r="H12" s="22"/>
      <c r="I12" s="201">
        <v>72</v>
      </c>
      <c r="J12" s="211"/>
      <c r="K12" s="211"/>
      <c r="L12" s="58"/>
      <c r="M12" s="58"/>
      <c r="N12" s="58"/>
      <c r="O12" s="58"/>
      <c r="P12" s="11"/>
      <c r="Q12" s="11"/>
      <c r="R12" s="34">
        <v>9</v>
      </c>
      <c r="S12" s="191"/>
      <c r="T12" s="191"/>
      <c r="U12" s="191"/>
    </row>
    <row r="13" spans="1:27" ht="20" x14ac:dyDescent="0.2">
      <c r="B13" s="96" t="s">
        <v>2037</v>
      </c>
      <c r="C13" s="22" t="s">
        <v>3221</v>
      </c>
      <c r="D13" s="22"/>
      <c r="E13" s="262"/>
      <c r="F13" s="262"/>
      <c r="G13" s="96" t="s">
        <v>2379</v>
      </c>
      <c r="H13" s="22"/>
      <c r="I13" s="201">
        <v>72</v>
      </c>
      <c r="J13" s="211"/>
      <c r="K13" s="211"/>
      <c r="L13" s="58"/>
      <c r="M13" s="58"/>
      <c r="N13" s="58"/>
      <c r="O13" s="58"/>
      <c r="P13" s="11"/>
      <c r="Q13" s="11"/>
      <c r="R13" s="34">
        <v>10</v>
      </c>
      <c r="S13" s="191"/>
      <c r="T13" s="191"/>
      <c r="U13" s="191"/>
    </row>
    <row r="14" spans="1:27" ht="20" x14ac:dyDescent="0.2">
      <c r="B14" s="96" t="s">
        <v>707</v>
      </c>
      <c r="C14" s="22" t="s">
        <v>3222</v>
      </c>
      <c r="D14" s="22"/>
      <c r="E14" s="262"/>
      <c r="F14" s="262"/>
      <c r="G14" s="96" t="s">
        <v>2379</v>
      </c>
      <c r="H14" s="22"/>
      <c r="I14" s="201">
        <v>240</v>
      </c>
      <c r="J14" s="211"/>
      <c r="K14" s="211"/>
      <c r="L14" s="58"/>
      <c r="M14" s="58"/>
      <c r="N14" s="58"/>
      <c r="O14" s="58"/>
      <c r="P14" s="11"/>
      <c r="Q14" s="11"/>
      <c r="R14" s="34">
        <v>11</v>
      </c>
      <c r="S14" s="191"/>
      <c r="T14" s="191"/>
      <c r="U14" s="191"/>
    </row>
    <row r="15" spans="1:27" ht="20" x14ac:dyDescent="0.2">
      <c r="B15" s="96" t="s">
        <v>1260</v>
      </c>
      <c r="C15" s="22" t="s">
        <v>3223</v>
      </c>
      <c r="D15" s="22"/>
      <c r="E15" s="262"/>
      <c r="F15" s="262"/>
      <c r="G15" s="96" t="s">
        <v>2379</v>
      </c>
      <c r="H15" s="22"/>
      <c r="I15" s="201">
        <v>72</v>
      </c>
      <c r="J15" s="211"/>
      <c r="K15" s="211"/>
      <c r="L15" s="58"/>
      <c r="M15" s="58"/>
      <c r="N15" s="58"/>
      <c r="O15" s="58"/>
      <c r="P15" s="11"/>
      <c r="Q15" s="11"/>
      <c r="R15" s="34">
        <v>12</v>
      </c>
      <c r="S15" s="191"/>
      <c r="T15" s="191"/>
      <c r="U15" s="191"/>
    </row>
    <row r="16" spans="1:27" ht="20" x14ac:dyDescent="0.2">
      <c r="B16" s="96" t="s">
        <v>1259</v>
      </c>
      <c r="C16" s="22" t="s">
        <v>3224</v>
      </c>
      <c r="D16" s="22"/>
      <c r="E16" s="262"/>
      <c r="F16" s="262"/>
      <c r="G16" s="96" t="s">
        <v>2379</v>
      </c>
      <c r="H16" s="22"/>
      <c r="I16" s="201">
        <v>72</v>
      </c>
      <c r="J16" s="211"/>
      <c r="K16" s="211"/>
      <c r="L16" s="58"/>
      <c r="M16" s="58"/>
      <c r="N16" s="58"/>
      <c r="O16" s="58"/>
      <c r="P16" s="11"/>
      <c r="Q16" s="11"/>
      <c r="R16" s="34">
        <v>13</v>
      </c>
      <c r="S16" s="191"/>
      <c r="T16" s="191"/>
      <c r="U16" s="191"/>
    </row>
    <row r="17" spans="2:21" ht="20" x14ac:dyDescent="0.2">
      <c r="B17" s="96" t="s">
        <v>690</v>
      </c>
      <c r="C17" s="22" t="s">
        <v>3225</v>
      </c>
      <c r="D17" s="22"/>
      <c r="E17" s="262"/>
      <c r="F17" s="262"/>
      <c r="G17" s="96" t="s">
        <v>2379</v>
      </c>
      <c r="H17" s="22"/>
      <c r="I17" s="201">
        <v>144</v>
      </c>
      <c r="J17" s="211"/>
      <c r="K17" s="211"/>
      <c r="L17" s="58"/>
      <c r="M17" s="58"/>
      <c r="N17" s="58"/>
      <c r="O17" s="58"/>
      <c r="P17" s="11"/>
      <c r="Q17" s="11"/>
      <c r="R17" s="34">
        <v>14</v>
      </c>
      <c r="S17" s="191"/>
      <c r="T17" s="191"/>
      <c r="U17" s="191"/>
    </row>
    <row r="18" spans="2:21" ht="20" x14ac:dyDescent="0.2">
      <c r="B18" s="96" t="s">
        <v>1258</v>
      </c>
      <c r="C18" s="22" t="s">
        <v>3226</v>
      </c>
      <c r="D18" s="22"/>
      <c r="E18" s="262"/>
      <c r="F18" s="262"/>
      <c r="G18" s="96" t="s">
        <v>2379</v>
      </c>
      <c r="H18" s="22"/>
      <c r="I18" s="201">
        <v>72</v>
      </c>
      <c r="J18" s="211"/>
      <c r="K18" s="211"/>
      <c r="L18" s="58"/>
      <c r="M18" s="58"/>
      <c r="N18" s="58"/>
      <c r="O18" s="58"/>
      <c r="P18" s="11"/>
      <c r="Q18" s="11"/>
      <c r="R18" s="34">
        <v>15</v>
      </c>
      <c r="S18" s="191"/>
      <c r="T18" s="191"/>
      <c r="U18" s="191"/>
    </row>
    <row r="19" spans="2:21" ht="20" x14ac:dyDescent="0.2">
      <c r="B19" s="96" t="s">
        <v>1261</v>
      </c>
      <c r="C19" s="22" t="s">
        <v>3227</v>
      </c>
      <c r="D19" s="22"/>
      <c r="E19" s="262"/>
      <c r="F19" s="262"/>
      <c r="G19" s="96" t="s">
        <v>2379</v>
      </c>
      <c r="H19" s="22"/>
      <c r="I19" s="201">
        <v>72</v>
      </c>
      <c r="J19" s="211"/>
      <c r="K19" s="211"/>
      <c r="L19" s="58"/>
      <c r="M19" s="58"/>
      <c r="N19" s="58"/>
      <c r="O19" s="58"/>
      <c r="P19" s="11"/>
      <c r="Q19" s="11"/>
      <c r="R19" s="34">
        <v>16</v>
      </c>
      <c r="S19" s="191"/>
      <c r="T19" s="191"/>
      <c r="U19" s="191"/>
    </row>
    <row r="20" spans="2:21" ht="20" x14ac:dyDescent="0.2">
      <c r="B20" s="96" t="s">
        <v>1248</v>
      </c>
      <c r="C20" s="22" t="s">
        <v>3228</v>
      </c>
      <c r="D20" s="22"/>
      <c r="E20" s="262"/>
      <c r="F20" s="262"/>
      <c r="G20" s="96" t="s">
        <v>2379</v>
      </c>
      <c r="H20" s="22"/>
      <c r="I20" s="201">
        <v>72</v>
      </c>
      <c r="J20" s="211"/>
      <c r="K20" s="211"/>
      <c r="L20" s="58"/>
      <c r="M20" s="58"/>
      <c r="N20" s="58"/>
      <c r="O20" s="58"/>
      <c r="P20" s="11"/>
      <c r="Q20" s="11"/>
      <c r="R20" s="34">
        <v>17</v>
      </c>
      <c r="S20" s="191"/>
      <c r="T20" s="191"/>
      <c r="U20" s="191"/>
    </row>
    <row r="21" spans="2:21" ht="20" x14ac:dyDescent="0.2">
      <c r="B21" s="96" t="s">
        <v>1246</v>
      </c>
      <c r="C21" s="22" t="s">
        <v>3229</v>
      </c>
      <c r="D21" s="22"/>
      <c r="E21" s="262"/>
      <c r="F21" s="262"/>
      <c r="G21" s="96" t="s">
        <v>2379</v>
      </c>
      <c r="H21" s="22"/>
      <c r="I21" s="201">
        <v>72</v>
      </c>
      <c r="J21" s="211"/>
      <c r="K21" s="211"/>
      <c r="L21" s="58"/>
      <c r="M21" s="58"/>
      <c r="N21" s="58"/>
      <c r="O21" s="58"/>
      <c r="P21" s="11"/>
      <c r="Q21" s="11"/>
      <c r="R21" s="34">
        <v>18</v>
      </c>
    </row>
    <row r="22" spans="2:21" ht="20" x14ac:dyDescent="0.2">
      <c r="B22" s="96" t="s">
        <v>1266</v>
      </c>
      <c r="C22" s="22" t="s">
        <v>3230</v>
      </c>
      <c r="D22" s="22"/>
      <c r="E22" s="262"/>
      <c r="F22" s="262"/>
      <c r="G22" s="96" t="s">
        <v>2379</v>
      </c>
      <c r="H22" s="22"/>
      <c r="I22" s="201">
        <v>72</v>
      </c>
      <c r="J22" s="211"/>
      <c r="K22" s="211"/>
      <c r="L22" s="58"/>
      <c r="M22" s="58"/>
      <c r="N22" s="58"/>
      <c r="O22" s="58"/>
      <c r="P22" s="11"/>
      <c r="Q22" s="11"/>
      <c r="R22" s="34">
        <v>19</v>
      </c>
    </row>
    <row r="23" spans="2:21" ht="20" x14ac:dyDescent="0.2">
      <c r="B23" s="96" t="s">
        <v>1262</v>
      </c>
      <c r="C23" s="22" t="s">
        <v>3231</v>
      </c>
      <c r="D23" s="22"/>
      <c r="E23" s="262"/>
      <c r="F23" s="262"/>
      <c r="G23" s="96" t="s">
        <v>2379</v>
      </c>
      <c r="H23" s="22"/>
      <c r="I23" s="201">
        <v>72</v>
      </c>
      <c r="J23" s="211"/>
      <c r="K23" s="211"/>
      <c r="L23" s="58"/>
      <c r="M23" s="58"/>
      <c r="N23" s="58"/>
      <c r="O23" s="58"/>
      <c r="P23" s="11"/>
      <c r="Q23" s="11"/>
      <c r="R23" s="34">
        <v>20</v>
      </c>
    </row>
    <row r="24" spans="2:21" ht="20" x14ac:dyDescent="0.2">
      <c r="B24" s="96" t="s">
        <v>693</v>
      </c>
      <c r="C24" s="22" t="s">
        <v>3232</v>
      </c>
      <c r="D24" s="22"/>
      <c r="E24" s="262"/>
      <c r="F24" s="262"/>
      <c r="G24" s="96" t="s">
        <v>2379</v>
      </c>
      <c r="H24" s="22"/>
      <c r="I24" s="201">
        <v>240</v>
      </c>
      <c r="J24" s="211"/>
      <c r="K24" s="211"/>
      <c r="L24" s="58"/>
      <c r="M24" s="58"/>
      <c r="N24" s="58"/>
      <c r="O24" s="58"/>
      <c r="P24" s="11"/>
      <c r="Q24" s="11"/>
      <c r="R24" s="34">
        <v>21</v>
      </c>
    </row>
    <row r="25" spans="2:21" ht="20" x14ac:dyDescent="0.2">
      <c r="B25" s="96" t="s">
        <v>2039</v>
      </c>
      <c r="C25" s="22" t="s">
        <v>3233</v>
      </c>
      <c r="D25" s="22"/>
      <c r="E25" s="262"/>
      <c r="F25" s="262"/>
      <c r="G25" s="96" t="s">
        <v>2379</v>
      </c>
      <c r="H25" s="22"/>
      <c r="I25" s="201">
        <v>72</v>
      </c>
      <c r="J25" s="211"/>
      <c r="K25" s="211"/>
      <c r="L25" s="58"/>
      <c r="M25" s="58"/>
      <c r="N25" s="58"/>
      <c r="O25" s="58"/>
      <c r="P25" s="11"/>
      <c r="Q25" s="11"/>
      <c r="R25" s="34">
        <v>22</v>
      </c>
    </row>
    <row r="26" spans="2:21" ht="20" x14ac:dyDescent="0.2">
      <c r="B26" s="96" t="s">
        <v>1251</v>
      </c>
      <c r="C26" s="22" t="s">
        <v>3234</v>
      </c>
      <c r="D26" s="22"/>
      <c r="E26" s="262"/>
      <c r="F26" s="262"/>
      <c r="G26" s="96" t="s">
        <v>2379</v>
      </c>
      <c r="H26" s="22"/>
      <c r="I26" s="201">
        <v>72</v>
      </c>
      <c r="J26" s="211"/>
      <c r="K26" s="211"/>
      <c r="L26" s="58"/>
      <c r="M26" s="58"/>
      <c r="N26" s="58"/>
      <c r="O26" s="58"/>
      <c r="P26" s="11"/>
      <c r="Q26" s="11"/>
      <c r="R26" s="34">
        <v>23</v>
      </c>
    </row>
    <row r="27" spans="2:21" ht="20" x14ac:dyDescent="0.2">
      <c r="B27" s="96" t="s">
        <v>457</v>
      </c>
      <c r="C27" s="22" t="s">
        <v>3235</v>
      </c>
      <c r="D27" s="22"/>
      <c r="E27" s="262"/>
      <c r="F27" s="262"/>
      <c r="G27" s="96" t="s">
        <v>2379</v>
      </c>
      <c r="H27" s="22"/>
      <c r="I27" s="201">
        <v>144</v>
      </c>
      <c r="J27" s="211"/>
      <c r="K27" s="211"/>
      <c r="L27" s="58"/>
      <c r="M27" s="58"/>
      <c r="N27" s="58"/>
      <c r="O27" s="58"/>
      <c r="P27" s="11"/>
      <c r="Q27" s="11"/>
      <c r="R27" s="34">
        <v>24</v>
      </c>
    </row>
    <row r="28" spans="2:21" ht="20" x14ac:dyDescent="0.2">
      <c r="B28" s="96" t="s">
        <v>1256</v>
      </c>
      <c r="C28" s="22" t="s">
        <v>3236</v>
      </c>
      <c r="D28" s="22"/>
      <c r="E28" s="262"/>
      <c r="F28" s="262"/>
      <c r="G28" s="96" t="s">
        <v>2379</v>
      </c>
      <c r="H28" s="22"/>
      <c r="I28" s="201">
        <v>72</v>
      </c>
      <c r="J28" s="211"/>
      <c r="K28" s="211"/>
      <c r="L28" s="58"/>
      <c r="M28" s="58"/>
      <c r="N28" s="58"/>
      <c r="O28" s="58"/>
      <c r="P28" s="11"/>
      <c r="Q28" s="11"/>
      <c r="R28" s="34">
        <v>25</v>
      </c>
    </row>
    <row r="29" spans="2:21" ht="20" x14ac:dyDescent="0.2">
      <c r="B29" s="96" t="s">
        <v>1264</v>
      </c>
      <c r="C29" s="22" t="s">
        <v>3237</v>
      </c>
      <c r="D29" s="22"/>
      <c r="E29" s="262"/>
      <c r="F29" s="262"/>
      <c r="G29" s="96" t="s">
        <v>2379</v>
      </c>
      <c r="H29" s="22"/>
      <c r="I29" s="201">
        <v>72</v>
      </c>
      <c r="J29" s="211"/>
      <c r="K29" s="211"/>
      <c r="L29" s="58"/>
      <c r="M29" s="58"/>
      <c r="N29" s="58"/>
      <c r="O29" s="58"/>
      <c r="P29" s="11"/>
      <c r="Q29" s="11"/>
      <c r="R29" s="34">
        <v>26</v>
      </c>
    </row>
    <row r="30" spans="2:21" ht="20" x14ac:dyDescent="0.2">
      <c r="B30" s="96" t="s">
        <v>1263</v>
      </c>
      <c r="C30" s="22" t="s">
        <v>3238</v>
      </c>
      <c r="D30" s="22"/>
      <c r="E30" s="262"/>
      <c r="F30" s="262"/>
      <c r="G30" s="96" t="s">
        <v>2379</v>
      </c>
      <c r="H30" s="22"/>
      <c r="I30" s="201">
        <v>72</v>
      </c>
      <c r="J30" s="211"/>
      <c r="K30" s="211"/>
      <c r="L30" s="58"/>
      <c r="M30" s="58"/>
      <c r="N30" s="58"/>
      <c r="O30" s="58"/>
      <c r="P30" s="11"/>
      <c r="Q30" s="11"/>
      <c r="R30" s="34">
        <v>27</v>
      </c>
    </row>
    <row r="31" spans="2:21" ht="20" x14ac:dyDescent="0.2">
      <c r="B31" s="96" t="s">
        <v>1255</v>
      </c>
      <c r="C31" s="22" t="s">
        <v>3239</v>
      </c>
      <c r="D31" s="22"/>
      <c r="E31" s="262"/>
      <c r="F31" s="262"/>
      <c r="G31" s="96" t="s">
        <v>2379</v>
      </c>
      <c r="H31" s="22"/>
      <c r="I31" s="201">
        <v>72</v>
      </c>
      <c r="J31" s="211"/>
      <c r="K31" s="211"/>
      <c r="L31" s="58"/>
      <c r="M31" s="58"/>
      <c r="N31" s="58"/>
      <c r="O31" s="58"/>
      <c r="P31" s="11"/>
      <c r="Q31" s="11"/>
      <c r="R31" s="34">
        <v>28</v>
      </c>
    </row>
    <row r="32" spans="2:21" ht="20" x14ac:dyDescent="0.2">
      <c r="B32" s="96" t="s">
        <v>2040</v>
      </c>
      <c r="C32" s="22" t="s">
        <v>3240</v>
      </c>
      <c r="D32" s="22"/>
      <c r="E32" s="262"/>
      <c r="F32" s="262"/>
      <c r="G32" s="96" t="s">
        <v>2379</v>
      </c>
      <c r="H32" s="22"/>
      <c r="I32" s="201">
        <v>72</v>
      </c>
      <c r="J32" s="211"/>
      <c r="K32" s="211"/>
      <c r="L32" s="58"/>
      <c r="M32" s="58"/>
      <c r="N32" s="58"/>
      <c r="O32" s="58"/>
      <c r="P32" s="11"/>
      <c r="Q32" s="11"/>
      <c r="R32" s="34">
        <v>29</v>
      </c>
    </row>
    <row r="33" spans="2:18" ht="20" x14ac:dyDescent="0.2">
      <c r="B33" s="96" t="s">
        <v>2093</v>
      </c>
      <c r="C33" s="22" t="s">
        <v>3241</v>
      </c>
      <c r="D33" s="22"/>
      <c r="E33" s="262"/>
      <c r="F33" s="262"/>
      <c r="G33" s="96" t="s">
        <v>2379</v>
      </c>
      <c r="H33" s="22"/>
      <c r="I33" s="201">
        <v>240</v>
      </c>
      <c r="J33" s="211"/>
      <c r="K33" s="211"/>
      <c r="L33" s="58"/>
      <c r="M33" s="58"/>
      <c r="N33" s="58"/>
      <c r="O33" s="58"/>
      <c r="P33" s="11"/>
      <c r="Q33" s="11"/>
      <c r="R33" s="34">
        <v>30</v>
      </c>
    </row>
    <row r="34" spans="2:18" ht="20" x14ac:dyDescent="0.2">
      <c r="B34" s="96" t="s">
        <v>905</v>
      </c>
      <c r="C34" s="22" t="s">
        <v>2729</v>
      </c>
      <c r="D34" s="22"/>
      <c r="E34" s="262"/>
      <c r="F34" s="262"/>
      <c r="G34" s="96" t="s">
        <v>2379</v>
      </c>
      <c r="H34" s="22"/>
      <c r="I34" s="201">
        <v>144</v>
      </c>
      <c r="J34" s="211"/>
      <c r="K34" s="211"/>
      <c r="L34" s="58"/>
      <c r="M34" s="58"/>
      <c r="N34" s="58"/>
      <c r="O34" s="58"/>
      <c r="P34" s="11"/>
      <c r="Q34" s="11"/>
      <c r="R34" s="34">
        <v>31</v>
      </c>
    </row>
    <row r="35" spans="2:18" ht="20" x14ac:dyDescent="0.2">
      <c r="B35" s="96" t="s">
        <v>1291</v>
      </c>
      <c r="C35" s="22" t="s">
        <v>2730</v>
      </c>
      <c r="D35" s="22"/>
      <c r="E35" s="262"/>
      <c r="F35" s="262"/>
      <c r="G35" s="96" t="s">
        <v>2379</v>
      </c>
      <c r="H35" s="22"/>
      <c r="I35" s="201">
        <v>144</v>
      </c>
      <c r="J35" s="211"/>
      <c r="K35" s="211"/>
      <c r="L35" s="58"/>
      <c r="M35" s="58"/>
      <c r="N35" s="58"/>
      <c r="O35" s="58"/>
      <c r="P35" s="11"/>
      <c r="Q35" s="11"/>
      <c r="R35" s="34">
        <v>32</v>
      </c>
    </row>
    <row r="36" spans="2:18" ht="20" x14ac:dyDescent="0.2">
      <c r="B36" s="96" t="s">
        <v>1170</v>
      </c>
      <c r="C36" s="22" t="s">
        <v>3200</v>
      </c>
      <c r="D36" s="22"/>
      <c r="E36" s="262"/>
      <c r="F36" s="262"/>
      <c r="G36" s="96" t="s">
        <v>2379</v>
      </c>
      <c r="H36" s="22"/>
      <c r="I36" s="201">
        <v>144</v>
      </c>
      <c r="J36" s="211"/>
      <c r="K36" s="211"/>
      <c r="L36" s="58"/>
      <c r="M36" s="58"/>
      <c r="N36" s="58"/>
      <c r="O36" s="58"/>
      <c r="P36" s="11"/>
      <c r="Q36" s="11"/>
      <c r="R36" s="34">
        <v>33</v>
      </c>
    </row>
    <row r="37" spans="2:18" ht="20" x14ac:dyDescent="0.2">
      <c r="B37" s="96" t="s">
        <v>844</v>
      </c>
      <c r="C37" s="22" t="s">
        <v>3242</v>
      </c>
      <c r="D37" s="22"/>
      <c r="E37" s="262"/>
      <c r="F37" s="262"/>
      <c r="G37" s="96" t="s">
        <v>2379</v>
      </c>
      <c r="H37" s="22"/>
      <c r="I37" s="201">
        <v>144</v>
      </c>
      <c r="J37" s="211"/>
      <c r="K37" s="211"/>
      <c r="L37" s="58"/>
      <c r="M37" s="58"/>
      <c r="N37" s="58"/>
      <c r="O37" s="58"/>
      <c r="P37" s="11"/>
      <c r="Q37" s="11"/>
      <c r="R37" s="34">
        <v>34</v>
      </c>
    </row>
    <row r="38" spans="2:18" ht="20" x14ac:dyDescent="0.2">
      <c r="B38" s="96" t="s">
        <v>1136</v>
      </c>
      <c r="C38" s="22" t="s">
        <v>3201</v>
      </c>
      <c r="D38" s="22"/>
      <c r="E38" s="262"/>
      <c r="F38" s="262"/>
      <c r="G38" s="96" t="s">
        <v>2379</v>
      </c>
      <c r="H38" s="22"/>
      <c r="I38" s="201">
        <v>144</v>
      </c>
      <c r="J38" s="211"/>
      <c r="K38" s="211"/>
      <c r="L38" s="58"/>
      <c r="M38" s="58"/>
      <c r="N38" s="58"/>
      <c r="O38" s="58"/>
      <c r="P38" s="11"/>
      <c r="Q38" s="11"/>
      <c r="R38" s="34">
        <v>35</v>
      </c>
    </row>
    <row r="39" spans="2:18" ht="20" x14ac:dyDescent="0.2">
      <c r="B39" s="96" t="s">
        <v>1986</v>
      </c>
      <c r="C39" s="22" t="s">
        <v>2731</v>
      </c>
      <c r="D39" s="22"/>
      <c r="E39" s="262"/>
      <c r="F39" s="262"/>
      <c r="G39" s="96" t="s">
        <v>2379</v>
      </c>
      <c r="H39" s="22"/>
      <c r="I39" s="201">
        <v>138</v>
      </c>
      <c r="J39" s="211"/>
      <c r="K39" s="211"/>
      <c r="L39" s="58"/>
      <c r="M39" s="58"/>
      <c r="N39" s="58"/>
      <c r="O39" s="58"/>
      <c r="P39" s="11"/>
      <c r="Q39" s="11"/>
      <c r="R39" s="34">
        <v>36</v>
      </c>
    </row>
    <row r="40" spans="2:18" ht="20" x14ac:dyDescent="0.2">
      <c r="B40" s="96" t="s">
        <v>782</v>
      </c>
      <c r="C40" s="22" t="s">
        <v>3202</v>
      </c>
      <c r="D40" s="22"/>
      <c r="E40" s="262"/>
      <c r="F40" s="262"/>
      <c r="G40" s="96" t="s">
        <v>2379</v>
      </c>
      <c r="H40" s="162" t="s">
        <v>1150</v>
      </c>
      <c r="I40" s="209">
        <v>138</v>
      </c>
      <c r="J40" s="209">
        <v>13.8</v>
      </c>
      <c r="K40" s="209">
        <v>50</v>
      </c>
      <c r="L40" s="94">
        <f>K40*1.2</f>
        <v>60</v>
      </c>
      <c r="M40" s="94">
        <v>0.9</v>
      </c>
      <c r="N40" s="94">
        <f>K40*$M40</f>
        <v>45</v>
      </c>
      <c r="O40" s="94">
        <f>L40*$M40</f>
        <v>54</v>
      </c>
      <c r="P40" s="11" t="s">
        <v>3300</v>
      </c>
      <c r="Q40" s="11"/>
      <c r="R40" s="34">
        <v>37</v>
      </c>
    </row>
    <row r="41" spans="2:18" ht="20" x14ac:dyDescent="0.2">
      <c r="B41" s="96" t="s">
        <v>993</v>
      </c>
      <c r="C41" s="22" t="s">
        <v>2653</v>
      </c>
      <c r="D41" s="22"/>
      <c r="E41" s="262">
        <v>54.127889000000003</v>
      </c>
      <c r="F41" s="262">
        <v>-115.665862</v>
      </c>
      <c r="G41" s="96" t="s">
        <v>2379</v>
      </c>
      <c r="H41" s="22"/>
      <c r="I41" s="201">
        <v>240</v>
      </c>
      <c r="J41" s="211"/>
      <c r="K41" s="211"/>
      <c r="L41" s="58"/>
      <c r="M41" s="58"/>
      <c r="N41" s="58"/>
      <c r="O41" s="58"/>
      <c r="P41" s="11"/>
      <c r="Q41" s="11"/>
      <c r="R41" s="34">
        <v>38</v>
      </c>
    </row>
    <row r="42" spans="2:18" ht="20" x14ac:dyDescent="0.2">
      <c r="B42" s="96" t="s">
        <v>848</v>
      </c>
      <c r="C42" s="22" t="s">
        <v>3203</v>
      </c>
      <c r="D42" s="22"/>
      <c r="E42" s="262"/>
      <c r="F42" s="262"/>
      <c r="G42" s="96" t="s">
        <v>2379</v>
      </c>
      <c r="H42" s="22"/>
      <c r="I42" s="201">
        <v>144</v>
      </c>
      <c r="J42" s="211"/>
      <c r="K42" s="211"/>
      <c r="L42" s="58"/>
      <c r="M42" s="58"/>
      <c r="N42" s="58"/>
      <c r="O42" s="58"/>
      <c r="P42" s="11"/>
      <c r="Q42" s="11"/>
      <c r="R42" s="34">
        <v>39</v>
      </c>
    </row>
    <row r="43" spans="2:18" ht="20" x14ac:dyDescent="0.2">
      <c r="B43" s="96" t="s">
        <v>871</v>
      </c>
      <c r="C43" s="22" t="s">
        <v>2732</v>
      </c>
      <c r="D43" s="22"/>
      <c r="E43" s="262"/>
      <c r="F43" s="262"/>
      <c r="G43" s="96" t="s">
        <v>2379</v>
      </c>
      <c r="H43" s="22"/>
      <c r="I43" s="201">
        <v>144</v>
      </c>
      <c r="J43" s="211"/>
      <c r="K43" s="211"/>
      <c r="L43" s="58"/>
      <c r="M43" s="58"/>
      <c r="N43" s="58"/>
      <c r="O43" s="58"/>
      <c r="P43" s="11"/>
      <c r="Q43" s="11"/>
      <c r="R43" s="34">
        <v>40</v>
      </c>
    </row>
    <row r="44" spans="2:18" ht="20" x14ac:dyDescent="0.2">
      <c r="B44" s="96" t="s">
        <v>611</v>
      </c>
      <c r="C44" s="22" t="s">
        <v>2733</v>
      </c>
      <c r="D44" s="22"/>
      <c r="E44" s="262"/>
      <c r="F44" s="262"/>
      <c r="G44" s="96" t="s">
        <v>2379</v>
      </c>
      <c r="H44" s="22"/>
      <c r="I44" s="201">
        <v>240</v>
      </c>
      <c r="J44" s="211"/>
      <c r="K44" s="211"/>
      <c r="L44" s="58"/>
      <c r="M44" s="58"/>
      <c r="N44" s="58"/>
      <c r="O44" s="58"/>
      <c r="P44" s="11"/>
      <c r="Q44" s="11"/>
      <c r="R44" s="34">
        <v>41</v>
      </c>
    </row>
    <row r="45" spans="2:18" ht="20" x14ac:dyDescent="0.2">
      <c r="B45" s="96" t="s">
        <v>550</v>
      </c>
      <c r="C45" s="22" t="s">
        <v>3204</v>
      </c>
      <c r="D45" s="22"/>
      <c r="E45" s="262"/>
      <c r="F45" s="262"/>
      <c r="G45" s="96" t="s">
        <v>2379</v>
      </c>
      <c r="H45" s="162" t="s">
        <v>1151</v>
      </c>
      <c r="I45" s="209">
        <v>240</v>
      </c>
      <c r="J45" s="209">
        <v>144</v>
      </c>
      <c r="K45" s="209">
        <v>200</v>
      </c>
      <c r="L45" s="94">
        <f>K45*1.2</f>
        <v>240</v>
      </c>
      <c r="M45" s="94">
        <v>0.9</v>
      </c>
      <c r="N45" s="94">
        <f>K45*$M45</f>
        <v>180</v>
      </c>
      <c r="O45" s="94">
        <f>L45*$M45</f>
        <v>216</v>
      </c>
      <c r="P45" s="11" t="s">
        <v>3284</v>
      </c>
      <c r="Q45" s="11"/>
      <c r="R45" s="34">
        <v>42</v>
      </c>
    </row>
    <row r="46" spans="2:18" ht="20" x14ac:dyDescent="0.2">
      <c r="B46" s="96" t="s">
        <v>1075</v>
      </c>
      <c r="C46" s="22" t="s">
        <v>3205</v>
      </c>
      <c r="D46" s="22"/>
      <c r="E46" s="262"/>
      <c r="F46" s="262"/>
      <c r="G46" s="96" t="s">
        <v>2379</v>
      </c>
      <c r="H46" s="22"/>
      <c r="I46" s="201">
        <v>240</v>
      </c>
      <c r="J46" s="211"/>
      <c r="K46" s="211"/>
      <c r="L46" s="58"/>
      <c r="M46" s="58"/>
      <c r="N46" s="58"/>
      <c r="O46" s="58"/>
      <c r="P46" s="11"/>
      <c r="Q46" s="11"/>
      <c r="R46" s="34">
        <v>43</v>
      </c>
    </row>
    <row r="47" spans="2:18" ht="20" x14ac:dyDescent="0.2">
      <c r="B47" s="96" t="s">
        <v>1022</v>
      </c>
      <c r="C47" s="22" t="s">
        <v>2734</v>
      </c>
      <c r="D47" s="22"/>
      <c r="E47" s="262"/>
      <c r="F47" s="262"/>
      <c r="G47" s="96" t="s">
        <v>2379</v>
      </c>
      <c r="H47" s="162" t="s">
        <v>1150</v>
      </c>
      <c r="I47" s="209">
        <v>240</v>
      </c>
      <c r="J47" s="209">
        <v>144</v>
      </c>
      <c r="K47" s="209">
        <v>125</v>
      </c>
      <c r="L47" s="94">
        <f>K47*1.2</f>
        <v>150</v>
      </c>
      <c r="M47" s="94">
        <v>0.9</v>
      </c>
      <c r="N47" s="94">
        <f>K47*$M47</f>
        <v>112.5</v>
      </c>
      <c r="O47" s="94">
        <f>L47*$M47</f>
        <v>135</v>
      </c>
      <c r="P47" s="11" t="s">
        <v>3291</v>
      </c>
      <c r="Q47" s="11"/>
      <c r="R47" s="34">
        <v>44</v>
      </c>
    </row>
    <row r="48" spans="2:18" ht="20" x14ac:dyDescent="0.2">
      <c r="B48" s="96" t="s">
        <v>830</v>
      </c>
      <c r="C48" s="22" t="s">
        <v>2735</v>
      </c>
      <c r="D48" s="22"/>
      <c r="E48" s="262"/>
      <c r="F48" s="262"/>
      <c r="G48" s="96" t="s">
        <v>2379</v>
      </c>
      <c r="H48" s="22"/>
      <c r="I48" s="201">
        <v>144</v>
      </c>
      <c r="J48" s="211"/>
      <c r="K48" s="211"/>
      <c r="L48" s="58"/>
      <c r="M48" s="58"/>
      <c r="N48" s="58"/>
      <c r="O48" s="58"/>
      <c r="P48" s="11"/>
      <c r="Q48" s="11"/>
      <c r="R48" s="34">
        <v>45</v>
      </c>
    </row>
    <row r="49" spans="2:18" ht="20" x14ac:dyDescent="0.2">
      <c r="B49" s="96" t="s">
        <v>1900</v>
      </c>
      <c r="C49" s="22" t="s">
        <v>2654</v>
      </c>
      <c r="D49" s="22"/>
      <c r="E49" s="262">
        <v>49.582965700000003</v>
      </c>
      <c r="F49" s="262">
        <v>-113.4350879</v>
      </c>
      <c r="G49" s="96" t="s">
        <v>2379</v>
      </c>
      <c r="H49" s="22"/>
      <c r="I49" s="201">
        <v>144</v>
      </c>
      <c r="J49" s="211"/>
      <c r="K49" s="211"/>
      <c r="L49" s="58"/>
      <c r="M49" s="58"/>
      <c r="N49" s="58"/>
      <c r="O49" s="58"/>
      <c r="P49" s="11"/>
      <c r="Q49" s="11"/>
      <c r="R49" s="34">
        <v>46</v>
      </c>
    </row>
    <row r="50" spans="2:18" ht="20" x14ac:dyDescent="0.2">
      <c r="B50" s="96" t="s">
        <v>601</v>
      </c>
      <c r="C50" s="22" t="s">
        <v>2736</v>
      </c>
      <c r="D50" s="22"/>
      <c r="E50" s="262"/>
      <c r="F50" s="262"/>
      <c r="G50" s="96" t="s">
        <v>2379</v>
      </c>
      <c r="H50" s="22"/>
      <c r="I50" s="201">
        <v>240</v>
      </c>
      <c r="J50" s="211"/>
      <c r="K50" s="211"/>
      <c r="L50" s="58"/>
      <c r="M50" s="58"/>
      <c r="N50" s="58"/>
      <c r="O50" s="58"/>
      <c r="P50" s="11"/>
      <c r="Q50" s="11"/>
      <c r="R50" s="34">
        <v>47</v>
      </c>
    </row>
    <row r="51" spans="2:18" ht="20" x14ac:dyDescent="0.2">
      <c r="B51" s="96" t="s">
        <v>1324</v>
      </c>
      <c r="C51" s="22" t="s">
        <v>3206</v>
      </c>
      <c r="D51" s="22"/>
      <c r="E51" s="262"/>
      <c r="F51" s="262"/>
      <c r="G51" s="96" t="s">
        <v>2379</v>
      </c>
      <c r="H51" s="22"/>
      <c r="I51" s="201">
        <v>144</v>
      </c>
      <c r="J51" s="211"/>
      <c r="K51" s="211"/>
      <c r="L51" s="58"/>
      <c r="M51" s="58"/>
      <c r="N51" s="58"/>
      <c r="O51" s="58"/>
      <c r="P51" s="11"/>
      <c r="Q51" s="11"/>
      <c r="R51" s="34">
        <v>48</v>
      </c>
    </row>
    <row r="52" spans="2:18" ht="20" x14ac:dyDescent="0.2">
      <c r="B52" s="96" t="s">
        <v>1325</v>
      </c>
      <c r="C52" s="22" t="s">
        <v>3207</v>
      </c>
      <c r="D52" s="22"/>
      <c r="E52" s="262"/>
      <c r="F52" s="262"/>
      <c r="G52" s="96" t="s">
        <v>2379</v>
      </c>
      <c r="H52" s="22"/>
      <c r="I52" s="201">
        <v>144</v>
      </c>
      <c r="J52" s="211"/>
      <c r="K52" s="211"/>
      <c r="L52" s="58"/>
      <c r="M52" s="58"/>
      <c r="N52" s="58"/>
      <c r="O52" s="58"/>
      <c r="P52" s="11"/>
      <c r="Q52" s="11"/>
      <c r="R52" s="34">
        <v>49</v>
      </c>
    </row>
    <row r="53" spans="2:18" ht="20" x14ac:dyDescent="0.2">
      <c r="B53" s="96" t="s">
        <v>1250</v>
      </c>
      <c r="C53" s="22" t="s">
        <v>3208</v>
      </c>
      <c r="D53" s="22"/>
      <c r="E53" s="262"/>
      <c r="F53" s="262"/>
      <c r="G53" s="96" t="s">
        <v>2379</v>
      </c>
      <c r="H53" s="22"/>
      <c r="I53" s="201">
        <v>72</v>
      </c>
      <c r="J53" s="211"/>
      <c r="K53" s="211"/>
      <c r="L53" s="58"/>
      <c r="M53" s="58"/>
      <c r="N53" s="58"/>
      <c r="O53" s="58"/>
      <c r="P53" s="11"/>
      <c r="Q53" s="11"/>
      <c r="R53" s="34">
        <v>50</v>
      </c>
    </row>
    <row r="54" spans="2:18" ht="20" x14ac:dyDescent="0.2">
      <c r="B54" s="96" t="s">
        <v>1230</v>
      </c>
      <c r="C54" s="22">
        <v>0</v>
      </c>
      <c r="D54" s="22"/>
      <c r="E54" s="262"/>
      <c r="F54" s="262"/>
      <c r="G54" s="96" t="s">
        <v>2379</v>
      </c>
      <c r="H54" s="22"/>
      <c r="I54" s="201">
        <v>240</v>
      </c>
      <c r="J54" s="211"/>
      <c r="K54" s="211"/>
      <c r="L54" s="58"/>
      <c r="M54" s="58"/>
      <c r="N54" s="58"/>
      <c r="O54" s="58"/>
      <c r="P54" s="11"/>
      <c r="Q54" s="11"/>
      <c r="R54" s="34">
        <v>51</v>
      </c>
    </row>
    <row r="55" spans="2:18" ht="20" x14ac:dyDescent="0.2">
      <c r="B55" s="96" t="s">
        <v>753</v>
      </c>
      <c r="C55" s="22" t="s">
        <v>3209</v>
      </c>
      <c r="D55" s="22"/>
      <c r="E55" s="262"/>
      <c r="F55" s="262"/>
      <c r="G55" s="96" t="s">
        <v>2379</v>
      </c>
      <c r="H55" s="22"/>
      <c r="I55" s="201">
        <v>138</v>
      </c>
      <c r="J55" s="211"/>
      <c r="K55" s="211"/>
      <c r="L55" s="58"/>
      <c r="M55" s="58"/>
      <c r="N55" s="58"/>
      <c r="O55" s="58"/>
      <c r="P55" s="11"/>
      <c r="Q55" s="11"/>
      <c r="R55" s="34">
        <v>52</v>
      </c>
    </row>
    <row r="56" spans="2:18" ht="20" x14ac:dyDescent="0.2">
      <c r="B56" s="96" t="s">
        <v>2077</v>
      </c>
      <c r="C56" s="22" t="s">
        <v>3210</v>
      </c>
      <c r="D56" s="22"/>
      <c r="E56" s="262"/>
      <c r="F56" s="262"/>
      <c r="G56" s="96" t="s">
        <v>2379</v>
      </c>
      <c r="H56" s="22"/>
      <c r="I56" s="201">
        <v>144</v>
      </c>
      <c r="J56" s="211"/>
      <c r="K56" s="211"/>
      <c r="L56" s="58"/>
      <c r="M56" s="58"/>
      <c r="N56" s="58"/>
      <c r="O56" s="58"/>
      <c r="P56" s="11"/>
      <c r="Q56" s="11"/>
      <c r="R56" s="34">
        <v>53</v>
      </c>
    </row>
    <row r="57" spans="2:18" ht="20" x14ac:dyDescent="0.2">
      <c r="B57" s="96" t="s">
        <v>1692</v>
      </c>
      <c r="C57" s="22" t="s">
        <v>2737</v>
      </c>
      <c r="D57" s="22"/>
      <c r="E57" s="262"/>
      <c r="F57" s="262"/>
      <c r="G57" s="96" t="s">
        <v>2379</v>
      </c>
      <c r="H57" s="22"/>
      <c r="I57" s="201">
        <v>72</v>
      </c>
      <c r="J57" s="211"/>
      <c r="K57" s="211"/>
      <c r="L57" s="58"/>
      <c r="M57" s="58"/>
      <c r="N57" s="58"/>
      <c r="O57" s="58"/>
      <c r="P57" s="11"/>
      <c r="Q57" s="11"/>
      <c r="R57" s="34">
        <v>54</v>
      </c>
    </row>
    <row r="58" spans="2:18" ht="20" x14ac:dyDescent="0.2">
      <c r="B58" s="96" t="s">
        <v>612</v>
      </c>
      <c r="C58" s="22" t="s">
        <v>2738</v>
      </c>
      <c r="D58" s="22"/>
      <c r="E58" s="262"/>
      <c r="F58" s="262"/>
      <c r="G58" s="96" t="s">
        <v>2379</v>
      </c>
      <c r="H58" s="22"/>
      <c r="I58" s="201">
        <v>240</v>
      </c>
      <c r="J58" s="211"/>
      <c r="K58" s="211"/>
      <c r="L58" s="58"/>
      <c r="M58" s="58"/>
      <c r="N58" s="58"/>
      <c r="O58" s="58"/>
      <c r="P58" s="11"/>
      <c r="Q58" s="11"/>
      <c r="R58" s="34">
        <v>55</v>
      </c>
    </row>
    <row r="59" spans="2:18" ht="20" x14ac:dyDescent="0.2">
      <c r="B59" s="96" t="s">
        <v>1374</v>
      </c>
      <c r="C59" s="22" t="s">
        <v>2739</v>
      </c>
      <c r="D59" s="22"/>
      <c r="E59" s="262"/>
      <c r="F59" s="262"/>
      <c r="G59" s="96" t="s">
        <v>2379</v>
      </c>
      <c r="H59" s="22"/>
      <c r="I59" s="201">
        <v>138</v>
      </c>
      <c r="J59" s="211"/>
      <c r="K59" s="211"/>
      <c r="L59" s="58"/>
      <c r="M59" s="58"/>
      <c r="N59" s="58"/>
      <c r="O59" s="58"/>
      <c r="P59" s="11"/>
      <c r="Q59" s="11"/>
      <c r="R59" s="34">
        <v>56</v>
      </c>
    </row>
    <row r="60" spans="2:18" ht="20" x14ac:dyDescent="0.2">
      <c r="B60" s="96" t="s">
        <v>1705</v>
      </c>
      <c r="C60" s="22" t="s">
        <v>2655</v>
      </c>
      <c r="D60" s="22"/>
      <c r="E60" s="262"/>
      <c r="F60" s="262"/>
      <c r="G60" s="96" t="s">
        <v>2379</v>
      </c>
      <c r="H60" s="22"/>
      <c r="I60" s="201">
        <v>138</v>
      </c>
      <c r="J60" s="211"/>
      <c r="K60" s="211"/>
      <c r="L60" s="58"/>
      <c r="M60" s="58"/>
      <c r="N60" s="58"/>
      <c r="O60" s="58"/>
      <c r="P60" s="11"/>
      <c r="Q60" s="11"/>
      <c r="R60" s="34">
        <v>57</v>
      </c>
    </row>
    <row r="61" spans="2:18" ht="20" x14ac:dyDescent="0.2">
      <c r="B61" s="96" t="s">
        <v>1313</v>
      </c>
      <c r="C61" s="22" t="s">
        <v>2740</v>
      </c>
      <c r="D61" s="22"/>
      <c r="E61" s="262"/>
      <c r="F61" s="262"/>
      <c r="G61" s="96" t="s">
        <v>2379</v>
      </c>
      <c r="H61" s="22"/>
      <c r="I61" s="201">
        <v>138</v>
      </c>
      <c r="J61" s="211"/>
      <c r="K61" s="211"/>
      <c r="L61" s="58"/>
      <c r="M61" s="58"/>
      <c r="N61" s="58"/>
      <c r="O61" s="58"/>
      <c r="P61" s="11"/>
      <c r="Q61" s="11"/>
      <c r="R61" s="34">
        <v>58</v>
      </c>
    </row>
    <row r="62" spans="2:18" ht="20" x14ac:dyDescent="0.2">
      <c r="B62" s="96" t="s">
        <v>1947</v>
      </c>
      <c r="C62" s="22" t="s">
        <v>2626</v>
      </c>
      <c r="D62" s="22"/>
      <c r="E62" s="262"/>
      <c r="F62" s="262"/>
      <c r="G62" s="96" t="s">
        <v>2379</v>
      </c>
      <c r="H62" s="22"/>
      <c r="I62" s="201">
        <v>144</v>
      </c>
      <c r="J62" s="211"/>
      <c r="K62" s="211"/>
      <c r="L62" s="58"/>
      <c r="M62" s="58"/>
      <c r="N62" s="58"/>
      <c r="O62" s="58"/>
      <c r="P62" s="11"/>
      <c r="Q62" s="11"/>
      <c r="R62" s="34">
        <v>59</v>
      </c>
    </row>
    <row r="63" spans="2:18" ht="20" x14ac:dyDescent="0.2">
      <c r="B63" s="96" t="s">
        <v>931</v>
      </c>
      <c r="C63" s="22" t="s">
        <v>2741</v>
      </c>
      <c r="D63" s="22"/>
      <c r="E63" s="262"/>
      <c r="F63" s="262"/>
      <c r="G63" s="96" t="s">
        <v>2379</v>
      </c>
      <c r="H63" s="22"/>
      <c r="I63" s="201">
        <v>144</v>
      </c>
      <c r="J63" s="211"/>
      <c r="K63" s="211"/>
      <c r="L63" s="58"/>
      <c r="M63" s="58"/>
      <c r="N63" s="58"/>
      <c r="O63" s="58"/>
      <c r="P63" s="11"/>
      <c r="Q63" s="11"/>
      <c r="R63" s="34">
        <v>60</v>
      </c>
    </row>
    <row r="64" spans="2:18" ht="20" x14ac:dyDescent="0.2">
      <c r="B64" s="96" t="s">
        <v>1115</v>
      </c>
      <c r="C64" s="22" t="s">
        <v>2656</v>
      </c>
      <c r="D64" s="22"/>
      <c r="E64" s="262">
        <v>52.468499999999999</v>
      </c>
      <c r="F64" s="262">
        <v>-112.1339</v>
      </c>
      <c r="G64" s="96" t="s">
        <v>2379</v>
      </c>
      <c r="H64" s="162" t="s">
        <v>1152</v>
      </c>
      <c r="I64" s="209">
        <v>240</v>
      </c>
      <c r="J64" s="209">
        <v>144</v>
      </c>
      <c r="K64" s="209">
        <v>224</v>
      </c>
      <c r="L64" s="94">
        <f>K64*1.2</f>
        <v>268.8</v>
      </c>
      <c r="M64" s="94">
        <v>0.9</v>
      </c>
      <c r="N64" s="94">
        <f>K64*$M64</f>
        <v>201.6</v>
      </c>
      <c r="O64" s="94">
        <f>L64*$M64</f>
        <v>241.92000000000002</v>
      </c>
      <c r="P64" s="11" t="s">
        <v>3291</v>
      </c>
      <c r="Q64" s="11"/>
      <c r="R64" s="34">
        <v>61</v>
      </c>
    </row>
    <row r="65" spans="2:18" ht="20" x14ac:dyDescent="0.2">
      <c r="B65" s="96" t="s">
        <v>1115</v>
      </c>
      <c r="C65" s="22" t="s">
        <v>2656</v>
      </c>
      <c r="D65" s="22"/>
      <c r="E65" s="262">
        <v>52.468499999999999</v>
      </c>
      <c r="F65" s="262">
        <v>-112.1339</v>
      </c>
      <c r="G65" s="96" t="s">
        <v>2379</v>
      </c>
      <c r="H65" s="162" t="s">
        <v>1153</v>
      </c>
      <c r="I65" s="209">
        <v>144</v>
      </c>
      <c r="J65" s="209">
        <v>72</v>
      </c>
      <c r="K65" s="209">
        <v>75</v>
      </c>
      <c r="L65" s="94">
        <f>K65*1.2</f>
        <v>90</v>
      </c>
      <c r="M65" s="94">
        <v>0.9</v>
      </c>
      <c r="N65" s="94">
        <f>K65*$M65</f>
        <v>67.5</v>
      </c>
      <c r="O65" s="94">
        <f>L65*$M65</f>
        <v>81</v>
      </c>
      <c r="P65" s="11" t="s">
        <v>3291</v>
      </c>
      <c r="Q65" s="11"/>
      <c r="R65" s="34">
        <v>62</v>
      </c>
    </row>
    <row r="66" spans="2:18" ht="20" x14ac:dyDescent="0.2">
      <c r="B66" s="96" t="s">
        <v>1452</v>
      </c>
      <c r="C66" s="22" t="s">
        <v>2742</v>
      </c>
      <c r="D66" s="22"/>
      <c r="E66" s="262"/>
      <c r="F66" s="262"/>
      <c r="G66" s="96" t="s">
        <v>2379</v>
      </c>
      <c r="H66" s="22"/>
      <c r="I66" s="201">
        <v>144</v>
      </c>
      <c r="J66" s="211"/>
      <c r="K66" s="211"/>
      <c r="L66" s="58"/>
      <c r="M66" s="58"/>
      <c r="N66" s="58"/>
      <c r="O66" s="58"/>
      <c r="P66" s="11"/>
      <c r="Q66" s="11"/>
      <c r="R66" s="34">
        <v>63</v>
      </c>
    </row>
    <row r="67" spans="2:18" ht="20" x14ac:dyDescent="0.2">
      <c r="B67" s="96" t="s">
        <v>1687</v>
      </c>
      <c r="C67" s="22" t="s">
        <v>2743</v>
      </c>
      <c r="D67" s="22"/>
      <c r="E67" s="262"/>
      <c r="F67" s="262"/>
      <c r="G67" s="96" t="s">
        <v>2379</v>
      </c>
      <c r="H67" s="22"/>
      <c r="I67" s="201">
        <v>138</v>
      </c>
      <c r="J67" s="211"/>
      <c r="K67" s="211"/>
      <c r="L67" s="58"/>
      <c r="M67" s="58"/>
      <c r="N67" s="58"/>
      <c r="O67" s="58"/>
      <c r="P67" s="11"/>
      <c r="Q67" s="11"/>
      <c r="R67" s="34">
        <v>64</v>
      </c>
    </row>
    <row r="68" spans="2:18" ht="20" x14ac:dyDescent="0.2">
      <c r="B68" s="96" t="s">
        <v>771</v>
      </c>
      <c r="C68" s="22" t="s">
        <v>2744</v>
      </c>
      <c r="D68" s="22"/>
      <c r="E68" s="262"/>
      <c r="F68" s="262"/>
      <c r="G68" s="96" t="s">
        <v>2379</v>
      </c>
      <c r="H68" s="22"/>
      <c r="I68" s="201">
        <v>138</v>
      </c>
      <c r="J68" s="211"/>
      <c r="K68" s="211"/>
      <c r="L68" s="58"/>
      <c r="M68" s="58"/>
      <c r="N68" s="58"/>
      <c r="O68" s="58"/>
      <c r="P68" s="11"/>
      <c r="Q68" s="11"/>
      <c r="R68" s="34">
        <v>65</v>
      </c>
    </row>
    <row r="69" spans="2:18" ht="20" x14ac:dyDescent="0.2">
      <c r="B69" s="96" t="s">
        <v>846</v>
      </c>
      <c r="C69" s="22" t="s">
        <v>2600</v>
      </c>
      <c r="D69" s="22"/>
      <c r="E69" s="262">
        <v>55.071545999999998</v>
      </c>
      <c r="F69" s="262">
        <v>-118.692105</v>
      </c>
      <c r="G69" s="96" t="s">
        <v>2379</v>
      </c>
      <c r="H69" s="22"/>
      <c r="I69" s="201">
        <v>144</v>
      </c>
      <c r="J69" s="211"/>
      <c r="K69" s="211"/>
      <c r="L69" s="58"/>
      <c r="M69" s="58"/>
      <c r="N69" s="58"/>
      <c r="O69" s="58"/>
      <c r="P69" s="11"/>
      <c r="Q69" s="11"/>
      <c r="R69" s="34">
        <v>66</v>
      </c>
    </row>
    <row r="70" spans="2:18" ht="20" x14ac:dyDescent="0.2">
      <c r="B70" s="96" t="s">
        <v>1672</v>
      </c>
      <c r="C70" s="22" t="s">
        <v>2657</v>
      </c>
      <c r="D70" s="22"/>
      <c r="E70" s="262">
        <v>51.101234499999997</v>
      </c>
      <c r="F70" s="262">
        <v>-114.2823152</v>
      </c>
      <c r="G70" s="96" t="s">
        <v>2379</v>
      </c>
      <c r="H70" s="22"/>
      <c r="I70" s="201">
        <v>138</v>
      </c>
      <c r="J70" s="211"/>
      <c r="K70" s="211"/>
      <c r="L70" s="58"/>
      <c r="M70" s="58"/>
      <c r="N70" s="58"/>
      <c r="O70" s="58"/>
      <c r="P70" s="11"/>
      <c r="Q70" s="11"/>
      <c r="R70" s="34">
        <v>67</v>
      </c>
    </row>
    <row r="71" spans="2:18" ht="20" x14ac:dyDescent="0.2">
      <c r="B71" s="96" t="s">
        <v>1424</v>
      </c>
      <c r="C71" s="22" t="s">
        <v>2745</v>
      </c>
      <c r="D71" s="22"/>
      <c r="E71" s="262"/>
      <c r="F71" s="262"/>
      <c r="G71" s="96" t="s">
        <v>2379</v>
      </c>
      <c r="H71" s="22"/>
      <c r="I71" s="201">
        <v>144</v>
      </c>
      <c r="J71" s="211"/>
      <c r="K71" s="211"/>
      <c r="L71" s="58"/>
      <c r="M71" s="58"/>
      <c r="N71" s="58"/>
      <c r="O71" s="58"/>
      <c r="P71" s="11"/>
      <c r="Q71" s="11"/>
      <c r="R71" s="34">
        <v>68</v>
      </c>
    </row>
    <row r="72" spans="2:18" ht="20" x14ac:dyDescent="0.2">
      <c r="B72" s="96" t="s">
        <v>1147</v>
      </c>
      <c r="C72" s="22" t="s">
        <v>2608</v>
      </c>
      <c r="D72" s="22"/>
      <c r="E72" s="262"/>
      <c r="F72" s="262"/>
      <c r="G72" s="96" t="s">
        <v>2379</v>
      </c>
      <c r="H72" s="162" t="s">
        <v>1150</v>
      </c>
      <c r="I72" s="209">
        <v>240</v>
      </c>
      <c r="J72" s="209">
        <v>138</v>
      </c>
      <c r="K72" s="209">
        <v>400</v>
      </c>
      <c r="L72" s="94">
        <f>K72*1.2</f>
        <v>480</v>
      </c>
      <c r="M72" s="94">
        <v>0.9</v>
      </c>
      <c r="N72" s="94">
        <f t="shared" ref="N72:O75" si="0">K72*$M72</f>
        <v>360</v>
      </c>
      <c r="O72" s="94">
        <f t="shared" si="0"/>
        <v>432</v>
      </c>
      <c r="P72" s="11" t="s">
        <v>3275</v>
      </c>
      <c r="Q72" s="11"/>
      <c r="R72" s="34">
        <v>69</v>
      </c>
    </row>
    <row r="73" spans="2:18" ht="20" x14ac:dyDescent="0.2">
      <c r="B73" s="96" t="s">
        <v>1147</v>
      </c>
      <c r="C73" s="22" t="s">
        <v>2608</v>
      </c>
      <c r="D73" s="22"/>
      <c r="E73" s="262"/>
      <c r="F73" s="262"/>
      <c r="G73" s="96" t="s">
        <v>2379</v>
      </c>
      <c r="H73" s="162" t="s">
        <v>1154</v>
      </c>
      <c r="I73" s="209">
        <v>240</v>
      </c>
      <c r="J73" s="209">
        <v>138</v>
      </c>
      <c r="K73" s="209">
        <v>400</v>
      </c>
      <c r="L73" s="94">
        <f>K73*1.2</f>
        <v>480</v>
      </c>
      <c r="M73" s="94">
        <v>0.9</v>
      </c>
      <c r="N73" s="94">
        <f t="shared" si="0"/>
        <v>360</v>
      </c>
      <c r="O73" s="94">
        <f t="shared" si="0"/>
        <v>432</v>
      </c>
      <c r="P73" s="11" t="s">
        <v>3275</v>
      </c>
      <c r="Q73" s="11"/>
      <c r="R73" s="34">
        <v>70</v>
      </c>
    </row>
    <row r="74" spans="2:18" ht="20" x14ac:dyDescent="0.2">
      <c r="B74" s="96" t="s">
        <v>684</v>
      </c>
      <c r="C74" s="22" t="s">
        <v>2746</v>
      </c>
      <c r="D74" s="22"/>
      <c r="E74" s="262"/>
      <c r="F74" s="262"/>
      <c r="G74" s="96" t="s">
        <v>2379</v>
      </c>
      <c r="H74" s="162" t="s">
        <v>1150</v>
      </c>
      <c r="I74" s="209">
        <v>240</v>
      </c>
      <c r="J74" s="209">
        <v>72</v>
      </c>
      <c r="K74" s="209">
        <v>375</v>
      </c>
      <c r="L74" s="94">
        <f>K74*1.2</f>
        <v>450</v>
      </c>
      <c r="M74" s="94">
        <v>0.9</v>
      </c>
      <c r="N74" s="94">
        <f t="shared" si="0"/>
        <v>337.5</v>
      </c>
      <c r="O74" s="94">
        <f t="shared" si="0"/>
        <v>405</v>
      </c>
      <c r="P74" s="11" t="s">
        <v>3288</v>
      </c>
      <c r="Q74" s="11"/>
      <c r="R74" s="34">
        <v>71</v>
      </c>
    </row>
    <row r="75" spans="2:18" ht="20" x14ac:dyDescent="0.2">
      <c r="B75" s="96" t="s">
        <v>684</v>
      </c>
      <c r="C75" s="22" t="s">
        <v>2746</v>
      </c>
      <c r="D75" s="22"/>
      <c r="E75" s="262"/>
      <c r="F75" s="262"/>
      <c r="G75" s="96" t="s">
        <v>2379</v>
      </c>
      <c r="H75" s="162" t="s">
        <v>1154</v>
      </c>
      <c r="I75" s="209">
        <v>240</v>
      </c>
      <c r="J75" s="209">
        <v>72</v>
      </c>
      <c r="K75" s="209">
        <v>375</v>
      </c>
      <c r="L75" s="94">
        <f>K75*1.2</f>
        <v>450</v>
      </c>
      <c r="M75" s="94">
        <v>0.9</v>
      </c>
      <c r="N75" s="94">
        <f t="shared" si="0"/>
        <v>337.5</v>
      </c>
      <c r="O75" s="94">
        <f t="shared" si="0"/>
        <v>405</v>
      </c>
      <c r="P75" s="11" t="s">
        <v>3288</v>
      </c>
      <c r="Q75" s="11"/>
      <c r="R75" s="34">
        <v>72</v>
      </c>
    </row>
    <row r="76" spans="2:18" ht="20" x14ac:dyDescent="0.2">
      <c r="B76" s="96" t="s">
        <v>623</v>
      </c>
      <c r="C76" s="22" t="s">
        <v>2747</v>
      </c>
      <c r="D76" s="22"/>
      <c r="E76" s="262"/>
      <c r="F76" s="262"/>
      <c r="G76" s="96" t="s">
        <v>2379</v>
      </c>
      <c r="H76" s="22"/>
      <c r="I76" s="201">
        <v>240</v>
      </c>
      <c r="J76" s="211"/>
      <c r="K76" s="211"/>
      <c r="L76" s="58"/>
      <c r="M76" s="58"/>
      <c r="N76" s="58"/>
      <c r="O76" s="58"/>
      <c r="P76" s="11"/>
      <c r="Q76" s="11"/>
      <c r="R76" s="34">
        <v>73</v>
      </c>
    </row>
    <row r="77" spans="2:18" ht="20" x14ac:dyDescent="0.2">
      <c r="B77" s="96" t="s">
        <v>733</v>
      </c>
      <c r="C77" s="22" t="s">
        <v>2748</v>
      </c>
      <c r="D77" s="22"/>
      <c r="E77" s="262"/>
      <c r="F77" s="262"/>
      <c r="G77" s="96" t="s">
        <v>2379</v>
      </c>
      <c r="H77" s="22"/>
      <c r="I77" s="201">
        <v>138</v>
      </c>
      <c r="J77" s="211"/>
      <c r="K77" s="211"/>
      <c r="L77" s="58"/>
      <c r="M77" s="58"/>
      <c r="N77" s="58"/>
      <c r="O77" s="58"/>
      <c r="P77" s="11"/>
      <c r="Q77" s="11"/>
      <c r="R77" s="34">
        <v>74</v>
      </c>
    </row>
    <row r="78" spans="2:18" ht="20" x14ac:dyDescent="0.2">
      <c r="B78" s="96" t="s">
        <v>2216</v>
      </c>
      <c r="C78" s="22" t="s">
        <v>2749</v>
      </c>
      <c r="D78" s="22"/>
      <c r="E78" s="262"/>
      <c r="F78" s="262"/>
      <c r="G78" s="96" t="s">
        <v>2379</v>
      </c>
      <c r="H78" s="22"/>
      <c r="I78" s="201">
        <v>500</v>
      </c>
      <c r="J78" s="211"/>
      <c r="K78" s="211"/>
      <c r="L78" s="58"/>
      <c r="M78" s="58"/>
      <c r="N78" s="58"/>
      <c r="O78" s="58"/>
      <c r="P78" s="11"/>
      <c r="Q78" s="11"/>
      <c r="R78" s="34">
        <v>75</v>
      </c>
    </row>
    <row r="79" spans="2:18" ht="20" x14ac:dyDescent="0.2">
      <c r="B79" s="96" t="s">
        <v>1306</v>
      </c>
      <c r="C79" s="22" t="s">
        <v>2750</v>
      </c>
      <c r="D79" s="22"/>
      <c r="E79" s="262"/>
      <c r="F79" s="262"/>
      <c r="G79" s="96" t="s">
        <v>2379</v>
      </c>
      <c r="H79" s="22"/>
      <c r="I79" s="201">
        <v>138</v>
      </c>
      <c r="J79" s="211"/>
      <c r="K79" s="211"/>
      <c r="L79" s="58"/>
      <c r="M79" s="58"/>
      <c r="N79" s="58"/>
      <c r="O79" s="58"/>
      <c r="P79" s="11"/>
      <c r="Q79" s="11"/>
      <c r="R79" s="34">
        <v>76</v>
      </c>
    </row>
    <row r="80" spans="2:18" ht="20" x14ac:dyDescent="0.2">
      <c r="B80" s="96" t="s">
        <v>730</v>
      </c>
      <c r="C80" s="22" t="s">
        <v>2610</v>
      </c>
      <c r="D80" s="22"/>
      <c r="E80" s="262"/>
      <c r="F80" s="262"/>
      <c r="G80" s="96" t="s">
        <v>2379</v>
      </c>
      <c r="H80" s="162" t="s">
        <v>1150</v>
      </c>
      <c r="I80" s="209">
        <v>240</v>
      </c>
      <c r="J80" s="209">
        <v>138</v>
      </c>
      <c r="K80" s="209">
        <v>269</v>
      </c>
      <c r="L80" s="94">
        <f>K80*1.2</f>
        <v>322.8</v>
      </c>
      <c r="M80" s="94">
        <v>0.9</v>
      </c>
      <c r="N80" s="94">
        <f>K80*$M80</f>
        <v>242.1</v>
      </c>
      <c r="O80" s="94">
        <f>L80*$M80</f>
        <v>290.52000000000004</v>
      </c>
      <c r="P80" s="11" t="s">
        <v>3298</v>
      </c>
      <c r="Q80" s="11"/>
      <c r="R80" s="34">
        <v>78</v>
      </c>
    </row>
    <row r="81" spans="2:18" ht="20" x14ac:dyDescent="0.2">
      <c r="B81" s="96" t="s">
        <v>730</v>
      </c>
      <c r="C81" s="22" t="s">
        <v>2610</v>
      </c>
      <c r="D81" s="22"/>
      <c r="E81" s="262"/>
      <c r="F81" s="262"/>
      <c r="G81" s="96" t="s">
        <v>2379</v>
      </c>
      <c r="H81" s="162" t="s">
        <v>1154</v>
      </c>
      <c r="I81" s="209">
        <v>240</v>
      </c>
      <c r="J81" s="209">
        <v>138</v>
      </c>
      <c r="K81" s="209">
        <v>269</v>
      </c>
      <c r="L81" s="94">
        <f>K81*1.2</f>
        <v>322.8</v>
      </c>
      <c r="M81" s="94">
        <v>0.9</v>
      </c>
      <c r="N81" s="94">
        <f>K81*$M81</f>
        <v>242.1</v>
      </c>
      <c r="O81" s="94">
        <f>L81*$M81</f>
        <v>290.52000000000004</v>
      </c>
      <c r="P81" s="11" t="s">
        <v>3298</v>
      </c>
      <c r="Q81" s="11"/>
      <c r="R81" s="34">
        <v>79</v>
      </c>
    </row>
    <row r="82" spans="2:18" ht="20" x14ac:dyDescent="0.2">
      <c r="B82" s="96" t="s">
        <v>1530</v>
      </c>
      <c r="C82" s="22" t="s">
        <v>2751</v>
      </c>
      <c r="D82" s="22"/>
      <c r="E82" s="262"/>
      <c r="F82" s="262"/>
      <c r="G82" s="96" t="s">
        <v>2379</v>
      </c>
      <c r="H82" s="22"/>
      <c r="I82" s="201">
        <v>69</v>
      </c>
      <c r="J82" s="211"/>
      <c r="K82" s="211"/>
      <c r="L82" s="58"/>
      <c r="M82" s="58"/>
      <c r="N82" s="58"/>
      <c r="O82" s="58"/>
      <c r="P82" s="11"/>
      <c r="Q82" s="11"/>
      <c r="R82" s="34">
        <v>80</v>
      </c>
    </row>
    <row r="83" spans="2:18" ht="20" x14ac:dyDescent="0.2">
      <c r="B83" s="96" t="s">
        <v>847</v>
      </c>
      <c r="C83" s="22" t="s">
        <v>2752</v>
      </c>
      <c r="D83" s="22"/>
      <c r="E83" s="262"/>
      <c r="F83" s="262"/>
      <c r="G83" s="96" t="s">
        <v>2379</v>
      </c>
      <c r="H83" s="22"/>
      <c r="I83" s="201">
        <v>144</v>
      </c>
      <c r="J83" s="211"/>
      <c r="K83" s="211"/>
      <c r="L83" s="58"/>
      <c r="M83" s="58"/>
      <c r="N83" s="58"/>
      <c r="O83" s="58"/>
      <c r="P83" s="11"/>
      <c r="Q83" s="11"/>
      <c r="R83" s="34">
        <v>81</v>
      </c>
    </row>
    <row r="84" spans="2:18" ht="20" x14ac:dyDescent="0.2">
      <c r="B84" s="96" t="s">
        <v>1528</v>
      </c>
      <c r="C84" s="22" t="s">
        <v>2753</v>
      </c>
      <c r="D84" s="22"/>
      <c r="E84" s="262"/>
      <c r="F84" s="262"/>
      <c r="G84" s="96" t="s">
        <v>2379</v>
      </c>
      <c r="H84" s="22"/>
      <c r="I84" s="201">
        <v>72</v>
      </c>
      <c r="J84" s="211"/>
      <c r="K84" s="211"/>
      <c r="L84" s="58"/>
      <c r="M84" s="58"/>
      <c r="N84" s="58"/>
      <c r="O84" s="58"/>
      <c r="P84" s="11"/>
      <c r="Q84" s="11"/>
      <c r="R84" s="34">
        <v>82</v>
      </c>
    </row>
    <row r="85" spans="2:18" ht="20" x14ac:dyDescent="0.2">
      <c r="B85" s="96" t="s">
        <v>1600</v>
      </c>
      <c r="C85" s="22" t="s">
        <v>2658</v>
      </c>
      <c r="D85" s="22"/>
      <c r="E85" s="262">
        <v>52.308113599999999</v>
      </c>
      <c r="F85" s="262">
        <v>-116.3244505</v>
      </c>
      <c r="G85" s="96" t="s">
        <v>2379</v>
      </c>
      <c r="H85" s="22"/>
      <c r="I85" s="201">
        <v>144</v>
      </c>
      <c r="J85" s="211"/>
      <c r="K85" s="211"/>
      <c r="L85" s="58"/>
      <c r="M85" s="58"/>
      <c r="N85" s="58"/>
      <c r="O85" s="58"/>
      <c r="P85" s="11"/>
      <c r="Q85" s="11"/>
      <c r="R85" s="34">
        <v>83</v>
      </c>
    </row>
    <row r="86" spans="2:18" ht="20" x14ac:dyDescent="0.2">
      <c r="B86" s="96" t="s">
        <v>1000</v>
      </c>
      <c r="C86" s="22" t="s">
        <v>2754</v>
      </c>
      <c r="D86" s="22"/>
      <c r="E86" s="262"/>
      <c r="F86" s="262"/>
      <c r="G86" s="96" t="s">
        <v>2379</v>
      </c>
      <c r="H86" s="162" t="s">
        <v>1150</v>
      </c>
      <c r="I86" s="209">
        <v>240</v>
      </c>
      <c r="J86" s="209">
        <v>138</v>
      </c>
      <c r="K86" s="209">
        <v>200</v>
      </c>
      <c r="L86" s="94">
        <f>K86*1.2</f>
        <v>240</v>
      </c>
      <c r="M86" s="94">
        <v>0.9</v>
      </c>
      <c r="N86" s="94">
        <f>K86*$M86</f>
        <v>180</v>
      </c>
      <c r="O86" s="94">
        <f>L86*$M86</f>
        <v>216</v>
      </c>
      <c r="P86" s="11" t="s">
        <v>3277</v>
      </c>
      <c r="Q86" s="11"/>
      <c r="R86" s="34">
        <v>84</v>
      </c>
    </row>
    <row r="87" spans="2:18" ht="20" x14ac:dyDescent="0.2">
      <c r="B87" s="96" t="s">
        <v>1297</v>
      </c>
      <c r="C87" s="22" t="s">
        <v>2755</v>
      </c>
      <c r="D87" s="22"/>
      <c r="E87" s="262"/>
      <c r="F87" s="262"/>
      <c r="G87" s="96" t="s">
        <v>2379</v>
      </c>
      <c r="H87" s="22"/>
      <c r="I87" s="201">
        <v>138</v>
      </c>
      <c r="J87" s="211"/>
      <c r="K87" s="211"/>
      <c r="L87" s="58"/>
      <c r="M87" s="58"/>
      <c r="N87" s="58"/>
      <c r="O87" s="58"/>
      <c r="P87" s="11"/>
      <c r="Q87" s="11"/>
      <c r="R87" s="34">
        <v>85</v>
      </c>
    </row>
    <row r="88" spans="2:18" ht="20" x14ac:dyDescent="0.2">
      <c r="B88" s="96" t="s">
        <v>2008</v>
      </c>
      <c r="C88" s="22" t="s">
        <v>2756</v>
      </c>
      <c r="D88" s="22"/>
      <c r="E88" s="262"/>
      <c r="F88" s="262"/>
      <c r="G88" s="96" t="s">
        <v>2379</v>
      </c>
      <c r="H88" s="22"/>
      <c r="I88" s="201">
        <v>144</v>
      </c>
      <c r="J88" s="211"/>
      <c r="K88" s="211"/>
      <c r="L88" s="58"/>
      <c r="M88" s="58"/>
      <c r="N88" s="58"/>
      <c r="O88" s="58"/>
      <c r="P88" s="11"/>
      <c r="Q88" s="11"/>
      <c r="R88" s="34">
        <v>86</v>
      </c>
    </row>
    <row r="89" spans="2:18" ht="20" x14ac:dyDescent="0.2">
      <c r="B89" s="96" t="s">
        <v>1076</v>
      </c>
      <c r="C89" s="22" t="s">
        <v>2757</v>
      </c>
      <c r="D89" s="22"/>
      <c r="E89" s="262"/>
      <c r="F89" s="262"/>
      <c r="G89" s="96" t="s">
        <v>2379</v>
      </c>
      <c r="H89" s="22"/>
      <c r="I89" s="201">
        <v>240</v>
      </c>
      <c r="J89" s="211"/>
      <c r="K89" s="211"/>
      <c r="L89" s="58"/>
      <c r="M89" s="58"/>
      <c r="N89" s="58"/>
      <c r="O89" s="58"/>
      <c r="P89" s="11"/>
      <c r="Q89" s="11"/>
      <c r="R89" s="34">
        <v>87</v>
      </c>
    </row>
    <row r="90" spans="2:18" ht="20" x14ac:dyDescent="0.2">
      <c r="B90" s="96" t="s">
        <v>1090</v>
      </c>
      <c r="C90" s="22" t="s">
        <v>3211</v>
      </c>
      <c r="D90" s="22"/>
      <c r="E90" s="262"/>
      <c r="F90" s="262"/>
      <c r="G90" s="96" t="s">
        <v>2379</v>
      </c>
      <c r="H90" s="22"/>
      <c r="I90" s="213">
        <v>240</v>
      </c>
      <c r="J90" s="211"/>
      <c r="K90" s="211"/>
      <c r="L90" s="58"/>
      <c r="M90" s="58"/>
      <c r="N90" s="58"/>
      <c r="O90" s="58"/>
      <c r="P90" s="11"/>
      <c r="Q90" s="11"/>
      <c r="R90" s="34">
        <v>88</v>
      </c>
    </row>
    <row r="91" spans="2:18" ht="20" x14ac:dyDescent="0.2">
      <c r="B91" s="96" t="s">
        <v>1849</v>
      </c>
      <c r="C91" s="22" t="s">
        <v>2758</v>
      </c>
      <c r="D91" s="22"/>
      <c r="E91" s="262"/>
      <c r="F91" s="262"/>
      <c r="G91" s="96" t="s">
        <v>2379</v>
      </c>
      <c r="H91" s="22"/>
      <c r="I91" s="201">
        <v>69</v>
      </c>
      <c r="J91" s="211"/>
      <c r="K91" s="211"/>
      <c r="L91" s="58"/>
      <c r="M91" s="58"/>
      <c r="N91" s="58"/>
      <c r="O91" s="58"/>
      <c r="P91" s="11"/>
      <c r="Q91" s="11"/>
      <c r="R91" s="34">
        <v>89</v>
      </c>
    </row>
    <row r="92" spans="2:18" ht="20" x14ac:dyDescent="0.2">
      <c r="B92" s="96" t="s">
        <v>1095</v>
      </c>
      <c r="C92" s="22" t="s">
        <v>3244</v>
      </c>
      <c r="D92" s="22"/>
      <c r="E92" s="262"/>
      <c r="F92" s="262"/>
      <c r="G92" s="96" t="s">
        <v>2379</v>
      </c>
      <c r="H92" s="22"/>
      <c r="I92" s="213">
        <v>240</v>
      </c>
      <c r="J92" s="211"/>
      <c r="K92" s="211"/>
      <c r="L92" s="58"/>
      <c r="M92" s="58"/>
      <c r="N92" s="58"/>
      <c r="O92" s="58"/>
      <c r="P92" s="11"/>
      <c r="Q92" s="11"/>
      <c r="R92" s="34">
        <v>90</v>
      </c>
    </row>
    <row r="93" spans="2:18" ht="20" x14ac:dyDescent="0.2">
      <c r="B93" s="96" t="s">
        <v>636</v>
      </c>
      <c r="C93" s="22" t="s">
        <v>2759</v>
      </c>
      <c r="D93" s="22"/>
      <c r="E93" s="262"/>
      <c r="F93" s="262"/>
      <c r="G93" s="96" t="s">
        <v>2379</v>
      </c>
      <c r="H93" s="22"/>
      <c r="I93" s="213">
        <v>240</v>
      </c>
      <c r="J93" s="211"/>
      <c r="K93" s="211"/>
      <c r="L93" s="58"/>
      <c r="M93" s="58"/>
      <c r="N93" s="58"/>
      <c r="O93" s="58"/>
      <c r="P93" s="11"/>
      <c r="Q93" s="11"/>
      <c r="R93" s="34">
        <v>91</v>
      </c>
    </row>
    <row r="94" spans="2:18" ht="20" x14ac:dyDescent="0.2">
      <c r="B94" s="96" t="s">
        <v>1635</v>
      </c>
      <c r="C94" s="22" t="s">
        <v>2603</v>
      </c>
      <c r="D94" s="22"/>
      <c r="E94" s="262">
        <v>52.381335</v>
      </c>
      <c r="F94" s="262">
        <v>-113.796712</v>
      </c>
      <c r="G94" s="96" t="s">
        <v>2379</v>
      </c>
      <c r="H94" s="22"/>
      <c r="I94" s="201">
        <v>144</v>
      </c>
      <c r="J94" s="211"/>
      <c r="K94" s="211"/>
      <c r="L94" s="58"/>
      <c r="M94" s="58"/>
      <c r="N94" s="58"/>
      <c r="O94" s="58"/>
      <c r="P94" s="11"/>
      <c r="Q94" s="11"/>
      <c r="R94" s="34">
        <v>92</v>
      </c>
    </row>
    <row r="95" spans="2:18" ht="20" x14ac:dyDescent="0.2">
      <c r="B95" s="96" t="s">
        <v>1839</v>
      </c>
      <c r="C95" s="22" t="s">
        <v>2760</v>
      </c>
      <c r="D95" s="22"/>
      <c r="E95" s="262"/>
      <c r="F95" s="262"/>
      <c r="G95" s="96" t="s">
        <v>2379</v>
      </c>
      <c r="H95" s="22"/>
      <c r="I95" s="201">
        <v>138</v>
      </c>
      <c r="J95" s="211"/>
      <c r="K95" s="211"/>
      <c r="L95" s="58"/>
      <c r="M95" s="58"/>
      <c r="N95" s="58"/>
      <c r="O95" s="58"/>
      <c r="P95" s="11"/>
      <c r="Q95" s="11"/>
      <c r="R95" s="34">
        <v>93</v>
      </c>
    </row>
    <row r="96" spans="2:18" ht="20" x14ac:dyDescent="0.2">
      <c r="B96" s="96" t="s">
        <v>1354</v>
      </c>
      <c r="C96" s="22" t="s">
        <v>2761</v>
      </c>
      <c r="D96" s="22"/>
      <c r="E96" s="262"/>
      <c r="F96" s="262"/>
      <c r="G96" s="96" t="s">
        <v>2379</v>
      </c>
      <c r="H96" s="22"/>
      <c r="I96" s="201">
        <v>138</v>
      </c>
      <c r="J96" s="211"/>
      <c r="K96" s="211"/>
      <c r="L96" s="58"/>
      <c r="M96" s="58"/>
      <c r="N96" s="58"/>
      <c r="O96" s="58"/>
      <c r="P96" s="11"/>
      <c r="Q96" s="11"/>
      <c r="R96" s="34">
        <v>94</v>
      </c>
    </row>
    <row r="97" spans="2:18" ht="20" x14ac:dyDescent="0.2">
      <c r="B97" s="96" t="s">
        <v>574</v>
      </c>
      <c r="C97" s="22" t="s">
        <v>2604</v>
      </c>
      <c r="D97" s="22"/>
      <c r="E97" s="262">
        <v>50.152487899999997</v>
      </c>
      <c r="F97" s="262">
        <v>-112.8226365</v>
      </c>
      <c r="G97" s="96" t="s">
        <v>2379</v>
      </c>
      <c r="H97" s="22"/>
      <c r="I97" s="201">
        <v>240</v>
      </c>
      <c r="J97" s="211"/>
      <c r="K97" s="211"/>
      <c r="L97" s="58"/>
      <c r="M97" s="58"/>
      <c r="N97" s="58"/>
      <c r="O97" s="58"/>
      <c r="P97" s="11"/>
      <c r="Q97" s="11"/>
      <c r="R97" s="34">
        <v>95</v>
      </c>
    </row>
    <row r="98" spans="2:18" ht="20" x14ac:dyDescent="0.2">
      <c r="B98" s="96" t="s">
        <v>2082</v>
      </c>
      <c r="C98" s="22" t="s">
        <v>2762</v>
      </c>
      <c r="D98" s="22"/>
      <c r="E98" s="262"/>
      <c r="F98" s="262"/>
      <c r="G98" s="96" t="s">
        <v>2379</v>
      </c>
      <c r="H98" s="22"/>
      <c r="I98" s="201">
        <v>240</v>
      </c>
      <c r="J98" s="211"/>
      <c r="K98" s="211"/>
      <c r="L98" s="58"/>
      <c r="M98" s="58"/>
      <c r="N98" s="58"/>
      <c r="O98" s="58"/>
      <c r="P98" s="11"/>
      <c r="Q98" s="11"/>
      <c r="R98" s="34">
        <v>96</v>
      </c>
    </row>
    <row r="99" spans="2:18" ht="20" x14ac:dyDescent="0.2">
      <c r="B99" s="96" t="s">
        <v>1212</v>
      </c>
      <c r="C99" s="22" t="s">
        <v>3245</v>
      </c>
      <c r="D99" s="22"/>
      <c r="E99" s="262"/>
      <c r="F99" s="262"/>
      <c r="G99" s="96" t="s">
        <v>2379</v>
      </c>
      <c r="H99" s="22"/>
      <c r="I99" s="201">
        <v>144</v>
      </c>
      <c r="J99" s="211"/>
      <c r="K99" s="211"/>
      <c r="L99" s="58"/>
      <c r="M99" s="58"/>
      <c r="N99" s="58"/>
      <c r="O99" s="58"/>
      <c r="P99" s="11"/>
      <c r="Q99" s="11"/>
      <c r="R99" s="34">
        <v>97</v>
      </c>
    </row>
    <row r="100" spans="2:18" ht="20" x14ac:dyDescent="0.2">
      <c r="B100" s="96" t="s">
        <v>1899</v>
      </c>
      <c r="C100" s="22" t="s">
        <v>2605</v>
      </c>
      <c r="D100" s="22"/>
      <c r="E100" s="262"/>
      <c r="F100" s="262"/>
      <c r="G100" s="96" t="s">
        <v>2379</v>
      </c>
      <c r="H100" s="22"/>
      <c r="I100" s="201">
        <v>144</v>
      </c>
      <c r="J100" s="211"/>
      <c r="K100" s="211"/>
      <c r="L100" s="58"/>
      <c r="M100" s="58"/>
      <c r="N100" s="58"/>
      <c r="O100" s="58"/>
      <c r="P100" s="11"/>
      <c r="Q100" s="11"/>
      <c r="R100" s="34">
        <v>98</v>
      </c>
    </row>
    <row r="101" spans="2:18" ht="20" x14ac:dyDescent="0.2">
      <c r="B101" s="96" t="s">
        <v>944</v>
      </c>
      <c r="C101" s="22" t="s">
        <v>2763</v>
      </c>
      <c r="D101" s="22"/>
      <c r="E101" s="262"/>
      <c r="F101" s="262"/>
      <c r="G101" s="96" t="s">
        <v>2379</v>
      </c>
      <c r="H101" s="22"/>
      <c r="I101" s="201">
        <v>144</v>
      </c>
      <c r="J101" s="211"/>
      <c r="K101" s="211"/>
      <c r="L101" s="58"/>
      <c r="M101" s="58"/>
      <c r="N101" s="58"/>
      <c r="O101" s="58"/>
      <c r="P101" s="11"/>
      <c r="Q101" s="11"/>
      <c r="R101" s="34">
        <v>99</v>
      </c>
    </row>
    <row r="102" spans="2:18" ht="20" x14ac:dyDescent="0.2">
      <c r="B102" s="96" t="s">
        <v>809</v>
      </c>
      <c r="C102" s="22" t="s">
        <v>2764</v>
      </c>
      <c r="D102" s="22"/>
      <c r="E102" s="262"/>
      <c r="F102" s="262"/>
      <c r="G102" s="96" t="s">
        <v>2379</v>
      </c>
      <c r="H102" s="22"/>
      <c r="I102" s="201">
        <v>144</v>
      </c>
      <c r="J102" s="211"/>
      <c r="K102" s="211"/>
      <c r="L102" s="58"/>
      <c r="M102" s="58"/>
      <c r="N102" s="58"/>
      <c r="O102" s="58"/>
      <c r="P102" s="11"/>
      <c r="Q102" s="11"/>
      <c r="R102" s="34">
        <v>100</v>
      </c>
    </row>
    <row r="103" spans="2:18" ht="20" x14ac:dyDescent="0.2">
      <c r="B103" s="96" t="s">
        <v>1417</v>
      </c>
      <c r="C103" s="22" t="s">
        <v>2765</v>
      </c>
      <c r="D103" s="22"/>
      <c r="E103" s="262"/>
      <c r="F103" s="262"/>
      <c r="G103" s="96" t="s">
        <v>2379</v>
      </c>
      <c r="H103" s="22"/>
      <c r="I103" s="201">
        <v>144</v>
      </c>
      <c r="J103" s="211"/>
      <c r="K103" s="211"/>
      <c r="L103" s="58"/>
      <c r="M103" s="58"/>
      <c r="N103" s="58"/>
      <c r="O103" s="58"/>
      <c r="P103" s="11"/>
      <c r="Q103" s="11"/>
      <c r="R103" s="34">
        <v>101</v>
      </c>
    </row>
    <row r="104" spans="2:18" ht="20" x14ac:dyDescent="0.2">
      <c r="B104" s="96" t="s">
        <v>941</v>
      </c>
      <c r="C104" s="22" t="s">
        <v>2766</v>
      </c>
      <c r="D104" s="22"/>
      <c r="E104" s="262"/>
      <c r="F104" s="262"/>
      <c r="G104" s="96" t="s">
        <v>2379</v>
      </c>
      <c r="H104" s="22"/>
      <c r="I104" s="201">
        <v>138</v>
      </c>
      <c r="J104" s="211"/>
      <c r="K104" s="211"/>
      <c r="L104" s="58"/>
      <c r="M104" s="58"/>
      <c r="N104" s="58"/>
      <c r="O104" s="58"/>
      <c r="P104" s="11"/>
      <c r="Q104" s="11"/>
      <c r="R104" s="34">
        <v>102</v>
      </c>
    </row>
    <row r="105" spans="2:18" ht="20" x14ac:dyDescent="0.2">
      <c r="B105" s="96" t="s">
        <v>1402</v>
      </c>
      <c r="C105" s="22" t="s">
        <v>2767</v>
      </c>
      <c r="D105" s="22"/>
      <c r="E105" s="262"/>
      <c r="F105" s="262"/>
      <c r="G105" s="96" t="s">
        <v>2379</v>
      </c>
      <c r="H105" s="22"/>
      <c r="I105" s="201">
        <v>144</v>
      </c>
      <c r="J105" s="211"/>
      <c r="K105" s="211"/>
      <c r="L105" s="58"/>
      <c r="M105" s="58"/>
      <c r="N105" s="58"/>
      <c r="O105" s="58"/>
      <c r="P105" s="11"/>
      <c r="Q105" s="11"/>
      <c r="R105" s="34">
        <v>103</v>
      </c>
    </row>
    <row r="106" spans="2:18" ht="20" x14ac:dyDescent="0.2">
      <c r="B106" s="96" t="s">
        <v>560</v>
      </c>
      <c r="C106" s="22" t="s">
        <v>2768</v>
      </c>
      <c r="D106" s="22"/>
      <c r="E106" s="262"/>
      <c r="F106" s="262"/>
      <c r="G106" s="96" t="s">
        <v>2379</v>
      </c>
      <c r="H106" s="162" t="s">
        <v>1150</v>
      </c>
      <c r="I106" s="209">
        <v>240</v>
      </c>
      <c r="J106" s="209">
        <v>138</v>
      </c>
      <c r="K106" s="209">
        <v>200</v>
      </c>
      <c r="L106" s="94">
        <f>K106*1.2</f>
        <v>240</v>
      </c>
      <c r="M106" s="94">
        <v>0.9</v>
      </c>
      <c r="N106" s="94">
        <f>K106*$M106</f>
        <v>180</v>
      </c>
      <c r="O106" s="94">
        <f>L106*$M106</f>
        <v>216</v>
      </c>
      <c r="P106" s="11" t="s">
        <v>3276</v>
      </c>
      <c r="Q106" s="11"/>
      <c r="R106" s="34">
        <v>104</v>
      </c>
    </row>
    <row r="107" spans="2:18" ht="20" x14ac:dyDescent="0.2">
      <c r="B107" s="96" t="s">
        <v>560</v>
      </c>
      <c r="C107" s="22" t="s">
        <v>2768</v>
      </c>
      <c r="D107" s="22"/>
      <c r="E107" s="262"/>
      <c r="F107" s="262"/>
      <c r="G107" s="96" t="s">
        <v>2379</v>
      </c>
      <c r="H107" s="162" t="s">
        <v>1154</v>
      </c>
      <c r="I107" s="209">
        <v>240</v>
      </c>
      <c r="J107" s="209">
        <v>138</v>
      </c>
      <c r="K107" s="209">
        <v>200</v>
      </c>
      <c r="L107" s="94">
        <f>K107*1.2</f>
        <v>240</v>
      </c>
      <c r="M107" s="94">
        <v>0.9</v>
      </c>
      <c r="N107" s="94">
        <f>K107*$M107</f>
        <v>180</v>
      </c>
      <c r="O107" s="94">
        <f>L107*$M107</f>
        <v>216</v>
      </c>
      <c r="P107" s="11" t="s">
        <v>3276</v>
      </c>
      <c r="Q107" s="11"/>
      <c r="R107" s="34">
        <v>105</v>
      </c>
    </row>
    <row r="108" spans="2:18" ht="20" x14ac:dyDescent="0.2">
      <c r="B108" s="96" t="s">
        <v>1931</v>
      </c>
      <c r="C108" s="22" t="s">
        <v>2769</v>
      </c>
      <c r="D108" s="22"/>
      <c r="E108" s="262"/>
      <c r="F108" s="262"/>
      <c r="G108" s="96" t="s">
        <v>2379</v>
      </c>
      <c r="H108" s="22"/>
      <c r="I108" s="201">
        <v>138</v>
      </c>
      <c r="J108" s="211"/>
      <c r="K108" s="211"/>
      <c r="L108" s="58"/>
      <c r="M108" s="58"/>
      <c r="N108" s="58"/>
      <c r="O108" s="58"/>
      <c r="P108" s="11"/>
      <c r="Q108" s="11"/>
      <c r="R108" s="34">
        <v>106</v>
      </c>
    </row>
    <row r="109" spans="2:18" ht="20" x14ac:dyDescent="0.2">
      <c r="B109" s="96" t="s">
        <v>725</v>
      </c>
      <c r="C109" s="22" t="s">
        <v>2597</v>
      </c>
      <c r="D109" s="22"/>
      <c r="E109" s="262"/>
      <c r="F109" s="262"/>
      <c r="G109" s="96" t="s">
        <v>2379</v>
      </c>
      <c r="H109" s="22"/>
      <c r="I109" s="201">
        <v>138</v>
      </c>
      <c r="J109" s="211"/>
      <c r="K109" s="211"/>
      <c r="L109" s="58"/>
      <c r="M109" s="58"/>
      <c r="N109" s="58"/>
      <c r="O109" s="58"/>
      <c r="P109" s="11"/>
      <c r="Q109" s="11"/>
      <c r="R109" s="34">
        <v>107</v>
      </c>
    </row>
    <row r="110" spans="2:18" ht="20" x14ac:dyDescent="0.2">
      <c r="B110" s="96" t="s">
        <v>1571</v>
      </c>
      <c r="C110" s="22" t="s">
        <v>2770</v>
      </c>
      <c r="D110" s="22"/>
      <c r="E110" s="262"/>
      <c r="F110" s="262"/>
      <c r="G110" s="96" t="s">
        <v>2379</v>
      </c>
      <c r="H110" s="22"/>
      <c r="I110" s="201">
        <v>144</v>
      </c>
      <c r="J110" s="211"/>
      <c r="K110" s="211"/>
      <c r="L110" s="58"/>
      <c r="M110" s="58"/>
      <c r="N110" s="58"/>
      <c r="O110" s="58"/>
      <c r="P110" s="11"/>
      <c r="Q110" s="11"/>
      <c r="R110" s="34">
        <v>108</v>
      </c>
    </row>
    <row r="111" spans="2:18" ht="20" x14ac:dyDescent="0.2">
      <c r="B111" s="96" t="s">
        <v>1054</v>
      </c>
      <c r="C111" s="22" t="s">
        <v>2659</v>
      </c>
      <c r="D111" s="22"/>
      <c r="E111" s="262">
        <v>52.910127000000003</v>
      </c>
      <c r="F111" s="262">
        <v>-115.3753924</v>
      </c>
      <c r="G111" s="96" t="s">
        <v>2379</v>
      </c>
      <c r="H111" s="22"/>
      <c r="I111" s="201">
        <v>240</v>
      </c>
      <c r="J111" s="211"/>
      <c r="K111" s="211"/>
      <c r="L111" s="58"/>
      <c r="M111" s="58"/>
      <c r="N111" s="58"/>
      <c r="O111" s="58"/>
      <c r="P111" s="11"/>
      <c r="Q111" s="11"/>
      <c r="R111" s="34">
        <v>109</v>
      </c>
    </row>
    <row r="112" spans="2:18" ht="20" x14ac:dyDescent="0.2">
      <c r="B112" s="96" t="s">
        <v>1568</v>
      </c>
      <c r="C112" s="22" t="s">
        <v>2771</v>
      </c>
      <c r="D112" s="22"/>
      <c r="E112" s="262"/>
      <c r="F112" s="262"/>
      <c r="G112" s="96" t="s">
        <v>2379</v>
      </c>
      <c r="H112" s="22"/>
      <c r="I112" s="201">
        <v>144</v>
      </c>
      <c r="J112" s="211"/>
      <c r="K112" s="211"/>
      <c r="L112" s="58"/>
      <c r="M112" s="58"/>
      <c r="N112" s="58"/>
      <c r="O112" s="58"/>
      <c r="P112" s="11"/>
      <c r="Q112" s="11"/>
      <c r="R112" s="34">
        <v>110</v>
      </c>
    </row>
    <row r="113" spans="2:18" ht="20" x14ac:dyDescent="0.2">
      <c r="B113" s="96" t="s">
        <v>1303</v>
      </c>
      <c r="C113" s="22" t="s">
        <v>2772</v>
      </c>
      <c r="D113" s="22"/>
      <c r="E113" s="262"/>
      <c r="F113" s="262"/>
      <c r="G113" s="96" t="s">
        <v>2379</v>
      </c>
      <c r="H113" s="162" t="s">
        <v>1150</v>
      </c>
      <c r="I113" s="209">
        <v>138</v>
      </c>
      <c r="J113" s="209">
        <v>25</v>
      </c>
      <c r="K113" s="209">
        <v>42</v>
      </c>
      <c r="L113" s="94">
        <f>K113*1.2</f>
        <v>50.4</v>
      </c>
      <c r="M113" s="94">
        <v>0.9</v>
      </c>
      <c r="N113" s="94">
        <f>K113*$M113</f>
        <v>37.800000000000004</v>
      </c>
      <c r="O113" s="94">
        <f>L113*$M113</f>
        <v>45.36</v>
      </c>
      <c r="P113" s="11" t="s">
        <v>3281</v>
      </c>
      <c r="Q113" s="11"/>
      <c r="R113" s="34">
        <v>111</v>
      </c>
    </row>
    <row r="114" spans="2:18" ht="20" x14ac:dyDescent="0.2">
      <c r="B114" s="96" t="s">
        <v>1317</v>
      </c>
      <c r="C114" s="22" t="s">
        <v>2773</v>
      </c>
      <c r="D114" s="22"/>
      <c r="E114" s="262"/>
      <c r="F114" s="262"/>
      <c r="G114" s="96" t="s">
        <v>2379</v>
      </c>
      <c r="H114" s="22"/>
      <c r="I114" s="201">
        <v>138</v>
      </c>
      <c r="J114" s="211"/>
      <c r="K114" s="211"/>
      <c r="L114" s="58"/>
      <c r="M114" s="58"/>
      <c r="N114" s="58"/>
      <c r="O114" s="58"/>
      <c r="P114" s="11"/>
      <c r="Q114" s="11"/>
      <c r="R114" s="34">
        <v>112</v>
      </c>
    </row>
    <row r="115" spans="2:18" ht="20" x14ac:dyDescent="0.2">
      <c r="B115" s="96" t="s">
        <v>962</v>
      </c>
      <c r="C115" s="22" t="s">
        <v>2624</v>
      </c>
      <c r="D115" s="22"/>
      <c r="E115" s="262"/>
      <c r="F115" s="262"/>
      <c r="G115" s="96" t="s">
        <v>2379</v>
      </c>
      <c r="H115" s="22"/>
      <c r="I115" s="201">
        <v>144</v>
      </c>
      <c r="J115" s="211"/>
      <c r="K115" s="211"/>
      <c r="L115" s="58"/>
      <c r="M115" s="58"/>
      <c r="N115" s="58"/>
      <c r="O115" s="58"/>
      <c r="P115" s="11"/>
      <c r="Q115" s="11"/>
      <c r="R115" s="34">
        <v>113</v>
      </c>
    </row>
    <row r="116" spans="2:18" ht="20" x14ac:dyDescent="0.2">
      <c r="B116" s="96" t="s">
        <v>1484</v>
      </c>
      <c r="C116" s="22" t="s">
        <v>2774</v>
      </c>
      <c r="D116" s="22"/>
      <c r="E116" s="262"/>
      <c r="F116" s="262"/>
      <c r="G116" s="96" t="s">
        <v>2379</v>
      </c>
      <c r="H116" s="22"/>
      <c r="I116" s="201">
        <v>144</v>
      </c>
      <c r="J116" s="211"/>
      <c r="K116" s="211"/>
      <c r="L116" s="58"/>
      <c r="M116" s="58"/>
      <c r="N116" s="58"/>
      <c r="O116" s="58"/>
      <c r="P116" s="11"/>
      <c r="Q116" s="11"/>
      <c r="R116" s="34">
        <v>114</v>
      </c>
    </row>
    <row r="117" spans="2:18" ht="20" x14ac:dyDescent="0.2">
      <c r="B117" s="96" t="s">
        <v>1063</v>
      </c>
      <c r="C117" s="22" t="s">
        <v>2775</v>
      </c>
      <c r="D117" s="22"/>
      <c r="E117" s="262"/>
      <c r="F117" s="262"/>
      <c r="G117" s="96" t="s">
        <v>2379</v>
      </c>
      <c r="H117" s="22"/>
      <c r="I117" s="201">
        <v>240</v>
      </c>
      <c r="J117" s="211"/>
      <c r="K117" s="211"/>
      <c r="L117" s="58"/>
      <c r="M117" s="58"/>
      <c r="N117" s="58"/>
      <c r="O117" s="58"/>
      <c r="P117" s="11"/>
      <c r="Q117" s="11"/>
      <c r="R117" s="34">
        <v>115</v>
      </c>
    </row>
    <row r="118" spans="2:18" ht="20" x14ac:dyDescent="0.2">
      <c r="B118" s="96" t="s">
        <v>1308</v>
      </c>
      <c r="C118" s="22" t="s">
        <v>2776</v>
      </c>
      <c r="D118" s="22"/>
      <c r="E118" s="262"/>
      <c r="F118" s="262"/>
      <c r="G118" s="96" t="s">
        <v>2379</v>
      </c>
      <c r="H118" s="162" t="s">
        <v>1150</v>
      </c>
      <c r="I118" s="209">
        <v>138</v>
      </c>
      <c r="J118" s="209">
        <v>25</v>
      </c>
      <c r="K118" s="209">
        <v>42</v>
      </c>
      <c r="L118" s="94">
        <f>K118*1.2</f>
        <v>50.4</v>
      </c>
      <c r="M118" s="94">
        <v>0.9</v>
      </c>
      <c r="N118" s="94">
        <f>K118*$M118</f>
        <v>37.800000000000004</v>
      </c>
      <c r="O118" s="94">
        <f>L118*$M118</f>
        <v>45.36</v>
      </c>
      <c r="P118" s="11" t="s">
        <v>3281</v>
      </c>
      <c r="Q118" s="11"/>
      <c r="R118" s="34">
        <v>116</v>
      </c>
    </row>
    <row r="119" spans="2:18" ht="20" x14ac:dyDescent="0.2">
      <c r="B119" s="96" t="s">
        <v>1623</v>
      </c>
      <c r="C119" s="22" t="s">
        <v>2777</v>
      </c>
      <c r="D119" s="22"/>
      <c r="E119" s="262"/>
      <c r="F119" s="262"/>
      <c r="G119" s="96" t="s">
        <v>2379</v>
      </c>
      <c r="H119" s="22"/>
      <c r="I119" s="201">
        <v>144</v>
      </c>
      <c r="J119" s="211"/>
      <c r="K119" s="211"/>
      <c r="L119" s="58"/>
      <c r="M119" s="58"/>
      <c r="N119" s="58"/>
      <c r="O119" s="58"/>
      <c r="P119" s="11"/>
      <c r="Q119" s="11"/>
      <c r="R119" s="34">
        <v>117</v>
      </c>
    </row>
    <row r="120" spans="2:18" ht="20" x14ac:dyDescent="0.2">
      <c r="B120" s="96" t="s">
        <v>1950</v>
      </c>
      <c r="C120" s="22" t="s">
        <v>2660</v>
      </c>
      <c r="D120" s="22"/>
      <c r="E120" s="262">
        <v>50.583294000000002</v>
      </c>
      <c r="F120" s="262">
        <v>-111.88075499999999</v>
      </c>
      <c r="G120" s="96" t="s">
        <v>2379</v>
      </c>
      <c r="H120" s="22"/>
      <c r="I120" s="201">
        <v>138</v>
      </c>
      <c r="J120" s="211"/>
      <c r="K120" s="211"/>
      <c r="L120" s="58"/>
      <c r="M120" s="58"/>
      <c r="N120" s="58"/>
      <c r="O120" s="58"/>
      <c r="P120" s="11"/>
      <c r="Q120" s="11"/>
      <c r="R120" s="34">
        <v>118</v>
      </c>
    </row>
    <row r="121" spans="2:18" ht="20" x14ac:dyDescent="0.2">
      <c r="B121" s="96" t="s">
        <v>783</v>
      </c>
      <c r="C121" s="22" t="s">
        <v>2778</v>
      </c>
      <c r="D121" s="22"/>
      <c r="E121" s="262"/>
      <c r="F121" s="262"/>
      <c r="G121" s="96" t="s">
        <v>2379</v>
      </c>
      <c r="H121" s="162" t="s">
        <v>1150</v>
      </c>
      <c r="I121" s="209">
        <v>138</v>
      </c>
      <c r="J121" s="209">
        <v>26.5</v>
      </c>
      <c r="K121" s="209">
        <v>42</v>
      </c>
      <c r="L121" s="94">
        <f>K121*1.2</f>
        <v>50.4</v>
      </c>
      <c r="M121" s="94">
        <v>0.9</v>
      </c>
      <c r="N121" s="94">
        <f>K121*$M121</f>
        <v>37.800000000000004</v>
      </c>
      <c r="O121" s="94">
        <f>L121*$M121</f>
        <v>45.36</v>
      </c>
      <c r="P121" s="11" t="s">
        <v>3300</v>
      </c>
      <c r="Q121" s="11"/>
      <c r="R121" s="34">
        <v>119</v>
      </c>
    </row>
    <row r="122" spans="2:18" ht="20" x14ac:dyDescent="0.2">
      <c r="B122" s="96" t="s">
        <v>783</v>
      </c>
      <c r="C122" s="22" t="s">
        <v>2778</v>
      </c>
      <c r="D122" s="22"/>
      <c r="E122" s="262"/>
      <c r="F122" s="262"/>
      <c r="G122" s="96" t="s">
        <v>2379</v>
      </c>
      <c r="H122" s="162" t="s">
        <v>1154</v>
      </c>
      <c r="I122" s="209">
        <v>138</v>
      </c>
      <c r="J122" s="209">
        <v>26.5</v>
      </c>
      <c r="K122" s="209">
        <v>42</v>
      </c>
      <c r="L122" s="94">
        <f>K122*1.2</f>
        <v>50.4</v>
      </c>
      <c r="M122" s="94">
        <v>0.9</v>
      </c>
      <c r="N122" s="94">
        <f>K122*$M122</f>
        <v>37.800000000000004</v>
      </c>
      <c r="O122" s="94">
        <f>L122*$M122</f>
        <v>45.36</v>
      </c>
      <c r="P122" s="11" t="s">
        <v>3300</v>
      </c>
      <c r="Q122" s="11"/>
      <c r="R122" s="34">
        <v>120</v>
      </c>
    </row>
    <row r="123" spans="2:18" ht="20" x14ac:dyDescent="0.2">
      <c r="B123" s="96" t="s">
        <v>914</v>
      </c>
      <c r="C123" s="22" t="s">
        <v>2779</v>
      </c>
      <c r="D123" s="22"/>
      <c r="E123" s="262"/>
      <c r="F123" s="262"/>
      <c r="G123" s="96" t="s">
        <v>2379</v>
      </c>
      <c r="H123" s="22"/>
      <c r="I123" s="201">
        <v>144</v>
      </c>
      <c r="J123" s="211"/>
      <c r="K123" s="211"/>
      <c r="L123" s="58"/>
      <c r="M123" s="58"/>
      <c r="N123" s="58"/>
      <c r="O123" s="58"/>
      <c r="P123" s="11"/>
      <c r="Q123" s="11"/>
      <c r="R123" s="34">
        <v>121</v>
      </c>
    </row>
    <row r="124" spans="2:18" ht="20" x14ac:dyDescent="0.2">
      <c r="B124" s="96" t="s">
        <v>1559</v>
      </c>
      <c r="C124" s="22" t="s">
        <v>2661</v>
      </c>
      <c r="D124" s="22"/>
      <c r="E124" s="262">
        <v>52.953384</v>
      </c>
      <c r="F124" s="262">
        <v>-114.795485</v>
      </c>
      <c r="G124" s="96" t="s">
        <v>2379</v>
      </c>
      <c r="H124" s="22"/>
      <c r="I124" s="201">
        <v>144</v>
      </c>
      <c r="J124" s="211"/>
      <c r="K124" s="211"/>
      <c r="L124" s="58"/>
      <c r="M124" s="58"/>
      <c r="N124" s="58"/>
      <c r="O124" s="58"/>
      <c r="P124" s="11"/>
      <c r="Q124" s="11"/>
      <c r="R124" s="34">
        <v>122</v>
      </c>
    </row>
    <row r="125" spans="2:18" ht="20" x14ac:dyDescent="0.2">
      <c r="B125" s="96" t="s">
        <v>1453</v>
      </c>
      <c r="C125" s="22" t="s">
        <v>2780</v>
      </c>
      <c r="D125" s="22"/>
      <c r="E125" s="262"/>
      <c r="F125" s="262"/>
      <c r="G125" s="96" t="s">
        <v>2379</v>
      </c>
      <c r="H125" s="22"/>
      <c r="I125" s="201">
        <v>138</v>
      </c>
      <c r="J125" s="211"/>
      <c r="K125" s="211"/>
      <c r="L125" s="58"/>
      <c r="M125" s="58"/>
      <c r="N125" s="58"/>
      <c r="O125" s="58"/>
      <c r="P125" s="11"/>
      <c r="Q125" s="11"/>
      <c r="R125" s="34">
        <v>123</v>
      </c>
    </row>
    <row r="126" spans="2:18" ht="20" x14ac:dyDescent="0.2">
      <c r="B126" s="96" t="s">
        <v>1363</v>
      </c>
      <c r="C126" s="22" t="s">
        <v>2781</v>
      </c>
      <c r="D126" s="22"/>
      <c r="E126" s="262"/>
      <c r="F126" s="262"/>
      <c r="G126" s="96" t="s">
        <v>2379</v>
      </c>
      <c r="H126" s="22"/>
      <c r="I126" s="201">
        <v>144</v>
      </c>
      <c r="J126" s="211"/>
      <c r="K126" s="211"/>
      <c r="L126" s="58"/>
      <c r="M126" s="58"/>
      <c r="N126" s="58"/>
      <c r="O126" s="58"/>
      <c r="P126" s="11"/>
      <c r="Q126" s="11"/>
      <c r="R126" s="34">
        <v>124</v>
      </c>
    </row>
    <row r="127" spans="2:18" ht="20" x14ac:dyDescent="0.2">
      <c r="B127" s="96" t="s">
        <v>1553</v>
      </c>
      <c r="C127" s="22" t="s">
        <v>2782</v>
      </c>
      <c r="D127" s="22"/>
      <c r="E127" s="262"/>
      <c r="F127" s="262"/>
      <c r="G127" s="96" t="s">
        <v>2379</v>
      </c>
      <c r="H127" s="22"/>
      <c r="I127" s="201">
        <v>138</v>
      </c>
      <c r="J127" s="211"/>
      <c r="K127" s="211"/>
      <c r="L127" s="58"/>
      <c r="M127" s="58"/>
      <c r="N127" s="58"/>
      <c r="O127" s="58"/>
      <c r="P127" s="11"/>
      <c r="Q127" s="11"/>
      <c r="R127" s="34">
        <v>125</v>
      </c>
    </row>
    <row r="128" spans="2:18" ht="20" x14ac:dyDescent="0.2">
      <c r="B128" s="96" t="s">
        <v>1983</v>
      </c>
      <c r="C128" s="22" t="s">
        <v>2783</v>
      </c>
      <c r="D128" s="22"/>
      <c r="E128" s="262"/>
      <c r="F128" s="262"/>
      <c r="G128" s="96" t="s">
        <v>2379</v>
      </c>
      <c r="H128" s="162" t="s">
        <v>1150</v>
      </c>
      <c r="I128" s="209">
        <v>138</v>
      </c>
      <c r="J128" s="209">
        <v>25</v>
      </c>
      <c r="K128" s="209">
        <v>28</v>
      </c>
      <c r="L128" s="94">
        <f>K128*1.2</f>
        <v>33.6</v>
      </c>
      <c r="M128" s="94">
        <v>0.9</v>
      </c>
      <c r="N128" s="94">
        <f t="shared" ref="N128:O131" si="1">K128*$M128</f>
        <v>25.2</v>
      </c>
      <c r="O128" s="94">
        <f t="shared" si="1"/>
        <v>30.240000000000002</v>
      </c>
      <c r="P128" s="11" t="s">
        <v>3276</v>
      </c>
      <c r="Q128" s="11"/>
      <c r="R128" s="34">
        <v>126</v>
      </c>
    </row>
    <row r="129" spans="2:18" ht="20" x14ac:dyDescent="0.2">
      <c r="B129" s="96" t="s">
        <v>1983</v>
      </c>
      <c r="C129" s="22" t="s">
        <v>2783</v>
      </c>
      <c r="D129" s="22"/>
      <c r="E129" s="262"/>
      <c r="F129" s="262"/>
      <c r="G129" s="96" t="s">
        <v>2379</v>
      </c>
      <c r="H129" s="162" t="s">
        <v>1154</v>
      </c>
      <c r="I129" s="209">
        <v>138</v>
      </c>
      <c r="J129" s="209">
        <v>25</v>
      </c>
      <c r="K129" s="209">
        <v>42</v>
      </c>
      <c r="L129" s="94">
        <f>K129*1.2</f>
        <v>50.4</v>
      </c>
      <c r="M129" s="94">
        <v>0.9</v>
      </c>
      <c r="N129" s="94">
        <f t="shared" si="1"/>
        <v>37.800000000000004</v>
      </c>
      <c r="O129" s="94">
        <f t="shared" si="1"/>
        <v>45.36</v>
      </c>
      <c r="P129" s="11" t="s">
        <v>3276</v>
      </c>
      <c r="Q129" s="11"/>
      <c r="R129" s="34">
        <v>127</v>
      </c>
    </row>
    <row r="130" spans="2:18" ht="20" x14ac:dyDescent="0.2">
      <c r="B130" s="96" t="s">
        <v>1976</v>
      </c>
      <c r="C130" s="22" t="s">
        <v>2690</v>
      </c>
      <c r="D130" s="22"/>
      <c r="E130" s="262">
        <v>49.843411469294502</v>
      </c>
      <c r="F130" s="262">
        <v>-111.563074891052</v>
      </c>
      <c r="G130" s="96" t="s">
        <v>2379</v>
      </c>
      <c r="H130" s="162" t="s">
        <v>1150</v>
      </c>
      <c r="I130" s="209">
        <v>138</v>
      </c>
      <c r="J130" s="209">
        <v>25</v>
      </c>
      <c r="K130" s="209">
        <v>42</v>
      </c>
      <c r="L130" s="94">
        <f>K130*1.2</f>
        <v>50.4</v>
      </c>
      <c r="M130" s="94">
        <v>0.9</v>
      </c>
      <c r="N130" s="94">
        <f t="shared" si="1"/>
        <v>37.800000000000004</v>
      </c>
      <c r="O130" s="94">
        <f t="shared" si="1"/>
        <v>45.36</v>
      </c>
      <c r="P130" s="11" t="s">
        <v>3293</v>
      </c>
      <c r="Q130" s="11"/>
      <c r="R130" s="34">
        <v>128</v>
      </c>
    </row>
    <row r="131" spans="2:18" ht="20" x14ac:dyDescent="0.2">
      <c r="B131" s="96" t="s">
        <v>1976</v>
      </c>
      <c r="C131" s="22" t="s">
        <v>2690</v>
      </c>
      <c r="D131" s="22"/>
      <c r="E131" s="262">
        <v>49.843411469294502</v>
      </c>
      <c r="F131" s="262">
        <v>-111.563074891052</v>
      </c>
      <c r="G131" s="96" t="s">
        <v>2379</v>
      </c>
      <c r="H131" s="162" t="s">
        <v>1154</v>
      </c>
      <c r="I131" s="209">
        <v>138</v>
      </c>
      <c r="J131" s="209">
        <v>25</v>
      </c>
      <c r="K131" s="209">
        <v>42</v>
      </c>
      <c r="L131" s="94">
        <f>K131*1.2</f>
        <v>50.4</v>
      </c>
      <c r="M131" s="94">
        <v>0.9</v>
      </c>
      <c r="N131" s="94">
        <f t="shared" si="1"/>
        <v>37.800000000000004</v>
      </c>
      <c r="O131" s="94">
        <f t="shared" si="1"/>
        <v>45.36</v>
      </c>
      <c r="P131" s="11" t="s">
        <v>3293</v>
      </c>
      <c r="Q131" s="11"/>
      <c r="R131" s="34">
        <v>129</v>
      </c>
    </row>
    <row r="132" spans="2:18" ht="20" x14ac:dyDescent="0.2">
      <c r="B132" s="96" t="s">
        <v>1593</v>
      </c>
      <c r="C132" s="22" t="s">
        <v>2784</v>
      </c>
      <c r="D132" s="22"/>
      <c r="E132" s="262"/>
      <c r="F132" s="262"/>
      <c r="G132" s="96" t="s">
        <v>2379</v>
      </c>
      <c r="H132" s="22"/>
      <c r="I132" s="201">
        <v>72</v>
      </c>
      <c r="J132" s="211"/>
      <c r="K132" s="211"/>
      <c r="L132" s="58"/>
      <c r="M132" s="58"/>
      <c r="N132" s="58"/>
      <c r="O132" s="58"/>
      <c r="P132" s="11"/>
      <c r="Q132" s="11"/>
      <c r="R132" s="34">
        <v>130</v>
      </c>
    </row>
    <row r="133" spans="2:18" ht="20" x14ac:dyDescent="0.2">
      <c r="B133" s="96" t="s">
        <v>927</v>
      </c>
      <c r="C133" s="22" t="s">
        <v>2785</v>
      </c>
      <c r="D133" s="22"/>
      <c r="E133" s="262"/>
      <c r="F133" s="262"/>
      <c r="G133" s="96" t="s">
        <v>2379</v>
      </c>
      <c r="H133" s="22"/>
      <c r="I133" s="201">
        <v>144</v>
      </c>
      <c r="J133" s="211"/>
      <c r="K133" s="211"/>
      <c r="L133" s="58"/>
      <c r="M133" s="58"/>
      <c r="N133" s="58"/>
      <c r="O133" s="58"/>
      <c r="P133" s="11"/>
      <c r="Q133" s="11"/>
      <c r="R133" s="34">
        <v>131</v>
      </c>
    </row>
    <row r="134" spans="2:18" ht="20" x14ac:dyDescent="0.2">
      <c r="B134" s="96" t="s">
        <v>1146</v>
      </c>
      <c r="C134" s="22" t="s">
        <v>3246</v>
      </c>
      <c r="D134" s="22"/>
      <c r="E134" s="262"/>
      <c r="F134" s="262"/>
      <c r="G134" s="96" t="s">
        <v>2379</v>
      </c>
      <c r="H134" s="22"/>
      <c r="I134" s="201">
        <v>240</v>
      </c>
      <c r="J134" s="211"/>
      <c r="K134" s="211"/>
      <c r="L134" s="58"/>
      <c r="M134" s="58"/>
      <c r="N134" s="58"/>
      <c r="O134" s="58"/>
      <c r="P134" s="11"/>
      <c r="Q134" s="11"/>
      <c r="R134" s="34">
        <v>132</v>
      </c>
    </row>
    <row r="135" spans="2:18" ht="20" x14ac:dyDescent="0.2">
      <c r="B135" s="96" t="s">
        <v>1372</v>
      </c>
      <c r="C135" s="22" t="s">
        <v>3247</v>
      </c>
      <c r="D135" s="22"/>
      <c r="E135" s="262"/>
      <c r="F135" s="262"/>
      <c r="G135" s="96" t="s">
        <v>2379</v>
      </c>
      <c r="H135" s="22"/>
      <c r="I135" s="201">
        <v>144</v>
      </c>
      <c r="J135" s="211"/>
      <c r="K135" s="211"/>
      <c r="L135" s="58"/>
      <c r="M135" s="58"/>
      <c r="N135" s="58"/>
      <c r="O135" s="58"/>
      <c r="P135" s="11"/>
      <c r="Q135" s="11"/>
      <c r="R135" s="34">
        <v>133</v>
      </c>
    </row>
    <row r="136" spans="2:18" ht="20" x14ac:dyDescent="0.2">
      <c r="B136" s="96" t="s">
        <v>971</v>
      </c>
      <c r="C136" s="22" t="s">
        <v>3248</v>
      </c>
      <c r="D136" s="22"/>
      <c r="E136" s="262"/>
      <c r="F136" s="262"/>
      <c r="G136" s="96" t="s">
        <v>2379</v>
      </c>
      <c r="H136" s="22"/>
      <c r="I136" s="201">
        <v>138</v>
      </c>
      <c r="J136" s="211"/>
      <c r="K136" s="211"/>
      <c r="L136" s="58"/>
      <c r="M136" s="58"/>
      <c r="N136" s="58"/>
      <c r="O136" s="58"/>
      <c r="P136" s="11"/>
      <c r="Q136" s="11"/>
      <c r="R136" s="34">
        <v>134</v>
      </c>
    </row>
    <row r="137" spans="2:18" ht="20" x14ac:dyDescent="0.2">
      <c r="B137" s="96" t="s">
        <v>1684</v>
      </c>
      <c r="C137" s="22" t="s">
        <v>2786</v>
      </c>
      <c r="D137" s="22"/>
      <c r="E137" s="262"/>
      <c r="F137" s="262"/>
      <c r="G137" s="96" t="s">
        <v>2379</v>
      </c>
      <c r="H137" s="22"/>
      <c r="I137" s="201">
        <v>138</v>
      </c>
      <c r="J137" s="211"/>
      <c r="K137" s="211"/>
      <c r="L137" s="58"/>
      <c r="M137" s="58"/>
      <c r="N137" s="58"/>
      <c r="O137" s="58"/>
      <c r="P137" s="11"/>
      <c r="Q137" s="11"/>
      <c r="R137" s="34">
        <v>135</v>
      </c>
    </row>
    <row r="138" spans="2:18" ht="20" x14ac:dyDescent="0.2">
      <c r="B138" s="96" t="s">
        <v>1592</v>
      </c>
      <c r="C138" s="22" t="s">
        <v>2787</v>
      </c>
      <c r="D138" s="22"/>
      <c r="E138" s="262"/>
      <c r="F138" s="262"/>
      <c r="G138" s="96" t="s">
        <v>2379</v>
      </c>
      <c r="H138" s="22"/>
      <c r="I138" s="201">
        <v>72</v>
      </c>
      <c r="J138" s="211"/>
      <c r="K138" s="211"/>
      <c r="L138" s="58"/>
      <c r="M138" s="58"/>
      <c r="N138" s="58"/>
      <c r="O138" s="58"/>
      <c r="P138" s="11"/>
      <c r="Q138" s="11"/>
      <c r="R138" s="34">
        <v>136</v>
      </c>
    </row>
    <row r="139" spans="2:18" ht="20" x14ac:dyDescent="0.2">
      <c r="B139" s="96" t="s">
        <v>816</v>
      </c>
      <c r="C139" s="22" t="s">
        <v>2648</v>
      </c>
      <c r="D139" s="22"/>
      <c r="E139" s="262"/>
      <c r="F139" s="262"/>
      <c r="G139" s="96" t="s">
        <v>2379</v>
      </c>
      <c r="H139" s="22"/>
      <c r="I139" s="201">
        <v>144</v>
      </c>
      <c r="J139" s="211"/>
      <c r="K139" s="211"/>
      <c r="L139" s="58"/>
      <c r="M139" s="58"/>
      <c r="N139" s="58"/>
      <c r="O139" s="58"/>
      <c r="P139" s="11"/>
      <c r="Q139" s="11"/>
      <c r="R139" s="34">
        <v>137</v>
      </c>
    </row>
    <row r="140" spans="2:18" ht="20" x14ac:dyDescent="0.2">
      <c r="B140" s="96" t="s">
        <v>1608</v>
      </c>
      <c r="C140" s="22" t="s">
        <v>2712</v>
      </c>
      <c r="D140" s="22"/>
      <c r="E140" s="262"/>
      <c r="F140" s="262"/>
      <c r="G140" s="96" t="s">
        <v>2379</v>
      </c>
      <c r="H140" s="22"/>
      <c r="I140" s="201">
        <v>144</v>
      </c>
      <c r="J140" s="211"/>
      <c r="K140" s="211"/>
      <c r="L140" s="58"/>
      <c r="M140" s="58"/>
      <c r="N140" s="58"/>
      <c r="O140" s="58"/>
      <c r="P140" s="11"/>
      <c r="Q140" s="11"/>
      <c r="R140" s="34">
        <v>138</v>
      </c>
    </row>
    <row r="141" spans="2:18" ht="20" x14ac:dyDescent="0.2">
      <c r="B141" s="96" t="s">
        <v>1841</v>
      </c>
      <c r="C141" s="22" t="s">
        <v>2663</v>
      </c>
      <c r="D141" s="22"/>
      <c r="E141" s="262">
        <v>50.846600000000002</v>
      </c>
      <c r="F141" s="262">
        <v>-113.58159999999999</v>
      </c>
      <c r="G141" s="96" t="s">
        <v>2379</v>
      </c>
      <c r="H141" s="22"/>
      <c r="I141" s="201">
        <v>138</v>
      </c>
      <c r="J141" s="211"/>
      <c r="K141" s="211"/>
      <c r="L141" s="58"/>
      <c r="M141" s="58"/>
      <c r="N141" s="58"/>
      <c r="O141" s="58"/>
      <c r="P141" s="11"/>
      <c r="Q141" s="11"/>
      <c r="R141" s="34">
        <v>139</v>
      </c>
    </row>
    <row r="142" spans="2:18" ht="20" x14ac:dyDescent="0.2">
      <c r="B142" s="96" t="s">
        <v>1217</v>
      </c>
      <c r="C142" s="22" t="s">
        <v>2788</v>
      </c>
      <c r="D142" s="22"/>
      <c r="E142" s="262"/>
      <c r="F142" s="262"/>
      <c r="G142" s="96" t="s">
        <v>2379</v>
      </c>
      <c r="H142" s="22"/>
      <c r="I142" s="201">
        <v>138</v>
      </c>
      <c r="J142" s="211"/>
      <c r="K142" s="211"/>
      <c r="L142" s="58"/>
      <c r="M142" s="58"/>
      <c r="N142" s="58"/>
      <c r="O142" s="58"/>
      <c r="P142" s="11"/>
      <c r="Q142" s="11"/>
      <c r="R142" s="34">
        <v>140</v>
      </c>
    </row>
    <row r="143" spans="2:18" ht="20" x14ac:dyDescent="0.2">
      <c r="B143" s="96" t="s">
        <v>1689</v>
      </c>
      <c r="C143" s="22" t="s">
        <v>2664</v>
      </c>
      <c r="D143" s="22"/>
      <c r="E143" s="262">
        <v>51.2001858</v>
      </c>
      <c r="F143" s="262">
        <v>-115.502093</v>
      </c>
      <c r="G143" s="96" t="s">
        <v>2379</v>
      </c>
      <c r="H143" s="22"/>
      <c r="I143" s="201">
        <v>138</v>
      </c>
      <c r="J143" s="211"/>
      <c r="K143" s="211"/>
      <c r="L143" s="58"/>
      <c r="M143" s="58"/>
      <c r="N143" s="58"/>
      <c r="O143" s="58"/>
      <c r="P143" s="11"/>
      <c r="Q143" s="11"/>
      <c r="R143" s="34">
        <v>141</v>
      </c>
    </row>
    <row r="144" spans="2:18" ht="20" x14ac:dyDescent="0.2">
      <c r="B144" s="96" t="s">
        <v>1696</v>
      </c>
      <c r="C144" s="22" t="s">
        <v>2789</v>
      </c>
      <c r="D144" s="22"/>
      <c r="E144" s="262"/>
      <c r="F144" s="262"/>
      <c r="G144" s="96" t="s">
        <v>2379</v>
      </c>
      <c r="H144" s="22"/>
      <c r="I144" s="201">
        <v>138</v>
      </c>
      <c r="J144" s="211"/>
      <c r="K144" s="211"/>
      <c r="L144" s="58"/>
      <c r="M144" s="58"/>
      <c r="N144" s="58"/>
      <c r="O144" s="58"/>
      <c r="P144" s="11"/>
      <c r="Q144" s="11"/>
      <c r="R144" s="34">
        <v>142</v>
      </c>
    </row>
    <row r="145" spans="2:18" ht="20" x14ac:dyDescent="0.2">
      <c r="B145" s="96" t="s">
        <v>561</v>
      </c>
      <c r="C145" s="22" t="s">
        <v>2790</v>
      </c>
      <c r="D145" s="22"/>
      <c r="E145" s="262"/>
      <c r="F145" s="262"/>
      <c r="G145" s="96" t="s">
        <v>2379</v>
      </c>
      <c r="H145" s="22"/>
      <c r="I145" s="201">
        <v>240</v>
      </c>
      <c r="J145" s="211"/>
      <c r="K145" s="211"/>
      <c r="L145" s="58"/>
      <c r="M145" s="58"/>
      <c r="N145" s="58"/>
      <c r="O145" s="58"/>
      <c r="P145" s="11"/>
      <c r="Q145" s="11"/>
      <c r="R145" s="34">
        <v>143</v>
      </c>
    </row>
    <row r="146" spans="2:18" ht="20" x14ac:dyDescent="0.2">
      <c r="B146" s="96" t="s">
        <v>687</v>
      </c>
      <c r="C146" s="22" t="s">
        <v>2791</v>
      </c>
      <c r="D146" s="22"/>
      <c r="E146" s="262"/>
      <c r="F146" s="262"/>
      <c r="G146" s="96" t="s">
        <v>2379</v>
      </c>
      <c r="H146" s="22"/>
      <c r="I146" s="201">
        <v>240</v>
      </c>
      <c r="J146" s="211"/>
      <c r="K146" s="211"/>
      <c r="L146" s="58"/>
      <c r="M146" s="58"/>
      <c r="N146" s="58"/>
      <c r="O146" s="58"/>
      <c r="P146" s="11"/>
      <c r="Q146" s="11"/>
      <c r="R146" s="34">
        <v>144</v>
      </c>
    </row>
    <row r="147" spans="2:18" ht="20" x14ac:dyDescent="0.2">
      <c r="B147" s="96" t="s">
        <v>1864</v>
      </c>
      <c r="C147" s="22" t="s">
        <v>2665</v>
      </c>
      <c r="D147" s="22"/>
      <c r="E147" s="262">
        <v>49.515999899999997</v>
      </c>
      <c r="F147" s="262">
        <v>-114.0275553</v>
      </c>
      <c r="G147" s="96" t="s">
        <v>2379</v>
      </c>
      <c r="H147" s="22"/>
      <c r="I147" s="201">
        <v>138</v>
      </c>
      <c r="J147" s="211"/>
      <c r="K147" s="211"/>
      <c r="L147" s="58"/>
      <c r="M147" s="58"/>
      <c r="N147" s="58"/>
      <c r="O147" s="58"/>
      <c r="P147" s="11"/>
      <c r="Q147" s="11"/>
      <c r="R147" s="34">
        <v>145</v>
      </c>
    </row>
    <row r="148" spans="2:18" ht="20" x14ac:dyDescent="0.2">
      <c r="B148" s="96" t="s">
        <v>617</v>
      </c>
      <c r="C148" s="22" t="s">
        <v>2666</v>
      </c>
      <c r="D148" s="22"/>
      <c r="E148" s="262">
        <v>49.556113699999997</v>
      </c>
      <c r="F148" s="262">
        <v>-113.9629544</v>
      </c>
      <c r="G148" s="96" t="s">
        <v>2379</v>
      </c>
      <c r="H148" s="22"/>
      <c r="I148" s="201">
        <v>240</v>
      </c>
      <c r="J148" s="211"/>
      <c r="K148" s="211"/>
      <c r="L148" s="58"/>
      <c r="M148" s="58"/>
      <c r="N148" s="58"/>
      <c r="O148" s="58"/>
      <c r="P148" s="11"/>
      <c r="Q148" s="11"/>
      <c r="R148" s="34">
        <v>146</v>
      </c>
    </row>
    <row r="149" spans="2:18" ht="20" x14ac:dyDescent="0.2">
      <c r="B149" s="96" t="s">
        <v>1526</v>
      </c>
      <c r="C149" s="22" t="s">
        <v>2792</v>
      </c>
      <c r="D149" s="22"/>
      <c r="E149" s="262"/>
      <c r="F149" s="262"/>
      <c r="G149" s="96" t="s">
        <v>2379</v>
      </c>
      <c r="H149" s="22"/>
      <c r="I149" s="201">
        <v>69</v>
      </c>
      <c r="J149" s="211"/>
      <c r="K149" s="211"/>
      <c r="L149" s="58"/>
      <c r="M149" s="58"/>
      <c r="N149" s="58"/>
      <c r="O149" s="58"/>
      <c r="P149" s="11"/>
      <c r="Q149" s="11"/>
      <c r="R149" s="34">
        <v>147</v>
      </c>
    </row>
    <row r="150" spans="2:18" ht="20" x14ac:dyDescent="0.2">
      <c r="B150" s="96" t="s">
        <v>1837</v>
      </c>
      <c r="C150" s="22" t="s">
        <v>2611</v>
      </c>
      <c r="D150" s="22"/>
      <c r="E150" s="262">
        <v>51.005600000000001</v>
      </c>
      <c r="F150" s="262">
        <v>-113.1716</v>
      </c>
      <c r="G150" s="96" t="s">
        <v>2379</v>
      </c>
      <c r="H150" s="22"/>
      <c r="I150" s="201">
        <v>144</v>
      </c>
      <c r="J150" s="211"/>
      <c r="K150" s="211"/>
      <c r="L150" s="58"/>
      <c r="M150" s="58"/>
      <c r="N150" s="58"/>
      <c r="O150" s="58"/>
      <c r="P150" s="11"/>
      <c r="Q150" s="11"/>
      <c r="R150" s="34">
        <v>148</v>
      </c>
    </row>
    <row r="151" spans="2:18" ht="20" x14ac:dyDescent="0.2">
      <c r="B151" s="96" t="s">
        <v>894</v>
      </c>
      <c r="C151" s="22" t="s">
        <v>2625</v>
      </c>
      <c r="D151" s="22"/>
      <c r="E151" s="262"/>
      <c r="F151" s="262"/>
      <c r="G151" s="96" t="s">
        <v>2379</v>
      </c>
      <c r="H151" s="22"/>
      <c r="I151" s="201">
        <v>144</v>
      </c>
      <c r="J151" s="211"/>
      <c r="K151" s="211"/>
      <c r="L151" s="58"/>
      <c r="M151" s="58"/>
      <c r="N151" s="58"/>
      <c r="O151" s="58"/>
      <c r="P151" s="11"/>
      <c r="Q151" s="11"/>
      <c r="R151" s="34">
        <v>149</v>
      </c>
    </row>
    <row r="152" spans="2:18" ht="20" x14ac:dyDescent="0.2">
      <c r="B152" s="96" t="s">
        <v>1858</v>
      </c>
      <c r="C152" s="22" t="s">
        <v>2793</v>
      </c>
      <c r="D152" s="22"/>
      <c r="E152" s="262"/>
      <c r="F152" s="262"/>
      <c r="G152" s="96" t="s">
        <v>2379</v>
      </c>
      <c r="H152" s="22"/>
      <c r="I152" s="201">
        <v>500</v>
      </c>
      <c r="J152" s="211"/>
      <c r="K152" s="211"/>
      <c r="L152" s="58"/>
      <c r="M152" s="58"/>
      <c r="N152" s="58"/>
      <c r="O152" s="58"/>
      <c r="P152" s="11"/>
      <c r="Q152" s="11"/>
      <c r="R152" s="34">
        <v>150</v>
      </c>
    </row>
    <row r="153" spans="2:18" ht="20" x14ac:dyDescent="0.2">
      <c r="B153" s="96" t="s">
        <v>1991</v>
      </c>
      <c r="C153" s="22" t="s">
        <v>2612</v>
      </c>
      <c r="D153" s="22"/>
      <c r="E153" s="262">
        <v>50.221113643185198</v>
      </c>
      <c r="F153" s="262">
        <v>-110.44612081463301</v>
      </c>
      <c r="G153" s="96" t="s">
        <v>2379</v>
      </c>
      <c r="H153" s="162" t="s">
        <v>1150</v>
      </c>
      <c r="I153" s="209">
        <v>138</v>
      </c>
      <c r="J153" s="209">
        <v>25</v>
      </c>
      <c r="K153" s="209">
        <v>18.7</v>
      </c>
      <c r="L153" s="94">
        <f>K153*1.2</f>
        <v>22.439999999999998</v>
      </c>
      <c r="M153" s="94">
        <v>0.9</v>
      </c>
      <c r="N153" s="94">
        <f>K153*$M153</f>
        <v>16.829999999999998</v>
      </c>
      <c r="O153" s="94">
        <f>L153*$M153</f>
        <v>20.195999999999998</v>
      </c>
      <c r="P153" s="11" t="s">
        <v>3274</v>
      </c>
      <c r="Q153" s="11"/>
      <c r="R153" s="34">
        <v>151</v>
      </c>
    </row>
    <row r="154" spans="2:18" ht="20" x14ac:dyDescent="0.2">
      <c r="B154" s="96" t="s">
        <v>960</v>
      </c>
      <c r="C154" s="22" t="s">
        <v>2794</v>
      </c>
      <c r="D154" s="22"/>
      <c r="E154" s="262"/>
      <c r="F154" s="262"/>
      <c r="G154" s="96" t="s">
        <v>2379</v>
      </c>
      <c r="H154" s="22"/>
      <c r="I154" s="201">
        <v>144</v>
      </c>
      <c r="J154" s="211"/>
      <c r="K154" s="211"/>
      <c r="L154" s="58"/>
      <c r="M154" s="58"/>
      <c r="N154" s="58"/>
      <c r="O154" s="58"/>
      <c r="P154" s="11"/>
      <c r="Q154" s="11"/>
      <c r="R154" s="34">
        <v>152</v>
      </c>
    </row>
    <row r="155" spans="2:18" ht="20" x14ac:dyDescent="0.2">
      <c r="B155" s="96" t="s">
        <v>584</v>
      </c>
      <c r="C155" s="22" t="s">
        <v>2795</v>
      </c>
      <c r="D155" s="22"/>
      <c r="E155" s="262"/>
      <c r="F155" s="262"/>
      <c r="G155" s="96" t="s">
        <v>2379</v>
      </c>
      <c r="H155" s="22"/>
      <c r="I155" s="201">
        <v>240</v>
      </c>
      <c r="J155" s="211"/>
      <c r="K155" s="211"/>
      <c r="L155" s="58"/>
      <c r="M155" s="58"/>
      <c r="N155" s="58"/>
      <c r="O155" s="58"/>
      <c r="P155" s="11"/>
      <c r="Q155" s="11"/>
      <c r="R155" s="34">
        <v>153</v>
      </c>
    </row>
    <row r="156" spans="2:18" ht="20" x14ac:dyDescent="0.2">
      <c r="B156" s="96" t="s">
        <v>1795</v>
      </c>
      <c r="C156" s="22" t="s">
        <v>2796</v>
      </c>
      <c r="D156" s="22"/>
      <c r="E156" s="262"/>
      <c r="F156" s="262"/>
      <c r="G156" s="96" t="s">
        <v>2379</v>
      </c>
      <c r="H156" s="22"/>
      <c r="I156" s="201">
        <v>138</v>
      </c>
      <c r="J156" s="211"/>
      <c r="K156" s="211"/>
      <c r="L156" s="58"/>
      <c r="M156" s="58"/>
      <c r="N156" s="58"/>
      <c r="O156" s="58"/>
      <c r="P156" s="11"/>
      <c r="Q156" s="11"/>
      <c r="R156" s="34">
        <v>154</v>
      </c>
    </row>
    <row r="157" spans="2:18" ht="20" x14ac:dyDescent="0.2">
      <c r="B157" s="96" t="s">
        <v>1590</v>
      </c>
      <c r="C157" s="22" t="s">
        <v>2797</v>
      </c>
      <c r="D157" s="22"/>
      <c r="E157" s="262"/>
      <c r="F157" s="262"/>
      <c r="G157" s="96" t="s">
        <v>2379</v>
      </c>
      <c r="H157" s="22"/>
      <c r="I157" s="201">
        <v>72</v>
      </c>
      <c r="J157" s="211"/>
      <c r="K157" s="211"/>
      <c r="L157" s="58"/>
      <c r="M157" s="58"/>
      <c r="N157" s="58"/>
      <c r="O157" s="58"/>
      <c r="P157" s="11"/>
      <c r="Q157" s="11"/>
      <c r="R157" s="34">
        <v>155</v>
      </c>
    </row>
    <row r="158" spans="2:18" ht="20" x14ac:dyDescent="0.2">
      <c r="B158" s="96" t="s">
        <v>1197</v>
      </c>
      <c r="C158" s="22" t="s">
        <v>3249</v>
      </c>
      <c r="D158" s="22"/>
      <c r="E158" s="262"/>
      <c r="F158" s="262"/>
      <c r="G158" s="96" t="s">
        <v>2379</v>
      </c>
      <c r="H158" s="22"/>
      <c r="I158" s="201">
        <v>144</v>
      </c>
      <c r="J158" s="211"/>
      <c r="K158" s="211"/>
      <c r="L158" s="58"/>
      <c r="M158" s="58"/>
      <c r="N158" s="58"/>
      <c r="O158" s="58"/>
      <c r="P158" s="11"/>
      <c r="Q158" s="11"/>
      <c r="R158" s="34">
        <v>156</v>
      </c>
    </row>
    <row r="159" spans="2:18" ht="20" x14ac:dyDescent="0.2">
      <c r="B159" s="96" t="s">
        <v>1201</v>
      </c>
      <c r="C159" s="22" t="s">
        <v>3250</v>
      </c>
      <c r="D159" s="22"/>
      <c r="E159" s="262"/>
      <c r="F159" s="262"/>
      <c r="G159" s="96" t="s">
        <v>2379</v>
      </c>
      <c r="H159" s="22"/>
      <c r="I159" s="201">
        <v>144</v>
      </c>
      <c r="J159" s="211"/>
      <c r="K159" s="211"/>
      <c r="L159" s="58"/>
      <c r="M159" s="58"/>
      <c r="N159" s="58"/>
      <c r="O159" s="58"/>
      <c r="P159" s="11"/>
      <c r="Q159" s="11"/>
      <c r="R159" s="34">
        <v>157</v>
      </c>
    </row>
    <row r="160" spans="2:18" ht="20" x14ac:dyDescent="0.2">
      <c r="B160" s="96" t="s">
        <v>677</v>
      </c>
      <c r="C160" s="22" t="s">
        <v>2633</v>
      </c>
      <c r="D160" s="22"/>
      <c r="E160" s="262"/>
      <c r="F160" s="262"/>
      <c r="G160" s="96" t="s">
        <v>2379</v>
      </c>
      <c r="H160" s="22"/>
      <c r="I160" s="201">
        <v>144</v>
      </c>
      <c r="J160" s="211"/>
      <c r="K160" s="211"/>
      <c r="L160" s="58"/>
      <c r="M160" s="58"/>
      <c r="N160" s="58"/>
      <c r="O160" s="58"/>
      <c r="P160" s="11"/>
      <c r="Q160" s="11"/>
      <c r="R160" s="34">
        <v>158</v>
      </c>
    </row>
    <row r="161" spans="2:18" ht="20" x14ac:dyDescent="0.2">
      <c r="B161" s="96" t="s">
        <v>1911</v>
      </c>
      <c r="C161" s="22" t="s">
        <v>2667</v>
      </c>
      <c r="D161" s="22"/>
      <c r="E161" s="262">
        <v>49.675572699999996</v>
      </c>
      <c r="F161" s="262">
        <v>-112.34457260000001</v>
      </c>
      <c r="G161" s="96" t="s">
        <v>2379</v>
      </c>
      <c r="H161" s="22"/>
      <c r="I161" s="201">
        <v>138</v>
      </c>
      <c r="J161" s="211"/>
      <c r="K161" s="211"/>
      <c r="L161" s="58"/>
      <c r="M161" s="58"/>
      <c r="N161" s="58"/>
      <c r="O161" s="58"/>
      <c r="P161" s="11"/>
      <c r="Q161" s="11"/>
      <c r="R161" s="34">
        <v>159</v>
      </c>
    </row>
    <row r="162" spans="2:18" ht="20" x14ac:dyDescent="0.2">
      <c r="B162" s="96" t="s">
        <v>929</v>
      </c>
      <c r="C162" s="22" t="s">
        <v>2798</v>
      </c>
      <c r="D162" s="22"/>
      <c r="E162" s="262"/>
      <c r="F162" s="262"/>
      <c r="G162" s="96" t="s">
        <v>2379</v>
      </c>
      <c r="H162" s="22"/>
      <c r="I162" s="201">
        <v>144</v>
      </c>
      <c r="J162" s="211"/>
      <c r="K162" s="211"/>
      <c r="L162" s="58"/>
      <c r="M162" s="58"/>
      <c r="N162" s="58"/>
      <c r="O162" s="58"/>
      <c r="P162" s="11"/>
      <c r="Q162" s="11"/>
      <c r="R162" s="34">
        <v>160</v>
      </c>
    </row>
    <row r="163" spans="2:18" ht="20" x14ac:dyDescent="0.2">
      <c r="B163" s="96" t="s">
        <v>1936</v>
      </c>
      <c r="C163" s="22" t="s">
        <v>2799</v>
      </c>
      <c r="D163" s="22"/>
      <c r="E163" s="262"/>
      <c r="F163" s="262"/>
      <c r="G163" s="96" t="s">
        <v>2379</v>
      </c>
      <c r="H163" s="22"/>
      <c r="I163" s="201">
        <v>138</v>
      </c>
      <c r="J163" s="211"/>
      <c r="K163" s="211"/>
      <c r="L163" s="58"/>
      <c r="M163" s="58"/>
      <c r="N163" s="58"/>
      <c r="O163" s="58"/>
      <c r="P163" s="11"/>
      <c r="Q163" s="11"/>
      <c r="R163" s="34">
        <v>161</v>
      </c>
    </row>
    <row r="164" spans="2:18" ht="20" x14ac:dyDescent="0.2">
      <c r="B164" s="96" t="s">
        <v>631</v>
      </c>
      <c r="C164" s="22" t="s">
        <v>2668</v>
      </c>
      <c r="D164" s="22"/>
      <c r="E164" s="262">
        <v>55.562792000000002</v>
      </c>
      <c r="F164" s="262">
        <v>-110.913507</v>
      </c>
      <c r="G164" s="96" t="s">
        <v>2379</v>
      </c>
      <c r="H164" s="22"/>
      <c r="I164" s="201">
        <v>240</v>
      </c>
      <c r="J164" s="211"/>
      <c r="K164" s="211"/>
      <c r="L164" s="58"/>
      <c r="M164" s="58"/>
      <c r="N164" s="58"/>
      <c r="O164" s="58"/>
      <c r="P164" s="11"/>
      <c r="Q164" s="11"/>
      <c r="R164" s="34">
        <v>162</v>
      </c>
    </row>
    <row r="165" spans="2:18" ht="20" x14ac:dyDescent="0.2">
      <c r="B165" s="96" t="s">
        <v>883</v>
      </c>
      <c r="C165" s="22" t="s">
        <v>2800</v>
      </c>
      <c r="D165" s="22"/>
      <c r="E165" s="262"/>
      <c r="F165" s="262"/>
      <c r="G165" s="96" t="s">
        <v>2379</v>
      </c>
      <c r="H165" s="22"/>
      <c r="I165" s="201">
        <v>144</v>
      </c>
      <c r="J165" s="211"/>
      <c r="K165" s="211"/>
      <c r="L165" s="58"/>
      <c r="M165" s="58"/>
      <c r="N165" s="58"/>
      <c r="O165" s="58"/>
      <c r="P165" s="11"/>
      <c r="Q165" s="11"/>
      <c r="R165" s="34">
        <v>163</v>
      </c>
    </row>
    <row r="166" spans="2:18" ht="20" x14ac:dyDescent="0.2">
      <c r="B166" s="96" t="s">
        <v>1470</v>
      </c>
      <c r="C166" s="22" t="s">
        <v>2801</v>
      </c>
      <c r="D166" s="22"/>
      <c r="E166" s="262"/>
      <c r="F166" s="262"/>
      <c r="G166" s="96" t="s">
        <v>2379</v>
      </c>
      <c r="H166" s="22"/>
      <c r="I166" s="201">
        <v>138</v>
      </c>
      <c r="J166" s="211"/>
      <c r="K166" s="211"/>
      <c r="L166" s="58"/>
      <c r="M166" s="58"/>
      <c r="N166" s="58"/>
      <c r="O166" s="58"/>
      <c r="P166" s="11"/>
      <c r="Q166" s="11"/>
      <c r="R166" s="34">
        <v>164</v>
      </c>
    </row>
    <row r="167" spans="2:18" ht="20" x14ac:dyDescent="0.2">
      <c r="B167" s="96" t="s">
        <v>1003</v>
      </c>
      <c r="C167" s="22" t="s">
        <v>2669</v>
      </c>
      <c r="D167" s="22"/>
      <c r="E167" s="262">
        <v>53.595620599999997</v>
      </c>
      <c r="F167" s="262">
        <v>-113.3321823</v>
      </c>
      <c r="G167" s="96" t="s">
        <v>2379</v>
      </c>
      <c r="H167" s="162" t="s">
        <v>1150</v>
      </c>
      <c r="I167" s="209">
        <v>240</v>
      </c>
      <c r="J167" s="209">
        <v>69</v>
      </c>
      <c r="K167" s="209">
        <v>200</v>
      </c>
      <c r="L167" s="94">
        <f>K167*1.2</f>
        <v>240</v>
      </c>
      <c r="M167" s="94">
        <v>0.9</v>
      </c>
      <c r="N167" s="94">
        <f>K167*$M167</f>
        <v>180</v>
      </c>
      <c r="O167" s="94">
        <f>L167*$M167</f>
        <v>216</v>
      </c>
      <c r="P167" s="11" t="s">
        <v>3304</v>
      </c>
      <c r="Q167" s="11"/>
      <c r="R167" s="34">
        <v>165</v>
      </c>
    </row>
    <row r="168" spans="2:18" ht="20" x14ac:dyDescent="0.2">
      <c r="B168" s="96" t="s">
        <v>1003</v>
      </c>
      <c r="C168" s="22" t="s">
        <v>2669</v>
      </c>
      <c r="D168" s="22"/>
      <c r="E168" s="262">
        <v>53.595620599999997</v>
      </c>
      <c r="F168" s="262">
        <v>-113.3321823</v>
      </c>
      <c r="G168" s="96" t="s">
        <v>2379</v>
      </c>
      <c r="H168" s="162" t="s">
        <v>1154</v>
      </c>
      <c r="I168" s="209">
        <v>240</v>
      </c>
      <c r="J168" s="209">
        <v>69</v>
      </c>
      <c r="K168" s="209">
        <v>200</v>
      </c>
      <c r="L168" s="94">
        <f>K168*1.2</f>
        <v>240</v>
      </c>
      <c r="M168" s="94">
        <v>0.9</v>
      </c>
      <c r="N168" s="94">
        <f>K168*$M168</f>
        <v>180</v>
      </c>
      <c r="O168" s="94">
        <f>L168*$M168</f>
        <v>216</v>
      </c>
      <c r="P168" s="11" t="s">
        <v>3304</v>
      </c>
      <c r="Q168" s="11"/>
      <c r="R168" s="34">
        <v>166</v>
      </c>
    </row>
    <row r="169" spans="2:18" ht="20" x14ac:dyDescent="0.2">
      <c r="B169" s="96" t="s">
        <v>682</v>
      </c>
      <c r="C169" s="22" t="s">
        <v>2802</v>
      </c>
      <c r="D169" s="22"/>
      <c r="E169" s="262"/>
      <c r="F169" s="262"/>
      <c r="G169" s="96" t="s">
        <v>2379</v>
      </c>
      <c r="H169" s="22"/>
      <c r="I169" s="201">
        <v>138</v>
      </c>
      <c r="J169" s="211"/>
      <c r="K169" s="211"/>
      <c r="L169" s="58"/>
      <c r="M169" s="58"/>
      <c r="N169" s="58"/>
      <c r="O169" s="58"/>
      <c r="P169" s="11"/>
      <c r="Q169" s="11"/>
      <c r="R169" s="34">
        <v>167</v>
      </c>
    </row>
    <row r="170" spans="2:18" ht="20" x14ac:dyDescent="0.2">
      <c r="B170" s="96" t="s">
        <v>1588</v>
      </c>
      <c r="C170" s="22" t="s">
        <v>2803</v>
      </c>
      <c r="D170" s="22"/>
      <c r="E170" s="262"/>
      <c r="F170" s="262"/>
      <c r="G170" s="96" t="s">
        <v>2379</v>
      </c>
      <c r="H170" s="22"/>
      <c r="I170" s="201">
        <v>144</v>
      </c>
      <c r="J170" s="211"/>
      <c r="K170" s="211"/>
      <c r="L170" s="58"/>
      <c r="M170" s="58"/>
      <c r="N170" s="58"/>
      <c r="O170" s="58"/>
      <c r="P170" s="11"/>
      <c r="Q170" s="11"/>
      <c r="R170" s="34">
        <v>168</v>
      </c>
    </row>
    <row r="171" spans="2:18" ht="20" x14ac:dyDescent="0.2">
      <c r="B171" s="96" t="s">
        <v>1928</v>
      </c>
      <c r="C171" s="22" t="s">
        <v>2804</v>
      </c>
      <c r="D171" s="22"/>
      <c r="E171" s="262"/>
      <c r="F171" s="262"/>
      <c r="G171" s="96" t="s">
        <v>2379</v>
      </c>
      <c r="H171" s="22"/>
      <c r="I171" s="201">
        <v>138</v>
      </c>
      <c r="J171" s="211"/>
      <c r="K171" s="211"/>
      <c r="L171" s="58"/>
      <c r="M171" s="58"/>
      <c r="N171" s="58"/>
      <c r="O171" s="58"/>
      <c r="P171" s="11"/>
      <c r="Q171" s="11"/>
      <c r="R171" s="34">
        <v>169</v>
      </c>
    </row>
    <row r="172" spans="2:18" ht="20" x14ac:dyDescent="0.2">
      <c r="B172" s="96" t="s">
        <v>1913</v>
      </c>
      <c r="C172" s="22" t="s">
        <v>2670</v>
      </c>
      <c r="D172" s="22"/>
      <c r="E172" s="262">
        <v>49.736168902780797</v>
      </c>
      <c r="F172" s="262">
        <v>-112.562196244354</v>
      </c>
      <c r="G172" s="96" t="s">
        <v>2379</v>
      </c>
      <c r="H172" s="22"/>
      <c r="I172" s="201">
        <v>138</v>
      </c>
      <c r="J172" s="211"/>
      <c r="K172" s="211"/>
      <c r="L172" s="58"/>
      <c r="M172" s="58"/>
      <c r="N172" s="58"/>
      <c r="O172" s="58"/>
      <c r="P172" s="11"/>
      <c r="Q172" s="11"/>
      <c r="R172" s="34">
        <v>170</v>
      </c>
    </row>
    <row r="173" spans="2:18" ht="20" x14ac:dyDescent="0.2">
      <c r="B173" s="96" t="s">
        <v>1586</v>
      </c>
      <c r="C173" s="22" t="s">
        <v>2805</v>
      </c>
      <c r="D173" s="22"/>
      <c r="E173" s="262"/>
      <c r="F173" s="262"/>
      <c r="G173" s="96" t="s">
        <v>2379</v>
      </c>
      <c r="H173" s="22"/>
      <c r="I173" s="201">
        <v>72</v>
      </c>
      <c r="J173" s="211"/>
      <c r="K173" s="211"/>
      <c r="L173" s="58"/>
      <c r="M173" s="58"/>
      <c r="N173" s="58"/>
      <c r="O173" s="58"/>
      <c r="P173" s="11"/>
      <c r="Q173" s="11"/>
      <c r="R173" s="34">
        <v>171</v>
      </c>
    </row>
    <row r="174" spans="2:18" ht="20" x14ac:dyDescent="0.2">
      <c r="B174" s="96" t="s">
        <v>1670</v>
      </c>
      <c r="C174" s="22" t="s">
        <v>2806</v>
      </c>
      <c r="D174" s="22"/>
      <c r="E174" s="262"/>
      <c r="F174" s="262"/>
      <c r="G174" s="96" t="s">
        <v>2379</v>
      </c>
      <c r="H174" s="22"/>
      <c r="I174" s="201">
        <v>138</v>
      </c>
      <c r="J174" s="211"/>
      <c r="K174" s="211"/>
      <c r="L174" s="58"/>
      <c r="M174" s="58"/>
      <c r="N174" s="58"/>
      <c r="O174" s="58"/>
      <c r="P174" s="11"/>
      <c r="Q174" s="11"/>
      <c r="R174" s="34">
        <v>172</v>
      </c>
    </row>
    <row r="175" spans="2:18" ht="20" x14ac:dyDescent="0.2">
      <c r="B175" s="96" t="s">
        <v>1727</v>
      </c>
      <c r="C175" s="22" t="s">
        <v>2647</v>
      </c>
      <c r="D175" s="22"/>
      <c r="E175" s="262"/>
      <c r="F175" s="262"/>
      <c r="G175" s="96" t="s">
        <v>2379</v>
      </c>
      <c r="H175" s="22"/>
      <c r="I175" s="201">
        <v>138</v>
      </c>
      <c r="J175" s="211"/>
      <c r="K175" s="211"/>
      <c r="L175" s="58"/>
      <c r="M175" s="58"/>
      <c r="N175" s="58"/>
      <c r="O175" s="58"/>
      <c r="P175" s="11"/>
      <c r="Q175" s="11"/>
      <c r="R175" s="34">
        <v>173</v>
      </c>
    </row>
    <row r="176" spans="2:18" ht="20" x14ac:dyDescent="0.2">
      <c r="B176" s="96" t="s">
        <v>1860</v>
      </c>
      <c r="C176" s="22" t="s">
        <v>2807</v>
      </c>
      <c r="D176" s="22"/>
      <c r="E176" s="262"/>
      <c r="F176" s="262"/>
      <c r="G176" s="96" t="s">
        <v>2379</v>
      </c>
      <c r="H176" s="22"/>
      <c r="I176" s="201">
        <v>138</v>
      </c>
      <c r="J176" s="211"/>
      <c r="K176" s="211"/>
      <c r="L176" s="58"/>
      <c r="M176" s="58"/>
      <c r="N176" s="58"/>
      <c r="O176" s="58"/>
      <c r="P176" s="11"/>
      <c r="Q176" s="11"/>
      <c r="R176" s="34">
        <v>174</v>
      </c>
    </row>
    <row r="177" spans="2:18" ht="20" x14ac:dyDescent="0.2">
      <c r="B177" s="96" t="s">
        <v>681</v>
      </c>
      <c r="C177" s="22" t="s">
        <v>2808</v>
      </c>
      <c r="D177" s="22"/>
      <c r="E177" s="262"/>
      <c r="F177" s="262"/>
      <c r="G177" s="96" t="s">
        <v>2379</v>
      </c>
      <c r="H177" s="22"/>
      <c r="I177" s="201">
        <v>144</v>
      </c>
      <c r="J177" s="211"/>
      <c r="K177" s="211"/>
      <c r="L177" s="58"/>
      <c r="M177" s="58"/>
      <c r="N177" s="58"/>
      <c r="O177" s="58"/>
      <c r="P177" s="11"/>
      <c r="Q177" s="11"/>
      <c r="R177" s="34">
        <v>175</v>
      </c>
    </row>
    <row r="178" spans="2:18" ht="20" x14ac:dyDescent="0.2">
      <c r="B178" s="96" t="s">
        <v>1047</v>
      </c>
      <c r="C178" s="22" t="s">
        <v>2630</v>
      </c>
      <c r="D178" s="22"/>
      <c r="E178" s="262"/>
      <c r="F178" s="262"/>
      <c r="G178" s="96" t="s">
        <v>2379</v>
      </c>
      <c r="H178" s="22"/>
      <c r="I178" s="213">
        <v>240</v>
      </c>
      <c r="J178" s="211"/>
      <c r="K178" s="211"/>
      <c r="L178" s="58"/>
      <c r="M178" s="58"/>
      <c r="N178" s="58"/>
      <c r="O178" s="58"/>
      <c r="P178" s="11"/>
      <c r="Q178" s="11"/>
      <c r="R178" s="34">
        <v>176</v>
      </c>
    </row>
    <row r="179" spans="2:18" ht="20" x14ac:dyDescent="0.2">
      <c r="B179" s="96" t="s">
        <v>1974</v>
      </c>
      <c r="C179" s="22" t="s">
        <v>2652</v>
      </c>
      <c r="D179" s="22"/>
      <c r="E179" s="262"/>
      <c r="F179" s="262"/>
      <c r="G179" s="96" t="s">
        <v>2379</v>
      </c>
      <c r="H179" s="22"/>
      <c r="I179" s="214">
        <v>138</v>
      </c>
      <c r="J179" s="211"/>
      <c r="K179" s="211"/>
      <c r="L179" s="58"/>
      <c r="M179" s="58"/>
      <c r="N179" s="58"/>
      <c r="O179" s="58"/>
      <c r="P179" s="11"/>
      <c r="Q179" s="11"/>
      <c r="R179" s="34">
        <v>177</v>
      </c>
    </row>
    <row r="180" spans="2:18" ht="20" x14ac:dyDescent="0.2">
      <c r="B180" s="96" t="s">
        <v>1301</v>
      </c>
      <c r="C180" s="22" t="s">
        <v>2809</v>
      </c>
      <c r="D180" s="22"/>
      <c r="E180" s="262"/>
      <c r="F180" s="262"/>
      <c r="G180" s="96" t="s">
        <v>2379</v>
      </c>
      <c r="H180" s="22"/>
      <c r="I180" s="201">
        <v>138</v>
      </c>
      <c r="J180" s="211"/>
      <c r="K180" s="211"/>
      <c r="L180" s="58"/>
      <c r="M180" s="58"/>
      <c r="N180" s="58"/>
      <c r="O180" s="58"/>
      <c r="P180" s="11"/>
      <c r="Q180" s="11"/>
      <c r="R180" s="34">
        <v>178</v>
      </c>
    </row>
    <row r="181" spans="2:18" ht="20" x14ac:dyDescent="0.2">
      <c r="B181" s="96" t="s">
        <v>1037</v>
      </c>
      <c r="C181" s="22" t="s">
        <v>2810</v>
      </c>
      <c r="D181" s="22"/>
      <c r="E181" s="262"/>
      <c r="F181" s="262"/>
      <c r="G181" s="96" t="s">
        <v>2379</v>
      </c>
      <c r="H181" s="22"/>
      <c r="I181" s="201">
        <v>240</v>
      </c>
      <c r="J181" s="211"/>
      <c r="K181" s="211"/>
      <c r="L181" s="58"/>
      <c r="M181" s="58"/>
      <c r="N181" s="58"/>
      <c r="O181" s="58"/>
      <c r="P181" s="11"/>
      <c r="Q181" s="11"/>
      <c r="R181" s="34">
        <v>179</v>
      </c>
    </row>
    <row r="182" spans="2:18" ht="20" x14ac:dyDescent="0.2">
      <c r="B182" s="96" t="s">
        <v>1524</v>
      </c>
      <c r="C182" s="22" t="s">
        <v>2811</v>
      </c>
      <c r="D182" s="22"/>
      <c r="E182" s="262"/>
      <c r="F182" s="262"/>
      <c r="G182" s="96" t="s">
        <v>2379</v>
      </c>
      <c r="H182" s="22"/>
      <c r="I182" s="201">
        <v>72</v>
      </c>
      <c r="J182" s="211"/>
      <c r="K182" s="211"/>
      <c r="L182" s="58"/>
      <c r="M182" s="58"/>
      <c r="N182" s="58"/>
      <c r="O182" s="58"/>
      <c r="P182" s="11"/>
      <c r="Q182" s="11"/>
      <c r="R182" s="34">
        <v>180</v>
      </c>
    </row>
    <row r="183" spans="2:18" ht="20" x14ac:dyDescent="0.2">
      <c r="B183" s="96" t="s">
        <v>1871</v>
      </c>
      <c r="C183" s="22" t="s">
        <v>2812</v>
      </c>
      <c r="D183" s="22"/>
      <c r="E183" s="262"/>
      <c r="F183" s="262"/>
      <c r="G183" s="96" t="s">
        <v>2379</v>
      </c>
      <c r="H183" s="22"/>
      <c r="I183" s="201">
        <v>72</v>
      </c>
      <c r="J183" s="211"/>
      <c r="K183" s="211"/>
      <c r="L183" s="58"/>
      <c r="M183" s="58"/>
      <c r="N183" s="58"/>
      <c r="O183" s="58"/>
      <c r="P183" s="11"/>
      <c r="Q183" s="11"/>
      <c r="R183" s="34">
        <v>181</v>
      </c>
    </row>
    <row r="184" spans="2:18" ht="20" x14ac:dyDescent="0.2">
      <c r="B184" s="96" t="s">
        <v>1087</v>
      </c>
      <c r="C184" s="22" t="s">
        <v>2813</v>
      </c>
      <c r="D184" s="22"/>
      <c r="E184" s="262"/>
      <c r="F184" s="262"/>
      <c r="G184" s="96" t="s">
        <v>2379</v>
      </c>
      <c r="H184" s="162" t="s">
        <v>1155</v>
      </c>
      <c r="I184" s="209">
        <v>240</v>
      </c>
      <c r="J184" s="209">
        <v>144</v>
      </c>
      <c r="K184" s="209">
        <v>300</v>
      </c>
      <c r="L184" s="94">
        <f>K184*1.2</f>
        <v>360</v>
      </c>
      <c r="M184" s="94">
        <v>0.9</v>
      </c>
      <c r="N184" s="94">
        <f>K184*$M184</f>
        <v>270</v>
      </c>
      <c r="O184" s="94">
        <f>L184*$M184</f>
        <v>324</v>
      </c>
      <c r="P184" s="11" t="s">
        <v>3291</v>
      </c>
      <c r="Q184" s="11"/>
      <c r="R184" s="34">
        <v>182</v>
      </c>
    </row>
    <row r="185" spans="2:18" ht="20" x14ac:dyDescent="0.2">
      <c r="B185" s="96" t="s">
        <v>925</v>
      </c>
      <c r="C185" s="22" t="s">
        <v>2814</v>
      </c>
      <c r="D185" s="22"/>
      <c r="E185" s="262"/>
      <c r="F185" s="262"/>
      <c r="G185" s="96" t="s">
        <v>2379</v>
      </c>
      <c r="H185" s="22"/>
      <c r="I185" s="201">
        <v>144</v>
      </c>
      <c r="J185" s="211"/>
      <c r="K185" s="211"/>
      <c r="L185" s="58"/>
      <c r="M185" s="58"/>
      <c r="N185" s="58"/>
      <c r="O185" s="58"/>
      <c r="P185" s="11"/>
      <c r="Q185" s="11"/>
      <c r="R185" s="34">
        <v>183</v>
      </c>
    </row>
    <row r="186" spans="2:18" ht="20" x14ac:dyDescent="0.2">
      <c r="B186" s="96" t="s">
        <v>672</v>
      </c>
      <c r="C186" s="22" t="s">
        <v>2815</v>
      </c>
      <c r="D186" s="22"/>
      <c r="E186" s="262"/>
      <c r="F186" s="262"/>
      <c r="G186" s="96" t="s">
        <v>2379</v>
      </c>
      <c r="H186" s="22"/>
      <c r="I186" s="201">
        <v>500</v>
      </c>
      <c r="J186" s="211"/>
      <c r="K186" s="211"/>
      <c r="L186" s="58"/>
      <c r="M186" s="58"/>
      <c r="N186" s="58"/>
      <c r="O186" s="58"/>
      <c r="P186" s="11"/>
      <c r="Q186" s="11"/>
      <c r="R186" s="34">
        <v>184</v>
      </c>
    </row>
    <row r="187" spans="2:18" ht="20" x14ac:dyDescent="0.2">
      <c r="B187" s="96" t="s">
        <v>799</v>
      </c>
      <c r="C187" s="22" t="s">
        <v>2816</v>
      </c>
      <c r="D187" s="22"/>
      <c r="E187" s="262"/>
      <c r="F187" s="262"/>
      <c r="G187" s="96" t="s">
        <v>2379</v>
      </c>
      <c r="H187" s="22"/>
      <c r="I187" s="201">
        <v>144</v>
      </c>
      <c r="J187" s="211"/>
      <c r="K187" s="211"/>
      <c r="L187" s="58"/>
      <c r="M187" s="58"/>
      <c r="N187" s="58"/>
      <c r="O187" s="58"/>
      <c r="P187" s="11"/>
      <c r="Q187" s="11"/>
      <c r="R187" s="34">
        <v>185</v>
      </c>
    </row>
    <row r="188" spans="2:18" ht="20" x14ac:dyDescent="0.2">
      <c r="B188" s="96" t="s">
        <v>952</v>
      </c>
      <c r="C188" s="22" t="s">
        <v>2817</v>
      </c>
      <c r="D188" s="22"/>
      <c r="E188" s="262"/>
      <c r="F188" s="262"/>
      <c r="G188" s="96" t="s">
        <v>2379</v>
      </c>
      <c r="H188" s="22"/>
      <c r="I188" s="201">
        <v>144</v>
      </c>
      <c r="J188" s="211"/>
      <c r="K188" s="211"/>
      <c r="L188" s="58"/>
      <c r="M188" s="58"/>
      <c r="N188" s="58"/>
      <c r="O188" s="58"/>
      <c r="P188" s="11"/>
      <c r="Q188" s="11"/>
      <c r="R188" s="34">
        <v>186</v>
      </c>
    </row>
    <row r="189" spans="2:18" ht="20" x14ac:dyDescent="0.2">
      <c r="B189" s="96" t="s">
        <v>1954</v>
      </c>
      <c r="C189" s="22" t="s">
        <v>2818</v>
      </c>
      <c r="D189" s="22"/>
      <c r="E189" s="262"/>
      <c r="F189" s="262"/>
      <c r="G189" s="96" t="s">
        <v>2379</v>
      </c>
      <c r="H189" s="22"/>
      <c r="I189" s="201">
        <v>144</v>
      </c>
      <c r="J189" s="211"/>
      <c r="K189" s="211"/>
      <c r="L189" s="58"/>
      <c r="M189" s="58"/>
      <c r="N189" s="58"/>
      <c r="O189" s="58"/>
      <c r="P189" s="11"/>
      <c r="Q189" s="11"/>
      <c r="R189" s="34">
        <v>187</v>
      </c>
    </row>
    <row r="190" spans="2:18" ht="20" x14ac:dyDescent="0.2">
      <c r="B190" s="96" t="s">
        <v>1577</v>
      </c>
      <c r="C190" s="22" t="s">
        <v>2819</v>
      </c>
      <c r="D190" s="22"/>
      <c r="E190" s="262"/>
      <c r="F190" s="262"/>
      <c r="G190" s="96" t="s">
        <v>2379</v>
      </c>
      <c r="H190" s="22"/>
      <c r="I190" s="201">
        <v>138</v>
      </c>
      <c r="J190" s="211"/>
      <c r="K190" s="211"/>
      <c r="L190" s="58"/>
      <c r="M190" s="58"/>
      <c r="N190" s="58"/>
      <c r="O190" s="58"/>
      <c r="P190" s="11"/>
      <c r="Q190" s="11"/>
      <c r="R190" s="34">
        <v>188</v>
      </c>
    </row>
    <row r="191" spans="2:18" ht="20" x14ac:dyDescent="0.2">
      <c r="B191" s="96" t="s">
        <v>558</v>
      </c>
      <c r="C191" s="22" t="s">
        <v>2820</v>
      </c>
      <c r="D191" s="22"/>
      <c r="E191" s="262"/>
      <c r="F191" s="262"/>
      <c r="G191" s="96" t="s">
        <v>2379</v>
      </c>
      <c r="H191" s="162" t="s">
        <v>1150</v>
      </c>
      <c r="I191" s="209">
        <v>240</v>
      </c>
      <c r="J191" s="209">
        <v>144</v>
      </c>
      <c r="K191" s="209">
        <v>200</v>
      </c>
      <c r="L191" s="94">
        <f>K191*1.2</f>
        <v>240</v>
      </c>
      <c r="M191" s="94">
        <v>0.9</v>
      </c>
      <c r="N191" s="94">
        <f>K191*$M191</f>
        <v>180</v>
      </c>
      <c r="O191" s="94">
        <f>L191*$M191</f>
        <v>216</v>
      </c>
      <c r="P191" s="11" t="s">
        <v>3284</v>
      </c>
      <c r="Q191" s="11"/>
      <c r="R191" s="34">
        <v>189</v>
      </c>
    </row>
    <row r="192" spans="2:18" ht="20" x14ac:dyDescent="0.2">
      <c r="B192" s="96" t="s">
        <v>558</v>
      </c>
      <c r="C192" s="22" t="s">
        <v>2820</v>
      </c>
      <c r="D192" s="22"/>
      <c r="E192" s="262"/>
      <c r="F192" s="262"/>
      <c r="G192" s="96" t="s">
        <v>2379</v>
      </c>
      <c r="H192" s="162" t="s">
        <v>1154</v>
      </c>
      <c r="I192" s="209">
        <v>240</v>
      </c>
      <c r="J192" s="209">
        <v>144</v>
      </c>
      <c r="K192" s="209">
        <v>200</v>
      </c>
      <c r="L192" s="94">
        <f>K192*1.2</f>
        <v>240</v>
      </c>
      <c r="M192" s="94">
        <v>0.9</v>
      </c>
      <c r="N192" s="94">
        <f>K192*$M192</f>
        <v>180</v>
      </c>
      <c r="O192" s="94">
        <f>L192*$M192</f>
        <v>216</v>
      </c>
      <c r="P192" s="11" t="s">
        <v>3284</v>
      </c>
      <c r="Q192" s="11"/>
      <c r="R192" s="34">
        <v>190</v>
      </c>
    </row>
    <row r="193" spans="2:18" ht="20" x14ac:dyDescent="0.2">
      <c r="B193" s="96" t="s">
        <v>806</v>
      </c>
      <c r="C193" s="22" t="s">
        <v>2671</v>
      </c>
      <c r="D193" s="22"/>
      <c r="E193" s="262">
        <v>56.371079999999999</v>
      </c>
      <c r="F193" s="262">
        <v>-117.18558</v>
      </c>
      <c r="G193" s="96" t="s">
        <v>2379</v>
      </c>
      <c r="H193" s="22"/>
      <c r="I193" s="201">
        <v>144</v>
      </c>
      <c r="J193" s="211"/>
      <c r="K193" s="211"/>
      <c r="L193" s="58"/>
      <c r="M193" s="58"/>
      <c r="N193" s="58"/>
      <c r="O193" s="58"/>
      <c r="P193" s="11"/>
      <c r="Q193" s="11"/>
      <c r="R193" s="34">
        <v>191</v>
      </c>
    </row>
    <row r="194" spans="2:18" ht="20" x14ac:dyDescent="0.2">
      <c r="B194" s="96" t="s">
        <v>1580</v>
      </c>
      <c r="C194" s="22" t="s">
        <v>2627</v>
      </c>
      <c r="D194" s="22"/>
      <c r="E194" s="262"/>
      <c r="F194" s="262"/>
      <c r="G194" s="96" t="s">
        <v>2379</v>
      </c>
      <c r="H194" s="22"/>
      <c r="I194" s="201">
        <v>144</v>
      </c>
      <c r="J194" s="211"/>
      <c r="K194" s="211"/>
      <c r="L194" s="58"/>
      <c r="M194" s="58"/>
      <c r="N194" s="58"/>
      <c r="O194" s="58"/>
      <c r="P194" s="11"/>
      <c r="Q194" s="11"/>
      <c r="R194" s="34">
        <v>192</v>
      </c>
    </row>
    <row r="195" spans="2:18" ht="20" x14ac:dyDescent="0.2">
      <c r="B195" s="96" t="s">
        <v>857</v>
      </c>
      <c r="C195" s="22" t="s">
        <v>2821</v>
      </c>
      <c r="D195" s="22"/>
      <c r="E195" s="262"/>
      <c r="F195" s="262"/>
      <c r="G195" s="96" t="s">
        <v>2379</v>
      </c>
      <c r="H195" s="162" t="s">
        <v>1155</v>
      </c>
      <c r="I195" s="209">
        <v>250</v>
      </c>
      <c r="J195" s="209">
        <v>144</v>
      </c>
      <c r="K195" s="209">
        <v>300</v>
      </c>
      <c r="L195" s="94">
        <f>K195*1.2</f>
        <v>360</v>
      </c>
      <c r="M195" s="94">
        <v>0.9</v>
      </c>
      <c r="N195" s="94">
        <f>K195*$M195</f>
        <v>270</v>
      </c>
      <c r="O195" s="94">
        <f>L195*$M195</f>
        <v>324</v>
      </c>
      <c r="P195" s="11" t="s">
        <v>3305</v>
      </c>
      <c r="Q195" s="11"/>
      <c r="R195" s="34">
        <v>193</v>
      </c>
    </row>
    <row r="196" spans="2:18" ht="20" x14ac:dyDescent="0.2">
      <c r="B196" s="96" t="s">
        <v>734</v>
      </c>
      <c r="C196" s="22" t="s">
        <v>2822</v>
      </c>
      <c r="D196" s="22"/>
      <c r="E196" s="262"/>
      <c r="F196" s="262"/>
      <c r="G196" s="96" t="s">
        <v>2379</v>
      </c>
      <c r="H196" s="22"/>
      <c r="I196" s="201">
        <v>138</v>
      </c>
      <c r="J196" s="211"/>
      <c r="K196" s="211"/>
      <c r="L196" s="58"/>
      <c r="M196" s="58"/>
      <c r="N196" s="58"/>
      <c r="O196" s="58"/>
      <c r="P196" s="11"/>
      <c r="Q196" s="11"/>
      <c r="R196" s="34">
        <v>194</v>
      </c>
    </row>
    <row r="197" spans="2:18" ht="20" x14ac:dyDescent="0.2">
      <c r="B197" s="96" t="s">
        <v>598</v>
      </c>
      <c r="C197" s="22" t="s">
        <v>2823</v>
      </c>
      <c r="D197" s="22"/>
      <c r="E197" s="262"/>
      <c r="F197" s="262"/>
      <c r="G197" s="96" t="s">
        <v>2379</v>
      </c>
      <c r="H197" s="162" t="s">
        <v>1154</v>
      </c>
      <c r="I197" s="209">
        <v>245</v>
      </c>
      <c r="J197" s="209">
        <v>144</v>
      </c>
      <c r="K197" s="209">
        <v>300</v>
      </c>
      <c r="L197" s="94">
        <f>K197*1.2</f>
        <v>360</v>
      </c>
      <c r="M197" s="94">
        <v>0.9</v>
      </c>
      <c r="N197" s="94">
        <f>K197*$M197</f>
        <v>270</v>
      </c>
      <c r="O197" s="94">
        <f>L197*$M197</f>
        <v>324</v>
      </c>
      <c r="P197" s="11" t="s">
        <v>3300</v>
      </c>
      <c r="Q197" s="11"/>
      <c r="R197" s="34">
        <v>195</v>
      </c>
    </row>
    <row r="198" spans="2:18" ht="20" x14ac:dyDescent="0.2">
      <c r="B198" s="96" t="s">
        <v>1353</v>
      </c>
      <c r="C198" s="22" t="s">
        <v>2824</v>
      </c>
      <c r="D198" s="22"/>
      <c r="E198" s="262"/>
      <c r="F198" s="262"/>
      <c r="G198" s="96" t="s">
        <v>2379</v>
      </c>
      <c r="H198" s="22"/>
      <c r="I198" s="201">
        <v>144</v>
      </c>
      <c r="J198" s="211"/>
      <c r="K198" s="211"/>
      <c r="L198" s="58"/>
      <c r="M198" s="58"/>
      <c r="N198" s="58"/>
      <c r="O198" s="58"/>
      <c r="P198" s="11"/>
      <c r="Q198" s="11"/>
      <c r="R198" s="34">
        <v>196</v>
      </c>
    </row>
    <row r="199" spans="2:18" ht="20" x14ac:dyDescent="0.2">
      <c r="B199" s="96" t="s">
        <v>1267</v>
      </c>
      <c r="C199" s="22" t="s">
        <v>2825</v>
      </c>
      <c r="D199" s="22"/>
      <c r="E199" s="262"/>
      <c r="F199" s="262"/>
      <c r="G199" s="96" t="s">
        <v>2379</v>
      </c>
      <c r="H199" s="22"/>
      <c r="I199" s="213">
        <v>144</v>
      </c>
      <c r="J199" s="211"/>
      <c r="K199" s="211"/>
      <c r="L199" s="58"/>
      <c r="M199" s="58"/>
      <c r="N199" s="58"/>
      <c r="O199" s="58"/>
      <c r="P199" s="11"/>
      <c r="Q199" s="11"/>
      <c r="R199" s="34">
        <v>197</v>
      </c>
    </row>
    <row r="200" spans="2:18" ht="20" x14ac:dyDescent="0.2">
      <c r="B200" s="96" t="s">
        <v>995</v>
      </c>
      <c r="C200" s="22" t="s">
        <v>2826</v>
      </c>
      <c r="D200" s="22"/>
      <c r="E200" s="262"/>
      <c r="F200" s="262"/>
      <c r="G200" s="96" t="s">
        <v>2379</v>
      </c>
      <c r="H200" s="22"/>
      <c r="I200" s="213">
        <v>240</v>
      </c>
      <c r="J200" s="211"/>
      <c r="K200" s="211"/>
      <c r="L200" s="58"/>
      <c r="M200" s="58"/>
      <c r="N200" s="58"/>
      <c r="O200" s="58"/>
      <c r="P200" s="11"/>
      <c r="Q200" s="11"/>
      <c r="R200" s="34">
        <v>198</v>
      </c>
    </row>
    <row r="201" spans="2:18" ht="20" x14ac:dyDescent="0.2">
      <c r="B201" s="96" t="s">
        <v>880</v>
      </c>
      <c r="C201" s="22" t="s">
        <v>2827</v>
      </c>
      <c r="D201" s="22"/>
      <c r="E201" s="262"/>
      <c r="F201" s="262"/>
      <c r="G201" s="96" t="s">
        <v>2379</v>
      </c>
      <c r="H201" s="22"/>
      <c r="I201" s="201">
        <v>144</v>
      </c>
      <c r="J201" s="211"/>
      <c r="K201" s="211"/>
      <c r="L201" s="58"/>
      <c r="M201" s="58"/>
      <c r="N201" s="58"/>
      <c r="O201" s="58"/>
      <c r="P201" s="11"/>
      <c r="Q201" s="11"/>
      <c r="R201" s="34">
        <v>199</v>
      </c>
    </row>
    <row r="202" spans="2:18" ht="20" x14ac:dyDescent="0.2">
      <c r="B202" s="96" t="s">
        <v>810</v>
      </c>
      <c r="C202" s="22" t="s">
        <v>2828</v>
      </c>
      <c r="D202" s="22"/>
      <c r="E202" s="262"/>
      <c r="F202" s="262"/>
      <c r="G202" s="96" t="s">
        <v>2379</v>
      </c>
      <c r="H202" s="22"/>
      <c r="I202" s="201">
        <v>144</v>
      </c>
      <c r="J202" s="211"/>
      <c r="K202" s="211"/>
      <c r="L202" s="58"/>
      <c r="M202" s="58"/>
      <c r="N202" s="58"/>
      <c r="O202" s="58"/>
      <c r="P202" s="11"/>
      <c r="Q202" s="11"/>
      <c r="R202" s="34">
        <v>200</v>
      </c>
    </row>
    <row r="203" spans="2:18" ht="20" x14ac:dyDescent="0.2">
      <c r="B203" s="96" t="s">
        <v>1060</v>
      </c>
      <c r="C203" s="22" t="s">
        <v>2829</v>
      </c>
      <c r="D203" s="22"/>
      <c r="E203" s="262"/>
      <c r="F203" s="262"/>
      <c r="G203" s="96" t="s">
        <v>2379</v>
      </c>
      <c r="H203" s="22"/>
      <c r="I203" s="213">
        <v>240</v>
      </c>
      <c r="J203" s="211"/>
      <c r="K203" s="211"/>
      <c r="L203" s="58"/>
      <c r="M203" s="58"/>
      <c r="N203" s="58"/>
      <c r="O203" s="58"/>
      <c r="P203" s="11"/>
      <c r="Q203" s="11"/>
      <c r="R203" s="34">
        <v>201</v>
      </c>
    </row>
    <row r="204" spans="2:18" ht="20" x14ac:dyDescent="0.2">
      <c r="B204" s="96" t="s">
        <v>755</v>
      </c>
      <c r="C204" s="22" t="s">
        <v>3251</v>
      </c>
      <c r="D204" s="22"/>
      <c r="E204" s="262">
        <v>53.734031000000002</v>
      </c>
      <c r="F204" s="262">
        <v>-113.17142800000001</v>
      </c>
      <c r="G204" s="96" t="s">
        <v>2379</v>
      </c>
      <c r="H204" s="22"/>
      <c r="I204" s="201">
        <v>144</v>
      </c>
      <c r="J204" s="211"/>
      <c r="K204" s="211"/>
      <c r="L204" s="58"/>
      <c r="M204" s="58"/>
      <c r="N204" s="58"/>
      <c r="O204" s="58"/>
      <c r="P204" s="11"/>
      <c r="Q204" s="11"/>
      <c r="R204" s="34">
        <v>202</v>
      </c>
    </row>
    <row r="205" spans="2:18" ht="20" x14ac:dyDescent="0.2">
      <c r="B205" s="96" t="s">
        <v>977</v>
      </c>
      <c r="C205" s="22" t="s">
        <v>3252</v>
      </c>
      <c r="D205" s="22"/>
      <c r="E205" s="262"/>
      <c r="F205" s="262"/>
      <c r="G205" s="96" t="s">
        <v>2379</v>
      </c>
      <c r="H205" s="22"/>
      <c r="I205" s="201">
        <v>144</v>
      </c>
      <c r="J205" s="211"/>
      <c r="K205" s="211"/>
      <c r="L205" s="58"/>
      <c r="M205" s="58"/>
      <c r="N205" s="58"/>
      <c r="O205" s="58"/>
      <c r="P205" s="11"/>
      <c r="Q205" s="11"/>
      <c r="R205" s="34">
        <v>203</v>
      </c>
    </row>
    <row r="206" spans="2:18" ht="20" x14ac:dyDescent="0.2">
      <c r="B206" s="96" t="s">
        <v>1725</v>
      </c>
      <c r="C206" s="22" t="s">
        <v>2830</v>
      </c>
      <c r="D206" s="22"/>
      <c r="E206" s="262"/>
      <c r="F206" s="262"/>
      <c r="G206" s="96" t="s">
        <v>2379</v>
      </c>
      <c r="H206" s="162" t="s">
        <v>1150</v>
      </c>
      <c r="I206" s="209">
        <v>138</v>
      </c>
      <c r="J206" s="209">
        <v>25</v>
      </c>
      <c r="K206" s="209">
        <v>42</v>
      </c>
      <c r="L206" s="94">
        <f>K206*1.2</f>
        <v>50.4</v>
      </c>
      <c r="M206" s="94">
        <v>0.9</v>
      </c>
      <c r="N206" s="94">
        <f t="shared" ref="N206:O208" si="2">K206*$M206</f>
        <v>37.800000000000004</v>
      </c>
      <c r="O206" s="94">
        <f t="shared" si="2"/>
        <v>45.36</v>
      </c>
      <c r="P206" s="11" t="s">
        <v>3279</v>
      </c>
      <c r="Q206" s="11"/>
      <c r="R206" s="34">
        <v>204</v>
      </c>
    </row>
    <row r="207" spans="2:18" ht="20" x14ac:dyDescent="0.2">
      <c r="B207" s="96" t="s">
        <v>1725</v>
      </c>
      <c r="C207" s="22" t="s">
        <v>2830</v>
      </c>
      <c r="D207" s="22"/>
      <c r="E207" s="262"/>
      <c r="F207" s="262"/>
      <c r="G207" s="96" t="s">
        <v>2379</v>
      </c>
      <c r="H207" s="162" t="s">
        <v>1154</v>
      </c>
      <c r="I207" s="209">
        <v>138</v>
      </c>
      <c r="J207" s="209">
        <v>25</v>
      </c>
      <c r="K207" s="209">
        <v>42</v>
      </c>
      <c r="L207" s="94">
        <f>K207*1.2</f>
        <v>50.4</v>
      </c>
      <c r="M207" s="94">
        <v>0.9</v>
      </c>
      <c r="N207" s="94">
        <f t="shared" si="2"/>
        <v>37.800000000000004</v>
      </c>
      <c r="O207" s="94">
        <f t="shared" si="2"/>
        <v>45.36</v>
      </c>
      <c r="P207" s="11" t="s">
        <v>3279</v>
      </c>
      <c r="Q207" s="11"/>
      <c r="R207" s="34">
        <v>205</v>
      </c>
    </row>
    <row r="208" spans="2:18" ht="20" x14ac:dyDescent="0.2">
      <c r="B208" s="96" t="s">
        <v>1869</v>
      </c>
      <c r="C208" s="22" t="s">
        <v>2831</v>
      </c>
      <c r="D208" s="22"/>
      <c r="E208" s="262"/>
      <c r="F208" s="262"/>
      <c r="G208" s="96" t="s">
        <v>2379</v>
      </c>
      <c r="H208" s="162" t="s">
        <v>1150</v>
      </c>
      <c r="I208" s="209">
        <v>138</v>
      </c>
      <c r="J208" s="209">
        <v>69</v>
      </c>
      <c r="K208" s="209">
        <v>50</v>
      </c>
      <c r="L208" s="94">
        <f>K208*1.2</f>
        <v>60</v>
      </c>
      <c r="M208" s="94">
        <v>0.9</v>
      </c>
      <c r="N208" s="94">
        <f t="shared" si="2"/>
        <v>45</v>
      </c>
      <c r="O208" s="94">
        <f t="shared" si="2"/>
        <v>54</v>
      </c>
      <c r="P208" s="11" t="s">
        <v>3302</v>
      </c>
      <c r="Q208" s="11"/>
      <c r="R208" s="34">
        <v>206</v>
      </c>
    </row>
    <row r="209" spans="2:18" ht="20" x14ac:dyDescent="0.2">
      <c r="B209" s="96" t="s">
        <v>1955</v>
      </c>
      <c r="C209" s="22" t="s">
        <v>2832</v>
      </c>
      <c r="D209" s="22"/>
      <c r="E209" s="262"/>
      <c r="F209" s="262"/>
      <c r="G209" s="96" t="s">
        <v>2379</v>
      </c>
      <c r="H209" s="22"/>
      <c r="I209" s="201">
        <v>144</v>
      </c>
      <c r="J209" s="211"/>
      <c r="K209" s="211"/>
      <c r="L209" s="58"/>
      <c r="M209" s="58"/>
      <c r="N209" s="58"/>
      <c r="O209" s="58"/>
      <c r="P209" s="11"/>
      <c r="Q209" s="11"/>
      <c r="R209" s="34">
        <v>207</v>
      </c>
    </row>
    <row r="210" spans="2:18" ht="20" x14ac:dyDescent="0.2">
      <c r="B210" s="96" t="s">
        <v>1660</v>
      </c>
      <c r="C210" s="22" t="s">
        <v>2833</v>
      </c>
      <c r="D210" s="22"/>
      <c r="E210" s="262"/>
      <c r="F210" s="262"/>
      <c r="G210" s="96" t="s">
        <v>2379</v>
      </c>
      <c r="H210" s="22"/>
      <c r="I210" s="201">
        <v>144</v>
      </c>
      <c r="J210" s="211"/>
      <c r="K210" s="211"/>
      <c r="L210" s="58"/>
      <c r="M210" s="58"/>
      <c r="N210" s="58"/>
      <c r="O210" s="58"/>
      <c r="P210" s="11"/>
      <c r="Q210" s="11"/>
      <c r="R210" s="34">
        <v>208</v>
      </c>
    </row>
    <row r="211" spans="2:18" ht="20" x14ac:dyDescent="0.2">
      <c r="B211" s="96" t="s">
        <v>1723</v>
      </c>
      <c r="C211" s="22" t="s">
        <v>2834</v>
      </c>
      <c r="D211" s="22"/>
      <c r="E211" s="262"/>
      <c r="F211" s="262"/>
      <c r="G211" s="96" t="s">
        <v>2379</v>
      </c>
      <c r="H211" s="162" t="s">
        <v>1150</v>
      </c>
      <c r="I211" s="209">
        <v>138</v>
      </c>
      <c r="J211" s="209">
        <v>25</v>
      </c>
      <c r="K211" s="209">
        <v>25</v>
      </c>
      <c r="L211" s="94">
        <f>K211*1.2</f>
        <v>30</v>
      </c>
      <c r="M211" s="94">
        <v>0.9</v>
      </c>
      <c r="N211" s="94">
        <f t="shared" ref="N211:O214" si="3">K211*$M211</f>
        <v>22.5</v>
      </c>
      <c r="O211" s="94">
        <f t="shared" si="3"/>
        <v>27</v>
      </c>
      <c r="P211" s="11" t="s">
        <v>3279</v>
      </c>
      <c r="Q211" s="11"/>
      <c r="R211" s="34">
        <v>209</v>
      </c>
    </row>
    <row r="212" spans="2:18" ht="20" x14ac:dyDescent="0.2">
      <c r="B212" s="96" t="s">
        <v>1723</v>
      </c>
      <c r="C212" s="22" t="s">
        <v>2834</v>
      </c>
      <c r="D212" s="22"/>
      <c r="E212" s="262"/>
      <c r="F212" s="262"/>
      <c r="G212" s="96" t="s">
        <v>2379</v>
      </c>
      <c r="H212" s="162" t="s">
        <v>1154</v>
      </c>
      <c r="I212" s="209">
        <v>138</v>
      </c>
      <c r="J212" s="209">
        <v>25</v>
      </c>
      <c r="K212" s="209">
        <v>42</v>
      </c>
      <c r="L212" s="94">
        <f>K212*1.2</f>
        <v>50.4</v>
      </c>
      <c r="M212" s="94">
        <v>0.9</v>
      </c>
      <c r="N212" s="94">
        <f t="shared" si="3"/>
        <v>37.800000000000004</v>
      </c>
      <c r="O212" s="94">
        <f t="shared" si="3"/>
        <v>45.36</v>
      </c>
      <c r="P212" s="11" t="s">
        <v>3279</v>
      </c>
      <c r="Q212" s="11"/>
      <c r="R212" s="34">
        <v>210</v>
      </c>
    </row>
    <row r="213" spans="2:18" ht="20" x14ac:dyDescent="0.2">
      <c r="B213" s="96" t="s">
        <v>1005</v>
      </c>
      <c r="C213" s="22" t="s">
        <v>2835</v>
      </c>
      <c r="D213" s="22"/>
      <c r="E213" s="262"/>
      <c r="F213" s="262"/>
      <c r="G213" s="96" t="s">
        <v>2379</v>
      </c>
      <c r="H213" s="162" t="s">
        <v>1150</v>
      </c>
      <c r="I213" s="209">
        <v>240</v>
      </c>
      <c r="J213" s="209">
        <v>138</v>
      </c>
      <c r="K213" s="209">
        <v>400</v>
      </c>
      <c r="L213" s="94">
        <f>K213*1.2</f>
        <v>480</v>
      </c>
      <c r="M213" s="94">
        <v>0.9</v>
      </c>
      <c r="N213" s="94">
        <f t="shared" si="3"/>
        <v>360</v>
      </c>
      <c r="O213" s="94">
        <f t="shared" si="3"/>
        <v>432</v>
      </c>
      <c r="P213" s="11" t="s">
        <v>3287</v>
      </c>
      <c r="Q213" s="11"/>
      <c r="R213" s="34">
        <v>211</v>
      </c>
    </row>
    <row r="214" spans="2:18" ht="20" x14ac:dyDescent="0.2">
      <c r="B214" s="96" t="s">
        <v>1005</v>
      </c>
      <c r="C214" s="22" t="s">
        <v>2835</v>
      </c>
      <c r="D214" s="22"/>
      <c r="E214" s="262"/>
      <c r="F214" s="262"/>
      <c r="G214" s="96" t="s">
        <v>2379</v>
      </c>
      <c r="H214" s="162" t="s">
        <v>1154</v>
      </c>
      <c r="I214" s="209">
        <v>240</v>
      </c>
      <c r="J214" s="209">
        <v>138</v>
      </c>
      <c r="K214" s="209">
        <v>400</v>
      </c>
      <c r="L214" s="94">
        <f>K214*1.2</f>
        <v>480</v>
      </c>
      <c r="M214" s="94">
        <v>0.9</v>
      </c>
      <c r="N214" s="94">
        <f t="shared" si="3"/>
        <v>360</v>
      </c>
      <c r="O214" s="94">
        <f t="shared" si="3"/>
        <v>432</v>
      </c>
      <c r="P214" s="11" t="s">
        <v>3287</v>
      </c>
      <c r="Q214" s="11"/>
      <c r="R214" s="34">
        <v>212</v>
      </c>
    </row>
    <row r="215" spans="2:18" ht="20" x14ac:dyDescent="0.2">
      <c r="B215" s="96" t="s">
        <v>1376</v>
      </c>
      <c r="C215" s="22" t="s">
        <v>2662</v>
      </c>
      <c r="D215" s="22"/>
      <c r="E215" s="262"/>
      <c r="F215" s="262"/>
      <c r="G215" s="96" t="s">
        <v>2379</v>
      </c>
      <c r="H215" s="22"/>
      <c r="I215" s="201">
        <v>138</v>
      </c>
      <c r="J215" s="211"/>
      <c r="K215" s="211"/>
      <c r="L215" s="58"/>
      <c r="M215" s="58"/>
      <c r="N215" s="58"/>
      <c r="O215" s="58"/>
      <c r="P215" s="11"/>
      <c r="Q215" s="11"/>
      <c r="R215" s="34">
        <v>213</v>
      </c>
    </row>
    <row r="216" spans="2:18" ht="20" x14ac:dyDescent="0.2">
      <c r="B216" s="96" t="s">
        <v>1715</v>
      </c>
      <c r="C216" s="22" t="s">
        <v>2836</v>
      </c>
      <c r="D216" s="22"/>
      <c r="E216" s="262"/>
      <c r="F216" s="262"/>
      <c r="G216" s="96" t="s">
        <v>2379</v>
      </c>
      <c r="H216" s="162" t="s">
        <v>1154</v>
      </c>
      <c r="I216" s="209">
        <v>240</v>
      </c>
      <c r="J216" s="209">
        <v>138</v>
      </c>
      <c r="K216" s="209">
        <v>191</v>
      </c>
      <c r="L216" s="94">
        <f t="shared" ref="L216:L222" si="4">K216*1.2</f>
        <v>229.2</v>
      </c>
      <c r="M216" s="94">
        <v>0.9</v>
      </c>
      <c r="N216" s="94">
        <f t="shared" ref="N216:O222" si="5">K216*$M216</f>
        <v>171.9</v>
      </c>
      <c r="O216" s="94">
        <f t="shared" si="5"/>
        <v>206.28</v>
      </c>
      <c r="P216" s="11" t="s">
        <v>3275</v>
      </c>
      <c r="Q216" s="11"/>
      <c r="R216" s="34">
        <v>214</v>
      </c>
    </row>
    <row r="217" spans="2:18" ht="20" x14ac:dyDescent="0.2">
      <c r="B217" s="96" t="s">
        <v>609</v>
      </c>
      <c r="C217" s="22" t="s">
        <v>2837</v>
      </c>
      <c r="D217" s="22"/>
      <c r="E217" s="262"/>
      <c r="F217" s="262"/>
      <c r="G217" s="96" t="s">
        <v>2379</v>
      </c>
      <c r="H217" s="162" t="s">
        <v>1156</v>
      </c>
      <c r="I217" s="209">
        <v>138</v>
      </c>
      <c r="J217" s="209">
        <v>25</v>
      </c>
      <c r="K217" s="209">
        <v>93.3</v>
      </c>
      <c r="L217" s="94">
        <f t="shared" si="4"/>
        <v>111.96</v>
      </c>
      <c r="M217" s="94">
        <v>0.9</v>
      </c>
      <c r="N217" s="94">
        <f t="shared" si="5"/>
        <v>83.97</v>
      </c>
      <c r="O217" s="94">
        <f t="shared" si="5"/>
        <v>100.764</v>
      </c>
      <c r="P217" s="11" t="s">
        <v>3306</v>
      </c>
      <c r="Q217" s="11"/>
      <c r="R217" s="34">
        <v>226</v>
      </c>
    </row>
    <row r="218" spans="2:18" ht="20" x14ac:dyDescent="0.2">
      <c r="B218" s="96" t="s">
        <v>609</v>
      </c>
      <c r="C218" s="22" t="s">
        <v>2837</v>
      </c>
      <c r="D218" s="22"/>
      <c r="E218" s="262"/>
      <c r="F218" s="262"/>
      <c r="G218" s="96" t="s">
        <v>2379</v>
      </c>
      <c r="H218" s="162" t="s">
        <v>1157</v>
      </c>
      <c r="I218" s="209">
        <v>240</v>
      </c>
      <c r="J218" s="209">
        <v>138</v>
      </c>
      <c r="K218" s="209">
        <v>337</v>
      </c>
      <c r="L218" s="94">
        <f t="shared" si="4"/>
        <v>404.4</v>
      </c>
      <c r="M218" s="94">
        <v>0.9</v>
      </c>
      <c r="N218" s="94">
        <f t="shared" si="5"/>
        <v>303.3</v>
      </c>
      <c r="O218" s="94">
        <f t="shared" si="5"/>
        <v>363.96</v>
      </c>
      <c r="P218" s="11" t="s">
        <v>3306</v>
      </c>
      <c r="Q218" s="11"/>
      <c r="R218" s="34">
        <v>227</v>
      </c>
    </row>
    <row r="219" spans="2:18" ht="20" x14ac:dyDescent="0.2">
      <c r="B219" s="96" t="s">
        <v>609</v>
      </c>
      <c r="C219" s="22" t="s">
        <v>2837</v>
      </c>
      <c r="D219" s="22"/>
      <c r="E219" s="262"/>
      <c r="F219" s="262"/>
      <c r="G219" s="96" t="s">
        <v>2379</v>
      </c>
      <c r="H219" s="162" t="s">
        <v>1150</v>
      </c>
      <c r="I219" s="209">
        <v>240</v>
      </c>
      <c r="J219" s="209">
        <v>138</v>
      </c>
      <c r="K219" s="209">
        <v>341.8</v>
      </c>
      <c r="L219" s="94">
        <f t="shared" si="4"/>
        <v>410.16</v>
      </c>
      <c r="M219" s="94">
        <v>0.9</v>
      </c>
      <c r="N219" s="94">
        <f t="shared" si="5"/>
        <v>307.62</v>
      </c>
      <c r="O219" s="94">
        <f t="shared" si="5"/>
        <v>369.14400000000001</v>
      </c>
      <c r="P219" s="11" t="s">
        <v>3304</v>
      </c>
      <c r="Q219" s="11"/>
      <c r="R219" s="34">
        <v>215</v>
      </c>
    </row>
    <row r="220" spans="2:18" ht="20" x14ac:dyDescent="0.2">
      <c r="B220" s="96" t="s">
        <v>609</v>
      </c>
      <c r="C220" s="22" t="s">
        <v>2837</v>
      </c>
      <c r="D220" s="22"/>
      <c r="E220" s="262"/>
      <c r="F220" s="262"/>
      <c r="G220" s="96" t="s">
        <v>2379</v>
      </c>
      <c r="H220" s="162" t="s">
        <v>1154</v>
      </c>
      <c r="I220" s="209">
        <v>240</v>
      </c>
      <c r="J220" s="209">
        <v>138</v>
      </c>
      <c r="K220" s="209">
        <v>340.6</v>
      </c>
      <c r="L220" s="94">
        <f t="shared" si="4"/>
        <v>408.72</v>
      </c>
      <c r="M220" s="94">
        <v>0.9</v>
      </c>
      <c r="N220" s="94">
        <f t="shared" si="5"/>
        <v>306.54000000000002</v>
      </c>
      <c r="O220" s="94">
        <f t="shared" si="5"/>
        <v>367.84800000000001</v>
      </c>
      <c r="P220" s="11" t="s">
        <v>3304</v>
      </c>
      <c r="Q220" s="11"/>
      <c r="R220" s="34">
        <v>216</v>
      </c>
    </row>
    <row r="221" spans="2:18" ht="20" x14ac:dyDescent="0.2">
      <c r="B221" s="96" t="s">
        <v>2222</v>
      </c>
      <c r="C221" s="22" t="s">
        <v>2838</v>
      </c>
      <c r="D221" s="22"/>
      <c r="E221" s="262"/>
      <c r="F221" s="262"/>
      <c r="G221" s="96" t="s">
        <v>2379</v>
      </c>
      <c r="H221" s="162" t="s">
        <v>1150</v>
      </c>
      <c r="I221" s="209">
        <v>240</v>
      </c>
      <c r="J221" s="209">
        <v>25</v>
      </c>
      <c r="K221" s="209">
        <v>63</v>
      </c>
      <c r="L221" s="94">
        <f t="shared" si="4"/>
        <v>75.599999999999994</v>
      </c>
      <c r="M221" s="94">
        <v>0.9</v>
      </c>
      <c r="N221" s="94">
        <f t="shared" si="5"/>
        <v>56.7</v>
      </c>
      <c r="O221" s="94">
        <f t="shared" si="5"/>
        <v>68.039999999999992</v>
      </c>
      <c r="P221" s="11" t="s">
        <v>3304</v>
      </c>
      <c r="Q221" s="11"/>
      <c r="R221" s="34">
        <v>218</v>
      </c>
    </row>
    <row r="222" spans="2:18" ht="20" x14ac:dyDescent="0.2">
      <c r="B222" s="96" t="s">
        <v>2222</v>
      </c>
      <c r="C222" s="22" t="s">
        <v>2838</v>
      </c>
      <c r="D222" s="22"/>
      <c r="E222" s="262"/>
      <c r="F222" s="262"/>
      <c r="G222" s="96" t="s">
        <v>2379</v>
      </c>
      <c r="H222" s="162" t="s">
        <v>1154</v>
      </c>
      <c r="I222" s="209">
        <v>240</v>
      </c>
      <c r="J222" s="209">
        <v>25</v>
      </c>
      <c r="K222" s="209">
        <v>63</v>
      </c>
      <c r="L222" s="94">
        <f t="shared" si="4"/>
        <v>75.599999999999994</v>
      </c>
      <c r="M222" s="94">
        <v>0.9</v>
      </c>
      <c r="N222" s="94">
        <f t="shared" si="5"/>
        <v>56.7</v>
      </c>
      <c r="O222" s="94">
        <f t="shared" si="5"/>
        <v>68.039999999999992</v>
      </c>
      <c r="P222" s="11" t="s">
        <v>3304</v>
      </c>
      <c r="Q222" s="11"/>
      <c r="R222" s="34">
        <v>219</v>
      </c>
    </row>
    <row r="223" spans="2:18" ht="20" x14ac:dyDescent="0.2">
      <c r="B223" s="96" t="s">
        <v>1940</v>
      </c>
      <c r="C223" s="22" t="s">
        <v>2614</v>
      </c>
      <c r="D223" s="22"/>
      <c r="E223" s="262"/>
      <c r="F223" s="262"/>
      <c r="G223" s="96" t="s">
        <v>2379</v>
      </c>
      <c r="H223" s="22"/>
      <c r="I223" s="201">
        <v>138</v>
      </c>
      <c r="J223" s="211"/>
      <c r="K223" s="211"/>
      <c r="L223" s="58"/>
      <c r="M223" s="58"/>
      <c r="N223" s="58"/>
      <c r="O223" s="58"/>
      <c r="P223" s="11"/>
      <c r="Q223" s="11"/>
      <c r="R223" s="34">
        <v>220</v>
      </c>
    </row>
    <row r="224" spans="2:18" ht="20" x14ac:dyDescent="0.2">
      <c r="B224" s="96" t="s">
        <v>1603</v>
      </c>
      <c r="C224" s="22" t="s">
        <v>2839</v>
      </c>
      <c r="D224" s="22"/>
      <c r="E224" s="262"/>
      <c r="F224" s="262"/>
      <c r="G224" s="96" t="s">
        <v>2379</v>
      </c>
      <c r="H224" s="22"/>
      <c r="I224" s="201">
        <v>144</v>
      </c>
      <c r="J224" s="211"/>
      <c r="K224" s="211"/>
      <c r="L224" s="58"/>
      <c r="M224" s="58"/>
      <c r="N224" s="58"/>
      <c r="O224" s="58"/>
      <c r="P224" s="11"/>
      <c r="Q224" s="11"/>
      <c r="R224" s="34">
        <v>221</v>
      </c>
    </row>
    <row r="225" spans="2:18" ht="20" x14ac:dyDescent="0.2">
      <c r="B225" s="96" t="s">
        <v>1485</v>
      </c>
      <c r="C225" s="22" t="s">
        <v>2840</v>
      </c>
      <c r="D225" s="22"/>
      <c r="E225" s="262"/>
      <c r="F225" s="262"/>
      <c r="G225" s="96" t="s">
        <v>2379</v>
      </c>
      <c r="H225" s="162" t="s">
        <v>1156</v>
      </c>
      <c r="I225" s="209">
        <v>240</v>
      </c>
      <c r="J225" s="209">
        <v>138</v>
      </c>
      <c r="K225" s="209">
        <v>200</v>
      </c>
      <c r="L225" s="94">
        <f>K225*1.2</f>
        <v>240</v>
      </c>
      <c r="M225" s="94">
        <v>0.9</v>
      </c>
      <c r="N225" s="94">
        <f>K225*$M225</f>
        <v>180</v>
      </c>
      <c r="O225" s="94">
        <f>L225*$M225</f>
        <v>216</v>
      </c>
      <c r="P225" s="11" t="s">
        <v>3299</v>
      </c>
      <c r="Q225" s="11"/>
      <c r="R225" s="34">
        <v>222</v>
      </c>
    </row>
    <row r="226" spans="2:18" ht="20" x14ac:dyDescent="0.2">
      <c r="B226" s="96" t="s">
        <v>750</v>
      </c>
      <c r="C226" s="22" t="s">
        <v>2841</v>
      </c>
      <c r="D226" s="22"/>
      <c r="E226" s="262"/>
      <c r="F226" s="262"/>
      <c r="G226" s="96" t="s">
        <v>2379</v>
      </c>
      <c r="H226" s="22"/>
      <c r="I226" s="201">
        <v>72</v>
      </c>
      <c r="J226" s="211"/>
      <c r="K226" s="211"/>
      <c r="L226" s="58"/>
      <c r="M226" s="58"/>
      <c r="N226" s="58"/>
      <c r="O226" s="58"/>
      <c r="P226" s="11"/>
      <c r="Q226" s="11"/>
      <c r="R226" s="34">
        <v>223</v>
      </c>
    </row>
    <row r="227" spans="2:18" ht="20" x14ac:dyDescent="0.2">
      <c r="B227" s="96" t="s">
        <v>679</v>
      </c>
      <c r="C227" s="22" t="s">
        <v>2672</v>
      </c>
      <c r="D227" s="22"/>
      <c r="E227" s="262">
        <v>53.557743000000002</v>
      </c>
      <c r="F227" s="262">
        <v>-116.547405</v>
      </c>
      <c r="G227" s="96" t="s">
        <v>2379</v>
      </c>
      <c r="H227" s="162" t="s">
        <v>1150</v>
      </c>
      <c r="I227" s="209">
        <v>138</v>
      </c>
      <c r="J227" s="209">
        <v>25</v>
      </c>
      <c r="K227" s="209">
        <v>42</v>
      </c>
      <c r="L227" s="94">
        <f>K227*1.2</f>
        <v>50.4</v>
      </c>
      <c r="M227" s="94">
        <v>0.9</v>
      </c>
      <c r="N227" s="94">
        <f>K227*$M227</f>
        <v>37.800000000000004</v>
      </c>
      <c r="O227" s="94">
        <f>L227*$M227</f>
        <v>45.36</v>
      </c>
      <c r="P227" s="11" t="s">
        <v>3298</v>
      </c>
      <c r="Q227" s="11"/>
      <c r="R227" s="34">
        <v>230</v>
      </c>
    </row>
    <row r="228" spans="2:18" ht="20" x14ac:dyDescent="0.2">
      <c r="B228" s="96" t="s">
        <v>679</v>
      </c>
      <c r="C228" s="22" t="s">
        <v>2672</v>
      </c>
      <c r="D228" s="22"/>
      <c r="E228" s="262">
        <v>53.557743000000002</v>
      </c>
      <c r="F228" s="262">
        <v>-116.547405</v>
      </c>
      <c r="G228" s="96" t="s">
        <v>2379</v>
      </c>
      <c r="H228" s="162" t="s">
        <v>1154</v>
      </c>
      <c r="I228" s="209">
        <v>138</v>
      </c>
      <c r="J228" s="209">
        <v>25</v>
      </c>
      <c r="K228" s="209">
        <v>42</v>
      </c>
      <c r="L228" s="94">
        <f>K228*1.2</f>
        <v>50.4</v>
      </c>
      <c r="M228" s="94">
        <v>0.9</v>
      </c>
      <c r="N228" s="94">
        <f>K228*$M228</f>
        <v>37.800000000000004</v>
      </c>
      <c r="O228" s="94">
        <f>L228*$M228</f>
        <v>45.36</v>
      </c>
      <c r="P228" s="11" t="s">
        <v>3298</v>
      </c>
      <c r="Q228" s="11"/>
      <c r="R228" s="34">
        <v>231</v>
      </c>
    </row>
    <row r="229" spans="2:18" ht="20" x14ac:dyDescent="0.2">
      <c r="B229" s="96" t="s">
        <v>1570</v>
      </c>
      <c r="C229" s="22" t="s">
        <v>2842</v>
      </c>
      <c r="D229" s="22"/>
      <c r="E229" s="262"/>
      <c r="F229" s="262"/>
      <c r="G229" s="96" t="s">
        <v>2379</v>
      </c>
      <c r="H229" s="22"/>
      <c r="I229" s="201">
        <v>144</v>
      </c>
      <c r="J229" s="211"/>
      <c r="K229" s="211"/>
      <c r="L229" s="58"/>
      <c r="M229" s="58"/>
      <c r="N229" s="58"/>
      <c r="O229" s="58"/>
      <c r="P229" s="11"/>
      <c r="Q229" s="11"/>
      <c r="R229" s="34">
        <v>232</v>
      </c>
    </row>
    <row r="230" spans="2:18" ht="20" x14ac:dyDescent="0.2">
      <c r="B230" s="96" t="s">
        <v>603</v>
      </c>
      <c r="C230" s="22" t="s">
        <v>2843</v>
      </c>
      <c r="D230" s="22"/>
      <c r="E230" s="262"/>
      <c r="F230" s="262"/>
      <c r="G230" s="96" t="s">
        <v>2379</v>
      </c>
      <c r="H230" s="162" t="s">
        <v>1150</v>
      </c>
      <c r="I230" s="209">
        <v>500</v>
      </c>
      <c r="J230" s="209">
        <v>240</v>
      </c>
      <c r="K230" s="209">
        <v>1200</v>
      </c>
      <c r="L230" s="94">
        <f>K230*1.2</f>
        <v>1440</v>
      </c>
      <c r="M230" s="94">
        <v>0.9</v>
      </c>
      <c r="N230" s="94">
        <f>K230*$M230</f>
        <v>1080</v>
      </c>
      <c r="O230" s="94">
        <f>L230*$M230</f>
        <v>1296</v>
      </c>
      <c r="P230" s="11" t="s">
        <v>3304</v>
      </c>
      <c r="Q230" s="11"/>
      <c r="R230" s="34">
        <v>233</v>
      </c>
    </row>
    <row r="231" spans="2:18" ht="20" x14ac:dyDescent="0.2">
      <c r="B231" s="96" t="s">
        <v>603</v>
      </c>
      <c r="C231" s="22" t="s">
        <v>2843</v>
      </c>
      <c r="D231" s="22"/>
      <c r="E231" s="262"/>
      <c r="F231" s="262"/>
      <c r="G231" s="96" t="s">
        <v>2379</v>
      </c>
      <c r="H231" s="162" t="s">
        <v>1154</v>
      </c>
      <c r="I231" s="209">
        <v>500</v>
      </c>
      <c r="J231" s="209">
        <v>240</v>
      </c>
      <c r="K231" s="209">
        <v>1200</v>
      </c>
      <c r="L231" s="94">
        <f>K231*1.2</f>
        <v>1440</v>
      </c>
      <c r="M231" s="94">
        <v>0.9</v>
      </c>
      <c r="N231" s="94">
        <f>K231*$M231</f>
        <v>1080</v>
      </c>
      <c r="O231" s="94">
        <f>L231*$M231</f>
        <v>1296</v>
      </c>
      <c r="P231" s="11" t="s">
        <v>3304</v>
      </c>
      <c r="Q231" s="11"/>
      <c r="R231" s="34">
        <v>234</v>
      </c>
    </row>
    <row r="232" spans="2:18" ht="20" x14ac:dyDescent="0.2">
      <c r="B232" s="96" t="s">
        <v>1627</v>
      </c>
      <c r="C232" s="22" t="s">
        <v>2844</v>
      </c>
      <c r="D232" s="22"/>
      <c r="E232" s="262"/>
      <c r="F232" s="262"/>
      <c r="G232" s="96" t="s">
        <v>2379</v>
      </c>
      <c r="H232" s="22"/>
      <c r="I232" s="201">
        <v>144</v>
      </c>
      <c r="J232" s="211"/>
      <c r="K232" s="211"/>
      <c r="L232" s="58"/>
      <c r="M232" s="58"/>
      <c r="N232" s="58"/>
      <c r="O232" s="58"/>
      <c r="P232" s="11"/>
      <c r="Q232" s="11"/>
      <c r="R232" s="34">
        <v>235</v>
      </c>
    </row>
    <row r="233" spans="2:18" ht="20" x14ac:dyDescent="0.2">
      <c r="B233" s="96" t="s">
        <v>802</v>
      </c>
      <c r="C233" s="22" t="s">
        <v>2617</v>
      </c>
      <c r="D233" s="22"/>
      <c r="E233" s="262"/>
      <c r="F233" s="262"/>
      <c r="G233" s="96" t="s">
        <v>2379</v>
      </c>
      <c r="H233" s="162" t="s">
        <v>1150</v>
      </c>
      <c r="I233" s="209">
        <v>144</v>
      </c>
      <c r="J233" s="209">
        <v>25</v>
      </c>
      <c r="K233" s="209">
        <v>33</v>
      </c>
      <c r="L233" s="94">
        <f>K233*1.2</f>
        <v>39.6</v>
      </c>
      <c r="M233" s="94">
        <v>0.9</v>
      </c>
      <c r="N233" s="94">
        <f>K233*$M233</f>
        <v>29.7</v>
      </c>
      <c r="O233" s="94">
        <f>L233*$M233</f>
        <v>35.64</v>
      </c>
      <c r="P233" s="11" t="s">
        <v>3283</v>
      </c>
      <c r="Q233" s="11"/>
      <c r="R233" s="34">
        <v>236</v>
      </c>
    </row>
    <row r="234" spans="2:18" ht="20" x14ac:dyDescent="0.2">
      <c r="B234" s="96" t="s">
        <v>1994</v>
      </c>
      <c r="C234" s="22" t="s">
        <v>2845</v>
      </c>
      <c r="D234" s="22"/>
      <c r="E234" s="262"/>
      <c r="F234" s="262"/>
      <c r="G234" s="96" t="s">
        <v>2379</v>
      </c>
      <c r="H234" s="22"/>
      <c r="I234" s="201">
        <v>138</v>
      </c>
      <c r="J234" s="211"/>
      <c r="K234" s="211"/>
      <c r="L234" s="58"/>
      <c r="M234" s="58"/>
      <c r="N234" s="58"/>
      <c r="O234" s="58"/>
      <c r="P234" s="11"/>
      <c r="Q234" s="11"/>
      <c r="R234" s="34">
        <v>237</v>
      </c>
    </row>
    <row r="235" spans="2:18" ht="20" x14ac:dyDescent="0.2">
      <c r="B235" s="96" t="s">
        <v>2004</v>
      </c>
      <c r="C235" s="22" t="s">
        <v>3253</v>
      </c>
      <c r="D235" s="22"/>
      <c r="E235" s="262"/>
      <c r="F235" s="262"/>
      <c r="G235" s="96" t="s">
        <v>2379</v>
      </c>
      <c r="H235" s="22"/>
      <c r="I235" s="201">
        <v>144</v>
      </c>
      <c r="J235" s="211"/>
      <c r="K235" s="211"/>
      <c r="L235" s="58"/>
      <c r="M235" s="58"/>
      <c r="N235" s="58"/>
      <c r="O235" s="58"/>
      <c r="P235" s="11"/>
      <c r="Q235" s="11"/>
      <c r="R235" s="34">
        <v>238</v>
      </c>
    </row>
    <row r="236" spans="2:18" ht="20" x14ac:dyDescent="0.2">
      <c r="B236" s="96" t="s">
        <v>1962</v>
      </c>
      <c r="C236" s="22" t="s">
        <v>2846</v>
      </c>
      <c r="D236" s="22"/>
      <c r="E236" s="262"/>
      <c r="F236" s="262"/>
      <c r="G236" s="96" t="s">
        <v>2379</v>
      </c>
      <c r="H236" s="22"/>
      <c r="I236" s="201">
        <v>138</v>
      </c>
      <c r="J236" s="211"/>
      <c r="K236" s="211"/>
      <c r="L236" s="58"/>
      <c r="M236" s="58"/>
      <c r="N236" s="58"/>
      <c r="O236" s="58"/>
      <c r="P236" s="11"/>
      <c r="Q236" s="11"/>
      <c r="R236" s="34">
        <v>239</v>
      </c>
    </row>
    <row r="237" spans="2:18" ht="20" x14ac:dyDescent="0.2">
      <c r="B237" s="96" t="s">
        <v>869</v>
      </c>
      <c r="C237" s="22" t="s">
        <v>2847</v>
      </c>
      <c r="D237" s="22"/>
      <c r="E237" s="262"/>
      <c r="F237" s="262"/>
      <c r="G237" s="96" t="s">
        <v>2379</v>
      </c>
      <c r="H237" s="22"/>
      <c r="I237" s="201">
        <v>144</v>
      </c>
      <c r="J237" s="211"/>
      <c r="K237" s="211"/>
      <c r="L237" s="58"/>
      <c r="M237" s="58"/>
      <c r="N237" s="58"/>
      <c r="O237" s="58"/>
      <c r="P237" s="11"/>
      <c r="Q237" s="11"/>
      <c r="R237" s="34">
        <v>240</v>
      </c>
    </row>
    <row r="238" spans="2:18" ht="20" x14ac:dyDescent="0.2">
      <c r="B238" s="96" t="s">
        <v>675</v>
      </c>
      <c r="C238" s="22" t="s">
        <v>2848</v>
      </c>
      <c r="D238" s="22"/>
      <c r="E238" s="262"/>
      <c r="F238" s="262"/>
      <c r="G238" s="96" t="s">
        <v>2379</v>
      </c>
      <c r="H238" s="22"/>
      <c r="I238" s="201">
        <v>138</v>
      </c>
      <c r="J238" s="211"/>
      <c r="K238" s="211"/>
      <c r="L238" s="58"/>
      <c r="M238" s="58"/>
      <c r="N238" s="58"/>
      <c r="O238" s="58"/>
      <c r="P238" s="11"/>
      <c r="Q238" s="11"/>
      <c r="R238" s="34">
        <v>241</v>
      </c>
    </row>
    <row r="239" spans="2:18" ht="20" x14ac:dyDescent="0.2">
      <c r="B239" s="96" t="s">
        <v>1382</v>
      </c>
      <c r="C239" s="22" t="s">
        <v>2849</v>
      </c>
      <c r="D239" s="22"/>
      <c r="E239" s="262"/>
      <c r="F239" s="262"/>
      <c r="G239" s="96" t="s">
        <v>2379</v>
      </c>
      <c r="H239" s="22"/>
      <c r="I239" s="201">
        <v>138</v>
      </c>
      <c r="J239" s="211"/>
      <c r="K239" s="211"/>
      <c r="L239" s="58"/>
      <c r="M239" s="58"/>
      <c r="N239" s="58"/>
      <c r="O239" s="58"/>
      <c r="P239" s="11"/>
      <c r="Q239" s="11"/>
      <c r="R239" s="34">
        <v>242</v>
      </c>
    </row>
    <row r="240" spans="2:18" ht="20" x14ac:dyDescent="0.2">
      <c r="B240" s="96" t="s">
        <v>720</v>
      </c>
      <c r="C240" s="22" t="s">
        <v>3254</v>
      </c>
      <c r="D240" s="22"/>
      <c r="E240" s="262"/>
      <c r="F240" s="262"/>
      <c r="G240" s="96" t="s">
        <v>2379</v>
      </c>
      <c r="H240" s="22"/>
      <c r="I240" s="201">
        <v>72</v>
      </c>
      <c r="J240" s="211"/>
      <c r="K240" s="211"/>
      <c r="L240" s="58"/>
      <c r="M240" s="58"/>
      <c r="N240" s="58"/>
      <c r="O240" s="58"/>
      <c r="P240" s="11"/>
      <c r="Q240" s="11"/>
      <c r="R240" s="34">
        <v>243</v>
      </c>
    </row>
    <row r="241" spans="2:18" ht="20" x14ac:dyDescent="0.2">
      <c r="B241" s="96" t="s">
        <v>1419</v>
      </c>
      <c r="C241" s="22" t="s">
        <v>2850</v>
      </c>
      <c r="D241" s="22"/>
      <c r="E241" s="262"/>
      <c r="F241" s="262"/>
      <c r="G241" s="96" t="s">
        <v>2379</v>
      </c>
      <c r="H241" s="22"/>
      <c r="I241" s="201">
        <v>144</v>
      </c>
      <c r="J241" s="211"/>
      <c r="K241" s="211"/>
      <c r="L241" s="58"/>
      <c r="M241" s="58"/>
      <c r="N241" s="58"/>
      <c r="O241" s="58"/>
      <c r="P241" s="11"/>
      <c r="Q241" s="11"/>
      <c r="R241" s="34">
        <v>244</v>
      </c>
    </row>
    <row r="242" spans="2:18" ht="20" x14ac:dyDescent="0.2">
      <c r="B242" s="96" t="s">
        <v>2048</v>
      </c>
      <c r="C242" s="22" t="s">
        <v>2851</v>
      </c>
      <c r="D242" s="22"/>
      <c r="E242" s="262"/>
      <c r="F242" s="262"/>
      <c r="G242" s="96" t="s">
        <v>2379</v>
      </c>
      <c r="H242" s="22"/>
      <c r="I242" s="201">
        <v>72</v>
      </c>
      <c r="J242" s="211"/>
      <c r="K242" s="211"/>
      <c r="L242" s="58"/>
      <c r="M242" s="58"/>
      <c r="N242" s="58"/>
      <c r="O242" s="58"/>
      <c r="P242" s="11"/>
      <c r="Q242" s="11"/>
      <c r="R242" s="34">
        <v>245</v>
      </c>
    </row>
    <row r="243" spans="2:18" ht="20" x14ac:dyDescent="0.2">
      <c r="B243" s="96" t="s">
        <v>1512</v>
      </c>
      <c r="C243" s="22" t="s">
        <v>2852</v>
      </c>
      <c r="D243" s="22"/>
      <c r="E243" s="262"/>
      <c r="F243" s="262"/>
      <c r="G243" s="96" t="s">
        <v>2379</v>
      </c>
      <c r="H243" s="22"/>
      <c r="I243" s="201">
        <v>138</v>
      </c>
      <c r="J243" s="211"/>
      <c r="K243" s="211"/>
      <c r="L243" s="58"/>
      <c r="M243" s="58"/>
      <c r="N243" s="58"/>
      <c r="O243" s="58"/>
      <c r="P243" s="11"/>
      <c r="Q243" s="11"/>
      <c r="R243" s="34">
        <v>246</v>
      </c>
    </row>
    <row r="244" spans="2:18" ht="20" x14ac:dyDescent="0.2">
      <c r="B244" s="96" t="s">
        <v>1686</v>
      </c>
      <c r="C244" s="22" t="s">
        <v>2853</v>
      </c>
      <c r="D244" s="22"/>
      <c r="E244" s="262"/>
      <c r="F244" s="262"/>
      <c r="G244" s="96" t="s">
        <v>2379</v>
      </c>
      <c r="H244" s="22"/>
      <c r="I244" s="201">
        <v>138</v>
      </c>
      <c r="J244" s="211"/>
      <c r="K244" s="211"/>
      <c r="L244" s="58"/>
      <c r="M244" s="58"/>
      <c r="N244" s="58"/>
      <c r="O244" s="58"/>
      <c r="P244" s="11"/>
      <c r="Q244" s="11"/>
      <c r="R244" s="34">
        <v>247</v>
      </c>
    </row>
    <row r="245" spans="2:18" ht="20" x14ac:dyDescent="0.2">
      <c r="B245" s="96" t="s">
        <v>1501</v>
      </c>
      <c r="C245" s="22" t="s">
        <v>2854</v>
      </c>
      <c r="D245" s="22"/>
      <c r="E245" s="262"/>
      <c r="F245" s="262"/>
      <c r="G245" s="96" t="s">
        <v>2379</v>
      </c>
      <c r="H245" s="22"/>
      <c r="I245" s="201">
        <v>144</v>
      </c>
      <c r="J245" s="211"/>
      <c r="K245" s="211"/>
      <c r="L245" s="58"/>
      <c r="M245" s="58"/>
      <c r="N245" s="58"/>
      <c r="O245" s="58"/>
      <c r="P245" s="11"/>
      <c r="Q245" s="11"/>
      <c r="R245" s="34">
        <v>248</v>
      </c>
    </row>
    <row r="246" spans="2:18" ht="20" x14ac:dyDescent="0.2">
      <c r="B246" s="96" t="s">
        <v>721</v>
      </c>
      <c r="C246" s="22" t="s">
        <v>3255</v>
      </c>
      <c r="D246" s="22"/>
      <c r="E246" s="262"/>
      <c r="F246" s="262"/>
      <c r="G246" s="96" t="s">
        <v>2379</v>
      </c>
      <c r="H246" s="22"/>
      <c r="I246" s="201">
        <v>72</v>
      </c>
      <c r="J246" s="211"/>
      <c r="K246" s="211"/>
      <c r="L246" s="58"/>
      <c r="M246" s="58"/>
      <c r="N246" s="58"/>
      <c r="O246" s="58"/>
      <c r="P246" s="11"/>
      <c r="Q246" s="11"/>
      <c r="R246" s="34">
        <v>249</v>
      </c>
    </row>
    <row r="247" spans="2:18" ht="20" x14ac:dyDescent="0.2">
      <c r="B247" s="96" t="s">
        <v>1369</v>
      </c>
      <c r="C247" s="22" t="s">
        <v>2855</v>
      </c>
      <c r="D247" s="22"/>
      <c r="E247" s="262"/>
      <c r="F247" s="262"/>
      <c r="G247" s="96" t="s">
        <v>2379</v>
      </c>
      <c r="H247" s="22"/>
      <c r="I247" s="201">
        <v>144</v>
      </c>
      <c r="J247" s="211"/>
      <c r="K247" s="211"/>
      <c r="L247" s="58"/>
      <c r="M247" s="58"/>
      <c r="N247" s="58"/>
      <c r="O247" s="58"/>
      <c r="P247" s="11"/>
      <c r="Q247" s="11"/>
      <c r="R247" s="34">
        <v>250</v>
      </c>
    </row>
    <row r="248" spans="2:18" ht="20" x14ac:dyDescent="0.2">
      <c r="B248" s="96" t="s">
        <v>1584</v>
      </c>
      <c r="C248" s="22" t="s">
        <v>2856</v>
      </c>
      <c r="D248" s="22"/>
      <c r="E248" s="262"/>
      <c r="F248" s="262"/>
      <c r="G248" s="96" t="s">
        <v>2379</v>
      </c>
      <c r="H248" s="22"/>
      <c r="I248" s="201">
        <v>138</v>
      </c>
      <c r="J248" s="211"/>
      <c r="K248" s="211"/>
      <c r="L248" s="58"/>
      <c r="M248" s="58"/>
      <c r="N248" s="58"/>
      <c r="O248" s="58"/>
      <c r="P248" s="11"/>
      <c r="Q248" s="11"/>
      <c r="R248" s="34">
        <v>251</v>
      </c>
    </row>
    <row r="249" spans="2:18" ht="20" x14ac:dyDescent="0.2">
      <c r="B249" s="96" t="s">
        <v>618</v>
      </c>
      <c r="C249" s="22" t="s">
        <v>2857</v>
      </c>
      <c r="D249" s="22"/>
      <c r="E249" s="262"/>
      <c r="F249" s="262"/>
      <c r="G249" s="96" t="s">
        <v>2379</v>
      </c>
      <c r="H249" s="162" t="s">
        <v>1150</v>
      </c>
      <c r="I249" s="209">
        <v>240</v>
      </c>
      <c r="J249" s="209">
        <v>138</v>
      </c>
      <c r="K249" s="209">
        <v>400</v>
      </c>
      <c r="L249" s="94">
        <f>K249*1.2</f>
        <v>480</v>
      </c>
      <c r="M249" s="94">
        <v>0.9</v>
      </c>
      <c r="N249" s="94">
        <f>K249*$M249</f>
        <v>360</v>
      </c>
      <c r="O249" s="94">
        <f>L249*$M249</f>
        <v>432</v>
      </c>
      <c r="P249" s="11" t="s">
        <v>3303</v>
      </c>
      <c r="Q249" s="11"/>
      <c r="R249" s="34">
        <v>252</v>
      </c>
    </row>
    <row r="250" spans="2:18" ht="20" x14ac:dyDescent="0.2">
      <c r="B250" s="96" t="s">
        <v>932</v>
      </c>
      <c r="C250" s="22" t="s">
        <v>2628</v>
      </c>
      <c r="D250" s="22"/>
      <c r="E250" s="262"/>
      <c r="F250" s="262"/>
      <c r="G250" s="96" t="s">
        <v>2379</v>
      </c>
      <c r="H250" s="22"/>
      <c r="I250" s="201">
        <v>144</v>
      </c>
      <c r="J250" s="211"/>
      <c r="K250" s="211"/>
      <c r="L250" s="58"/>
      <c r="M250" s="58"/>
      <c r="N250" s="58"/>
      <c r="O250" s="58"/>
      <c r="P250" s="11"/>
      <c r="Q250" s="11"/>
      <c r="R250" s="34">
        <v>253</v>
      </c>
    </row>
    <row r="251" spans="2:18" ht="20" x14ac:dyDescent="0.2">
      <c r="B251" s="96" t="s">
        <v>1970</v>
      </c>
      <c r="C251" s="22" t="s">
        <v>2858</v>
      </c>
      <c r="D251" s="22"/>
      <c r="E251" s="262"/>
      <c r="F251" s="262"/>
      <c r="G251" s="96" t="s">
        <v>2379</v>
      </c>
      <c r="H251" s="162" t="s">
        <v>1150</v>
      </c>
      <c r="I251" s="209">
        <v>138</v>
      </c>
      <c r="J251" s="209">
        <v>25</v>
      </c>
      <c r="K251" s="209">
        <v>25</v>
      </c>
      <c r="L251" s="94">
        <f>K251*1.2</f>
        <v>30</v>
      </c>
      <c r="M251" s="94">
        <v>0.9</v>
      </c>
      <c r="N251" s="94">
        <f>K251*$M251</f>
        <v>22.5</v>
      </c>
      <c r="O251" s="94">
        <f>L251*$M251</f>
        <v>27</v>
      </c>
      <c r="P251" s="11" t="s">
        <v>3293</v>
      </c>
      <c r="Q251" s="11"/>
      <c r="R251" s="34">
        <v>254</v>
      </c>
    </row>
    <row r="252" spans="2:18" ht="20" x14ac:dyDescent="0.2">
      <c r="B252" s="96" t="s">
        <v>790</v>
      </c>
      <c r="C252" s="22" t="s">
        <v>2859</v>
      </c>
      <c r="D252" s="22"/>
      <c r="E252" s="262"/>
      <c r="F252" s="262"/>
      <c r="G252" s="96" t="s">
        <v>2379</v>
      </c>
      <c r="H252" s="22"/>
      <c r="I252" s="201">
        <v>144</v>
      </c>
      <c r="J252" s="211"/>
      <c r="K252" s="211"/>
      <c r="L252" s="58"/>
      <c r="M252" s="58"/>
      <c r="N252" s="58"/>
      <c r="O252" s="58"/>
      <c r="P252" s="11"/>
      <c r="Q252" s="11"/>
      <c r="R252" s="34">
        <v>255</v>
      </c>
    </row>
    <row r="253" spans="2:18" ht="20" x14ac:dyDescent="0.2">
      <c r="B253" s="96" t="s">
        <v>763</v>
      </c>
      <c r="C253" s="22" t="s">
        <v>2860</v>
      </c>
      <c r="D253" s="22"/>
      <c r="E253" s="262"/>
      <c r="F253" s="262"/>
      <c r="G253" s="96" t="s">
        <v>2379</v>
      </c>
      <c r="H253" s="22"/>
      <c r="I253" s="201">
        <v>144</v>
      </c>
      <c r="J253" s="211"/>
      <c r="K253" s="211"/>
      <c r="L253" s="58"/>
      <c r="M253" s="58"/>
      <c r="N253" s="58"/>
      <c r="O253" s="58"/>
      <c r="P253" s="11"/>
      <c r="Q253" s="11"/>
      <c r="R253" s="34">
        <v>256</v>
      </c>
    </row>
    <row r="254" spans="2:18" ht="20" x14ac:dyDescent="0.2">
      <c r="B254" s="96" t="s">
        <v>803</v>
      </c>
      <c r="C254" s="22" t="s">
        <v>2861</v>
      </c>
      <c r="D254" s="22"/>
      <c r="E254" s="262"/>
      <c r="F254" s="262"/>
      <c r="G254" s="96" t="s">
        <v>2379</v>
      </c>
      <c r="H254" s="162" t="s">
        <v>1150</v>
      </c>
      <c r="I254" s="209">
        <v>144</v>
      </c>
      <c r="J254" s="209">
        <v>25</v>
      </c>
      <c r="K254" s="209">
        <v>50</v>
      </c>
      <c r="L254" s="94">
        <f>K254*1.2</f>
        <v>60</v>
      </c>
      <c r="M254" s="94">
        <v>0.9</v>
      </c>
      <c r="N254" s="94">
        <f t="shared" ref="N254:O257" si="6">K254*$M254</f>
        <v>45</v>
      </c>
      <c r="O254" s="94">
        <f t="shared" si="6"/>
        <v>54</v>
      </c>
      <c r="P254" s="11" t="s">
        <v>3283</v>
      </c>
      <c r="Q254" s="11"/>
      <c r="R254" s="34">
        <v>257</v>
      </c>
    </row>
    <row r="255" spans="2:18" ht="20" x14ac:dyDescent="0.2">
      <c r="B255" s="96" t="s">
        <v>803</v>
      </c>
      <c r="C255" s="22" t="s">
        <v>2861</v>
      </c>
      <c r="D255" s="22"/>
      <c r="E255" s="262"/>
      <c r="F255" s="262"/>
      <c r="G255" s="96" t="s">
        <v>2379</v>
      </c>
      <c r="H255" s="162" t="s">
        <v>1154</v>
      </c>
      <c r="I255" s="209">
        <v>144</v>
      </c>
      <c r="J255" s="209">
        <v>25</v>
      </c>
      <c r="K255" s="209">
        <v>50</v>
      </c>
      <c r="L255" s="94">
        <f>K255*1.2</f>
        <v>60</v>
      </c>
      <c r="M255" s="94">
        <v>0.9</v>
      </c>
      <c r="N255" s="94">
        <f t="shared" si="6"/>
        <v>45</v>
      </c>
      <c r="O255" s="94">
        <f t="shared" si="6"/>
        <v>54</v>
      </c>
      <c r="P255" s="11" t="s">
        <v>3283</v>
      </c>
      <c r="Q255" s="11"/>
      <c r="R255" s="34">
        <v>258</v>
      </c>
    </row>
    <row r="256" spans="2:18" ht="20" x14ac:dyDescent="0.2">
      <c r="B256" s="96" t="s">
        <v>567</v>
      </c>
      <c r="C256" s="22" t="s">
        <v>2862</v>
      </c>
      <c r="D256" s="22"/>
      <c r="E256" s="262"/>
      <c r="F256" s="262"/>
      <c r="G256" s="96" t="s">
        <v>2379</v>
      </c>
      <c r="H256" s="162" t="s">
        <v>1150</v>
      </c>
      <c r="I256" s="209">
        <v>240</v>
      </c>
      <c r="J256" s="209">
        <v>138</v>
      </c>
      <c r="K256" s="209">
        <v>400</v>
      </c>
      <c r="L256" s="94">
        <f>K256*1.2</f>
        <v>480</v>
      </c>
      <c r="M256" s="94">
        <v>0.9</v>
      </c>
      <c r="N256" s="94">
        <f t="shared" si="6"/>
        <v>360</v>
      </c>
      <c r="O256" s="94">
        <f t="shared" si="6"/>
        <v>432</v>
      </c>
      <c r="P256" s="11" t="s">
        <v>3285</v>
      </c>
      <c r="Q256" s="11"/>
      <c r="R256" s="34">
        <v>259</v>
      </c>
    </row>
    <row r="257" spans="2:18" ht="20" x14ac:dyDescent="0.2">
      <c r="B257" s="96" t="s">
        <v>567</v>
      </c>
      <c r="C257" s="22" t="s">
        <v>2862</v>
      </c>
      <c r="D257" s="22"/>
      <c r="E257" s="262"/>
      <c r="F257" s="262"/>
      <c r="G257" s="96" t="s">
        <v>2379</v>
      </c>
      <c r="H257" s="162" t="s">
        <v>1154</v>
      </c>
      <c r="I257" s="209">
        <v>240</v>
      </c>
      <c r="J257" s="209">
        <v>138</v>
      </c>
      <c r="K257" s="209">
        <v>400</v>
      </c>
      <c r="L257" s="94">
        <f>K257*1.2</f>
        <v>480</v>
      </c>
      <c r="M257" s="94">
        <v>0.9</v>
      </c>
      <c r="N257" s="94">
        <f t="shared" si="6"/>
        <v>360</v>
      </c>
      <c r="O257" s="94">
        <f t="shared" si="6"/>
        <v>432</v>
      </c>
      <c r="P257" s="11" t="s">
        <v>3285</v>
      </c>
      <c r="Q257" s="11"/>
      <c r="R257" s="34">
        <v>260</v>
      </c>
    </row>
    <row r="258" spans="2:18" ht="20" x14ac:dyDescent="0.2">
      <c r="B258" s="96" t="s">
        <v>887</v>
      </c>
      <c r="C258" s="22" t="s">
        <v>2863</v>
      </c>
      <c r="D258" s="22"/>
      <c r="E258" s="262"/>
      <c r="F258" s="262"/>
      <c r="G258" s="96" t="s">
        <v>2379</v>
      </c>
      <c r="H258" s="22"/>
      <c r="I258" s="201">
        <v>138</v>
      </c>
      <c r="J258" s="211"/>
      <c r="K258" s="211"/>
      <c r="L258" s="58"/>
      <c r="M258" s="58"/>
      <c r="N258" s="58"/>
      <c r="O258" s="58"/>
      <c r="P258" s="11"/>
      <c r="Q258" s="11"/>
      <c r="R258" s="34">
        <v>262</v>
      </c>
    </row>
    <row r="259" spans="2:18" ht="20" x14ac:dyDescent="0.2">
      <c r="B259" s="212" t="s">
        <v>2229</v>
      </c>
      <c r="C259" s="22" t="s">
        <v>2673</v>
      </c>
      <c r="D259" s="22"/>
      <c r="E259" s="262">
        <v>57.395439000000003</v>
      </c>
      <c r="F259" s="262">
        <v>-111.571416</v>
      </c>
      <c r="G259" s="96" t="s">
        <v>2379</v>
      </c>
      <c r="H259" s="79"/>
      <c r="I259" s="213">
        <v>240</v>
      </c>
      <c r="J259" s="211"/>
      <c r="K259" s="211"/>
      <c r="L259" s="58"/>
      <c r="M259" s="58"/>
      <c r="N259" s="58"/>
      <c r="O259" s="58"/>
      <c r="P259" s="11"/>
      <c r="Q259" s="11"/>
      <c r="R259" s="34">
        <v>261</v>
      </c>
    </row>
    <row r="260" spans="2:18" ht="20" x14ac:dyDescent="0.2">
      <c r="B260" s="96" t="s">
        <v>1934</v>
      </c>
      <c r="C260" s="22" t="s">
        <v>2691</v>
      </c>
      <c r="D260" s="22"/>
      <c r="E260" s="262">
        <v>49.722884000000001</v>
      </c>
      <c r="F260" s="262">
        <v>-113.40435600000001</v>
      </c>
      <c r="G260" s="96" t="s">
        <v>2379</v>
      </c>
      <c r="H260" s="22"/>
      <c r="I260" s="201">
        <v>138</v>
      </c>
      <c r="J260" s="211"/>
      <c r="K260" s="211"/>
      <c r="L260" s="58"/>
      <c r="M260" s="58"/>
      <c r="N260" s="58"/>
      <c r="O260" s="58"/>
      <c r="P260" s="11"/>
      <c r="Q260" s="11"/>
      <c r="R260" s="34">
        <v>263</v>
      </c>
    </row>
    <row r="261" spans="2:18" ht="20" x14ac:dyDescent="0.2">
      <c r="B261" s="96" t="s">
        <v>736</v>
      </c>
      <c r="C261" s="22" t="s">
        <v>2864</v>
      </c>
      <c r="D261" s="22"/>
      <c r="E261" s="262"/>
      <c r="F261" s="262"/>
      <c r="G261" s="96" t="s">
        <v>2379</v>
      </c>
      <c r="H261" s="162" t="s">
        <v>1150</v>
      </c>
      <c r="I261" s="209">
        <v>240</v>
      </c>
      <c r="J261" s="209">
        <v>138</v>
      </c>
      <c r="K261" s="209">
        <v>300</v>
      </c>
      <c r="L261" s="94">
        <f>K261*1.2</f>
        <v>360</v>
      </c>
      <c r="M261" s="94">
        <v>0.9</v>
      </c>
      <c r="N261" s="94">
        <f>K261*$M261</f>
        <v>270</v>
      </c>
      <c r="O261" s="94">
        <f>L261*$M261</f>
        <v>324</v>
      </c>
      <c r="P261" s="11" t="s">
        <v>3289</v>
      </c>
      <c r="Q261" s="11"/>
      <c r="R261" s="34">
        <v>265</v>
      </c>
    </row>
    <row r="262" spans="2:18" ht="20" x14ac:dyDescent="0.2">
      <c r="B262" s="96" t="s">
        <v>736</v>
      </c>
      <c r="C262" s="22" t="s">
        <v>2864</v>
      </c>
      <c r="D262" s="22"/>
      <c r="E262" s="262"/>
      <c r="F262" s="262"/>
      <c r="G262" s="96" t="s">
        <v>2379</v>
      </c>
      <c r="H262" s="162" t="s">
        <v>1154</v>
      </c>
      <c r="I262" s="209">
        <v>240</v>
      </c>
      <c r="J262" s="209">
        <v>138</v>
      </c>
      <c r="K262" s="209">
        <v>300</v>
      </c>
      <c r="L262" s="94">
        <f>K262*1.2</f>
        <v>360</v>
      </c>
      <c r="M262" s="94">
        <v>0.9</v>
      </c>
      <c r="N262" s="94">
        <f>K262*$M262</f>
        <v>270</v>
      </c>
      <c r="O262" s="94">
        <f>L262*$M262</f>
        <v>324</v>
      </c>
      <c r="P262" s="11" t="s">
        <v>3289</v>
      </c>
      <c r="Q262" s="11"/>
      <c r="R262" s="34">
        <v>266</v>
      </c>
    </row>
    <row r="263" spans="2:18" ht="20" x14ac:dyDescent="0.2">
      <c r="B263" s="96" t="s">
        <v>983</v>
      </c>
      <c r="C263" s="22" t="s">
        <v>3256</v>
      </c>
      <c r="D263" s="22"/>
      <c r="E263" s="262"/>
      <c r="F263" s="262"/>
      <c r="G263" s="96" t="s">
        <v>2379</v>
      </c>
      <c r="H263" s="22"/>
      <c r="I263" s="201">
        <v>144</v>
      </c>
      <c r="J263" s="211"/>
      <c r="K263" s="211"/>
      <c r="L263" s="58"/>
      <c r="M263" s="58"/>
      <c r="N263" s="58"/>
      <c r="O263" s="58"/>
      <c r="P263" s="11"/>
      <c r="Q263" s="11"/>
      <c r="R263" s="34">
        <v>264</v>
      </c>
    </row>
    <row r="264" spans="2:18" ht="20" x14ac:dyDescent="0.2">
      <c r="B264" s="96" t="s">
        <v>1400</v>
      </c>
      <c r="C264" s="22" t="s">
        <v>2674</v>
      </c>
      <c r="D264" s="22"/>
      <c r="E264" s="262">
        <v>55.067399999999999</v>
      </c>
      <c r="F264" s="262">
        <v>-110.536</v>
      </c>
      <c r="G264" s="96" t="s">
        <v>2379</v>
      </c>
      <c r="H264" s="22"/>
      <c r="I264" s="201">
        <v>144</v>
      </c>
      <c r="J264" s="211"/>
      <c r="K264" s="211"/>
      <c r="L264" s="58"/>
      <c r="M264" s="58"/>
      <c r="N264" s="58"/>
      <c r="O264" s="58"/>
      <c r="P264" s="11"/>
      <c r="Q264" s="11"/>
      <c r="R264" s="34">
        <v>267</v>
      </c>
    </row>
    <row r="265" spans="2:18" ht="20" x14ac:dyDescent="0.2">
      <c r="B265" s="96" t="s">
        <v>1191</v>
      </c>
      <c r="C265" s="22" t="s">
        <v>2865</v>
      </c>
      <c r="D265" s="22"/>
      <c r="E265" s="262"/>
      <c r="F265" s="262"/>
      <c r="G265" s="96" t="s">
        <v>2379</v>
      </c>
      <c r="H265" s="162" t="s">
        <v>1150</v>
      </c>
      <c r="I265" s="209">
        <v>240</v>
      </c>
      <c r="J265" s="209">
        <v>138</v>
      </c>
      <c r="K265" s="209">
        <v>42</v>
      </c>
      <c r="L265" s="94">
        <f>K265*1.2</f>
        <v>50.4</v>
      </c>
      <c r="M265" s="94">
        <v>0.9</v>
      </c>
      <c r="N265" s="94">
        <f>K265*$M265</f>
        <v>37.800000000000004</v>
      </c>
      <c r="O265" s="94">
        <f>L265*$M265</f>
        <v>45.36</v>
      </c>
      <c r="P265" s="11" t="s">
        <v>3290</v>
      </c>
      <c r="Q265" s="11"/>
      <c r="R265" s="34">
        <v>268</v>
      </c>
    </row>
    <row r="266" spans="2:18" ht="20" x14ac:dyDescent="0.2">
      <c r="B266" s="96" t="s">
        <v>1191</v>
      </c>
      <c r="C266" s="22" t="s">
        <v>2865</v>
      </c>
      <c r="D266" s="22"/>
      <c r="E266" s="262"/>
      <c r="F266" s="262"/>
      <c r="G266" s="96" t="s">
        <v>2379</v>
      </c>
      <c r="H266" s="162" t="s">
        <v>1154</v>
      </c>
      <c r="I266" s="209">
        <v>240</v>
      </c>
      <c r="J266" s="209">
        <v>138</v>
      </c>
      <c r="K266" s="209">
        <v>42</v>
      </c>
      <c r="L266" s="94">
        <f>K266*1.2</f>
        <v>50.4</v>
      </c>
      <c r="M266" s="94">
        <v>0.9</v>
      </c>
      <c r="N266" s="94">
        <f>K266*$M266</f>
        <v>37.800000000000004</v>
      </c>
      <c r="O266" s="94">
        <f>L266*$M266</f>
        <v>45.36</v>
      </c>
      <c r="P266" s="11" t="s">
        <v>3290</v>
      </c>
      <c r="Q266" s="11"/>
      <c r="R266" s="34">
        <v>269</v>
      </c>
    </row>
    <row r="267" spans="2:18" ht="20" x14ac:dyDescent="0.2">
      <c r="B267" s="96" t="s">
        <v>1194</v>
      </c>
      <c r="C267" s="22" t="s">
        <v>2866</v>
      </c>
      <c r="D267" s="22"/>
      <c r="E267" s="262"/>
      <c r="F267" s="262"/>
      <c r="G267" s="96" t="s">
        <v>2379</v>
      </c>
      <c r="H267" s="22"/>
      <c r="I267" s="201">
        <v>138</v>
      </c>
      <c r="J267" s="211"/>
      <c r="K267" s="211"/>
      <c r="L267" s="58"/>
      <c r="M267" s="58"/>
      <c r="N267" s="58"/>
      <c r="O267" s="58"/>
      <c r="P267" s="11"/>
      <c r="Q267" s="11"/>
      <c r="R267" s="34">
        <v>270</v>
      </c>
    </row>
    <row r="268" spans="2:18" ht="20" x14ac:dyDescent="0.2">
      <c r="B268" s="96" t="s">
        <v>739</v>
      </c>
      <c r="C268" s="22" t="s">
        <v>2867</v>
      </c>
      <c r="D268" s="22"/>
      <c r="E268" s="262"/>
      <c r="F268" s="262"/>
      <c r="G268" s="96" t="s">
        <v>2379</v>
      </c>
      <c r="H268" s="22"/>
      <c r="I268" s="201">
        <v>72</v>
      </c>
      <c r="J268" s="211"/>
      <c r="K268" s="211"/>
      <c r="L268" s="58"/>
      <c r="M268" s="58"/>
      <c r="N268" s="58"/>
      <c r="O268" s="58"/>
      <c r="P268" s="11"/>
      <c r="Q268" s="11"/>
      <c r="R268" s="34">
        <v>271</v>
      </c>
    </row>
    <row r="269" spans="2:18" ht="20" x14ac:dyDescent="0.2">
      <c r="B269" s="96" t="s">
        <v>940</v>
      </c>
      <c r="C269" s="22" t="s">
        <v>2868</v>
      </c>
      <c r="D269" s="22"/>
      <c r="E269" s="262"/>
      <c r="F269" s="262"/>
      <c r="G269" s="96" t="s">
        <v>2379</v>
      </c>
      <c r="H269" s="22"/>
      <c r="I269" s="201">
        <v>72</v>
      </c>
      <c r="J269" s="211"/>
      <c r="K269" s="211"/>
      <c r="L269" s="58"/>
      <c r="M269" s="58"/>
      <c r="N269" s="58"/>
      <c r="O269" s="58"/>
      <c r="P269" s="11"/>
      <c r="Q269" s="11"/>
      <c r="R269" s="34">
        <v>272</v>
      </c>
    </row>
    <row r="270" spans="2:18" ht="20" x14ac:dyDescent="0.2">
      <c r="B270" s="96" t="s">
        <v>1001</v>
      </c>
      <c r="C270" s="22" t="s">
        <v>2869</v>
      </c>
      <c r="D270" s="22"/>
      <c r="E270" s="262"/>
      <c r="F270" s="262"/>
      <c r="G270" s="96" t="s">
        <v>2379</v>
      </c>
      <c r="H270" s="22"/>
      <c r="I270" s="201">
        <v>240</v>
      </c>
      <c r="J270" s="211"/>
      <c r="K270" s="211"/>
      <c r="L270" s="58"/>
      <c r="M270" s="58"/>
      <c r="N270" s="58"/>
      <c r="O270" s="58"/>
      <c r="P270" s="11"/>
      <c r="Q270" s="11"/>
      <c r="R270" s="34">
        <v>273</v>
      </c>
    </row>
    <row r="271" spans="2:18" ht="20" x14ac:dyDescent="0.2">
      <c r="B271" s="96" t="s">
        <v>1904</v>
      </c>
      <c r="C271" s="22" t="s">
        <v>2870</v>
      </c>
      <c r="D271" s="22"/>
      <c r="E271" s="262"/>
      <c r="F271" s="262"/>
      <c r="G271" s="96" t="s">
        <v>2379</v>
      </c>
      <c r="H271" s="22"/>
      <c r="I271" s="201">
        <v>138</v>
      </c>
      <c r="J271" s="211"/>
      <c r="K271" s="211"/>
      <c r="L271" s="58"/>
      <c r="M271" s="58"/>
      <c r="N271" s="58"/>
      <c r="O271" s="58"/>
      <c r="P271" s="11"/>
      <c r="Q271" s="11"/>
      <c r="R271" s="34">
        <v>274</v>
      </c>
    </row>
    <row r="272" spans="2:18" ht="20" x14ac:dyDescent="0.2">
      <c r="B272" s="96" t="s">
        <v>1345</v>
      </c>
      <c r="C272" s="22" t="s">
        <v>2871</v>
      </c>
      <c r="D272" s="22"/>
      <c r="E272" s="262"/>
      <c r="F272" s="262"/>
      <c r="G272" s="96" t="s">
        <v>2379</v>
      </c>
      <c r="H272" s="22"/>
      <c r="I272" s="201">
        <v>72</v>
      </c>
      <c r="J272" s="211"/>
      <c r="K272" s="211"/>
      <c r="L272" s="58"/>
      <c r="M272" s="58"/>
      <c r="N272" s="58"/>
      <c r="O272" s="58"/>
      <c r="P272" s="11"/>
      <c r="Q272" s="11"/>
      <c r="R272" s="34">
        <v>275</v>
      </c>
    </row>
    <row r="273" spans="2:18" ht="20" x14ac:dyDescent="0.2">
      <c r="B273" s="96" t="s">
        <v>660</v>
      </c>
      <c r="C273" s="22" t="s">
        <v>2872</v>
      </c>
      <c r="D273" s="22"/>
      <c r="E273" s="262"/>
      <c r="F273" s="262"/>
      <c r="G273" s="96" t="s">
        <v>2379</v>
      </c>
      <c r="H273" s="162" t="s">
        <v>1150</v>
      </c>
      <c r="I273" s="209">
        <v>500</v>
      </c>
      <c r="J273" s="209">
        <v>138</v>
      </c>
      <c r="K273" s="209">
        <v>100</v>
      </c>
      <c r="L273" s="94">
        <f>K273*1.2</f>
        <v>120</v>
      </c>
      <c r="M273" s="94">
        <v>0.9</v>
      </c>
      <c r="N273" s="94">
        <f>K273*$M273</f>
        <v>90</v>
      </c>
      <c r="O273" s="94">
        <f>L273*$M273</f>
        <v>108</v>
      </c>
      <c r="P273" s="11" t="s">
        <v>3280</v>
      </c>
      <c r="Q273" s="11"/>
      <c r="R273" s="34">
        <v>276</v>
      </c>
    </row>
    <row r="274" spans="2:18" ht="20" x14ac:dyDescent="0.2">
      <c r="B274" s="96" t="s">
        <v>660</v>
      </c>
      <c r="C274" s="22" t="s">
        <v>2872</v>
      </c>
      <c r="D274" s="22"/>
      <c r="E274" s="262"/>
      <c r="F274" s="262"/>
      <c r="G274" s="96" t="s">
        <v>2379</v>
      </c>
      <c r="H274" s="162" t="s">
        <v>1154</v>
      </c>
      <c r="I274" s="209">
        <v>500</v>
      </c>
      <c r="J274" s="209">
        <v>138</v>
      </c>
      <c r="K274" s="209">
        <v>100</v>
      </c>
      <c r="L274" s="94">
        <f>K274*1.2</f>
        <v>120</v>
      </c>
      <c r="M274" s="94">
        <v>0.9</v>
      </c>
      <c r="N274" s="94">
        <f>K274*$M274</f>
        <v>90</v>
      </c>
      <c r="O274" s="94">
        <f>L274*$M274</f>
        <v>108</v>
      </c>
      <c r="P274" s="11" t="s">
        <v>3280</v>
      </c>
      <c r="Q274" s="11"/>
      <c r="R274" s="34">
        <v>277</v>
      </c>
    </row>
    <row r="275" spans="2:18" ht="20" x14ac:dyDescent="0.2">
      <c r="B275" s="96" t="s">
        <v>1225</v>
      </c>
      <c r="C275" s="22" t="s">
        <v>2873</v>
      </c>
      <c r="D275" s="22"/>
      <c r="E275" s="262"/>
      <c r="F275" s="262"/>
      <c r="G275" s="96" t="s">
        <v>2379</v>
      </c>
      <c r="H275" s="22"/>
      <c r="I275" s="213">
        <v>144</v>
      </c>
      <c r="J275" s="211"/>
      <c r="K275" s="211"/>
      <c r="L275" s="58"/>
      <c r="M275" s="58"/>
      <c r="N275" s="58"/>
      <c r="O275" s="58"/>
      <c r="P275" s="11"/>
      <c r="Q275" s="11"/>
      <c r="R275" s="34">
        <v>278</v>
      </c>
    </row>
    <row r="276" spans="2:18" ht="20" x14ac:dyDescent="0.2">
      <c r="B276" s="96" t="s">
        <v>1650</v>
      </c>
      <c r="C276" s="22" t="s">
        <v>2675</v>
      </c>
      <c r="D276" s="22"/>
      <c r="E276" s="262">
        <v>51.218796900000001</v>
      </c>
      <c r="F276" s="262">
        <v>-114.7078411</v>
      </c>
      <c r="G276" s="96" t="s">
        <v>2379</v>
      </c>
      <c r="H276" s="22"/>
      <c r="I276" s="201">
        <v>138</v>
      </c>
      <c r="J276" s="211"/>
      <c r="K276" s="211"/>
      <c r="L276" s="58"/>
      <c r="M276" s="58"/>
      <c r="N276" s="58"/>
      <c r="O276" s="58"/>
      <c r="P276" s="11"/>
      <c r="Q276" s="11"/>
      <c r="R276" s="34">
        <v>279</v>
      </c>
    </row>
    <row r="277" spans="2:18" ht="20" x14ac:dyDescent="0.2">
      <c r="B277" s="96" t="s">
        <v>1542</v>
      </c>
      <c r="C277" s="22" t="s">
        <v>2623</v>
      </c>
      <c r="D277" s="22"/>
      <c r="E277" s="262">
        <v>51.8723478</v>
      </c>
      <c r="F277" s="262">
        <v>-113.31805199999999</v>
      </c>
      <c r="G277" s="96" t="s">
        <v>2379</v>
      </c>
      <c r="H277" s="22"/>
      <c r="I277" s="201">
        <v>138</v>
      </c>
      <c r="J277" s="211"/>
      <c r="K277" s="211"/>
      <c r="L277" s="58"/>
      <c r="M277" s="58"/>
      <c r="N277" s="58"/>
      <c r="O277" s="58"/>
      <c r="P277" s="11"/>
      <c r="Q277" s="11"/>
      <c r="R277" s="34">
        <v>280</v>
      </c>
    </row>
    <row r="278" spans="2:18" ht="20" x14ac:dyDescent="0.2">
      <c r="B278" s="96" t="s">
        <v>1834</v>
      </c>
      <c r="C278" s="22" t="s">
        <v>2874</v>
      </c>
      <c r="D278" s="22"/>
      <c r="E278" s="262"/>
      <c r="F278" s="262"/>
      <c r="G278" s="96" t="s">
        <v>2379</v>
      </c>
      <c r="H278" s="22"/>
      <c r="I278" s="201">
        <v>138</v>
      </c>
      <c r="J278" s="211"/>
      <c r="K278" s="211"/>
      <c r="L278" s="58"/>
      <c r="M278" s="58"/>
      <c r="N278" s="58"/>
      <c r="O278" s="58"/>
      <c r="P278" s="11"/>
      <c r="Q278" s="11"/>
      <c r="R278" s="34">
        <v>281</v>
      </c>
    </row>
    <row r="279" spans="2:18" ht="20" x14ac:dyDescent="0.2">
      <c r="B279" s="96" t="s">
        <v>1881</v>
      </c>
      <c r="C279" s="22" t="s">
        <v>2602</v>
      </c>
      <c r="D279" s="22"/>
      <c r="E279" s="262"/>
      <c r="F279" s="262"/>
      <c r="G279" s="96" t="s">
        <v>2379</v>
      </c>
      <c r="H279" s="22"/>
      <c r="I279" s="201">
        <v>69</v>
      </c>
      <c r="J279" s="211"/>
      <c r="K279" s="211"/>
      <c r="L279" s="58"/>
      <c r="M279" s="58"/>
      <c r="N279" s="58"/>
      <c r="O279" s="58"/>
      <c r="P279" s="11"/>
      <c r="Q279" s="11"/>
      <c r="R279" s="34">
        <v>282</v>
      </c>
    </row>
    <row r="280" spans="2:18" ht="20" x14ac:dyDescent="0.2">
      <c r="B280" s="96" t="s">
        <v>813</v>
      </c>
      <c r="C280" s="22" t="s">
        <v>2875</v>
      </c>
      <c r="D280" s="22"/>
      <c r="E280" s="262"/>
      <c r="F280" s="262"/>
      <c r="G280" s="96" t="s">
        <v>2379</v>
      </c>
      <c r="H280" s="162" t="s">
        <v>1150</v>
      </c>
      <c r="I280" s="209">
        <v>144</v>
      </c>
      <c r="J280" s="209">
        <v>25</v>
      </c>
      <c r="K280" s="209">
        <v>41.56</v>
      </c>
      <c r="L280" s="94">
        <f>K280*1.2</f>
        <v>49.872</v>
      </c>
      <c r="M280" s="94">
        <v>0.9</v>
      </c>
      <c r="N280" s="94">
        <f>K280*$M280</f>
        <v>37.404000000000003</v>
      </c>
      <c r="O280" s="94">
        <f>L280*$M280</f>
        <v>44.884799999999998</v>
      </c>
      <c r="P280" s="11" t="s">
        <v>3283</v>
      </c>
      <c r="Q280" s="11"/>
      <c r="R280" s="34">
        <v>283</v>
      </c>
    </row>
    <row r="281" spans="2:18" ht="20" x14ac:dyDescent="0.2">
      <c r="B281" s="96" t="s">
        <v>620</v>
      </c>
      <c r="C281" s="22" t="s">
        <v>2620</v>
      </c>
      <c r="D281" s="22"/>
      <c r="E281" s="262"/>
      <c r="F281" s="262"/>
      <c r="G281" s="96" t="s">
        <v>2379</v>
      </c>
      <c r="H281" s="162" t="s">
        <v>1150</v>
      </c>
      <c r="I281" s="209">
        <v>240</v>
      </c>
      <c r="J281" s="209">
        <v>138</v>
      </c>
      <c r="K281" s="209">
        <v>400</v>
      </c>
      <c r="L281" s="94">
        <f>K281*1.2</f>
        <v>480</v>
      </c>
      <c r="M281" s="94">
        <v>0.9</v>
      </c>
      <c r="N281" s="94">
        <f>K281*$M281</f>
        <v>360</v>
      </c>
      <c r="O281" s="94">
        <f>L281*$M281</f>
        <v>432</v>
      </c>
      <c r="P281" s="11" t="s">
        <v>3302</v>
      </c>
      <c r="Q281" s="11"/>
      <c r="R281" s="34">
        <v>284</v>
      </c>
    </row>
    <row r="282" spans="2:18" ht="20" x14ac:dyDescent="0.2">
      <c r="B282" s="96" t="s">
        <v>917</v>
      </c>
      <c r="C282" s="22" t="s">
        <v>2876</v>
      </c>
      <c r="D282" s="22"/>
      <c r="E282" s="262"/>
      <c r="F282" s="262"/>
      <c r="G282" s="96" t="s">
        <v>2379</v>
      </c>
      <c r="H282" s="22"/>
      <c r="I282" s="201">
        <v>144</v>
      </c>
      <c r="J282" s="211"/>
      <c r="K282" s="211"/>
      <c r="L282" s="58"/>
      <c r="M282" s="58"/>
      <c r="N282" s="58"/>
      <c r="O282" s="58"/>
      <c r="P282" s="11"/>
      <c r="Q282" s="11"/>
      <c r="R282" s="34">
        <v>285</v>
      </c>
    </row>
    <row r="283" spans="2:18" ht="20" x14ac:dyDescent="0.2">
      <c r="B283" s="96" t="s">
        <v>1421</v>
      </c>
      <c r="C283" s="22" t="s">
        <v>2877</v>
      </c>
      <c r="D283" s="22"/>
      <c r="E283" s="262"/>
      <c r="F283" s="262"/>
      <c r="G283" s="96" t="s">
        <v>2379</v>
      </c>
      <c r="H283" s="22"/>
      <c r="I283" s="201">
        <v>144</v>
      </c>
      <c r="J283" s="211"/>
      <c r="K283" s="211"/>
      <c r="L283" s="58"/>
      <c r="M283" s="58"/>
      <c r="N283" s="58"/>
      <c r="O283" s="58"/>
      <c r="P283" s="11"/>
      <c r="Q283" s="11"/>
      <c r="R283" s="34">
        <v>286</v>
      </c>
    </row>
    <row r="284" spans="2:18" ht="20" x14ac:dyDescent="0.2">
      <c r="B284" s="96" t="s">
        <v>2053</v>
      </c>
      <c r="C284" s="22" t="s">
        <v>2878</v>
      </c>
      <c r="D284" s="22"/>
      <c r="E284" s="262"/>
      <c r="F284" s="262"/>
      <c r="G284" s="96" t="s">
        <v>2379</v>
      </c>
      <c r="H284" s="22"/>
      <c r="I284" s="201">
        <v>144</v>
      </c>
      <c r="J284" s="211"/>
      <c r="K284" s="211"/>
      <c r="L284" s="58"/>
      <c r="M284" s="58"/>
      <c r="N284" s="58"/>
      <c r="O284" s="58"/>
      <c r="P284" s="11"/>
      <c r="Q284" s="11"/>
      <c r="R284" s="34">
        <v>287</v>
      </c>
    </row>
    <row r="285" spans="2:18" ht="20" x14ac:dyDescent="0.2">
      <c r="B285" s="96" t="s">
        <v>791</v>
      </c>
      <c r="C285" s="22" t="s">
        <v>2879</v>
      </c>
      <c r="D285" s="22"/>
      <c r="E285" s="262"/>
      <c r="F285" s="262"/>
      <c r="G285" s="96" t="s">
        <v>2379</v>
      </c>
      <c r="H285" s="22"/>
      <c r="I285" s="201">
        <v>144</v>
      </c>
      <c r="J285" s="211"/>
      <c r="K285" s="211"/>
      <c r="L285" s="58"/>
      <c r="M285" s="58"/>
      <c r="N285" s="58"/>
      <c r="O285" s="58"/>
      <c r="P285" s="11"/>
      <c r="Q285" s="11"/>
      <c r="R285" s="34">
        <v>288</v>
      </c>
    </row>
    <row r="286" spans="2:18" ht="20" x14ac:dyDescent="0.2">
      <c r="B286" s="96" t="s">
        <v>1094</v>
      </c>
      <c r="C286" s="22" t="s">
        <v>2880</v>
      </c>
      <c r="D286" s="22"/>
      <c r="E286" s="262"/>
      <c r="F286" s="262"/>
      <c r="G286" s="96" t="s">
        <v>2379</v>
      </c>
      <c r="H286" s="22"/>
      <c r="I286" s="213">
        <v>240</v>
      </c>
      <c r="J286" s="211"/>
      <c r="K286" s="211"/>
      <c r="L286" s="58"/>
      <c r="M286" s="58"/>
      <c r="N286" s="58"/>
      <c r="O286" s="58"/>
      <c r="P286" s="11"/>
      <c r="Q286" s="11"/>
      <c r="R286" s="34">
        <v>289</v>
      </c>
    </row>
    <row r="287" spans="2:18" ht="20" x14ac:dyDescent="0.2">
      <c r="B287" s="96" t="s">
        <v>862</v>
      </c>
      <c r="C287" s="22" t="s">
        <v>2881</v>
      </c>
      <c r="D287" s="22"/>
      <c r="E287" s="262"/>
      <c r="F287" s="262"/>
      <c r="G287" s="96" t="s">
        <v>2379</v>
      </c>
      <c r="H287" s="22"/>
      <c r="I287" s="201">
        <v>144</v>
      </c>
      <c r="J287" s="211"/>
      <c r="K287" s="211"/>
      <c r="L287" s="58"/>
      <c r="M287" s="58"/>
      <c r="N287" s="58"/>
      <c r="O287" s="58"/>
      <c r="P287" s="11"/>
      <c r="Q287" s="11"/>
      <c r="R287" s="34">
        <v>290</v>
      </c>
    </row>
    <row r="288" spans="2:18" ht="20" x14ac:dyDescent="0.2">
      <c r="B288" s="96" t="s">
        <v>2059</v>
      </c>
      <c r="C288" s="22" t="s">
        <v>2882</v>
      </c>
      <c r="D288" s="22"/>
      <c r="E288" s="262"/>
      <c r="F288" s="262"/>
      <c r="G288" s="96" t="s">
        <v>2379</v>
      </c>
      <c r="H288" s="22"/>
      <c r="I288" s="201">
        <v>138</v>
      </c>
      <c r="J288" s="211"/>
      <c r="K288" s="211"/>
      <c r="L288" s="58"/>
      <c r="M288" s="58"/>
      <c r="N288" s="58"/>
      <c r="O288" s="58"/>
      <c r="P288" s="11"/>
      <c r="Q288" s="11"/>
      <c r="R288" s="34">
        <v>291</v>
      </c>
    </row>
    <row r="289" spans="2:18" ht="20" x14ac:dyDescent="0.2">
      <c r="B289" s="96" t="s">
        <v>2089</v>
      </c>
      <c r="C289" s="22" t="s">
        <v>2680</v>
      </c>
      <c r="D289" s="22"/>
      <c r="E289" s="262">
        <v>54.008208000000003</v>
      </c>
      <c r="F289" s="262">
        <v>-119.1022</v>
      </c>
      <c r="G289" s="96" t="s">
        <v>2379</v>
      </c>
      <c r="H289" s="22"/>
      <c r="I289" s="201">
        <v>144</v>
      </c>
      <c r="J289" s="211"/>
      <c r="K289" s="211"/>
      <c r="L289" s="58"/>
      <c r="M289" s="58"/>
      <c r="N289" s="58"/>
      <c r="O289" s="58"/>
      <c r="P289" s="11"/>
      <c r="Q289" s="11"/>
      <c r="R289" s="34">
        <v>292</v>
      </c>
    </row>
    <row r="290" spans="2:18" ht="20" x14ac:dyDescent="0.2">
      <c r="B290" s="96" t="s">
        <v>930</v>
      </c>
      <c r="C290" s="22" t="s">
        <v>2883</v>
      </c>
      <c r="D290" s="22"/>
      <c r="E290" s="262"/>
      <c r="F290" s="262"/>
      <c r="G290" s="96" t="s">
        <v>2379</v>
      </c>
      <c r="H290" s="22"/>
      <c r="I290" s="201">
        <v>144</v>
      </c>
      <c r="J290" s="211"/>
      <c r="K290" s="211"/>
      <c r="L290" s="58"/>
      <c r="M290" s="58"/>
      <c r="N290" s="58"/>
      <c r="O290" s="58"/>
      <c r="P290" s="11"/>
      <c r="Q290" s="11"/>
      <c r="R290" s="34">
        <v>293</v>
      </c>
    </row>
    <row r="291" spans="2:18" ht="20" x14ac:dyDescent="0.2">
      <c r="B291" s="96" t="s">
        <v>957</v>
      </c>
      <c r="C291" s="22" t="s">
        <v>2884</v>
      </c>
      <c r="D291" s="22"/>
      <c r="E291" s="262"/>
      <c r="F291" s="262"/>
      <c r="G291" s="96" t="s">
        <v>2379</v>
      </c>
      <c r="H291" s="22"/>
      <c r="I291" s="201">
        <v>144</v>
      </c>
      <c r="J291" s="211"/>
      <c r="K291" s="211"/>
      <c r="L291" s="58"/>
      <c r="M291" s="58"/>
      <c r="N291" s="58"/>
      <c r="O291" s="58"/>
      <c r="P291" s="11"/>
      <c r="Q291" s="11"/>
      <c r="R291" s="34">
        <v>294</v>
      </c>
    </row>
    <row r="292" spans="2:18" ht="20" x14ac:dyDescent="0.2">
      <c r="B292" s="96" t="s">
        <v>1122</v>
      </c>
      <c r="C292" s="22" t="s">
        <v>2676</v>
      </c>
      <c r="D292" s="22"/>
      <c r="E292" s="262">
        <v>52.260947799999997</v>
      </c>
      <c r="F292" s="262">
        <v>-112.0270519</v>
      </c>
      <c r="G292" s="96" t="s">
        <v>2379</v>
      </c>
      <c r="H292" s="22"/>
      <c r="I292" s="201">
        <v>240</v>
      </c>
      <c r="J292" s="211"/>
      <c r="K292" s="211"/>
      <c r="L292" s="58"/>
      <c r="M292" s="58"/>
      <c r="N292" s="58"/>
      <c r="O292" s="58"/>
      <c r="P292" s="11"/>
      <c r="Q292" s="11"/>
      <c r="R292" s="34">
        <v>295</v>
      </c>
    </row>
    <row r="293" spans="2:18" ht="20" x14ac:dyDescent="0.2">
      <c r="B293" s="96" t="s">
        <v>950</v>
      </c>
      <c r="C293" s="22" t="s">
        <v>2885</v>
      </c>
      <c r="D293" s="22"/>
      <c r="E293" s="262"/>
      <c r="F293" s="262"/>
      <c r="G293" s="96" t="s">
        <v>2379</v>
      </c>
      <c r="H293" s="22"/>
      <c r="I293" s="201">
        <v>144</v>
      </c>
      <c r="J293" s="211"/>
      <c r="K293" s="211"/>
      <c r="L293" s="58"/>
      <c r="M293" s="58"/>
      <c r="N293" s="58"/>
      <c r="O293" s="58"/>
      <c r="P293" s="11"/>
      <c r="Q293" s="11"/>
      <c r="R293" s="34">
        <v>296</v>
      </c>
    </row>
    <row r="294" spans="2:18" ht="20" x14ac:dyDescent="0.2">
      <c r="B294" s="96" t="s">
        <v>853</v>
      </c>
      <c r="C294" s="22" t="s">
        <v>2886</v>
      </c>
      <c r="D294" s="22"/>
      <c r="E294" s="262"/>
      <c r="F294" s="262"/>
      <c r="G294" s="96" t="s">
        <v>2379</v>
      </c>
      <c r="H294" s="22"/>
      <c r="I294" s="213">
        <v>144</v>
      </c>
      <c r="J294" s="211"/>
      <c r="K294" s="211"/>
      <c r="L294" s="58"/>
      <c r="M294" s="58"/>
      <c r="N294" s="58"/>
      <c r="O294" s="58"/>
      <c r="P294" s="11"/>
      <c r="Q294" s="11"/>
      <c r="R294" s="34">
        <v>297</v>
      </c>
    </row>
    <row r="295" spans="2:18" ht="20" x14ac:dyDescent="0.2">
      <c r="B295" s="96" t="s">
        <v>1519</v>
      </c>
      <c r="C295" s="22" t="s">
        <v>2887</v>
      </c>
      <c r="D295" s="22"/>
      <c r="E295" s="262"/>
      <c r="F295" s="262"/>
      <c r="G295" s="96" t="s">
        <v>2379</v>
      </c>
      <c r="H295" s="22"/>
      <c r="I295" s="201">
        <v>69</v>
      </c>
      <c r="J295" s="211"/>
      <c r="K295" s="211"/>
      <c r="L295" s="58"/>
      <c r="M295" s="58"/>
      <c r="N295" s="58"/>
      <c r="O295" s="58"/>
      <c r="P295" s="11"/>
      <c r="Q295" s="11"/>
      <c r="R295" s="34">
        <v>298</v>
      </c>
    </row>
    <row r="296" spans="2:18" ht="20" x14ac:dyDescent="0.2">
      <c r="B296" s="96" t="s">
        <v>588</v>
      </c>
      <c r="C296" s="22" t="s">
        <v>2888</v>
      </c>
      <c r="D296" s="22"/>
      <c r="E296" s="262"/>
      <c r="F296" s="262"/>
      <c r="G296" s="96" t="s">
        <v>2379</v>
      </c>
      <c r="H296" s="162" t="s">
        <v>1154</v>
      </c>
      <c r="I296" s="209">
        <v>240</v>
      </c>
      <c r="J296" s="209">
        <v>34.5</v>
      </c>
      <c r="K296" s="209">
        <v>200</v>
      </c>
      <c r="L296" s="94">
        <f>K296*1.2</f>
        <v>240</v>
      </c>
      <c r="M296" s="94">
        <v>0.9</v>
      </c>
      <c r="N296" s="94">
        <f t="shared" ref="N296:O298" si="7">K296*$M296</f>
        <v>180</v>
      </c>
      <c r="O296" s="94">
        <f t="shared" si="7"/>
        <v>216</v>
      </c>
      <c r="P296" s="11" t="s">
        <v>3282</v>
      </c>
      <c r="Q296" s="11"/>
      <c r="R296" s="34">
        <v>300</v>
      </c>
    </row>
    <row r="297" spans="2:18" ht="20" x14ac:dyDescent="0.2">
      <c r="B297" s="96" t="s">
        <v>588</v>
      </c>
      <c r="C297" s="22" t="s">
        <v>2888</v>
      </c>
      <c r="D297" s="22"/>
      <c r="E297" s="262"/>
      <c r="F297" s="262"/>
      <c r="G297" s="96" t="s">
        <v>2379</v>
      </c>
      <c r="H297" s="162" t="s">
        <v>1150</v>
      </c>
      <c r="I297" s="209">
        <v>240</v>
      </c>
      <c r="J297" s="209">
        <v>138</v>
      </c>
      <c r="K297" s="209">
        <v>200</v>
      </c>
      <c r="L297" s="94">
        <f>K297*1.2</f>
        <v>240</v>
      </c>
      <c r="M297" s="94">
        <v>0.9</v>
      </c>
      <c r="N297" s="94">
        <f t="shared" si="7"/>
        <v>180</v>
      </c>
      <c r="O297" s="94">
        <f t="shared" si="7"/>
        <v>216</v>
      </c>
      <c r="P297" s="11" t="s">
        <v>3291</v>
      </c>
      <c r="Q297" s="11"/>
      <c r="R297" s="34">
        <v>299</v>
      </c>
    </row>
    <row r="298" spans="2:18" ht="20" x14ac:dyDescent="0.2">
      <c r="B298" s="96" t="s">
        <v>588</v>
      </c>
      <c r="C298" s="22" t="s">
        <v>2888</v>
      </c>
      <c r="D298" s="22"/>
      <c r="E298" s="262"/>
      <c r="F298" s="262"/>
      <c r="G298" s="96" t="s">
        <v>2379</v>
      </c>
      <c r="H298" s="162" t="s">
        <v>1156</v>
      </c>
      <c r="I298" s="209">
        <v>240</v>
      </c>
      <c r="J298" s="209">
        <v>18</v>
      </c>
      <c r="K298" s="209">
        <v>200</v>
      </c>
      <c r="L298" s="94">
        <f>K298*1.2</f>
        <v>240</v>
      </c>
      <c r="M298" s="94">
        <v>0.9</v>
      </c>
      <c r="N298" s="94">
        <f t="shared" si="7"/>
        <v>180</v>
      </c>
      <c r="O298" s="94">
        <f t="shared" si="7"/>
        <v>216</v>
      </c>
      <c r="P298" s="11" t="s">
        <v>3291</v>
      </c>
      <c r="Q298" s="11"/>
      <c r="R298" s="34">
        <v>301</v>
      </c>
    </row>
    <row r="299" spans="2:18" ht="20" x14ac:dyDescent="0.2">
      <c r="B299" s="96" t="s">
        <v>1330</v>
      </c>
      <c r="C299" s="22" t="s">
        <v>2889</v>
      </c>
      <c r="D299" s="22"/>
      <c r="E299" s="262"/>
      <c r="F299" s="262"/>
      <c r="G299" s="96" t="s">
        <v>2379</v>
      </c>
      <c r="H299" s="22"/>
      <c r="I299" s="201">
        <v>72</v>
      </c>
      <c r="J299" s="211"/>
      <c r="K299" s="211"/>
      <c r="L299" s="58"/>
      <c r="M299" s="58"/>
      <c r="N299" s="58"/>
      <c r="O299" s="58"/>
      <c r="P299" s="11"/>
      <c r="Q299" s="11"/>
      <c r="R299" s="34">
        <v>302</v>
      </c>
    </row>
    <row r="300" spans="2:18" ht="20" x14ac:dyDescent="0.2">
      <c r="B300" s="96" t="s">
        <v>1462</v>
      </c>
      <c r="C300" s="22" t="s">
        <v>2890</v>
      </c>
      <c r="D300" s="22"/>
      <c r="E300" s="262"/>
      <c r="F300" s="262"/>
      <c r="G300" s="96" t="s">
        <v>2379</v>
      </c>
      <c r="H300" s="22"/>
      <c r="I300" s="201">
        <v>138</v>
      </c>
      <c r="J300" s="211"/>
      <c r="K300" s="211"/>
      <c r="L300" s="58"/>
      <c r="M300" s="58"/>
      <c r="N300" s="58"/>
      <c r="O300" s="58"/>
      <c r="P300" s="11"/>
      <c r="Q300" s="11"/>
      <c r="R300" s="34">
        <v>303</v>
      </c>
    </row>
    <row r="301" spans="2:18" ht="20" x14ac:dyDescent="0.2">
      <c r="B301" s="96" t="s">
        <v>1655</v>
      </c>
      <c r="C301" s="22" t="s">
        <v>2891</v>
      </c>
      <c r="D301" s="22"/>
      <c r="E301" s="262"/>
      <c r="F301" s="262"/>
      <c r="G301" s="96" t="s">
        <v>2379</v>
      </c>
      <c r="H301" s="22"/>
      <c r="I301" s="201">
        <v>144</v>
      </c>
      <c r="J301" s="211"/>
      <c r="K301" s="211"/>
      <c r="L301" s="58"/>
      <c r="M301" s="58"/>
      <c r="N301" s="58"/>
      <c r="O301" s="58"/>
      <c r="P301" s="11"/>
      <c r="Q301" s="11"/>
      <c r="R301" s="34">
        <v>304</v>
      </c>
    </row>
    <row r="302" spans="2:18" ht="20" x14ac:dyDescent="0.2">
      <c r="B302" s="96" t="s">
        <v>577</v>
      </c>
      <c r="C302" s="22" t="s">
        <v>2892</v>
      </c>
      <c r="D302" s="22"/>
      <c r="E302" s="262"/>
      <c r="F302" s="262"/>
      <c r="G302" s="96" t="s">
        <v>2379</v>
      </c>
      <c r="H302" s="162" t="s">
        <v>1150</v>
      </c>
      <c r="I302" s="209">
        <v>240</v>
      </c>
      <c r="J302" s="209">
        <v>138</v>
      </c>
      <c r="K302" s="209">
        <v>400</v>
      </c>
      <c r="L302" s="94">
        <f>K302*1.2</f>
        <v>480</v>
      </c>
      <c r="M302" s="94">
        <v>0.9</v>
      </c>
      <c r="N302" s="94">
        <f>K302*$M302</f>
        <v>360</v>
      </c>
      <c r="O302" s="94">
        <f>L302*$M302</f>
        <v>432</v>
      </c>
      <c r="P302" s="11" t="s">
        <v>3289</v>
      </c>
      <c r="Q302" s="11"/>
      <c r="R302" s="34">
        <v>305</v>
      </c>
    </row>
    <row r="303" spans="2:18" ht="20" x14ac:dyDescent="0.2">
      <c r="B303" s="96" t="s">
        <v>577</v>
      </c>
      <c r="C303" s="22" t="s">
        <v>2892</v>
      </c>
      <c r="D303" s="22"/>
      <c r="E303" s="262"/>
      <c r="F303" s="262"/>
      <c r="G303" s="96" t="s">
        <v>2379</v>
      </c>
      <c r="H303" s="162" t="s">
        <v>1154</v>
      </c>
      <c r="I303" s="209">
        <v>240</v>
      </c>
      <c r="J303" s="209">
        <v>138</v>
      </c>
      <c r="K303" s="209">
        <v>400</v>
      </c>
      <c r="L303" s="94">
        <f>K303*1.2</f>
        <v>480</v>
      </c>
      <c r="M303" s="94">
        <v>0.9</v>
      </c>
      <c r="N303" s="94">
        <f>K303*$M303</f>
        <v>360</v>
      </c>
      <c r="O303" s="94">
        <f>L303*$M303</f>
        <v>432</v>
      </c>
      <c r="P303" s="11" t="s">
        <v>3289</v>
      </c>
      <c r="Q303" s="11"/>
      <c r="R303" s="34">
        <v>306</v>
      </c>
    </row>
    <row r="304" spans="2:18" ht="20" x14ac:dyDescent="0.2">
      <c r="B304" s="96" t="s">
        <v>1847</v>
      </c>
      <c r="C304" s="22" t="s">
        <v>2893</v>
      </c>
      <c r="D304" s="22"/>
      <c r="E304" s="262"/>
      <c r="F304" s="262"/>
      <c r="G304" s="96" t="s">
        <v>2379</v>
      </c>
      <c r="H304" s="22"/>
      <c r="I304" s="201">
        <v>144</v>
      </c>
      <c r="J304" s="211"/>
      <c r="K304" s="211"/>
      <c r="L304" s="58"/>
      <c r="M304" s="58"/>
      <c r="N304" s="58"/>
      <c r="O304" s="58"/>
      <c r="P304" s="11"/>
      <c r="Q304" s="11"/>
      <c r="R304" s="34">
        <v>307</v>
      </c>
    </row>
    <row r="305" spans="2:18" ht="20" x14ac:dyDescent="0.2">
      <c r="B305" s="96" t="s">
        <v>1630</v>
      </c>
      <c r="C305" s="22" t="s">
        <v>2894</v>
      </c>
      <c r="D305" s="22"/>
      <c r="E305" s="262"/>
      <c r="F305" s="262"/>
      <c r="G305" s="96" t="s">
        <v>2379</v>
      </c>
      <c r="H305" s="22"/>
      <c r="I305" s="201">
        <v>144</v>
      </c>
      <c r="J305" s="211"/>
      <c r="K305" s="211"/>
      <c r="L305" s="58"/>
      <c r="M305" s="58"/>
      <c r="N305" s="58"/>
      <c r="O305" s="58"/>
      <c r="P305" s="11"/>
      <c r="Q305" s="11"/>
      <c r="R305" s="34">
        <v>308</v>
      </c>
    </row>
    <row r="306" spans="2:18" ht="20" x14ac:dyDescent="0.2">
      <c r="B306" s="96" t="s">
        <v>1957</v>
      </c>
      <c r="C306" s="22" t="s">
        <v>2678</v>
      </c>
      <c r="D306" s="22"/>
      <c r="E306" s="262"/>
      <c r="F306" s="262"/>
      <c r="G306" s="96" t="s">
        <v>2379</v>
      </c>
      <c r="H306" s="22"/>
      <c r="I306" s="201">
        <v>138</v>
      </c>
      <c r="J306" s="211"/>
      <c r="K306" s="211"/>
      <c r="L306" s="58"/>
      <c r="M306" s="58"/>
      <c r="N306" s="58"/>
      <c r="O306" s="58"/>
      <c r="P306" s="11"/>
      <c r="Q306" s="11"/>
      <c r="R306" s="34">
        <v>309</v>
      </c>
    </row>
    <row r="307" spans="2:18" ht="20" x14ac:dyDescent="0.2">
      <c r="B307" s="96" t="s">
        <v>1490</v>
      </c>
      <c r="C307" s="22" t="s">
        <v>2606</v>
      </c>
      <c r="D307" s="22"/>
      <c r="E307" s="262"/>
      <c r="F307" s="262"/>
      <c r="G307" s="96" t="s">
        <v>2379</v>
      </c>
      <c r="H307" s="162" t="s">
        <v>1150</v>
      </c>
      <c r="I307" s="209">
        <v>138</v>
      </c>
      <c r="J307" s="209">
        <v>25</v>
      </c>
      <c r="K307" s="209">
        <v>47</v>
      </c>
      <c r="L307" s="94">
        <f>K307*1.2</f>
        <v>56.4</v>
      </c>
      <c r="M307" s="94">
        <v>0.9</v>
      </c>
      <c r="N307" s="94">
        <f>K307*$M307</f>
        <v>42.300000000000004</v>
      </c>
      <c r="O307" s="94">
        <f>L307*$M307</f>
        <v>50.76</v>
      </c>
      <c r="P307" s="11" t="s">
        <v>3282</v>
      </c>
      <c r="Q307" s="11"/>
      <c r="R307" s="34">
        <v>310</v>
      </c>
    </row>
    <row r="308" spans="2:18" ht="20" x14ac:dyDescent="0.2">
      <c r="B308" s="96" t="s">
        <v>1017</v>
      </c>
      <c r="C308" s="22" t="s">
        <v>2895</v>
      </c>
      <c r="D308" s="22"/>
      <c r="E308" s="262"/>
      <c r="F308" s="262"/>
      <c r="G308" s="96" t="s">
        <v>2379</v>
      </c>
      <c r="H308" s="22"/>
      <c r="I308" s="201">
        <v>144</v>
      </c>
      <c r="J308" s="211"/>
      <c r="K308" s="211"/>
      <c r="L308" s="58"/>
      <c r="M308" s="58"/>
      <c r="N308" s="58"/>
      <c r="O308" s="58"/>
      <c r="P308" s="11"/>
      <c r="Q308" s="11"/>
      <c r="R308" s="34">
        <v>311</v>
      </c>
    </row>
    <row r="309" spans="2:18" ht="20" x14ac:dyDescent="0.2">
      <c r="B309" s="96" t="s">
        <v>646</v>
      </c>
      <c r="C309" s="22" t="s">
        <v>2896</v>
      </c>
      <c r="D309" s="22"/>
      <c r="E309" s="262"/>
      <c r="F309" s="262"/>
      <c r="G309" s="96" t="s">
        <v>2379</v>
      </c>
      <c r="H309" s="162" t="s">
        <v>1158</v>
      </c>
      <c r="I309" s="209">
        <v>240</v>
      </c>
      <c r="J309" s="209">
        <v>144</v>
      </c>
      <c r="K309" s="209">
        <v>200</v>
      </c>
      <c r="L309" s="94">
        <f>K309*1.2</f>
        <v>240</v>
      </c>
      <c r="M309" s="94">
        <v>0.9</v>
      </c>
      <c r="N309" s="94">
        <f>K309*$M309</f>
        <v>180</v>
      </c>
      <c r="O309" s="94">
        <f>L309*$M309</f>
        <v>216</v>
      </c>
      <c r="P309" s="11" t="s">
        <v>3294</v>
      </c>
      <c r="Q309" s="11"/>
      <c r="R309" s="34">
        <v>312</v>
      </c>
    </row>
    <row r="310" spans="2:18" ht="20" x14ac:dyDescent="0.2">
      <c r="B310" s="96" t="s">
        <v>599</v>
      </c>
      <c r="C310" s="22" t="s">
        <v>2897</v>
      </c>
      <c r="D310" s="22"/>
      <c r="E310" s="262"/>
      <c r="F310" s="262"/>
      <c r="G310" s="96" t="s">
        <v>2379</v>
      </c>
      <c r="H310" s="162" t="s">
        <v>1150</v>
      </c>
      <c r="I310" s="209">
        <v>500</v>
      </c>
      <c r="J310" s="209">
        <v>240</v>
      </c>
      <c r="K310" s="209">
        <v>1200</v>
      </c>
      <c r="L310" s="94">
        <f>K310*1.2</f>
        <v>1440</v>
      </c>
      <c r="M310" s="94">
        <v>0.9</v>
      </c>
      <c r="N310" s="94">
        <f>K310*$M310</f>
        <v>1080</v>
      </c>
      <c r="O310" s="94">
        <f>L310*$M310</f>
        <v>1296</v>
      </c>
      <c r="P310" s="11" t="s">
        <v>3278</v>
      </c>
      <c r="Q310" s="11"/>
      <c r="R310" s="34">
        <v>313</v>
      </c>
    </row>
    <row r="311" spans="2:18" ht="20" x14ac:dyDescent="0.2">
      <c r="B311" s="96" t="s">
        <v>1539</v>
      </c>
      <c r="C311" s="22" t="s">
        <v>2898</v>
      </c>
      <c r="D311" s="22"/>
      <c r="E311" s="262"/>
      <c r="F311" s="262"/>
      <c r="G311" s="96" t="s">
        <v>2379</v>
      </c>
      <c r="H311" s="22"/>
      <c r="I311" s="201">
        <v>138</v>
      </c>
      <c r="J311" s="211"/>
      <c r="K311" s="211"/>
      <c r="L311" s="58"/>
      <c r="M311" s="58"/>
      <c r="N311" s="58"/>
      <c r="O311" s="58"/>
      <c r="P311" s="11"/>
      <c r="Q311" s="11"/>
      <c r="R311" s="34">
        <v>314</v>
      </c>
    </row>
    <row r="312" spans="2:18" ht="20" x14ac:dyDescent="0.2">
      <c r="B312" s="96" t="s">
        <v>669</v>
      </c>
      <c r="C312" s="22" t="s">
        <v>2899</v>
      </c>
      <c r="D312" s="22"/>
      <c r="E312" s="262"/>
      <c r="F312" s="262"/>
      <c r="G312" s="96" t="s">
        <v>2379</v>
      </c>
      <c r="H312" s="22"/>
      <c r="I312" s="201">
        <v>500</v>
      </c>
      <c r="J312" s="211"/>
      <c r="K312" s="211"/>
      <c r="L312" s="58"/>
      <c r="M312" s="58"/>
      <c r="N312" s="58"/>
      <c r="O312" s="58"/>
      <c r="P312" s="11"/>
      <c r="Q312" s="11"/>
      <c r="R312" s="34">
        <v>315</v>
      </c>
    </row>
    <row r="313" spans="2:18" ht="20" x14ac:dyDescent="0.2">
      <c r="B313" s="96" t="s">
        <v>1449</v>
      </c>
      <c r="C313" s="22" t="s">
        <v>2900</v>
      </c>
      <c r="D313" s="22"/>
      <c r="E313" s="262"/>
      <c r="F313" s="262"/>
      <c r="G313" s="96" t="s">
        <v>2379</v>
      </c>
      <c r="H313" s="22"/>
      <c r="I313" s="201">
        <v>69</v>
      </c>
      <c r="J313" s="211"/>
      <c r="K313" s="211"/>
      <c r="L313" s="58"/>
      <c r="M313" s="58"/>
      <c r="N313" s="58"/>
      <c r="O313" s="58"/>
      <c r="P313" s="11"/>
      <c r="Q313" s="11"/>
      <c r="R313" s="34">
        <v>316</v>
      </c>
    </row>
    <row r="314" spans="2:18" ht="20" x14ac:dyDescent="0.2">
      <c r="B314" s="96" t="s">
        <v>851</v>
      </c>
      <c r="C314" s="22" t="s">
        <v>2901</v>
      </c>
      <c r="D314" s="22"/>
      <c r="E314" s="262"/>
      <c r="F314" s="262"/>
      <c r="G314" s="96" t="s">
        <v>2379</v>
      </c>
      <c r="H314" s="22"/>
      <c r="I314" s="201">
        <v>144</v>
      </c>
      <c r="J314" s="211"/>
      <c r="K314" s="211"/>
      <c r="L314" s="58"/>
      <c r="M314" s="58"/>
      <c r="N314" s="58"/>
      <c r="O314" s="58"/>
      <c r="P314" s="11"/>
      <c r="Q314" s="11"/>
      <c r="R314" s="34">
        <v>317</v>
      </c>
    </row>
    <row r="315" spans="2:18" ht="20" x14ac:dyDescent="0.2">
      <c r="B315" s="96" t="s">
        <v>811</v>
      </c>
      <c r="C315" s="22" t="s">
        <v>2902</v>
      </c>
      <c r="D315" s="22"/>
      <c r="E315" s="262"/>
      <c r="F315" s="262"/>
      <c r="G315" s="96" t="s">
        <v>2379</v>
      </c>
      <c r="H315" s="22"/>
      <c r="I315" s="201">
        <v>144</v>
      </c>
      <c r="J315" s="211"/>
      <c r="K315" s="211"/>
      <c r="L315" s="58"/>
      <c r="M315" s="58"/>
      <c r="N315" s="58"/>
      <c r="O315" s="58"/>
      <c r="P315" s="11"/>
      <c r="Q315" s="11"/>
      <c r="R315" s="34">
        <v>318</v>
      </c>
    </row>
    <row r="316" spans="2:18" ht="20" x14ac:dyDescent="0.2">
      <c r="B316" s="96" t="s">
        <v>1845</v>
      </c>
      <c r="C316" s="22" t="s">
        <v>2903</v>
      </c>
      <c r="D316" s="22"/>
      <c r="E316" s="262"/>
      <c r="F316" s="262"/>
      <c r="G316" s="96" t="s">
        <v>2379</v>
      </c>
      <c r="H316" s="162" t="s">
        <v>1150</v>
      </c>
      <c r="I316" s="209">
        <v>138</v>
      </c>
      <c r="J316" s="209">
        <v>4.16</v>
      </c>
      <c r="K316" s="209">
        <v>18.8</v>
      </c>
      <c r="L316" s="94">
        <f>K316*1.2</f>
        <v>22.56</v>
      </c>
      <c r="M316" s="94">
        <v>0.9</v>
      </c>
      <c r="N316" s="94">
        <f t="shared" ref="N316:O318" si="8">K316*$M316</f>
        <v>16.920000000000002</v>
      </c>
      <c r="O316" s="94">
        <f t="shared" si="8"/>
        <v>20.303999999999998</v>
      </c>
      <c r="P316" s="11" t="s">
        <v>3285</v>
      </c>
      <c r="Q316" s="11"/>
      <c r="R316" s="34">
        <v>319</v>
      </c>
    </row>
    <row r="317" spans="2:18" ht="20" x14ac:dyDescent="0.2">
      <c r="B317" s="96" t="s">
        <v>1845</v>
      </c>
      <c r="C317" s="22" t="s">
        <v>2903</v>
      </c>
      <c r="D317" s="22"/>
      <c r="E317" s="262"/>
      <c r="F317" s="262"/>
      <c r="G317" s="96" t="s">
        <v>2379</v>
      </c>
      <c r="H317" s="162" t="s">
        <v>1154</v>
      </c>
      <c r="I317" s="209">
        <v>138</v>
      </c>
      <c r="J317" s="209">
        <v>25</v>
      </c>
      <c r="K317" s="209">
        <v>42</v>
      </c>
      <c r="L317" s="94">
        <f>K317*1.2</f>
        <v>50.4</v>
      </c>
      <c r="M317" s="94">
        <v>0.9</v>
      </c>
      <c r="N317" s="94">
        <f t="shared" si="8"/>
        <v>37.800000000000004</v>
      </c>
      <c r="O317" s="94">
        <f t="shared" si="8"/>
        <v>45.36</v>
      </c>
      <c r="P317" s="11" t="s">
        <v>3285</v>
      </c>
      <c r="Q317" s="11"/>
      <c r="R317" s="34">
        <v>320</v>
      </c>
    </row>
    <row r="318" spans="2:18" ht="20" x14ac:dyDescent="0.2">
      <c r="B318" s="96" t="s">
        <v>1845</v>
      </c>
      <c r="C318" s="22" t="s">
        <v>2903</v>
      </c>
      <c r="D318" s="22"/>
      <c r="E318" s="262"/>
      <c r="F318" s="262"/>
      <c r="G318" s="96" t="s">
        <v>2379</v>
      </c>
      <c r="H318" s="162" t="s">
        <v>1156</v>
      </c>
      <c r="I318" s="209">
        <v>138</v>
      </c>
      <c r="J318" s="209">
        <v>25</v>
      </c>
      <c r="K318" s="209">
        <v>42</v>
      </c>
      <c r="L318" s="94">
        <f>K318*1.2</f>
        <v>50.4</v>
      </c>
      <c r="M318" s="94">
        <v>0.9</v>
      </c>
      <c r="N318" s="94">
        <f t="shared" si="8"/>
        <v>37.800000000000004</v>
      </c>
      <c r="O318" s="94">
        <f t="shared" si="8"/>
        <v>45.36</v>
      </c>
      <c r="P318" s="11" t="s">
        <v>3285</v>
      </c>
      <c r="Q318" s="11"/>
      <c r="R318" s="34">
        <v>321</v>
      </c>
    </row>
    <row r="319" spans="2:18" ht="20" x14ac:dyDescent="0.2">
      <c r="B319" s="96" t="s">
        <v>1480</v>
      </c>
      <c r="C319" s="22" t="s">
        <v>2904</v>
      </c>
      <c r="D319" s="22"/>
      <c r="E319" s="262"/>
      <c r="F319" s="262"/>
      <c r="G319" s="96" t="s">
        <v>2379</v>
      </c>
      <c r="H319" s="22"/>
      <c r="I319" s="201">
        <v>144</v>
      </c>
      <c r="J319" s="211"/>
      <c r="K319" s="211"/>
      <c r="L319" s="58"/>
      <c r="M319" s="58"/>
      <c r="N319" s="58"/>
      <c r="O319" s="58"/>
      <c r="P319" s="11"/>
      <c r="Q319" s="11"/>
      <c r="R319" s="34">
        <v>322</v>
      </c>
    </row>
    <row r="320" spans="2:18" ht="20" x14ac:dyDescent="0.2">
      <c r="B320" s="96" t="s">
        <v>1915</v>
      </c>
      <c r="C320" s="22" t="s">
        <v>2613</v>
      </c>
      <c r="D320" s="22"/>
      <c r="E320" s="262"/>
      <c r="F320" s="262"/>
      <c r="G320" s="96" t="s">
        <v>2379</v>
      </c>
      <c r="H320" s="22"/>
      <c r="I320" s="201">
        <v>138</v>
      </c>
      <c r="J320" s="211"/>
      <c r="K320" s="211"/>
      <c r="L320" s="58"/>
      <c r="M320" s="58"/>
      <c r="N320" s="58"/>
      <c r="O320" s="58"/>
      <c r="P320" s="11"/>
      <c r="Q320" s="11"/>
      <c r="R320" s="34">
        <v>323</v>
      </c>
    </row>
    <row r="321" spans="2:18" ht="20" x14ac:dyDescent="0.2">
      <c r="B321" s="96" t="s">
        <v>2046</v>
      </c>
      <c r="C321" s="22" t="s">
        <v>2905</v>
      </c>
      <c r="D321" s="22"/>
      <c r="E321" s="262"/>
      <c r="F321" s="262"/>
      <c r="G321" s="96" t="s">
        <v>2379</v>
      </c>
      <c r="H321" s="22"/>
      <c r="I321" s="201">
        <v>72</v>
      </c>
      <c r="J321" s="211"/>
      <c r="K321" s="211"/>
      <c r="L321" s="58"/>
      <c r="M321" s="58"/>
      <c r="N321" s="58"/>
      <c r="O321" s="58"/>
      <c r="P321" s="11"/>
      <c r="Q321" s="11"/>
      <c r="R321" s="34">
        <v>324</v>
      </c>
    </row>
    <row r="322" spans="2:18" ht="20" x14ac:dyDescent="0.2">
      <c r="B322" s="96" t="s">
        <v>776</v>
      </c>
      <c r="C322" s="22" t="s">
        <v>3257</v>
      </c>
      <c r="D322" s="22"/>
      <c r="E322" s="262"/>
      <c r="F322" s="262"/>
      <c r="G322" s="96" t="s">
        <v>2379</v>
      </c>
      <c r="H322" s="22"/>
      <c r="I322" s="201">
        <v>240</v>
      </c>
      <c r="J322" s="211"/>
      <c r="K322" s="211"/>
      <c r="L322" s="58"/>
      <c r="M322" s="58"/>
      <c r="N322" s="58"/>
      <c r="O322" s="58"/>
      <c r="P322" s="11"/>
      <c r="Q322" s="11"/>
      <c r="R322" s="34">
        <v>325</v>
      </c>
    </row>
    <row r="323" spans="2:18" ht="20" x14ac:dyDescent="0.2">
      <c r="B323" s="96" t="s">
        <v>778</v>
      </c>
      <c r="C323" s="22" t="s">
        <v>2679</v>
      </c>
      <c r="D323" s="22"/>
      <c r="E323" s="262">
        <v>57.339300000000001</v>
      </c>
      <c r="F323" s="262">
        <v>-111.7578</v>
      </c>
      <c r="G323" s="96" t="s">
        <v>2379</v>
      </c>
      <c r="H323" s="22"/>
      <c r="I323" s="201">
        <v>240</v>
      </c>
      <c r="J323" s="211"/>
      <c r="K323" s="211"/>
      <c r="L323" s="58"/>
      <c r="M323" s="58"/>
      <c r="N323" s="58"/>
      <c r="O323" s="58"/>
      <c r="P323" s="11"/>
      <c r="Q323" s="11"/>
      <c r="R323" s="34">
        <v>326</v>
      </c>
    </row>
    <row r="324" spans="2:18" ht="20" x14ac:dyDescent="0.2">
      <c r="B324" s="96" t="s">
        <v>1668</v>
      </c>
      <c r="C324" s="22" t="s">
        <v>2906</v>
      </c>
      <c r="D324" s="22"/>
      <c r="E324" s="262"/>
      <c r="F324" s="262"/>
      <c r="G324" s="96" t="s">
        <v>2379</v>
      </c>
      <c r="H324" s="22"/>
      <c r="I324" s="201">
        <v>138</v>
      </c>
      <c r="J324" s="211"/>
      <c r="K324" s="211"/>
      <c r="L324" s="58"/>
      <c r="M324" s="58"/>
      <c r="N324" s="58"/>
      <c r="O324" s="58"/>
      <c r="P324" s="11"/>
      <c r="Q324" s="11"/>
      <c r="R324" s="34">
        <v>327</v>
      </c>
    </row>
    <row r="325" spans="2:18" ht="20" x14ac:dyDescent="0.2">
      <c r="B325" s="96" t="s">
        <v>840</v>
      </c>
      <c r="C325" s="22" t="s">
        <v>2907</v>
      </c>
      <c r="D325" s="22"/>
      <c r="E325" s="262"/>
      <c r="F325" s="262"/>
      <c r="G325" s="96" t="s">
        <v>2379</v>
      </c>
      <c r="H325" s="22"/>
      <c r="I325" s="201">
        <v>144</v>
      </c>
      <c r="J325" s="211"/>
      <c r="K325" s="211"/>
      <c r="L325" s="58"/>
      <c r="M325" s="58"/>
      <c r="N325" s="58"/>
      <c r="O325" s="58"/>
      <c r="P325" s="11"/>
      <c r="Q325" s="11"/>
      <c r="R325" s="34">
        <v>328</v>
      </c>
    </row>
    <row r="326" spans="2:18" ht="20" x14ac:dyDescent="0.2">
      <c r="B326" s="96" t="s">
        <v>1682</v>
      </c>
      <c r="C326" s="22" t="s">
        <v>2908</v>
      </c>
      <c r="D326" s="22"/>
      <c r="E326" s="262"/>
      <c r="F326" s="262"/>
      <c r="G326" s="96" t="s">
        <v>2379</v>
      </c>
      <c r="H326" s="22"/>
      <c r="I326" s="201">
        <v>144</v>
      </c>
      <c r="J326" s="211"/>
      <c r="K326" s="211"/>
      <c r="L326" s="58"/>
      <c r="M326" s="58"/>
      <c r="N326" s="58"/>
      <c r="O326" s="58"/>
      <c r="P326" s="11"/>
      <c r="Q326" s="11"/>
      <c r="R326" s="34">
        <v>329</v>
      </c>
    </row>
    <row r="327" spans="2:18" ht="20" x14ac:dyDescent="0.2">
      <c r="B327" s="96" t="s">
        <v>1238</v>
      </c>
      <c r="C327" s="22" t="s">
        <v>2909</v>
      </c>
      <c r="D327" s="22"/>
      <c r="E327" s="262"/>
      <c r="F327" s="262"/>
      <c r="G327" s="96" t="s">
        <v>2379</v>
      </c>
      <c r="H327" s="22"/>
      <c r="I327" s="201">
        <v>72</v>
      </c>
      <c r="J327" s="211"/>
      <c r="K327" s="211"/>
      <c r="L327" s="58"/>
      <c r="M327" s="58"/>
      <c r="N327" s="58"/>
      <c r="O327" s="58"/>
      <c r="P327" s="11"/>
      <c r="Q327" s="11"/>
      <c r="R327" s="34">
        <v>330</v>
      </c>
    </row>
    <row r="328" spans="2:18" ht="20" x14ac:dyDescent="0.2">
      <c r="B328" s="96" t="s">
        <v>839</v>
      </c>
      <c r="C328" s="22" t="s">
        <v>2910</v>
      </c>
      <c r="D328" s="22"/>
      <c r="E328" s="262"/>
      <c r="F328" s="262"/>
      <c r="G328" s="96" t="s">
        <v>2379</v>
      </c>
      <c r="H328" s="22"/>
      <c r="I328" s="201">
        <v>144</v>
      </c>
      <c r="J328" s="211"/>
      <c r="K328" s="211"/>
      <c r="L328" s="58"/>
      <c r="M328" s="58"/>
      <c r="N328" s="58"/>
      <c r="O328" s="58"/>
      <c r="P328" s="11"/>
      <c r="Q328" s="11"/>
      <c r="R328" s="34">
        <v>331</v>
      </c>
    </row>
    <row r="329" spans="2:18" ht="20" x14ac:dyDescent="0.2">
      <c r="B329" s="96" t="s">
        <v>1467</v>
      </c>
      <c r="C329" s="22" t="s">
        <v>2911</v>
      </c>
      <c r="D329" s="22"/>
      <c r="E329" s="262"/>
      <c r="F329" s="262"/>
      <c r="G329" s="96" t="s">
        <v>2379</v>
      </c>
      <c r="H329" s="22"/>
      <c r="I329" s="201">
        <v>138</v>
      </c>
      <c r="J329" s="211"/>
      <c r="K329" s="211"/>
      <c r="L329" s="58"/>
      <c r="M329" s="58"/>
      <c r="N329" s="58"/>
      <c r="O329" s="58"/>
      <c r="P329" s="11"/>
      <c r="Q329" s="11"/>
      <c r="R329" s="34">
        <v>332</v>
      </c>
    </row>
    <row r="330" spans="2:18" ht="20" x14ac:dyDescent="0.2">
      <c r="B330" s="96" t="s">
        <v>1466</v>
      </c>
      <c r="C330" s="22" t="s">
        <v>2912</v>
      </c>
      <c r="D330" s="22"/>
      <c r="E330" s="262"/>
      <c r="F330" s="262"/>
      <c r="G330" s="96" t="s">
        <v>2379</v>
      </c>
      <c r="H330" s="162" t="s">
        <v>1150</v>
      </c>
      <c r="I330" s="209">
        <v>138</v>
      </c>
      <c r="J330" s="209">
        <v>25</v>
      </c>
      <c r="K330" s="209">
        <v>25</v>
      </c>
      <c r="L330" s="94">
        <f>K330*1.2</f>
        <v>30</v>
      </c>
      <c r="M330" s="94">
        <v>0.9</v>
      </c>
      <c r="N330" s="94">
        <f>K330*$M330</f>
        <v>22.5</v>
      </c>
      <c r="O330" s="94">
        <f>L330*$M330</f>
        <v>27</v>
      </c>
      <c r="P330" s="11" t="s">
        <v>3282</v>
      </c>
      <c r="Q330" s="11"/>
      <c r="R330" s="34">
        <v>333</v>
      </c>
    </row>
    <row r="331" spans="2:18" ht="20" x14ac:dyDescent="0.2">
      <c r="B331" s="96" t="s">
        <v>1963</v>
      </c>
      <c r="C331" s="22" t="s">
        <v>2636</v>
      </c>
      <c r="D331" s="22"/>
      <c r="E331" s="262"/>
      <c r="F331" s="262"/>
      <c r="G331" s="96" t="s">
        <v>2379</v>
      </c>
      <c r="H331" s="162" t="s">
        <v>1150</v>
      </c>
      <c r="I331" s="209">
        <v>138</v>
      </c>
      <c r="J331" s="209">
        <v>25</v>
      </c>
      <c r="K331" s="209">
        <v>42</v>
      </c>
      <c r="L331" s="94">
        <f>K331*1.2</f>
        <v>50.4</v>
      </c>
      <c r="M331" s="94">
        <v>0.9</v>
      </c>
      <c r="N331" s="94">
        <f>K331*$M331</f>
        <v>37.800000000000004</v>
      </c>
      <c r="O331" s="94">
        <f>L331*$M331</f>
        <v>45.36</v>
      </c>
      <c r="P331" s="11" t="s">
        <v>3293</v>
      </c>
      <c r="Q331" s="11"/>
      <c r="R331" s="34">
        <v>334</v>
      </c>
    </row>
    <row r="332" spans="2:18" ht="20" x14ac:dyDescent="0.2">
      <c r="B332" s="96" t="s">
        <v>1836</v>
      </c>
      <c r="C332" s="22" t="s">
        <v>2913</v>
      </c>
      <c r="D332" s="22"/>
      <c r="E332" s="262"/>
      <c r="F332" s="262"/>
      <c r="G332" s="96" t="s">
        <v>2379</v>
      </c>
      <c r="H332" s="22"/>
      <c r="I332" s="201">
        <v>138</v>
      </c>
      <c r="J332" s="211"/>
      <c r="K332" s="211"/>
      <c r="L332" s="58"/>
      <c r="M332" s="58"/>
      <c r="N332" s="58"/>
      <c r="O332" s="58"/>
      <c r="P332" s="11"/>
      <c r="Q332" s="11"/>
      <c r="R332" s="34">
        <v>335</v>
      </c>
    </row>
    <row r="333" spans="2:18" ht="20" x14ac:dyDescent="0.2">
      <c r="B333" s="96" t="s">
        <v>1184</v>
      </c>
      <c r="C333" s="22" t="s">
        <v>3258</v>
      </c>
      <c r="D333" s="22"/>
      <c r="E333" s="262"/>
      <c r="F333" s="262"/>
      <c r="G333" s="96" t="s">
        <v>2379</v>
      </c>
      <c r="H333" s="22"/>
      <c r="I333" s="201">
        <v>72</v>
      </c>
      <c r="J333" s="211"/>
      <c r="K333" s="211"/>
      <c r="L333" s="58"/>
      <c r="M333" s="58"/>
      <c r="N333" s="58"/>
      <c r="O333" s="58"/>
      <c r="P333" s="11"/>
      <c r="Q333" s="11"/>
      <c r="R333" s="34">
        <v>336</v>
      </c>
    </row>
    <row r="334" spans="2:18" ht="20" x14ac:dyDescent="0.2">
      <c r="B334" s="96" t="s">
        <v>1322</v>
      </c>
      <c r="C334" s="22" t="s">
        <v>3259</v>
      </c>
      <c r="D334" s="22"/>
      <c r="E334" s="262"/>
      <c r="F334" s="262"/>
      <c r="G334" s="96" t="s">
        <v>2379</v>
      </c>
      <c r="H334" s="22"/>
      <c r="I334" s="201">
        <v>138</v>
      </c>
      <c r="J334" s="211"/>
      <c r="K334" s="211"/>
      <c r="L334" s="58"/>
      <c r="M334" s="58"/>
      <c r="N334" s="58"/>
      <c r="O334" s="58"/>
      <c r="P334" s="11"/>
      <c r="Q334" s="11"/>
      <c r="R334" s="34">
        <v>337</v>
      </c>
    </row>
    <row r="335" spans="2:18" ht="20" x14ac:dyDescent="0.2">
      <c r="B335" s="96" t="s">
        <v>1286</v>
      </c>
      <c r="C335" s="22" t="s">
        <v>2914</v>
      </c>
      <c r="D335" s="22"/>
      <c r="E335" s="262"/>
      <c r="F335" s="262"/>
      <c r="G335" s="96" t="s">
        <v>2379</v>
      </c>
      <c r="H335" s="22"/>
      <c r="I335" s="201">
        <v>144</v>
      </c>
      <c r="J335" s="211"/>
      <c r="K335" s="211"/>
      <c r="L335" s="58"/>
      <c r="M335" s="58"/>
      <c r="N335" s="58"/>
      <c r="O335" s="58"/>
      <c r="P335" s="11"/>
      <c r="Q335" s="11"/>
      <c r="R335" s="34">
        <v>338</v>
      </c>
    </row>
    <row r="336" spans="2:18" ht="20" x14ac:dyDescent="0.2">
      <c r="B336" s="96" t="s">
        <v>1645</v>
      </c>
      <c r="C336" s="22" t="s">
        <v>2681</v>
      </c>
      <c r="D336" s="22"/>
      <c r="E336" s="262">
        <v>52.048091033294703</v>
      </c>
      <c r="F336" s="262">
        <v>-113.97681205582499</v>
      </c>
      <c r="G336" s="96" t="s">
        <v>2379</v>
      </c>
      <c r="H336" s="22"/>
      <c r="I336" s="201">
        <v>144</v>
      </c>
      <c r="J336" s="211"/>
      <c r="K336" s="211"/>
      <c r="L336" s="58"/>
      <c r="M336" s="58"/>
      <c r="N336" s="58"/>
      <c r="O336" s="58"/>
      <c r="P336" s="11"/>
      <c r="Q336" s="11"/>
      <c r="R336" s="34">
        <v>339</v>
      </c>
    </row>
    <row r="337" spans="2:18" ht="20" x14ac:dyDescent="0.2">
      <c r="B337" s="96" t="s">
        <v>1712</v>
      </c>
      <c r="C337" s="22" t="s">
        <v>2682</v>
      </c>
      <c r="D337" s="22"/>
      <c r="E337" s="262">
        <v>50.6334667</v>
      </c>
      <c r="F337" s="262">
        <v>-115.13923629999999</v>
      </c>
      <c r="G337" s="96" t="s">
        <v>2379</v>
      </c>
      <c r="H337" s="22"/>
      <c r="I337" s="201">
        <v>144</v>
      </c>
      <c r="J337" s="211"/>
      <c r="K337" s="211"/>
      <c r="L337" s="58"/>
      <c r="M337" s="58"/>
      <c r="N337" s="58"/>
      <c r="O337" s="58"/>
      <c r="P337" s="11"/>
      <c r="Q337" s="11"/>
      <c r="R337" s="34">
        <v>340</v>
      </c>
    </row>
    <row r="338" spans="2:18" ht="20" x14ac:dyDescent="0.2">
      <c r="B338" s="96" t="s">
        <v>644</v>
      </c>
      <c r="C338" s="22" t="s">
        <v>2915</v>
      </c>
      <c r="D338" s="22"/>
      <c r="E338" s="262"/>
      <c r="F338" s="262"/>
      <c r="G338" s="96" t="s">
        <v>2379</v>
      </c>
      <c r="H338" s="162" t="s">
        <v>1154</v>
      </c>
      <c r="I338" s="209">
        <v>240</v>
      </c>
      <c r="J338" s="209">
        <v>144</v>
      </c>
      <c r="K338" s="209">
        <v>200</v>
      </c>
      <c r="L338" s="94">
        <f>K338*1.2</f>
        <v>240</v>
      </c>
      <c r="M338" s="94">
        <v>0.9</v>
      </c>
      <c r="N338" s="94">
        <f>K338*$M338</f>
        <v>180</v>
      </c>
      <c r="O338" s="94">
        <f>L338*$M338</f>
        <v>216</v>
      </c>
      <c r="P338" s="11" t="s">
        <v>3294</v>
      </c>
      <c r="Q338" s="11"/>
      <c r="R338" s="34">
        <v>341</v>
      </c>
    </row>
    <row r="339" spans="2:18" ht="20" x14ac:dyDescent="0.2">
      <c r="B339" s="96" t="s">
        <v>1430</v>
      </c>
      <c r="C339" s="22" t="s">
        <v>2916</v>
      </c>
      <c r="D339" s="22"/>
      <c r="E339" s="262"/>
      <c r="F339" s="262"/>
      <c r="G339" s="96" t="s">
        <v>2379</v>
      </c>
      <c r="H339" s="22"/>
      <c r="I339" s="201">
        <v>138</v>
      </c>
      <c r="J339" s="211"/>
      <c r="K339" s="211"/>
      <c r="L339" s="58"/>
      <c r="M339" s="58"/>
      <c r="N339" s="58"/>
      <c r="O339" s="58"/>
      <c r="P339" s="11"/>
      <c r="Q339" s="11"/>
      <c r="R339" s="34">
        <v>342</v>
      </c>
    </row>
    <row r="340" spans="2:18" ht="20" x14ac:dyDescent="0.2">
      <c r="B340" s="96" t="s">
        <v>2230</v>
      </c>
      <c r="C340" s="22" t="s">
        <v>3260</v>
      </c>
      <c r="D340" s="22"/>
      <c r="E340" s="262">
        <v>49.452623699999997</v>
      </c>
      <c r="F340" s="262">
        <v>-112.71654940000001</v>
      </c>
      <c r="G340" s="96" t="s">
        <v>2379</v>
      </c>
      <c r="H340" s="22"/>
      <c r="I340" s="201">
        <v>138</v>
      </c>
      <c r="J340" s="211"/>
      <c r="K340" s="211"/>
      <c r="L340" s="58"/>
      <c r="M340" s="58"/>
      <c r="N340" s="58"/>
      <c r="O340" s="58"/>
      <c r="P340" s="11"/>
      <c r="Q340" s="11"/>
      <c r="R340" s="34"/>
    </row>
    <row r="341" spans="2:18" ht="20" x14ac:dyDescent="0.2">
      <c r="B341" s="96" t="s">
        <v>1133</v>
      </c>
      <c r="C341" s="22" t="s">
        <v>2917</v>
      </c>
      <c r="D341" s="22"/>
      <c r="E341" s="262"/>
      <c r="F341" s="262"/>
      <c r="G341" s="96" t="s">
        <v>2379</v>
      </c>
      <c r="H341" s="22"/>
      <c r="I341" s="201">
        <v>240</v>
      </c>
      <c r="J341" s="211"/>
      <c r="K341" s="211"/>
      <c r="L341" s="58"/>
      <c r="M341" s="58"/>
      <c r="N341" s="58"/>
      <c r="O341" s="58"/>
      <c r="P341" s="11"/>
      <c r="Q341" s="11"/>
      <c r="R341" s="34">
        <v>343</v>
      </c>
    </row>
    <row r="342" spans="2:18" ht="20" x14ac:dyDescent="0.2">
      <c r="B342" s="96" t="s">
        <v>632</v>
      </c>
      <c r="C342" s="22" t="s">
        <v>2918</v>
      </c>
      <c r="D342" s="22"/>
      <c r="E342" s="262"/>
      <c r="F342" s="262"/>
      <c r="G342" s="96" t="s">
        <v>2379</v>
      </c>
      <c r="H342" s="22"/>
      <c r="I342" s="201">
        <v>240</v>
      </c>
      <c r="J342" s="211"/>
      <c r="K342" s="211"/>
      <c r="L342" s="58"/>
      <c r="M342" s="58"/>
      <c r="N342" s="58"/>
      <c r="O342" s="58"/>
      <c r="P342" s="11"/>
      <c r="Q342" s="11"/>
      <c r="R342" s="34">
        <v>344</v>
      </c>
    </row>
    <row r="343" spans="2:18" ht="20" x14ac:dyDescent="0.2">
      <c r="B343" s="96" t="s">
        <v>553</v>
      </c>
      <c r="C343" s="22" t="s">
        <v>2919</v>
      </c>
      <c r="D343" s="22"/>
      <c r="E343" s="262"/>
      <c r="F343" s="262"/>
      <c r="G343" s="96" t="s">
        <v>2379</v>
      </c>
      <c r="H343" s="162" t="s">
        <v>1150</v>
      </c>
      <c r="I343" s="209">
        <v>240</v>
      </c>
      <c r="J343" s="209">
        <v>138</v>
      </c>
      <c r="K343" s="209">
        <v>400</v>
      </c>
      <c r="L343" s="94">
        <f>K343*1.2</f>
        <v>480</v>
      </c>
      <c r="M343" s="94">
        <v>0.9</v>
      </c>
      <c r="N343" s="94">
        <f>K343*$M343</f>
        <v>360</v>
      </c>
      <c r="O343" s="94">
        <f>L343*$M343</f>
        <v>432</v>
      </c>
      <c r="P343" s="11" t="s">
        <v>3287</v>
      </c>
      <c r="Q343" s="11"/>
      <c r="R343" s="34">
        <v>345</v>
      </c>
    </row>
    <row r="344" spans="2:18" ht="20" x14ac:dyDescent="0.2">
      <c r="B344" s="96" t="s">
        <v>553</v>
      </c>
      <c r="C344" s="22" t="s">
        <v>2919</v>
      </c>
      <c r="D344" s="22"/>
      <c r="E344" s="262"/>
      <c r="F344" s="262"/>
      <c r="G344" s="96" t="s">
        <v>2379</v>
      </c>
      <c r="H344" s="162" t="s">
        <v>1154</v>
      </c>
      <c r="I344" s="209">
        <v>240</v>
      </c>
      <c r="J344" s="209">
        <v>138</v>
      </c>
      <c r="K344" s="209">
        <v>400</v>
      </c>
      <c r="L344" s="94">
        <f>K344*1.2</f>
        <v>480</v>
      </c>
      <c r="M344" s="94">
        <v>0.9</v>
      </c>
      <c r="N344" s="94">
        <f>K344*$M344</f>
        <v>360</v>
      </c>
      <c r="O344" s="94">
        <f>L344*$M344</f>
        <v>432</v>
      </c>
      <c r="P344" s="11" t="s">
        <v>3287</v>
      </c>
      <c r="Q344" s="11"/>
      <c r="R344" s="34">
        <v>346</v>
      </c>
    </row>
    <row r="345" spans="2:18" ht="20" x14ac:dyDescent="0.2">
      <c r="B345" s="96" t="s">
        <v>1456</v>
      </c>
      <c r="C345" s="22" t="s">
        <v>2920</v>
      </c>
      <c r="D345" s="22"/>
      <c r="E345" s="262"/>
      <c r="F345" s="262"/>
      <c r="G345" s="96" t="s">
        <v>2379</v>
      </c>
      <c r="H345" s="22"/>
      <c r="I345" s="201">
        <v>138</v>
      </c>
      <c r="J345" s="211"/>
      <c r="K345" s="211"/>
      <c r="L345" s="58"/>
      <c r="M345" s="58"/>
      <c r="N345" s="58"/>
      <c r="O345" s="58"/>
      <c r="P345" s="11"/>
      <c r="Q345" s="11"/>
      <c r="R345" s="34">
        <v>347</v>
      </c>
    </row>
    <row r="346" spans="2:18" ht="20" x14ac:dyDescent="0.2">
      <c r="B346" s="96" t="s">
        <v>580</v>
      </c>
      <c r="C346" s="22" t="s">
        <v>2642</v>
      </c>
      <c r="D346" s="22"/>
      <c r="E346" s="262"/>
      <c r="F346" s="262"/>
      <c r="G346" s="96" t="s">
        <v>2379</v>
      </c>
      <c r="H346" s="162" t="s">
        <v>1150</v>
      </c>
      <c r="I346" s="209">
        <v>240</v>
      </c>
      <c r="J346" s="209">
        <v>72</v>
      </c>
      <c r="K346" s="209">
        <v>300</v>
      </c>
      <c r="L346" s="94">
        <f>K346*1.2</f>
        <v>360</v>
      </c>
      <c r="M346" s="94">
        <v>0.9</v>
      </c>
      <c r="N346" s="94">
        <f>K346*$M346</f>
        <v>270</v>
      </c>
      <c r="O346" s="94">
        <f>L346*$M346</f>
        <v>324</v>
      </c>
      <c r="P346" s="11" t="s">
        <v>3288</v>
      </c>
      <c r="Q346" s="11"/>
      <c r="R346" s="34">
        <v>348</v>
      </c>
    </row>
    <row r="347" spans="2:18" ht="20" x14ac:dyDescent="0.2">
      <c r="B347" s="96" t="s">
        <v>551</v>
      </c>
      <c r="C347" s="22" t="s">
        <v>2683</v>
      </c>
      <c r="D347" s="22"/>
      <c r="E347" s="262">
        <v>50.748608536409201</v>
      </c>
      <c r="F347" s="262">
        <v>-111.048863618471</v>
      </c>
      <c r="G347" s="96" t="s">
        <v>2379</v>
      </c>
      <c r="H347" s="22"/>
      <c r="I347" s="201">
        <v>144</v>
      </c>
      <c r="J347" s="211"/>
      <c r="K347" s="211"/>
      <c r="L347" s="58"/>
      <c r="M347" s="58"/>
      <c r="N347" s="58"/>
      <c r="O347" s="58"/>
      <c r="P347" s="11"/>
      <c r="Q347" s="11"/>
      <c r="R347" s="34">
        <v>349</v>
      </c>
    </row>
    <row r="348" spans="2:18" ht="20" x14ac:dyDescent="0.2">
      <c r="B348" s="96" t="s">
        <v>1618</v>
      </c>
      <c r="C348" s="22" t="s">
        <v>2684</v>
      </c>
      <c r="D348" s="22"/>
      <c r="E348" s="262">
        <v>52.3078</v>
      </c>
      <c r="F348" s="262">
        <v>-113.5468</v>
      </c>
      <c r="G348" s="96" t="s">
        <v>2379</v>
      </c>
      <c r="H348" s="22"/>
      <c r="I348" s="201">
        <v>144</v>
      </c>
      <c r="J348" s="211"/>
      <c r="K348" s="211"/>
      <c r="L348" s="58"/>
      <c r="M348" s="58"/>
      <c r="N348" s="58"/>
      <c r="O348" s="58"/>
      <c r="P348" s="11"/>
      <c r="Q348" s="11"/>
      <c r="R348" s="34">
        <v>350</v>
      </c>
    </row>
    <row r="349" spans="2:18" ht="20" x14ac:dyDescent="0.2">
      <c r="B349" s="96" t="s">
        <v>624</v>
      </c>
      <c r="C349" s="22" t="s">
        <v>2921</v>
      </c>
      <c r="D349" s="22"/>
      <c r="E349" s="262"/>
      <c r="F349" s="262"/>
      <c r="G349" s="96" t="s">
        <v>2379</v>
      </c>
      <c r="H349" s="22"/>
      <c r="I349" s="201">
        <v>144</v>
      </c>
      <c r="J349" s="211"/>
      <c r="K349" s="211"/>
      <c r="L349" s="58"/>
      <c r="M349" s="58"/>
      <c r="N349" s="58"/>
      <c r="O349" s="58"/>
      <c r="P349" s="11"/>
      <c r="Q349" s="11"/>
      <c r="R349" s="34">
        <v>351</v>
      </c>
    </row>
    <row r="350" spans="2:18" ht="20" x14ac:dyDescent="0.2">
      <c r="B350" s="96" t="s">
        <v>650</v>
      </c>
      <c r="C350" s="22" t="s">
        <v>2922</v>
      </c>
      <c r="D350" s="22"/>
      <c r="E350" s="262"/>
      <c r="F350" s="262"/>
      <c r="G350" s="96" t="s">
        <v>2379</v>
      </c>
      <c r="H350" s="162" t="s">
        <v>1150</v>
      </c>
      <c r="I350" s="209">
        <v>250</v>
      </c>
      <c r="J350" s="209">
        <v>144</v>
      </c>
      <c r="K350" s="209">
        <v>336</v>
      </c>
      <c r="L350" s="94">
        <f>K350*1.2</f>
        <v>403.2</v>
      </c>
      <c r="M350" s="94">
        <v>0.9</v>
      </c>
      <c r="N350" s="94">
        <f>K350*$M350</f>
        <v>302.40000000000003</v>
      </c>
      <c r="O350" s="94">
        <f>L350*$M350</f>
        <v>362.88</v>
      </c>
      <c r="P350" s="11" t="s">
        <v>3300</v>
      </c>
      <c r="Q350" s="11"/>
      <c r="R350" s="34">
        <v>352</v>
      </c>
    </row>
    <row r="351" spans="2:18" ht="20" x14ac:dyDescent="0.2">
      <c r="B351" s="96" t="s">
        <v>650</v>
      </c>
      <c r="C351" s="22" t="s">
        <v>2922</v>
      </c>
      <c r="D351" s="22"/>
      <c r="E351" s="262"/>
      <c r="F351" s="262"/>
      <c r="G351" s="96" t="s">
        <v>2379</v>
      </c>
      <c r="H351" s="162" t="s">
        <v>1154</v>
      </c>
      <c r="I351" s="209">
        <v>250</v>
      </c>
      <c r="J351" s="209">
        <v>144</v>
      </c>
      <c r="K351" s="209">
        <v>336</v>
      </c>
      <c r="L351" s="94">
        <f>K351*1.2</f>
        <v>403.2</v>
      </c>
      <c r="M351" s="94">
        <v>0.9</v>
      </c>
      <c r="N351" s="94">
        <f>K351*$M351</f>
        <v>302.40000000000003</v>
      </c>
      <c r="O351" s="94">
        <f>L351*$M351</f>
        <v>362.88</v>
      </c>
      <c r="P351" s="11" t="s">
        <v>3300</v>
      </c>
      <c r="Q351" s="11"/>
      <c r="R351" s="34">
        <v>353</v>
      </c>
    </row>
    <row r="352" spans="2:18" ht="20" x14ac:dyDescent="0.2">
      <c r="B352" s="96" t="s">
        <v>775</v>
      </c>
      <c r="C352" s="22" t="s">
        <v>2923</v>
      </c>
      <c r="D352" s="22"/>
      <c r="E352" s="262"/>
      <c r="F352" s="262"/>
      <c r="G352" s="96" t="s">
        <v>2379</v>
      </c>
      <c r="H352" s="22"/>
      <c r="I352" s="201">
        <v>240</v>
      </c>
      <c r="J352" s="211"/>
      <c r="K352" s="211"/>
      <c r="L352" s="58"/>
      <c r="M352" s="58"/>
      <c r="N352" s="58"/>
      <c r="O352" s="58"/>
      <c r="P352" s="11"/>
      <c r="Q352" s="11"/>
      <c r="R352" s="34">
        <v>354</v>
      </c>
    </row>
    <row r="353" spans="2:18" ht="20" x14ac:dyDescent="0.2">
      <c r="B353" s="96" t="s">
        <v>946</v>
      </c>
      <c r="C353" s="22" t="s">
        <v>3261</v>
      </c>
      <c r="D353" s="22"/>
      <c r="E353" s="262"/>
      <c r="F353" s="262"/>
      <c r="G353" s="96" t="s">
        <v>2379</v>
      </c>
      <c r="H353" s="22"/>
      <c r="I353" s="201">
        <v>144</v>
      </c>
      <c r="J353" s="211"/>
      <c r="K353" s="211"/>
      <c r="L353" s="58"/>
      <c r="M353" s="58"/>
      <c r="N353" s="58"/>
      <c r="O353" s="58"/>
      <c r="P353" s="11"/>
      <c r="Q353" s="11"/>
      <c r="R353" s="34">
        <v>355</v>
      </c>
    </row>
    <row r="354" spans="2:18" ht="20" x14ac:dyDescent="0.2">
      <c r="B354" s="96" t="s">
        <v>1674</v>
      </c>
      <c r="C354" s="22" t="s">
        <v>2924</v>
      </c>
      <c r="D354" s="22"/>
      <c r="E354" s="262"/>
      <c r="F354" s="262"/>
      <c r="G354" s="96" t="s">
        <v>2379</v>
      </c>
      <c r="H354" s="22"/>
      <c r="I354" s="201">
        <v>138</v>
      </c>
      <c r="J354" s="211"/>
      <c r="K354" s="211"/>
      <c r="L354" s="58"/>
      <c r="M354" s="58"/>
      <c r="N354" s="58"/>
      <c r="O354" s="58"/>
      <c r="P354" s="11"/>
      <c r="Q354" s="11"/>
      <c r="R354" s="34">
        <v>356</v>
      </c>
    </row>
    <row r="355" spans="2:18" ht="20" x14ac:dyDescent="0.2">
      <c r="B355" s="96" t="s">
        <v>1680</v>
      </c>
      <c r="C355" s="22" t="s">
        <v>2925</v>
      </c>
      <c r="D355" s="22"/>
      <c r="E355" s="262"/>
      <c r="F355" s="262"/>
      <c r="G355" s="96" t="s">
        <v>2379</v>
      </c>
      <c r="H355" s="22"/>
      <c r="I355" s="201">
        <v>138</v>
      </c>
      <c r="J355" s="211"/>
      <c r="K355" s="211"/>
      <c r="L355" s="58"/>
      <c r="M355" s="58"/>
      <c r="N355" s="58"/>
      <c r="O355" s="58"/>
      <c r="P355" s="11"/>
      <c r="Q355" s="11"/>
      <c r="R355" s="34">
        <v>357</v>
      </c>
    </row>
    <row r="356" spans="2:18" ht="20" x14ac:dyDescent="0.2">
      <c r="B356" s="96" t="s">
        <v>948</v>
      </c>
      <c r="C356" s="22" t="s">
        <v>2926</v>
      </c>
      <c r="D356" s="22"/>
      <c r="E356" s="262"/>
      <c r="F356" s="262"/>
      <c r="G356" s="96" t="s">
        <v>2379</v>
      </c>
      <c r="H356" s="22"/>
      <c r="I356" s="201">
        <v>144</v>
      </c>
      <c r="J356" s="211"/>
      <c r="K356" s="211"/>
      <c r="L356" s="58"/>
      <c r="M356" s="58"/>
      <c r="N356" s="58"/>
      <c r="O356" s="58"/>
      <c r="P356" s="11"/>
      <c r="Q356" s="11"/>
      <c r="R356" s="34">
        <v>358</v>
      </c>
    </row>
    <row r="357" spans="2:18" ht="20" x14ac:dyDescent="0.2">
      <c r="B357" s="96" t="s">
        <v>1709</v>
      </c>
      <c r="C357" s="22" t="s">
        <v>2685</v>
      </c>
      <c r="D357" s="22"/>
      <c r="E357" s="262">
        <v>51.0969111</v>
      </c>
      <c r="F357" s="262">
        <v>-115.0582473</v>
      </c>
      <c r="G357" s="96" t="s">
        <v>2379</v>
      </c>
      <c r="H357" s="22"/>
      <c r="I357" s="201">
        <v>138</v>
      </c>
      <c r="J357" s="211"/>
      <c r="K357" s="211"/>
      <c r="L357" s="58"/>
      <c r="M357" s="58"/>
      <c r="N357" s="58"/>
      <c r="O357" s="58"/>
      <c r="P357" s="11"/>
      <c r="Q357" s="11"/>
      <c r="R357" s="34">
        <v>359</v>
      </c>
    </row>
    <row r="358" spans="2:18" ht="20" x14ac:dyDescent="0.2">
      <c r="B358" s="96" t="s">
        <v>1200</v>
      </c>
      <c r="C358" s="22" t="s">
        <v>2686</v>
      </c>
      <c r="D358" s="22"/>
      <c r="E358" s="262">
        <v>54.098968999999997</v>
      </c>
      <c r="F358" s="262">
        <v>-116.61384</v>
      </c>
      <c r="G358" s="96" t="s">
        <v>2379</v>
      </c>
      <c r="H358" s="22"/>
      <c r="I358" s="201">
        <v>144</v>
      </c>
      <c r="J358" s="211"/>
      <c r="K358" s="211"/>
      <c r="L358" s="58"/>
      <c r="M358" s="58"/>
      <c r="N358" s="58"/>
      <c r="O358" s="58"/>
      <c r="P358" s="11"/>
      <c r="Q358" s="11"/>
      <c r="R358" s="34">
        <v>360</v>
      </c>
    </row>
    <row r="359" spans="2:18" ht="20" x14ac:dyDescent="0.2">
      <c r="B359" s="96" t="s">
        <v>1144</v>
      </c>
      <c r="C359" s="22" t="s">
        <v>2687</v>
      </c>
      <c r="D359" s="22"/>
      <c r="E359" s="262">
        <v>57.421036000000001</v>
      </c>
      <c r="F359" s="262">
        <v>-110.9264</v>
      </c>
      <c r="G359" s="96" t="s">
        <v>2379</v>
      </c>
      <c r="H359" s="22"/>
      <c r="I359" s="201">
        <v>240</v>
      </c>
      <c r="J359" s="211"/>
      <c r="K359" s="211"/>
      <c r="L359" s="58"/>
      <c r="M359" s="58"/>
      <c r="N359" s="58"/>
      <c r="O359" s="58"/>
      <c r="P359" s="11"/>
      <c r="Q359" s="11"/>
      <c r="R359" s="34">
        <v>361</v>
      </c>
    </row>
    <row r="360" spans="2:18" ht="20" x14ac:dyDescent="0.2">
      <c r="B360" s="96" t="s">
        <v>576</v>
      </c>
      <c r="C360" s="22" t="s">
        <v>2688</v>
      </c>
      <c r="D360" s="22"/>
      <c r="E360" s="262">
        <v>53.3446</v>
      </c>
      <c r="F360" s="262">
        <v>-114.3049</v>
      </c>
      <c r="G360" s="96" t="s">
        <v>2379</v>
      </c>
      <c r="H360" s="162" t="s">
        <v>1150</v>
      </c>
      <c r="I360" s="209">
        <v>240</v>
      </c>
      <c r="J360" s="209">
        <v>138</v>
      </c>
      <c r="K360" s="209">
        <v>150</v>
      </c>
      <c r="L360" s="94">
        <f>K360*1.2</f>
        <v>180</v>
      </c>
      <c r="M360" s="94">
        <v>0.9</v>
      </c>
      <c r="N360" s="94">
        <f t="shared" ref="N360:O362" si="9">K360*$M360</f>
        <v>135</v>
      </c>
      <c r="O360" s="94">
        <f t="shared" si="9"/>
        <v>162</v>
      </c>
      <c r="P360" s="11" t="s">
        <v>3280</v>
      </c>
      <c r="Q360" s="11"/>
      <c r="R360" s="34">
        <v>362</v>
      </c>
    </row>
    <row r="361" spans="2:18" ht="20" x14ac:dyDescent="0.2">
      <c r="B361" s="96" t="s">
        <v>576</v>
      </c>
      <c r="C361" s="22" t="s">
        <v>2688</v>
      </c>
      <c r="D361" s="22"/>
      <c r="E361" s="262">
        <v>53.3446</v>
      </c>
      <c r="F361" s="262">
        <v>-114.3049</v>
      </c>
      <c r="G361" s="96" t="s">
        <v>2379</v>
      </c>
      <c r="H361" s="162" t="s">
        <v>1159</v>
      </c>
      <c r="I361" s="209">
        <v>500</v>
      </c>
      <c r="J361" s="209">
        <v>240</v>
      </c>
      <c r="K361" s="209">
        <v>1200</v>
      </c>
      <c r="L361" s="94">
        <f>K361*1.2</f>
        <v>1440</v>
      </c>
      <c r="M361" s="94">
        <v>0.9</v>
      </c>
      <c r="N361" s="94">
        <f t="shared" si="9"/>
        <v>1080</v>
      </c>
      <c r="O361" s="94">
        <f t="shared" si="9"/>
        <v>1296</v>
      </c>
      <c r="P361" s="11" t="s">
        <v>3280</v>
      </c>
      <c r="Q361" s="11"/>
      <c r="R361" s="34">
        <v>363</v>
      </c>
    </row>
    <row r="362" spans="2:18" ht="20" x14ac:dyDescent="0.2">
      <c r="B362" s="96" t="s">
        <v>576</v>
      </c>
      <c r="C362" s="22" t="s">
        <v>2688</v>
      </c>
      <c r="D362" s="22"/>
      <c r="E362" s="262">
        <v>53.3446</v>
      </c>
      <c r="F362" s="262">
        <v>-114.3049</v>
      </c>
      <c r="G362" s="96" t="s">
        <v>2379</v>
      </c>
      <c r="H362" s="162" t="s">
        <v>1160</v>
      </c>
      <c r="I362" s="209">
        <v>240</v>
      </c>
      <c r="J362" s="209">
        <v>240</v>
      </c>
      <c r="K362" s="209">
        <v>600</v>
      </c>
      <c r="L362" s="94">
        <f>K362*1.2</f>
        <v>720</v>
      </c>
      <c r="M362" s="94">
        <v>0.9</v>
      </c>
      <c r="N362" s="94">
        <f t="shared" si="9"/>
        <v>540</v>
      </c>
      <c r="O362" s="94">
        <f t="shared" si="9"/>
        <v>648</v>
      </c>
      <c r="P362" s="11" t="s">
        <v>3280</v>
      </c>
      <c r="Q362" s="11"/>
      <c r="R362" s="34">
        <v>364</v>
      </c>
    </row>
    <row r="363" spans="2:18" ht="20" x14ac:dyDescent="0.2">
      <c r="B363" s="96" t="s">
        <v>921</v>
      </c>
      <c r="C363" s="22" t="s">
        <v>2927</v>
      </c>
      <c r="D363" s="22"/>
      <c r="E363" s="262"/>
      <c r="F363" s="262"/>
      <c r="G363" s="96" t="s">
        <v>2379</v>
      </c>
      <c r="H363" s="22"/>
      <c r="I363" s="201">
        <v>144</v>
      </c>
      <c r="J363" s="211"/>
      <c r="K363" s="211"/>
      <c r="L363" s="58"/>
      <c r="M363" s="58"/>
      <c r="N363" s="58"/>
      <c r="O363" s="58"/>
      <c r="P363" s="11"/>
      <c r="Q363" s="11"/>
      <c r="R363" s="34">
        <v>365</v>
      </c>
    </row>
    <row r="364" spans="2:18" ht="20" x14ac:dyDescent="0.2">
      <c r="B364" s="96" t="s">
        <v>2088</v>
      </c>
      <c r="C364" s="22" t="s">
        <v>2928</v>
      </c>
      <c r="D364" s="22"/>
      <c r="E364" s="262"/>
      <c r="F364" s="262"/>
      <c r="G364" s="96" t="s">
        <v>2379</v>
      </c>
      <c r="H364" s="22"/>
      <c r="I364" s="201">
        <v>144</v>
      </c>
      <c r="J364" s="211"/>
      <c r="K364" s="211"/>
      <c r="L364" s="58"/>
      <c r="M364" s="58"/>
      <c r="N364" s="58"/>
      <c r="O364" s="58"/>
      <c r="P364" s="11"/>
      <c r="Q364" s="11"/>
      <c r="R364" s="34">
        <v>366</v>
      </c>
    </row>
    <row r="365" spans="2:18" ht="20" x14ac:dyDescent="0.2">
      <c r="B365" s="96" t="s">
        <v>1332</v>
      </c>
      <c r="C365" s="22" t="s">
        <v>2929</v>
      </c>
      <c r="D365" s="22"/>
      <c r="E365" s="262"/>
      <c r="F365" s="262"/>
      <c r="G365" s="96" t="s">
        <v>2379</v>
      </c>
      <c r="H365" s="22"/>
      <c r="I365" s="201">
        <v>72</v>
      </c>
      <c r="J365" s="211"/>
      <c r="K365" s="211"/>
      <c r="L365" s="58"/>
      <c r="M365" s="58"/>
      <c r="N365" s="58"/>
      <c r="O365" s="58"/>
      <c r="P365" s="11"/>
      <c r="Q365" s="11"/>
      <c r="R365" s="34">
        <v>367</v>
      </c>
    </row>
    <row r="366" spans="2:18" ht="20" x14ac:dyDescent="0.2">
      <c r="B366" s="96" t="s">
        <v>808</v>
      </c>
      <c r="C366" s="22" t="s">
        <v>2930</v>
      </c>
      <c r="D366" s="22"/>
      <c r="E366" s="262"/>
      <c r="F366" s="262"/>
      <c r="G366" s="96" t="s">
        <v>2379</v>
      </c>
      <c r="H366" s="22"/>
      <c r="I366" s="201">
        <v>144</v>
      </c>
      <c r="J366" s="211"/>
      <c r="K366" s="211"/>
      <c r="L366" s="58"/>
      <c r="M366" s="58"/>
      <c r="N366" s="58"/>
      <c r="O366" s="58"/>
      <c r="P366" s="11"/>
      <c r="Q366" s="11"/>
      <c r="R366" s="34">
        <v>368</v>
      </c>
    </row>
    <row r="367" spans="2:18" ht="20" x14ac:dyDescent="0.2">
      <c r="B367" s="96" t="s">
        <v>1893</v>
      </c>
      <c r="C367" s="22" t="s">
        <v>2689</v>
      </c>
      <c r="D367" s="22"/>
      <c r="E367" s="262">
        <v>49.515876400000003</v>
      </c>
      <c r="F367" s="262">
        <v>-113.82177419999999</v>
      </c>
      <c r="G367" s="96" t="s">
        <v>2379</v>
      </c>
      <c r="H367" s="22"/>
      <c r="I367" s="201">
        <v>144</v>
      </c>
      <c r="J367" s="211"/>
      <c r="K367" s="211"/>
      <c r="L367" s="58"/>
      <c r="M367" s="58"/>
      <c r="N367" s="58"/>
      <c r="O367" s="58"/>
      <c r="P367" s="11"/>
      <c r="Q367" s="11"/>
      <c r="R367" s="34">
        <v>369</v>
      </c>
    </row>
    <row r="368" spans="2:18" ht="20" x14ac:dyDescent="0.2">
      <c r="B368" s="96" t="s">
        <v>1555</v>
      </c>
      <c r="C368" s="22" t="s">
        <v>2931</v>
      </c>
      <c r="D368" s="22"/>
      <c r="E368" s="262"/>
      <c r="F368" s="262"/>
      <c r="G368" s="96" t="s">
        <v>2379</v>
      </c>
      <c r="H368" s="22"/>
      <c r="I368" s="201">
        <v>144</v>
      </c>
      <c r="J368" s="211"/>
      <c r="K368" s="211"/>
      <c r="L368" s="58"/>
      <c r="M368" s="58"/>
      <c r="N368" s="58"/>
      <c r="O368" s="58"/>
      <c r="P368" s="11"/>
      <c r="Q368" s="11"/>
      <c r="R368" s="34">
        <v>370</v>
      </c>
    </row>
    <row r="369" spans="2:18" ht="20" x14ac:dyDescent="0.2">
      <c r="B369" s="96" t="s">
        <v>956</v>
      </c>
      <c r="C369" s="22" t="s">
        <v>2932</v>
      </c>
      <c r="D369" s="22"/>
      <c r="E369" s="262"/>
      <c r="F369" s="262"/>
      <c r="G369" s="96" t="s">
        <v>2379</v>
      </c>
      <c r="H369" s="22"/>
      <c r="I369" s="201">
        <v>144</v>
      </c>
      <c r="J369" s="211"/>
      <c r="K369" s="211"/>
      <c r="L369" s="58"/>
      <c r="M369" s="58"/>
      <c r="N369" s="58"/>
      <c r="O369" s="58"/>
      <c r="P369" s="11"/>
      <c r="Q369" s="11"/>
      <c r="R369" s="34">
        <v>371</v>
      </c>
    </row>
    <row r="370" spans="2:18" ht="20" x14ac:dyDescent="0.2">
      <c r="B370" s="96" t="s">
        <v>1489</v>
      </c>
      <c r="C370" s="22" t="s">
        <v>2933</v>
      </c>
      <c r="D370" s="22"/>
      <c r="E370" s="262"/>
      <c r="F370" s="262"/>
      <c r="G370" s="96" t="s">
        <v>2379</v>
      </c>
      <c r="H370" s="162" t="s">
        <v>1150</v>
      </c>
      <c r="I370" s="209">
        <v>138</v>
      </c>
      <c r="J370" s="209">
        <v>25</v>
      </c>
      <c r="K370" s="209">
        <v>42</v>
      </c>
      <c r="L370" s="94">
        <f>K370*1.2</f>
        <v>50.4</v>
      </c>
      <c r="M370" s="94">
        <v>0.9</v>
      </c>
      <c r="N370" s="94">
        <f>K370*$M370</f>
        <v>37.800000000000004</v>
      </c>
      <c r="O370" s="94">
        <f>L370*$M370</f>
        <v>45.36</v>
      </c>
      <c r="P370" s="11" t="s">
        <v>3282</v>
      </c>
      <c r="Q370" s="11"/>
      <c r="R370" s="34">
        <v>372</v>
      </c>
    </row>
    <row r="371" spans="2:18" ht="20" x14ac:dyDescent="0.2">
      <c r="B371" s="96" t="s">
        <v>1379</v>
      </c>
      <c r="C371" s="22" t="s">
        <v>2934</v>
      </c>
      <c r="D371" s="22"/>
      <c r="E371" s="262"/>
      <c r="F371" s="262"/>
      <c r="G371" s="96" t="s">
        <v>2379</v>
      </c>
      <c r="H371" s="22"/>
      <c r="I371" s="201">
        <v>144</v>
      </c>
      <c r="J371" s="211"/>
      <c r="K371" s="211"/>
      <c r="L371" s="58"/>
      <c r="M371" s="58"/>
      <c r="N371" s="58"/>
      <c r="O371" s="58"/>
      <c r="P371" s="11"/>
      <c r="Q371" s="11"/>
      <c r="R371" s="34">
        <v>373</v>
      </c>
    </row>
    <row r="372" spans="2:18" ht="20" x14ac:dyDescent="0.2">
      <c r="B372" s="96" t="s">
        <v>824</v>
      </c>
      <c r="C372" s="22" t="s">
        <v>2935</v>
      </c>
      <c r="D372" s="22"/>
      <c r="E372" s="262"/>
      <c r="F372" s="262"/>
      <c r="G372" s="96" t="s">
        <v>2379</v>
      </c>
      <c r="H372" s="162" t="s">
        <v>1158</v>
      </c>
      <c r="I372" s="209">
        <v>260</v>
      </c>
      <c r="J372" s="209">
        <v>144</v>
      </c>
      <c r="K372" s="209">
        <v>200</v>
      </c>
      <c r="L372" s="94">
        <f>K372*1.2</f>
        <v>240</v>
      </c>
      <c r="M372" s="94">
        <v>0.9</v>
      </c>
      <c r="N372" s="94">
        <f>K372*$M372</f>
        <v>180</v>
      </c>
      <c r="O372" s="94">
        <f>L372*$M372</f>
        <v>216</v>
      </c>
      <c r="P372" s="11" t="s">
        <v>3305</v>
      </c>
      <c r="Q372" s="11"/>
      <c r="R372" s="34">
        <v>374</v>
      </c>
    </row>
    <row r="373" spans="2:18" ht="20" x14ac:dyDescent="0.2">
      <c r="B373" s="96" t="s">
        <v>824</v>
      </c>
      <c r="C373" s="22" t="s">
        <v>2935</v>
      </c>
      <c r="D373" s="22"/>
      <c r="E373" s="262"/>
      <c r="F373" s="262"/>
      <c r="G373" s="96" t="s">
        <v>2379</v>
      </c>
      <c r="H373" s="162" t="s">
        <v>2213</v>
      </c>
      <c r="I373" s="209">
        <v>260</v>
      </c>
      <c r="J373" s="209">
        <v>144</v>
      </c>
      <c r="K373" s="209">
        <v>300</v>
      </c>
      <c r="L373" s="94">
        <f>K373*1.2</f>
        <v>360</v>
      </c>
      <c r="M373" s="94">
        <v>0.9</v>
      </c>
      <c r="N373" s="94">
        <f>K373*$M373</f>
        <v>270</v>
      </c>
      <c r="O373" s="94">
        <f>L373*$M373</f>
        <v>324</v>
      </c>
      <c r="P373" s="11" t="s">
        <v>3305</v>
      </c>
      <c r="Q373" s="11"/>
      <c r="R373" s="34">
        <v>375</v>
      </c>
    </row>
    <row r="374" spans="2:18" ht="20" x14ac:dyDescent="0.2">
      <c r="B374" s="96" t="s">
        <v>744</v>
      </c>
      <c r="C374" s="22" t="s">
        <v>2936</v>
      </c>
      <c r="D374" s="22"/>
      <c r="E374" s="262"/>
      <c r="F374" s="262"/>
      <c r="G374" s="96" t="s">
        <v>2379</v>
      </c>
      <c r="H374" s="22"/>
      <c r="I374" s="201">
        <v>72</v>
      </c>
      <c r="J374" s="211"/>
      <c r="K374" s="211"/>
      <c r="L374" s="58"/>
      <c r="M374" s="58"/>
      <c r="N374" s="58"/>
      <c r="O374" s="58"/>
      <c r="P374" s="11"/>
      <c r="Q374" s="11"/>
      <c r="R374" s="34">
        <v>376</v>
      </c>
    </row>
    <row r="375" spans="2:18" ht="20" x14ac:dyDescent="0.2">
      <c r="B375" s="96" t="s">
        <v>716</v>
      </c>
      <c r="C375" s="22" t="s">
        <v>2937</v>
      </c>
      <c r="D375" s="22"/>
      <c r="E375" s="262"/>
      <c r="F375" s="262"/>
      <c r="G375" s="96" t="s">
        <v>2379</v>
      </c>
      <c r="H375" s="22"/>
      <c r="I375" s="201">
        <v>138</v>
      </c>
      <c r="J375" s="211"/>
      <c r="K375" s="211"/>
      <c r="L375" s="58"/>
      <c r="M375" s="58"/>
      <c r="N375" s="58"/>
      <c r="O375" s="58"/>
      <c r="P375" s="11"/>
      <c r="Q375" s="11"/>
      <c r="R375" s="34">
        <v>377</v>
      </c>
    </row>
    <row r="376" spans="2:18" ht="20" x14ac:dyDescent="0.2">
      <c r="B376" s="96" t="s">
        <v>1478</v>
      </c>
      <c r="C376" s="22" t="s">
        <v>2938</v>
      </c>
      <c r="D376" s="22"/>
      <c r="E376" s="262"/>
      <c r="F376" s="262"/>
      <c r="G376" s="96" t="s">
        <v>2379</v>
      </c>
      <c r="H376" s="22"/>
      <c r="I376" s="201">
        <v>138</v>
      </c>
      <c r="J376" s="211"/>
      <c r="K376" s="211"/>
      <c r="L376" s="58"/>
      <c r="M376" s="58"/>
      <c r="N376" s="58"/>
      <c r="O376" s="58"/>
      <c r="P376" s="11"/>
      <c r="Q376" s="11"/>
      <c r="R376" s="34">
        <v>378</v>
      </c>
    </row>
    <row r="377" spans="2:18" ht="20" x14ac:dyDescent="0.2">
      <c r="B377" s="96" t="s">
        <v>1310</v>
      </c>
      <c r="C377" s="22" t="s">
        <v>2939</v>
      </c>
      <c r="D377" s="22"/>
      <c r="E377" s="262"/>
      <c r="F377" s="262"/>
      <c r="G377" s="96" t="s">
        <v>2379</v>
      </c>
      <c r="H377" s="22"/>
      <c r="I377" s="201">
        <v>138</v>
      </c>
      <c r="J377" s="211"/>
      <c r="K377" s="211"/>
      <c r="L377" s="58"/>
      <c r="M377" s="58"/>
      <c r="N377" s="58"/>
      <c r="O377" s="58"/>
      <c r="P377" s="11"/>
      <c r="Q377" s="11"/>
      <c r="R377" s="34">
        <v>379</v>
      </c>
    </row>
    <row r="378" spans="2:18" ht="20" x14ac:dyDescent="0.2">
      <c r="B378" s="96" t="s">
        <v>819</v>
      </c>
      <c r="C378" s="22" t="s">
        <v>2940</v>
      </c>
      <c r="D378" s="22"/>
      <c r="E378" s="262"/>
      <c r="F378" s="262"/>
      <c r="G378" s="96" t="s">
        <v>2379</v>
      </c>
      <c r="H378" s="162" t="s">
        <v>1153</v>
      </c>
      <c r="I378" s="209">
        <v>144</v>
      </c>
      <c r="J378" s="209">
        <v>25</v>
      </c>
      <c r="K378" s="209">
        <v>42</v>
      </c>
      <c r="L378" s="94">
        <f>K378*1.2</f>
        <v>50.4</v>
      </c>
      <c r="M378" s="94">
        <v>0.9</v>
      </c>
      <c r="N378" s="94">
        <f>K378*$M378</f>
        <v>37.800000000000004</v>
      </c>
      <c r="O378" s="94">
        <f>L378*$M378</f>
        <v>45.36</v>
      </c>
      <c r="P378" s="11" t="s">
        <v>3295</v>
      </c>
      <c r="Q378" s="11"/>
      <c r="R378" s="34">
        <v>380</v>
      </c>
    </row>
    <row r="379" spans="2:18" ht="20" x14ac:dyDescent="0.2">
      <c r="B379" s="96" t="s">
        <v>767</v>
      </c>
      <c r="C379" s="22" t="s">
        <v>2941</v>
      </c>
      <c r="D379" s="22"/>
      <c r="E379" s="262"/>
      <c r="F379" s="262"/>
      <c r="G379" s="96" t="s">
        <v>2379</v>
      </c>
      <c r="H379" s="22"/>
      <c r="I379" s="201">
        <v>138</v>
      </c>
      <c r="J379" s="211"/>
      <c r="K379" s="211"/>
      <c r="L379" s="58"/>
      <c r="M379" s="58"/>
      <c r="N379" s="58"/>
      <c r="O379" s="58"/>
      <c r="P379" s="11"/>
      <c r="Q379" s="11"/>
      <c r="R379" s="34">
        <v>381</v>
      </c>
    </row>
    <row r="380" spans="2:18" ht="20" x14ac:dyDescent="0.2">
      <c r="B380" s="96" t="s">
        <v>1416</v>
      </c>
      <c r="C380" s="22" t="s">
        <v>2942</v>
      </c>
      <c r="D380" s="22"/>
      <c r="E380" s="262"/>
      <c r="F380" s="262"/>
      <c r="G380" s="96" t="s">
        <v>2379</v>
      </c>
      <c r="H380" s="22"/>
      <c r="I380" s="201">
        <v>144</v>
      </c>
      <c r="J380" s="211"/>
      <c r="K380" s="211"/>
      <c r="L380" s="58"/>
      <c r="M380" s="58"/>
      <c r="N380" s="58"/>
      <c r="O380" s="58"/>
      <c r="P380" s="11"/>
      <c r="Q380" s="11"/>
      <c r="R380" s="34">
        <v>382</v>
      </c>
    </row>
    <row r="381" spans="2:18" ht="20" x14ac:dyDescent="0.2">
      <c r="B381" s="96" t="s">
        <v>1695</v>
      </c>
      <c r="C381" s="22" t="s">
        <v>2943</v>
      </c>
      <c r="D381" s="22"/>
      <c r="E381" s="262"/>
      <c r="F381" s="262"/>
      <c r="G381" s="96" t="s">
        <v>2379</v>
      </c>
      <c r="H381" s="22"/>
      <c r="I381" s="201">
        <v>72</v>
      </c>
      <c r="J381" s="211"/>
      <c r="K381" s="211"/>
      <c r="L381" s="58"/>
      <c r="M381" s="58"/>
      <c r="N381" s="58"/>
      <c r="O381" s="58"/>
      <c r="P381" s="11"/>
      <c r="Q381" s="11"/>
      <c r="R381" s="34">
        <v>383</v>
      </c>
    </row>
    <row r="382" spans="2:18" ht="20" x14ac:dyDescent="0.2">
      <c r="B382" s="96" t="s">
        <v>1510</v>
      </c>
      <c r="C382" s="22" t="s">
        <v>2944</v>
      </c>
      <c r="D382" s="22"/>
      <c r="E382" s="262"/>
      <c r="F382" s="262"/>
      <c r="G382" s="96" t="s">
        <v>2379</v>
      </c>
      <c r="H382" s="22"/>
      <c r="I382" s="201">
        <v>144</v>
      </c>
      <c r="J382" s="211"/>
      <c r="K382" s="211"/>
      <c r="L382" s="58"/>
      <c r="M382" s="58"/>
      <c r="N382" s="58"/>
      <c r="O382" s="58"/>
      <c r="P382" s="11"/>
      <c r="Q382" s="11"/>
      <c r="R382" s="34">
        <v>384</v>
      </c>
    </row>
    <row r="383" spans="2:18" ht="20" x14ac:dyDescent="0.2">
      <c r="B383" s="96" t="s">
        <v>1926</v>
      </c>
      <c r="C383" s="22" t="s">
        <v>2945</v>
      </c>
      <c r="D383" s="22"/>
      <c r="E383" s="262"/>
      <c r="F383" s="262"/>
      <c r="G383" s="96" t="s">
        <v>2379</v>
      </c>
      <c r="H383" s="22"/>
      <c r="I383" s="201">
        <v>138</v>
      </c>
      <c r="J383" s="211"/>
      <c r="K383" s="211"/>
      <c r="L383" s="58"/>
      <c r="M383" s="58"/>
      <c r="N383" s="58"/>
      <c r="O383" s="58"/>
      <c r="P383" s="11"/>
      <c r="Q383" s="11"/>
      <c r="R383" s="34">
        <v>385</v>
      </c>
    </row>
    <row r="384" spans="2:18" ht="20" x14ac:dyDescent="0.2">
      <c r="B384" s="96" t="s">
        <v>607</v>
      </c>
      <c r="C384" s="22" t="s">
        <v>2946</v>
      </c>
      <c r="D384" s="22"/>
      <c r="E384" s="262"/>
      <c r="F384" s="262"/>
      <c r="G384" s="96" t="s">
        <v>2379</v>
      </c>
      <c r="H384" s="162" t="s">
        <v>1156</v>
      </c>
      <c r="I384" s="209">
        <v>240</v>
      </c>
      <c r="J384" s="209">
        <v>72</v>
      </c>
      <c r="K384" s="209">
        <v>80</v>
      </c>
      <c r="L384" s="94">
        <f>K384*1.2</f>
        <v>96</v>
      </c>
      <c r="M384" s="94">
        <v>0.9</v>
      </c>
      <c r="N384" s="94">
        <f t="shared" ref="N384:O387" si="10">K384*$M384</f>
        <v>72</v>
      </c>
      <c r="O384" s="94">
        <f t="shared" si="10"/>
        <v>86.4</v>
      </c>
      <c r="P384" s="11" t="s">
        <v>3288</v>
      </c>
      <c r="Q384" s="11"/>
      <c r="R384" s="34">
        <v>386</v>
      </c>
    </row>
    <row r="385" spans="2:18" ht="20" x14ac:dyDescent="0.2">
      <c r="B385" s="96" t="s">
        <v>765</v>
      </c>
      <c r="C385" s="22" t="s">
        <v>2947</v>
      </c>
      <c r="D385" s="22"/>
      <c r="E385" s="262"/>
      <c r="F385" s="262"/>
      <c r="G385" s="96" t="s">
        <v>2379</v>
      </c>
      <c r="H385" s="162" t="s">
        <v>1150</v>
      </c>
      <c r="I385" s="209">
        <v>240</v>
      </c>
      <c r="J385" s="209">
        <v>138</v>
      </c>
      <c r="K385" s="209">
        <v>448</v>
      </c>
      <c r="L385" s="94">
        <f>K385*1.2</f>
        <v>537.6</v>
      </c>
      <c r="M385" s="94">
        <v>0.9</v>
      </c>
      <c r="N385" s="94">
        <f t="shared" si="10"/>
        <v>403.2</v>
      </c>
      <c r="O385" s="94">
        <f t="shared" si="10"/>
        <v>483.84000000000003</v>
      </c>
      <c r="P385" s="11" t="s">
        <v>3297</v>
      </c>
      <c r="Q385" s="11"/>
      <c r="R385" s="34">
        <v>387</v>
      </c>
    </row>
    <row r="386" spans="2:18" ht="20" x14ac:dyDescent="0.2">
      <c r="B386" s="96" t="s">
        <v>765</v>
      </c>
      <c r="C386" s="22" t="s">
        <v>2947</v>
      </c>
      <c r="D386" s="22"/>
      <c r="E386" s="262"/>
      <c r="F386" s="262"/>
      <c r="G386" s="96" t="s">
        <v>2379</v>
      </c>
      <c r="H386" s="162" t="s">
        <v>1154</v>
      </c>
      <c r="I386" s="209">
        <v>240</v>
      </c>
      <c r="J386" s="209">
        <v>138</v>
      </c>
      <c r="K386" s="209">
        <v>448</v>
      </c>
      <c r="L386" s="94">
        <f>K386*1.2</f>
        <v>537.6</v>
      </c>
      <c r="M386" s="94">
        <v>0.9</v>
      </c>
      <c r="N386" s="94">
        <f t="shared" si="10"/>
        <v>403.2</v>
      </c>
      <c r="O386" s="94">
        <f t="shared" si="10"/>
        <v>483.84000000000003</v>
      </c>
      <c r="P386" s="11" t="s">
        <v>3297</v>
      </c>
      <c r="Q386" s="11"/>
      <c r="R386" s="34">
        <v>388</v>
      </c>
    </row>
    <row r="387" spans="2:18" ht="20" x14ac:dyDescent="0.2">
      <c r="B387" s="96" t="s">
        <v>1083</v>
      </c>
      <c r="C387" s="22" t="s">
        <v>2948</v>
      </c>
      <c r="D387" s="22"/>
      <c r="E387" s="262"/>
      <c r="F387" s="262"/>
      <c r="G387" s="96" t="s">
        <v>2379</v>
      </c>
      <c r="H387" s="162" t="s">
        <v>1155</v>
      </c>
      <c r="I387" s="209">
        <v>240</v>
      </c>
      <c r="J387" s="209">
        <v>25</v>
      </c>
      <c r="K387" s="209">
        <v>66.7</v>
      </c>
      <c r="L387" s="94">
        <f>K387*1.2</f>
        <v>80.040000000000006</v>
      </c>
      <c r="M387" s="94">
        <v>0.9</v>
      </c>
      <c r="N387" s="94">
        <f t="shared" si="10"/>
        <v>60.03</v>
      </c>
      <c r="O387" s="94">
        <f t="shared" si="10"/>
        <v>72.036000000000001</v>
      </c>
      <c r="P387" s="11" t="s">
        <v>3291</v>
      </c>
      <c r="Q387" s="11"/>
      <c r="R387" s="34">
        <v>389</v>
      </c>
    </row>
    <row r="388" spans="2:18" ht="20" x14ac:dyDescent="0.2">
      <c r="B388" s="96" t="s">
        <v>614</v>
      </c>
      <c r="C388" s="22" t="s">
        <v>2949</v>
      </c>
      <c r="D388" s="22"/>
      <c r="E388" s="262"/>
      <c r="F388" s="262"/>
      <c r="G388" s="96" t="s">
        <v>2379</v>
      </c>
      <c r="H388" s="22"/>
      <c r="I388" s="201">
        <v>240</v>
      </c>
      <c r="J388" s="211"/>
      <c r="K388" s="211"/>
      <c r="L388" s="58"/>
      <c r="M388" s="58"/>
      <c r="N388" s="58"/>
      <c r="O388" s="58"/>
      <c r="P388" s="11"/>
      <c r="Q388" s="11"/>
      <c r="R388" s="34">
        <v>390</v>
      </c>
    </row>
    <row r="389" spans="2:18" ht="20" x14ac:dyDescent="0.2">
      <c r="B389" s="96" t="s">
        <v>1185</v>
      </c>
      <c r="C389" s="22" t="s">
        <v>2950</v>
      </c>
      <c r="D389" s="22"/>
      <c r="E389" s="262"/>
      <c r="F389" s="262"/>
      <c r="G389" s="96" t="s">
        <v>2379</v>
      </c>
      <c r="H389" s="22"/>
      <c r="I389" s="201">
        <v>72</v>
      </c>
      <c r="J389" s="211"/>
      <c r="K389" s="211"/>
      <c r="L389" s="58"/>
      <c r="M389" s="58"/>
      <c r="N389" s="58"/>
      <c r="O389" s="58"/>
      <c r="P389" s="11"/>
      <c r="Q389" s="11"/>
      <c r="R389" s="34">
        <v>391</v>
      </c>
    </row>
    <row r="390" spans="2:18" ht="20" x14ac:dyDescent="0.2">
      <c r="B390" s="96" t="s">
        <v>1361</v>
      </c>
      <c r="C390" s="22" t="s">
        <v>2951</v>
      </c>
      <c r="D390" s="22"/>
      <c r="E390" s="262"/>
      <c r="F390" s="262"/>
      <c r="G390" s="96" t="s">
        <v>2379</v>
      </c>
      <c r="H390" s="22"/>
      <c r="I390" s="201">
        <v>144</v>
      </c>
      <c r="J390" s="211"/>
      <c r="K390" s="211"/>
      <c r="L390" s="58"/>
      <c r="M390" s="58"/>
      <c r="N390" s="58"/>
      <c r="O390" s="58"/>
      <c r="P390" s="11"/>
      <c r="Q390" s="11"/>
      <c r="R390" s="34">
        <v>392</v>
      </c>
    </row>
    <row r="391" spans="2:18" ht="20" x14ac:dyDescent="0.2">
      <c r="B391" s="96" t="s">
        <v>834</v>
      </c>
      <c r="C391" s="22" t="s">
        <v>2952</v>
      </c>
      <c r="D391" s="22"/>
      <c r="E391" s="262"/>
      <c r="F391" s="262"/>
      <c r="G391" s="96" t="s">
        <v>2379</v>
      </c>
      <c r="H391" s="162" t="s">
        <v>1150</v>
      </c>
      <c r="I391" s="209">
        <v>240</v>
      </c>
      <c r="J391" s="209">
        <v>25</v>
      </c>
      <c r="K391" s="209">
        <v>42</v>
      </c>
      <c r="L391" s="94">
        <f>K391*1.2</f>
        <v>50.4</v>
      </c>
      <c r="M391" s="94">
        <v>0.9</v>
      </c>
      <c r="N391" s="94">
        <f>K391*$M391</f>
        <v>37.800000000000004</v>
      </c>
      <c r="O391" s="94">
        <f>L391*$M391</f>
        <v>45.36</v>
      </c>
      <c r="P391" s="11" t="s">
        <v>3294</v>
      </c>
      <c r="Q391" s="11"/>
      <c r="R391" s="34">
        <v>393</v>
      </c>
    </row>
    <row r="392" spans="2:18" ht="20" x14ac:dyDescent="0.2">
      <c r="B392" s="96" t="s">
        <v>834</v>
      </c>
      <c r="C392" s="22" t="s">
        <v>2952</v>
      </c>
      <c r="D392" s="22"/>
      <c r="E392" s="262"/>
      <c r="F392" s="262"/>
      <c r="G392" s="96" t="s">
        <v>2379</v>
      </c>
      <c r="H392" s="162" t="s">
        <v>1154</v>
      </c>
      <c r="I392" s="209">
        <v>240</v>
      </c>
      <c r="J392" s="209">
        <v>144</v>
      </c>
      <c r="K392" s="209">
        <v>400</v>
      </c>
      <c r="L392" s="94">
        <f>K392*1.2</f>
        <v>480</v>
      </c>
      <c r="M392" s="94">
        <v>0.9</v>
      </c>
      <c r="N392" s="94">
        <f>K392*$M392</f>
        <v>360</v>
      </c>
      <c r="O392" s="94">
        <f>L392*$M392</f>
        <v>432</v>
      </c>
      <c r="P392" s="11" t="s">
        <v>3294</v>
      </c>
      <c r="Q392" s="11"/>
      <c r="R392" s="34">
        <v>394</v>
      </c>
    </row>
    <row r="393" spans="2:18" ht="20" x14ac:dyDescent="0.2">
      <c r="B393" s="96" t="s">
        <v>1413</v>
      </c>
      <c r="C393" s="22" t="s">
        <v>2953</v>
      </c>
      <c r="D393" s="22"/>
      <c r="E393" s="262"/>
      <c r="F393" s="262"/>
      <c r="G393" s="96" t="s">
        <v>2379</v>
      </c>
      <c r="H393" s="22"/>
      <c r="I393" s="201">
        <v>144</v>
      </c>
      <c r="J393" s="211"/>
      <c r="K393" s="211"/>
      <c r="L393" s="58"/>
      <c r="M393" s="58"/>
      <c r="N393" s="58"/>
      <c r="O393" s="58"/>
      <c r="P393" s="11"/>
      <c r="Q393" s="11"/>
      <c r="R393" s="34">
        <v>395</v>
      </c>
    </row>
    <row r="394" spans="2:18" ht="20" x14ac:dyDescent="0.2">
      <c r="B394" s="96" t="s">
        <v>1666</v>
      </c>
      <c r="C394" s="22" t="s">
        <v>2954</v>
      </c>
      <c r="D394" s="22"/>
      <c r="E394" s="262"/>
      <c r="F394" s="262"/>
      <c r="G394" s="96" t="s">
        <v>2379</v>
      </c>
      <c r="H394" s="22"/>
      <c r="I394" s="201">
        <v>144</v>
      </c>
      <c r="J394" s="211"/>
      <c r="K394" s="211"/>
      <c r="L394" s="58"/>
      <c r="M394" s="58"/>
      <c r="N394" s="58"/>
      <c r="O394" s="58"/>
      <c r="P394" s="11"/>
      <c r="Q394" s="11"/>
      <c r="R394" s="34">
        <v>396</v>
      </c>
    </row>
    <row r="395" spans="2:18" ht="20" x14ac:dyDescent="0.2">
      <c r="B395" s="96" t="s">
        <v>1431</v>
      </c>
      <c r="C395" s="22" t="s">
        <v>2692</v>
      </c>
      <c r="D395" s="22"/>
      <c r="E395" s="262">
        <v>53.875311000000004</v>
      </c>
      <c r="F395" s="262">
        <v>-110.673687</v>
      </c>
      <c r="G395" s="96" t="s">
        <v>2379</v>
      </c>
      <c r="H395" s="22"/>
      <c r="I395" s="201">
        <v>144</v>
      </c>
      <c r="J395" s="211"/>
      <c r="K395" s="211"/>
      <c r="L395" s="58"/>
      <c r="M395" s="58"/>
      <c r="N395" s="58"/>
      <c r="O395" s="58"/>
      <c r="P395" s="11"/>
      <c r="Q395" s="11"/>
      <c r="R395" s="34">
        <v>397</v>
      </c>
    </row>
    <row r="396" spans="2:18" ht="20" x14ac:dyDescent="0.2">
      <c r="B396" s="96" t="s">
        <v>797</v>
      </c>
      <c r="C396" s="22" t="s">
        <v>2645</v>
      </c>
      <c r="D396" s="22"/>
      <c r="E396" s="262"/>
      <c r="F396" s="262"/>
      <c r="G396" s="96" t="s">
        <v>2379</v>
      </c>
      <c r="H396" s="162" t="s">
        <v>1161</v>
      </c>
      <c r="I396" s="209">
        <v>144</v>
      </c>
      <c r="J396" s="209">
        <v>25</v>
      </c>
      <c r="K396" s="209">
        <v>66.7</v>
      </c>
      <c r="L396" s="94">
        <f>K396*1.2</f>
        <v>80.040000000000006</v>
      </c>
      <c r="M396" s="94">
        <v>0.9</v>
      </c>
      <c r="N396" s="94">
        <f t="shared" ref="N396:O400" si="11">K396*$M396</f>
        <v>60.03</v>
      </c>
      <c r="O396" s="94">
        <f t="shared" si="11"/>
        <v>72.036000000000001</v>
      </c>
      <c r="P396" s="11" t="s">
        <v>3290</v>
      </c>
      <c r="Q396" s="11"/>
      <c r="R396" s="34">
        <v>398</v>
      </c>
    </row>
    <row r="397" spans="2:18" ht="20" x14ac:dyDescent="0.2">
      <c r="B397" s="96" t="s">
        <v>797</v>
      </c>
      <c r="C397" s="22" t="s">
        <v>2645</v>
      </c>
      <c r="D397" s="22"/>
      <c r="E397" s="262"/>
      <c r="F397" s="262"/>
      <c r="G397" s="96" t="s">
        <v>2379</v>
      </c>
      <c r="H397" s="162" t="s">
        <v>1162</v>
      </c>
      <c r="I397" s="209">
        <v>144</v>
      </c>
      <c r="J397" s="209">
        <v>25</v>
      </c>
      <c r="K397" s="209">
        <v>66.7</v>
      </c>
      <c r="L397" s="94">
        <f>K397*1.2</f>
        <v>80.040000000000006</v>
      </c>
      <c r="M397" s="94">
        <v>0.9</v>
      </c>
      <c r="N397" s="94">
        <f t="shared" si="11"/>
        <v>60.03</v>
      </c>
      <c r="O397" s="94">
        <f t="shared" si="11"/>
        <v>72.036000000000001</v>
      </c>
      <c r="P397" s="11" t="s">
        <v>3290</v>
      </c>
      <c r="Q397" s="11"/>
      <c r="R397" s="34">
        <v>399</v>
      </c>
    </row>
    <row r="398" spans="2:18" ht="20" x14ac:dyDescent="0.2">
      <c r="B398" s="96" t="s">
        <v>797</v>
      </c>
      <c r="C398" s="22" t="s">
        <v>2645</v>
      </c>
      <c r="D398" s="22"/>
      <c r="E398" s="262"/>
      <c r="F398" s="262"/>
      <c r="G398" s="96" t="s">
        <v>2379</v>
      </c>
      <c r="H398" s="162" t="s">
        <v>1163</v>
      </c>
      <c r="I398" s="209">
        <v>240</v>
      </c>
      <c r="J398" s="209">
        <v>144</v>
      </c>
      <c r="K398" s="209">
        <v>200</v>
      </c>
      <c r="L398" s="94">
        <f>K398*1.2</f>
        <v>240</v>
      </c>
      <c r="M398" s="94">
        <v>0.9</v>
      </c>
      <c r="N398" s="94">
        <f t="shared" si="11"/>
        <v>180</v>
      </c>
      <c r="O398" s="94">
        <f t="shared" si="11"/>
        <v>216</v>
      </c>
      <c r="P398" s="11" t="s">
        <v>3290</v>
      </c>
      <c r="Q398" s="11"/>
      <c r="R398" s="34">
        <v>400</v>
      </c>
    </row>
    <row r="399" spans="2:18" ht="20" x14ac:dyDescent="0.2">
      <c r="B399" s="96" t="s">
        <v>797</v>
      </c>
      <c r="C399" s="22" t="s">
        <v>2645</v>
      </c>
      <c r="D399" s="22"/>
      <c r="E399" s="262"/>
      <c r="F399" s="262"/>
      <c r="G399" s="96" t="s">
        <v>2379</v>
      </c>
      <c r="H399" s="162" t="s">
        <v>1164</v>
      </c>
      <c r="I399" s="209">
        <v>240</v>
      </c>
      <c r="J399" s="209">
        <v>144</v>
      </c>
      <c r="K399" s="209">
        <v>200</v>
      </c>
      <c r="L399" s="94">
        <f>K399*1.2</f>
        <v>240</v>
      </c>
      <c r="M399" s="94">
        <v>0.9</v>
      </c>
      <c r="N399" s="94">
        <f t="shared" si="11"/>
        <v>180</v>
      </c>
      <c r="O399" s="94">
        <f t="shared" si="11"/>
        <v>216</v>
      </c>
      <c r="P399" s="11" t="s">
        <v>3290</v>
      </c>
      <c r="Q399" s="11"/>
      <c r="R399" s="34">
        <v>401</v>
      </c>
    </row>
    <row r="400" spans="2:18" ht="20" x14ac:dyDescent="0.2">
      <c r="B400" s="96" t="s">
        <v>665</v>
      </c>
      <c r="C400" s="22" t="s">
        <v>2955</v>
      </c>
      <c r="D400" s="22"/>
      <c r="E400" s="262"/>
      <c r="F400" s="262"/>
      <c r="G400" s="96" t="s">
        <v>2379</v>
      </c>
      <c r="H400" s="162" t="s">
        <v>1155</v>
      </c>
      <c r="I400" s="209">
        <v>240</v>
      </c>
      <c r="J400" s="209">
        <v>144</v>
      </c>
      <c r="K400" s="209">
        <v>300</v>
      </c>
      <c r="L400" s="94">
        <f>K400*1.2</f>
        <v>360</v>
      </c>
      <c r="M400" s="94">
        <v>0.9</v>
      </c>
      <c r="N400" s="94">
        <f t="shared" si="11"/>
        <v>270</v>
      </c>
      <c r="O400" s="94">
        <f t="shared" si="11"/>
        <v>324</v>
      </c>
      <c r="P400" s="11" t="s">
        <v>3305</v>
      </c>
      <c r="Q400" s="11"/>
      <c r="R400" s="34">
        <v>402</v>
      </c>
    </row>
    <row r="401" spans="2:18" ht="20" x14ac:dyDescent="0.2">
      <c r="B401" s="96" t="s">
        <v>1482</v>
      </c>
      <c r="C401" s="22" t="s">
        <v>2956</v>
      </c>
      <c r="D401" s="22"/>
      <c r="E401" s="262"/>
      <c r="F401" s="262"/>
      <c r="G401" s="96" t="s">
        <v>2379</v>
      </c>
      <c r="H401" s="22"/>
      <c r="I401" s="201">
        <v>138</v>
      </c>
      <c r="J401" s="211"/>
      <c r="K401" s="211"/>
      <c r="L401" s="58"/>
      <c r="M401" s="58"/>
      <c r="N401" s="58"/>
      <c r="O401" s="58"/>
      <c r="P401" s="11"/>
      <c r="Q401" s="11"/>
      <c r="R401" s="34">
        <v>403</v>
      </c>
    </row>
    <row r="402" spans="2:18" ht="20" x14ac:dyDescent="0.2">
      <c r="B402" s="96" t="s">
        <v>1563</v>
      </c>
      <c r="C402" s="22" t="s">
        <v>2957</v>
      </c>
      <c r="D402" s="22"/>
      <c r="E402" s="262"/>
      <c r="F402" s="262"/>
      <c r="G402" s="96" t="s">
        <v>2379</v>
      </c>
      <c r="H402" s="22"/>
      <c r="I402" s="201">
        <v>144</v>
      </c>
      <c r="J402" s="211"/>
      <c r="K402" s="211"/>
      <c r="L402" s="58"/>
      <c r="M402" s="58"/>
      <c r="N402" s="58"/>
      <c r="O402" s="58"/>
      <c r="P402" s="11"/>
      <c r="Q402" s="11"/>
      <c r="R402" s="34">
        <v>404</v>
      </c>
    </row>
    <row r="403" spans="2:18" ht="20" x14ac:dyDescent="0.2">
      <c r="B403" s="96" t="s">
        <v>1270</v>
      </c>
      <c r="C403" s="22" t="s">
        <v>2958</v>
      </c>
      <c r="D403" s="22"/>
      <c r="E403" s="262"/>
      <c r="F403" s="262"/>
      <c r="G403" s="96" t="s">
        <v>2379</v>
      </c>
      <c r="H403" s="22"/>
      <c r="I403" s="201">
        <v>144</v>
      </c>
      <c r="J403" s="211"/>
      <c r="K403" s="211"/>
      <c r="L403" s="58"/>
      <c r="M403" s="58"/>
      <c r="N403" s="58"/>
      <c r="O403" s="58"/>
      <c r="P403" s="11"/>
      <c r="Q403" s="11"/>
      <c r="R403" s="34">
        <v>405</v>
      </c>
    </row>
    <row r="404" spans="2:18" ht="20" x14ac:dyDescent="0.2">
      <c r="B404" s="96" t="s">
        <v>860</v>
      </c>
      <c r="C404" s="22" t="s">
        <v>2700</v>
      </c>
      <c r="D404" s="22"/>
      <c r="E404" s="262"/>
      <c r="F404" s="262"/>
      <c r="G404" s="96" t="s">
        <v>2379</v>
      </c>
      <c r="H404" s="22"/>
      <c r="I404" s="201">
        <v>144</v>
      </c>
      <c r="J404" s="211"/>
      <c r="K404" s="211"/>
      <c r="L404" s="58"/>
      <c r="M404" s="58"/>
      <c r="N404" s="58"/>
      <c r="O404" s="58"/>
      <c r="P404" s="11"/>
      <c r="Q404" s="11"/>
      <c r="R404" s="34">
        <v>406</v>
      </c>
    </row>
    <row r="405" spans="2:18" ht="20" x14ac:dyDescent="0.2">
      <c r="B405" s="96" t="s">
        <v>877</v>
      </c>
      <c r="C405" s="22" t="s">
        <v>2959</v>
      </c>
      <c r="D405" s="22"/>
      <c r="E405" s="262"/>
      <c r="F405" s="262"/>
      <c r="G405" s="96" t="s">
        <v>2379</v>
      </c>
      <c r="H405" s="162" t="s">
        <v>1161</v>
      </c>
      <c r="I405" s="209">
        <v>144</v>
      </c>
      <c r="J405" s="209">
        <v>25</v>
      </c>
      <c r="K405" s="209">
        <v>66.7</v>
      </c>
      <c r="L405" s="94">
        <f>K405*1.2</f>
        <v>80.040000000000006</v>
      </c>
      <c r="M405" s="94">
        <v>0.9</v>
      </c>
      <c r="N405" s="94">
        <f t="shared" ref="N405:O408" si="12">K405*$M405</f>
        <v>60.03</v>
      </c>
      <c r="O405" s="94">
        <f t="shared" si="12"/>
        <v>72.036000000000001</v>
      </c>
      <c r="P405" s="11" t="s">
        <v>3290</v>
      </c>
      <c r="Q405" s="11"/>
      <c r="R405" s="34">
        <v>407</v>
      </c>
    </row>
    <row r="406" spans="2:18" ht="20" x14ac:dyDescent="0.2">
      <c r="B406" s="96" t="s">
        <v>877</v>
      </c>
      <c r="C406" s="22" t="s">
        <v>2959</v>
      </c>
      <c r="D406" s="22"/>
      <c r="E406" s="262"/>
      <c r="F406" s="262"/>
      <c r="G406" s="96" t="s">
        <v>2379</v>
      </c>
      <c r="H406" s="162" t="s">
        <v>1162</v>
      </c>
      <c r="I406" s="209">
        <v>144</v>
      </c>
      <c r="J406" s="209">
        <v>25</v>
      </c>
      <c r="K406" s="209">
        <v>66.7</v>
      </c>
      <c r="L406" s="94">
        <f>K406*1.2</f>
        <v>80.040000000000006</v>
      </c>
      <c r="M406" s="94">
        <v>0.9</v>
      </c>
      <c r="N406" s="94">
        <f t="shared" si="12"/>
        <v>60.03</v>
      </c>
      <c r="O406" s="94">
        <f t="shared" si="12"/>
        <v>72.036000000000001</v>
      </c>
      <c r="P406" s="11" t="s">
        <v>3290</v>
      </c>
      <c r="Q406" s="11"/>
      <c r="R406" s="34">
        <v>408</v>
      </c>
    </row>
    <row r="407" spans="2:18" ht="20" x14ac:dyDescent="0.2">
      <c r="B407" s="96" t="s">
        <v>877</v>
      </c>
      <c r="C407" s="22" t="s">
        <v>2959</v>
      </c>
      <c r="D407" s="22"/>
      <c r="E407" s="262"/>
      <c r="F407" s="262"/>
      <c r="G407" s="96" t="s">
        <v>2379</v>
      </c>
      <c r="H407" s="162" t="s">
        <v>1163</v>
      </c>
      <c r="I407" s="209">
        <v>240</v>
      </c>
      <c r="J407" s="209">
        <v>144</v>
      </c>
      <c r="K407" s="209">
        <v>200</v>
      </c>
      <c r="L407" s="94">
        <f>K407*1.2</f>
        <v>240</v>
      </c>
      <c r="M407" s="94">
        <v>0.9</v>
      </c>
      <c r="N407" s="94">
        <f t="shared" si="12"/>
        <v>180</v>
      </c>
      <c r="O407" s="94">
        <f t="shared" si="12"/>
        <v>216</v>
      </c>
      <c r="P407" s="11" t="s">
        <v>3290</v>
      </c>
      <c r="Q407" s="11"/>
      <c r="R407" s="34">
        <v>409</v>
      </c>
    </row>
    <row r="408" spans="2:18" ht="20" x14ac:dyDescent="0.2">
      <c r="B408" s="96" t="s">
        <v>877</v>
      </c>
      <c r="C408" s="22" t="s">
        <v>2959</v>
      </c>
      <c r="D408" s="22"/>
      <c r="E408" s="262"/>
      <c r="F408" s="262"/>
      <c r="G408" s="96" t="s">
        <v>2379</v>
      </c>
      <c r="H408" s="162" t="s">
        <v>1164</v>
      </c>
      <c r="I408" s="209">
        <v>240</v>
      </c>
      <c r="J408" s="209">
        <v>144</v>
      </c>
      <c r="K408" s="209">
        <v>200</v>
      </c>
      <c r="L408" s="94">
        <f>K408*1.2</f>
        <v>240</v>
      </c>
      <c r="M408" s="94">
        <v>0.9</v>
      </c>
      <c r="N408" s="94">
        <f t="shared" si="12"/>
        <v>180</v>
      </c>
      <c r="O408" s="94">
        <f t="shared" si="12"/>
        <v>216</v>
      </c>
      <c r="P408" s="11" t="s">
        <v>3290</v>
      </c>
      <c r="Q408" s="11"/>
      <c r="R408" s="34">
        <v>410</v>
      </c>
    </row>
    <row r="409" spans="2:18" ht="20" x14ac:dyDescent="0.2">
      <c r="B409" s="96" t="s">
        <v>822</v>
      </c>
      <c r="C409" s="22" t="s">
        <v>2632</v>
      </c>
      <c r="D409" s="22"/>
      <c r="E409" s="262"/>
      <c r="F409" s="262"/>
      <c r="G409" s="96" t="s">
        <v>2379</v>
      </c>
      <c r="H409" s="22"/>
      <c r="I409" s="201">
        <v>144</v>
      </c>
      <c r="J409" s="211"/>
      <c r="K409" s="211"/>
      <c r="L409" s="58"/>
      <c r="M409" s="58"/>
      <c r="N409" s="58"/>
      <c r="O409" s="58"/>
      <c r="P409" s="11"/>
      <c r="Q409" s="11"/>
      <c r="R409" s="34">
        <v>411</v>
      </c>
    </row>
    <row r="410" spans="2:18" ht="20" x14ac:dyDescent="0.2">
      <c r="B410" s="96" t="s">
        <v>1503</v>
      </c>
      <c r="C410" s="22" t="s">
        <v>2960</v>
      </c>
      <c r="D410" s="22"/>
      <c r="E410" s="262"/>
      <c r="F410" s="262"/>
      <c r="G410" s="96" t="s">
        <v>2379</v>
      </c>
      <c r="H410" s="22"/>
      <c r="I410" s="201">
        <v>138</v>
      </c>
      <c r="J410" s="211"/>
      <c r="K410" s="211"/>
      <c r="L410" s="58"/>
      <c r="M410" s="58"/>
      <c r="N410" s="58"/>
      <c r="O410" s="58"/>
      <c r="P410" s="11"/>
      <c r="Q410" s="11"/>
      <c r="R410" s="34">
        <v>412</v>
      </c>
    </row>
    <row r="411" spans="2:18" ht="20" x14ac:dyDescent="0.2">
      <c r="B411" s="96" t="s">
        <v>837</v>
      </c>
      <c r="C411" s="22" t="s">
        <v>2961</v>
      </c>
      <c r="D411" s="22"/>
      <c r="E411" s="262"/>
      <c r="F411" s="262"/>
      <c r="G411" s="96" t="s">
        <v>2379</v>
      </c>
      <c r="H411" s="22"/>
      <c r="I411" s="201">
        <v>144</v>
      </c>
      <c r="J411" s="211"/>
      <c r="K411" s="211"/>
      <c r="L411" s="58"/>
      <c r="M411" s="58"/>
      <c r="N411" s="58"/>
      <c r="O411" s="58"/>
      <c r="P411" s="11"/>
      <c r="Q411" s="11"/>
      <c r="R411" s="34">
        <v>413</v>
      </c>
    </row>
    <row r="412" spans="2:18" ht="20" x14ac:dyDescent="0.2">
      <c r="B412" s="96" t="s">
        <v>1873</v>
      </c>
      <c r="C412" s="22" t="s">
        <v>2962</v>
      </c>
      <c r="D412" s="22"/>
      <c r="E412" s="262"/>
      <c r="F412" s="262"/>
      <c r="G412" s="96" t="s">
        <v>2379</v>
      </c>
      <c r="H412" s="22"/>
      <c r="I412" s="201">
        <v>72</v>
      </c>
      <c r="J412" s="211"/>
      <c r="K412" s="211"/>
      <c r="L412" s="58"/>
      <c r="M412" s="58"/>
      <c r="N412" s="58"/>
      <c r="O412" s="58"/>
      <c r="P412" s="11"/>
      <c r="Q412" s="11"/>
      <c r="R412" s="34">
        <v>414</v>
      </c>
    </row>
    <row r="413" spans="2:18" ht="20" x14ac:dyDescent="0.2">
      <c r="B413" s="96" t="s">
        <v>1922</v>
      </c>
      <c r="C413" s="22" t="s">
        <v>2963</v>
      </c>
      <c r="D413" s="22"/>
      <c r="E413" s="262"/>
      <c r="F413" s="262"/>
      <c r="G413" s="96" t="s">
        <v>2379</v>
      </c>
      <c r="H413" s="22"/>
      <c r="I413" s="201">
        <v>138</v>
      </c>
      <c r="J413" s="211"/>
      <c r="K413" s="211"/>
      <c r="L413" s="58"/>
      <c r="M413" s="58"/>
      <c r="N413" s="58"/>
      <c r="O413" s="58"/>
      <c r="P413" s="11"/>
      <c r="Q413" s="11"/>
      <c r="R413" s="34">
        <v>415</v>
      </c>
    </row>
    <row r="414" spans="2:18" ht="20" x14ac:dyDescent="0.2">
      <c r="B414" s="96" t="s">
        <v>1098</v>
      </c>
      <c r="C414" s="22" t="s">
        <v>2693</v>
      </c>
      <c r="D414" s="22"/>
      <c r="E414" s="262">
        <v>57.0413</v>
      </c>
      <c r="F414" s="262">
        <v>-111.9055</v>
      </c>
      <c r="G414" s="96" t="s">
        <v>2379</v>
      </c>
      <c r="H414" s="22"/>
      <c r="I414" s="213">
        <v>240</v>
      </c>
      <c r="J414" s="211"/>
      <c r="K414" s="211"/>
      <c r="L414" s="58"/>
      <c r="M414" s="58"/>
      <c r="N414" s="58"/>
      <c r="O414" s="58"/>
      <c r="P414" s="11"/>
      <c r="Q414" s="11"/>
      <c r="R414" s="34">
        <v>416</v>
      </c>
    </row>
    <row r="415" spans="2:18" ht="20" x14ac:dyDescent="0.2">
      <c r="B415" s="96" t="s">
        <v>1652</v>
      </c>
      <c r="C415" s="22" t="s">
        <v>2964</v>
      </c>
      <c r="D415" s="22"/>
      <c r="E415" s="262"/>
      <c r="F415" s="262"/>
      <c r="G415" s="96" t="s">
        <v>2379</v>
      </c>
      <c r="H415" s="22"/>
      <c r="I415" s="201">
        <v>144</v>
      </c>
      <c r="J415" s="211"/>
      <c r="K415" s="211"/>
      <c r="L415" s="58"/>
      <c r="M415" s="58"/>
      <c r="N415" s="58"/>
      <c r="O415" s="58"/>
      <c r="P415" s="11"/>
      <c r="Q415" s="11"/>
      <c r="R415" s="34">
        <v>417</v>
      </c>
    </row>
    <row r="416" spans="2:18" ht="20" x14ac:dyDescent="0.2">
      <c r="B416" s="96" t="s">
        <v>1851</v>
      </c>
      <c r="C416" s="22" t="s">
        <v>2965</v>
      </c>
      <c r="D416" s="22"/>
      <c r="E416" s="262"/>
      <c r="F416" s="262"/>
      <c r="G416" s="96" t="s">
        <v>2379</v>
      </c>
      <c r="H416" s="22"/>
      <c r="I416" s="201">
        <v>138</v>
      </c>
      <c r="J416" s="211"/>
      <c r="K416" s="211"/>
      <c r="L416" s="58"/>
      <c r="M416" s="58"/>
      <c r="N416" s="58"/>
      <c r="O416" s="58"/>
      <c r="P416" s="11"/>
      <c r="Q416" s="11"/>
      <c r="R416" s="34">
        <v>418</v>
      </c>
    </row>
    <row r="417" spans="2:18" ht="20" x14ac:dyDescent="0.2">
      <c r="B417" s="96" t="s">
        <v>1884</v>
      </c>
      <c r="C417" s="22" t="s">
        <v>2694</v>
      </c>
      <c r="D417" s="22"/>
      <c r="E417" s="262">
        <v>49.385938000000003</v>
      </c>
      <c r="F417" s="262">
        <v>-112.9487846</v>
      </c>
      <c r="G417" s="96" t="s">
        <v>2379</v>
      </c>
      <c r="H417" s="162" t="s">
        <v>1150</v>
      </c>
      <c r="I417" s="209">
        <v>138</v>
      </c>
      <c r="J417" s="209">
        <v>69</v>
      </c>
      <c r="K417" s="209">
        <v>50</v>
      </c>
      <c r="L417" s="94">
        <f>K417*1.2</f>
        <v>60</v>
      </c>
      <c r="M417" s="94">
        <v>0.9</v>
      </c>
      <c r="N417" s="94">
        <f>K417*$M417</f>
        <v>45</v>
      </c>
      <c r="O417" s="94">
        <f>L417*$M417</f>
        <v>54</v>
      </c>
      <c r="P417" s="11" t="s">
        <v>3302</v>
      </c>
      <c r="Q417" s="11"/>
      <c r="R417" s="34">
        <v>419</v>
      </c>
    </row>
    <row r="418" spans="2:18" ht="20" x14ac:dyDescent="0.2">
      <c r="B418" s="96" t="s">
        <v>1406</v>
      </c>
      <c r="C418" s="22" t="s">
        <v>2966</v>
      </c>
      <c r="D418" s="22"/>
      <c r="E418" s="262"/>
      <c r="F418" s="262"/>
      <c r="G418" s="96" t="s">
        <v>2379</v>
      </c>
      <c r="H418" s="22"/>
      <c r="I418" s="201">
        <v>144</v>
      </c>
      <c r="J418" s="211"/>
      <c r="K418" s="211"/>
      <c r="L418" s="58"/>
      <c r="M418" s="58"/>
      <c r="N418" s="58"/>
      <c r="O418" s="58"/>
      <c r="P418" s="11"/>
      <c r="Q418" s="11"/>
      <c r="R418" s="34">
        <v>420</v>
      </c>
    </row>
    <row r="419" spans="2:18" ht="20" x14ac:dyDescent="0.2">
      <c r="B419" s="96" t="s">
        <v>2069</v>
      </c>
      <c r="C419" s="22" t="s">
        <v>2695</v>
      </c>
      <c r="D419" s="22"/>
      <c r="E419" s="262">
        <v>54.583799999999997</v>
      </c>
      <c r="F419" s="262">
        <v>-110.3934</v>
      </c>
      <c r="G419" s="96" t="s">
        <v>2379</v>
      </c>
      <c r="H419" s="22"/>
      <c r="I419" s="201">
        <v>144</v>
      </c>
      <c r="J419" s="211"/>
      <c r="K419" s="211"/>
      <c r="L419" s="58"/>
      <c r="M419" s="58"/>
      <c r="N419" s="58"/>
      <c r="O419" s="58"/>
      <c r="P419" s="11"/>
      <c r="Q419" s="11"/>
      <c r="R419" s="34">
        <v>421</v>
      </c>
    </row>
    <row r="420" spans="2:18" ht="20" x14ac:dyDescent="0.2">
      <c r="B420" s="96" t="s">
        <v>1409</v>
      </c>
      <c r="C420" s="22" t="s">
        <v>2967</v>
      </c>
      <c r="D420" s="22"/>
      <c r="E420" s="262"/>
      <c r="F420" s="262"/>
      <c r="G420" s="96" t="s">
        <v>2379</v>
      </c>
      <c r="H420" s="22"/>
      <c r="I420" s="201">
        <v>144</v>
      </c>
      <c r="J420" s="211"/>
      <c r="K420" s="211"/>
      <c r="L420" s="58"/>
      <c r="M420" s="58"/>
      <c r="N420" s="58"/>
      <c r="O420" s="58"/>
      <c r="P420" s="11"/>
      <c r="Q420" s="11"/>
      <c r="R420" s="34">
        <v>422</v>
      </c>
    </row>
    <row r="421" spans="2:18" ht="20" x14ac:dyDescent="0.2">
      <c r="B421" s="96" t="s">
        <v>1533</v>
      </c>
      <c r="C421" s="22" t="s">
        <v>2968</v>
      </c>
      <c r="D421" s="22"/>
      <c r="E421" s="262"/>
      <c r="F421" s="262"/>
      <c r="G421" s="96" t="s">
        <v>2379</v>
      </c>
      <c r="H421" s="22"/>
      <c r="I421" s="201">
        <v>72</v>
      </c>
      <c r="J421" s="211"/>
      <c r="K421" s="211"/>
      <c r="L421" s="58"/>
      <c r="M421" s="58"/>
      <c r="N421" s="58"/>
      <c r="O421" s="58"/>
      <c r="P421" s="11"/>
      <c r="Q421" s="11"/>
      <c r="R421" s="34">
        <v>423</v>
      </c>
    </row>
    <row r="422" spans="2:18" ht="20" x14ac:dyDescent="0.2">
      <c r="B422" s="96" t="s">
        <v>1397</v>
      </c>
      <c r="C422" s="22" t="s">
        <v>2969</v>
      </c>
      <c r="D422" s="22"/>
      <c r="E422" s="262"/>
      <c r="F422" s="262"/>
      <c r="G422" s="96" t="s">
        <v>2379</v>
      </c>
      <c r="H422" s="22"/>
      <c r="I422" s="201">
        <v>144</v>
      </c>
      <c r="J422" s="211"/>
      <c r="K422" s="211"/>
      <c r="L422" s="58"/>
      <c r="M422" s="58"/>
      <c r="N422" s="58"/>
      <c r="O422" s="58"/>
      <c r="P422" s="11"/>
      <c r="Q422" s="11"/>
      <c r="R422" s="34">
        <v>424</v>
      </c>
    </row>
    <row r="423" spans="2:18" ht="20" x14ac:dyDescent="0.2">
      <c r="B423" s="96" t="s">
        <v>841</v>
      </c>
      <c r="C423" s="22" t="s">
        <v>2970</v>
      </c>
      <c r="D423" s="22"/>
      <c r="E423" s="262"/>
      <c r="F423" s="262"/>
      <c r="G423" s="96" t="s">
        <v>2379</v>
      </c>
      <c r="H423" s="22"/>
      <c r="I423" s="201">
        <v>144</v>
      </c>
      <c r="J423" s="211"/>
      <c r="K423" s="211"/>
      <c r="L423" s="58"/>
      <c r="M423" s="58"/>
      <c r="N423" s="58"/>
      <c r="O423" s="58"/>
      <c r="P423" s="11"/>
      <c r="Q423" s="11"/>
      <c r="R423" s="34">
        <v>425</v>
      </c>
    </row>
    <row r="424" spans="2:18" ht="20" x14ac:dyDescent="0.2">
      <c r="B424" s="96" t="s">
        <v>1471</v>
      </c>
      <c r="C424" s="22" t="s">
        <v>2971</v>
      </c>
      <c r="D424" s="22"/>
      <c r="E424" s="262"/>
      <c r="F424" s="262"/>
      <c r="G424" s="96" t="s">
        <v>2379</v>
      </c>
      <c r="H424" s="22"/>
      <c r="I424" s="201">
        <v>69</v>
      </c>
      <c r="J424" s="211"/>
      <c r="K424" s="211"/>
      <c r="L424" s="58"/>
      <c r="M424" s="58"/>
      <c r="N424" s="58"/>
      <c r="O424" s="58"/>
      <c r="P424" s="11"/>
      <c r="Q424" s="11"/>
      <c r="R424" s="34">
        <v>426</v>
      </c>
    </row>
    <row r="425" spans="2:18" ht="20" x14ac:dyDescent="0.2">
      <c r="B425" s="96" t="s">
        <v>1534</v>
      </c>
      <c r="C425" s="22" t="s">
        <v>2972</v>
      </c>
      <c r="D425" s="22"/>
      <c r="E425" s="262"/>
      <c r="F425" s="262"/>
      <c r="G425" s="96" t="s">
        <v>2379</v>
      </c>
      <c r="H425" s="22"/>
      <c r="I425" s="201">
        <v>69</v>
      </c>
      <c r="J425" s="211"/>
      <c r="K425" s="211"/>
      <c r="L425" s="58"/>
      <c r="M425" s="58"/>
      <c r="N425" s="58"/>
      <c r="O425" s="58"/>
      <c r="P425" s="11"/>
      <c r="Q425" s="11"/>
      <c r="R425" s="34">
        <v>427</v>
      </c>
    </row>
    <row r="426" spans="2:18" ht="20" x14ac:dyDescent="0.2">
      <c r="B426" s="96" t="s">
        <v>1202</v>
      </c>
      <c r="C426" s="22" t="s">
        <v>2973</v>
      </c>
      <c r="D426" s="22"/>
      <c r="E426" s="262"/>
      <c r="F426" s="262"/>
      <c r="G426" s="96" t="s">
        <v>2379</v>
      </c>
      <c r="H426" s="22"/>
      <c r="I426" s="201">
        <v>144</v>
      </c>
      <c r="J426" s="211"/>
      <c r="K426" s="211"/>
      <c r="L426" s="58"/>
      <c r="M426" s="58"/>
      <c r="N426" s="58"/>
      <c r="O426" s="58"/>
      <c r="P426" s="11"/>
      <c r="Q426" s="11"/>
      <c r="R426" s="34">
        <v>428</v>
      </c>
    </row>
    <row r="427" spans="2:18" ht="20" x14ac:dyDescent="0.2">
      <c r="B427" s="96" t="s">
        <v>1932</v>
      </c>
      <c r="C427" s="22" t="s">
        <v>2696</v>
      </c>
      <c r="D427" s="22"/>
      <c r="E427" s="262">
        <v>49.612278000000003</v>
      </c>
      <c r="F427" s="262">
        <v>-113.4815249</v>
      </c>
      <c r="G427" s="96" t="s">
        <v>2379</v>
      </c>
      <c r="H427" s="22"/>
      <c r="I427" s="201">
        <v>144</v>
      </c>
      <c r="J427" s="211"/>
      <c r="K427" s="211"/>
      <c r="L427" s="58"/>
      <c r="M427" s="58"/>
      <c r="N427" s="58"/>
      <c r="O427" s="58"/>
      <c r="P427" s="11"/>
      <c r="Q427" s="11"/>
      <c r="R427" s="34">
        <v>429</v>
      </c>
    </row>
    <row r="428" spans="2:18" ht="20" x14ac:dyDescent="0.2">
      <c r="B428" s="96" t="s">
        <v>1067</v>
      </c>
      <c r="C428" s="22" t="s">
        <v>2974</v>
      </c>
      <c r="D428" s="22"/>
      <c r="E428" s="262"/>
      <c r="F428" s="262"/>
      <c r="G428" s="96" t="s">
        <v>2379</v>
      </c>
      <c r="H428" s="22"/>
      <c r="I428" s="213">
        <v>240</v>
      </c>
      <c r="J428" s="211"/>
      <c r="K428" s="211"/>
      <c r="L428" s="58"/>
      <c r="M428" s="58"/>
      <c r="N428" s="58"/>
      <c r="O428" s="58"/>
      <c r="P428" s="11"/>
      <c r="Q428" s="11"/>
      <c r="R428" s="34">
        <v>430</v>
      </c>
    </row>
    <row r="429" spans="2:18" ht="20" x14ac:dyDescent="0.2">
      <c r="B429" s="96" t="s">
        <v>800</v>
      </c>
      <c r="C429" s="22" t="s">
        <v>2975</v>
      </c>
      <c r="D429" s="22"/>
      <c r="E429" s="262"/>
      <c r="F429" s="262"/>
      <c r="G429" s="96" t="s">
        <v>2379</v>
      </c>
      <c r="H429" s="162" t="s">
        <v>1158</v>
      </c>
      <c r="I429" s="209">
        <v>260</v>
      </c>
      <c r="J429" s="209">
        <v>144</v>
      </c>
      <c r="K429" s="209">
        <v>200</v>
      </c>
      <c r="L429" s="94">
        <f>K429*1.2</f>
        <v>240</v>
      </c>
      <c r="M429" s="94">
        <v>0.9</v>
      </c>
      <c r="N429" s="94">
        <f>K429*$M429</f>
        <v>180</v>
      </c>
      <c r="O429" s="94">
        <f>L429*$M429</f>
        <v>216</v>
      </c>
      <c r="P429" s="11" t="s">
        <v>3305</v>
      </c>
      <c r="Q429" s="11"/>
      <c r="R429" s="34">
        <v>431</v>
      </c>
    </row>
    <row r="430" spans="2:18" ht="20" x14ac:dyDescent="0.2">
      <c r="B430" s="96" t="s">
        <v>1998</v>
      </c>
      <c r="C430" s="22" t="s">
        <v>2976</v>
      </c>
      <c r="D430" s="22"/>
      <c r="E430" s="262"/>
      <c r="F430" s="262"/>
      <c r="G430" s="96" t="s">
        <v>2379</v>
      </c>
      <c r="H430" s="22"/>
      <c r="I430" s="201">
        <v>144</v>
      </c>
      <c r="J430" s="211"/>
      <c r="K430" s="211"/>
      <c r="L430" s="58"/>
      <c r="M430" s="58"/>
      <c r="N430" s="58"/>
      <c r="O430" s="58"/>
      <c r="P430" s="11"/>
      <c r="Q430" s="11"/>
      <c r="R430" s="34">
        <v>432</v>
      </c>
    </row>
    <row r="431" spans="2:18" ht="20" x14ac:dyDescent="0.2">
      <c r="B431" s="96" t="s">
        <v>1271</v>
      </c>
      <c r="C431" s="22" t="s">
        <v>2977</v>
      </c>
      <c r="D431" s="22"/>
      <c r="E431" s="262"/>
      <c r="F431" s="262"/>
      <c r="G431" s="96" t="s">
        <v>2379</v>
      </c>
      <c r="H431" s="22"/>
      <c r="I431" s="201">
        <v>144</v>
      </c>
      <c r="J431" s="211"/>
      <c r="K431" s="211"/>
      <c r="L431" s="58"/>
      <c r="M431" s="58"/>
      <c r="N431" s="58"/>
      <c r="O431" s="58"/>
      <c r="P431" s="11"/>
      <c r="Q431" s="11"/>
      <c r="R431" s="34">
        <v>433</v>
      </c>
    </row>
    <row r="432" spans="2:18" ht="20" x14ac:dyDescent="0.2">
      <c r="B432" s="96" t="s">
        <v>1343</v>
      </c>
      <c r="C432" s="22" t="s">
        <v>2978</v>
      </c>
      <c r="D432" s="22"/>
      <c r="E432" s="262"/>
      <c r="F432" s="262"/>
      <c r="G432" s="96" t="s">
        <v>2379</v>
      </c>
      <c r="H432" s="22"/>
      <c r="I432" s="213">
        <v>69</v>
      </c>
      <c r="J432" s="211"/>
      <c r="K432" s="211"/>
      <c r="L432" s="58"/>
      <c r="M432" s="58"/>
      <c r="N432" s="58"/>
      <c r="O432" s="58"/>
      <c r="P432" s="11"/>
      <c r="Q432" s="11"/>
      <c r="R432" s="34">
        <v>434</v>
      </c>
    </row>
    <row r="433" spans="2:18" ht="20" x14ac:dyDescent="0.2">
      <c r="B433" s="96" t="s">
        <v>1987</v>
      </c>
      <c r="C433" s="22" t="s">
        <v>2697</v>
      </c>
      <c r="D433" s="22"/>
      <c r="E433" s="262">
        <v>50.100425600000001</v>
      </c>
      <c r="F433" s="262">
        <v>-110.7275681</v>
      </c>
      <c r="G433" s="96" t="s">
        <v>2379</v>
      </c>
      <c r="H433" s="162" t="s">
        <v>1150</v>
      </c>
      <c r="I433" s="209">
        <v>138</v>
      </c>
      <c r="J433" s="209">
        <v>13.8</v>
      </c>
      <c r="K433" s="209">
        <v>56</v>
      </c>
      <c r="L433" s="94">
        <f>K433*1.2</f>
        <v>67.2</v>
      </c>
      <c r="M433" s="94">
        <v>0.9</v>
      </c>
      <c r="N433" s="94">
        <f>K433*$M433</f>
        <v>50.4</v>
      </c>
      <c r="O433" s="94">
        <f>L433*$M433</f>
        <v>60.480000000000004</v>
      </c>
      <c r="P433" s="11" t="s">
        <v>3276</v>
      </c>
      <c r="Q433" s="11"/>
      <c r="R433" s="34">
        <v>435</v>
      </c>
    </row>
    <row r="434" spans="2:18" ht="20" x14ac:dyDescent="0.2">
      <c r="B434" s="96" t="s">
        <v>1987</v>
      </c>
      <c r="C434" s="22" t="s">
        <v>2697</v>
      </c>
      <c r="D434" s="22"/>
      <c r="E434" s="262">
        <v>50.100425600000001</v>
      </c>
      <c r="F434" s="262">
        <v>-110.7275681</v>
      </c>
      <c r="G434" s="96" t="s">
        <v>2379</v>
      </c>
      <c r="H434" s="162" t="s">
        <v>1165</v>
      </c>
      <c r="I434" s="209">
        <v>138</v>
      </c>
      <c r="J434" s="209">
        <v>69</v>
      </c>
      <c r="K434" s="209">
        <v>112</v>
      </c>
      <c r="L434" s="94">
        <f>K434*1.2</f>
        <v>134.4</v>
      </c>
      <c r="M434" s="94">
        <v>0.9</v>
      </c>
      <c r="N434" s="94">
        <f>K434*$M434</f>
        <v>100.8</v>
      </c>
      <c r="O434" s="94">
        <f>L434*$M434</f>
        <v>120.96000000000001</v>
      </c>
      <c r="P434" s="11" t="s">
        <v>3276</v>
      </c>
      <c r="Q434" s="11"/>
      <c r="R434" s="34">
        <v>436</v>
      </c>
    </row>
    <row r="435" spans="2:18" ht="20" x14ac:dyDescent="0.2">
      <c r="B435" s="96" t="s">
        <v>827</v>
      </c>
      <c r="C435" s="22" t="s">
        <v>2979</v>
      </c>
      <c r="D435" s="22"/>
      <c r="E435" s="262"/>
      <c r="F435" s="262"/>
      <c r="G435" s="96" t="s">
        <v>2379</v>
      </c>
      <c r="H435" s="22"/>
      <c r="I435" s="201">
        <v>144</v>
      </c>
      <c r="J435" s="211"/>
      <c r="K435" s="211"/>
      <c r="L435" s="58"/>
      <c r="M435" s="58"/>
      <c r="N435" s="58"/>
      <c r="O435" s="58"/>
      <c r="P435" s="11"/>
      <c r="Q435" s="11"/>
      <c r="R435" s="34">
        <v>437</v>
      </c>
    </row>
    <row r="436" spans="2:18" ht="20" x14ac:dyDescent="0.2">
      <c r="B436" s="96" t="s">
        <v>923</v>
      </c>
      <c r="C436" s="22" t="s">
        <v>2980</v>
      </c>
      <c r="D436" s="22"/>
      <c r="E436" s="262"/>
      <c r="F436" s="262"/>
      <c r="G436" s="96" t="s">
        <v>2379</v>
      </c>
      <c r="H436" s="22"/>
      <c r="I436" s="201">
        <v>144</v>
      </c>
      <c r="J436" s="211"/>
      <c r="K436" s="211"/>
      <c r="L436" s="58"/>
      <c r="M436" s="58"/>
      <c r="N436" s="58"/>
      <c r="O436" s="58"/>
      <c r="P436" s="11"/>
      <c r="Q436" s="11"/>
      <c r="R436" s="34">
        <v>438</v>
      </c>
    </row>
    <row r="437" spans="2:18" ht="20" x14ac:dyDescent="0.2">
      <c r="B437" s="96" t="s">
        <v>900</v>
      </c>
      <c r="C437" s="22" t="s">
        <v>2981</v>
      </c>
      <c r="D437" s="22"/>
      <c r="E437" s="262"/>
      <c r="F437" s="262"/>
      <c r="G437" s="96" t="s">
        <v>2379</v>
      </c>
      <c r="H437" s="162" t="s">
        <v>1150</v>
      </c>
      <c r="I437" s="209">
        <v>144</v>
      </c>
      <c r="J437" s="209">
        <v>25</v>
      </c>
      <c r="K437" s="209">
        <v>41.6</v>
      </c>
      <c r="L437" s="94">
        <f>K437*1.2</f>
        <v>49.92</v>
      </c>
      <c r="M437" s="94">
        <v>0.9</v>
      </c>
      <c r="N437" s="94">
        <f t="shared" ref="N437:O440" si="13">K437*$M437</f>
        <v>37.440000000000005</v>
      </c>
      <c r="O437" s="94">
        <f t="shared" si="13"/>
        <v>44.928000000000004</v>
      </c>
      <c r="P437" s="11" t="s">
        <v>3273</v>
      </c>
      <c r="Q437" s="11"/>
      <c r="R437" s="34">
        <v>439</v>
      </c>
    </row>
    <row r="438" spans="2:18" ht="20" x14ac:dyDescent="0.2">
      <c r="B438" s="96" t="s">
        <v>980</v>
      </c>
      <c r="C438" s="22" t="s">
        <v>2982</v>
      </c>
      <c r="D438" s="22"/>
      <c r="E438" s="262"/>
      <c r="F438" s="262"/>
      <c r="G438" s="96" t="s">
        <v>2379</v>
      </c>
      <c r="H438" s="162" t="s">
        <v>1150</v>
      </c>
      <c r="I438" s="209">
        <v>138</v>
      </c>
      <c r="J438" s="209">
        <v>25</v>
      </c>
      <c r="K438" s="209">
        <v>25</v>
      </c>
      <c r="L438" s="94">
        <f>K438*1.2</f>
        <v>30</v>
      </c>
      <c r="M438" s="94">
        <v>0.9</v>
      </c>
      <c r="N438" s="94">
        <f t="shared" si="13"/>
        <v>22.5</v>
      </c>
      <c r="O438" s="94">
        <f t="shared" si="13"/>
        <v>27</v>
      </c>
      <c r="P438" s="11" t="s">
        <v>3282</v>
      </c>
      <c r="Q438" s="11"/>
      <c r="R438" s="34">
        <v>440</v>
      </c>
    </row>
    <row r="439" spans="2:18" ht="20" x14ac:dyDescent="0.2">
      <c r="B439" s="96" t="s">
        <v>980</v>
      </c>
      <c r="C439" s="22" t="s">
        <v>2982</v>
      </c>
      <c r="D439" s="22"/>
      <c r="E439" s="262"/>
      <c r="F439" s="262"/>
      <c r="G439" s="96" t="s">
        <v>2379</v>
      </c>
      <c r="H439" s="162" t="s">
        <v>1156</v>
      </c>
      <c r="I439" s="209">
        <v>240</v>
      </c>
      <c r="J439" s="209">
        <v>138</v>
      </c>
      <c r="K439" s="209">
        <v>200</v>
      </c>
      <c r="L439" s="94">
        <f>K439*1.2</f>
        <v>240</v>
      </c>
      <c r="M439" s="94">
        <v>0.9</v>
      </c>
      <c r="N439" s="94">
        <f t="shared" si="13"/>
        <v>180</v>
      </c>
      <c r="O439" s="94">
        <f t="shared" si="13"/>
        <v>216</v>
      </c>
      <c r="P439" s="11" t="s">
        <v>3291</v>
      </c>
      <c r="Q439" s="11"/>
      <c r="R439" s="34">
        <v>441</v>
      </c>
    </row>
    <row r="440" spans="2:18" ht="20" x14ac:dyDescent="0.2">
      <c r="B440" s="96" t="s">
        <v>1521</v>
      </c>
      <c r="C440" s="22" t="s">
        <v>2619</v>
      </c>
      <c r="D440" s="22"/>
      <c r="E440" s="262"/>
      <c r="F440" s="262"/>
      <c r="G440" s="96" t="s">
        <v>2379</v>
      </c>
      <c r="H440" s="162" t="s">
        <v>1150</v>
      </c>
      <c r="I440" s="209">
        <v>144</v>
      </c>
      <c r="J440" s="209">
        <v>72</v>
      </c>
      <c r="K440" s="209">
        <v>33</v>
      </c>
      <c r="L440" s="94">
        <f>K440*1.2</f>
        <v>39.6</v>
      </c>
      <c r="M440" s="94">
        <v>0.9</v>
      </c>
      <c r="N440" s="94">
        <f t="shared" si="13"/>
        <v>29.7</v>
      </c>
      <c r="O440" s="94">
        <f t="shared" si="13"/>
        <v>35.64</v>
      </c>
      <c r="P440" s="11" t="s">
        <v>3299</v>
      </c>
      <c r="Q440" s="11"/>
      <c r="R440" s="34">
        <v>442</v>
      </c>
    </row>
    <row r="441" spans="2:18" ht="20" x14ac:dyDescent="0.2">
      <c r="B441" s="96" t="s">
        <v>2084</v>
      </c>
      <c r="C441" s="22" t="s">
        <v>2983</v>
      </c>
      <c r="D441" s="22"/>
      <c r="E441" s="262"/>
      <c r="F441" s="262"/>
      <c r="G441" s="96" t="s">
        <v>2379</v>
      </c>
      <c r="H441" s="22"/>
      <c r="I441" s="201">
        <v>72</v>
      </c>
      <c r="J441" s="211"/>
      <c r="K441" s="211"/>
      <c r="L441" s="58"/>
      <c r="M441" s="58"/>
      <c r="N441" s="58"/>
      <c r="O441" s="58"/>
      <c r="P441" s="11"/>
      <c r="Q441" s="11"/>
      <c r="R441" s="34">
        <v>443</v>
      </c>
    </row>
    <row r="442" spans="2:18" ht="20" x14ac:dyDescent="0.2">
      <c r="B442" s="96" t="s">
        <v>1229</v>
      </c>
      <c r="C442" s="22" t="s">
        <v>3271</v>
      </c>
      <c r="D442" s="22"/>
      <c r="E442" s="262"/>
      <c r="F442" s="262"/>
      <c r="G442" s="96" t="s">
        <v>2379</v>
      </c>
      <c r="H442" s="22"/>
      <c r="I442" s="201">
        <v>240</v>
      </c>
      <c r="J442" s="211"/>
      <c r="K442" s="211"/>
      <c r="L442" s="58"/>
      <c r="M442" s="58"/>
      <c r="N442" s="58"/>
      <c r="O442" s="58"/>
      <c r="P442" s="11"/>
      <c r="Q442" s="11"/>
      <c r="R442" s="34">
        <v>444</v>
      </c>
    </row>
    <row r="443" spans="2:18" ht="20" x14ac:dyDescent="0.2">
      <c r="B443" s="96" t="s">
        <v>1211</v>
      </c>
      <c r="C443" s="22" t="s">
        <v>2984</v>
      </c>
      <c r="D443" s="22"/>
      <c r="E443" s="262"/>
      <c r="F443" s="262"/>
      <c r="G443" s="96" t="s">
        <v>2379</v>
      </c>
      <c r="H443" s="22"/>
      <c r="I443" s="201">
        <v>144</v>
      </c>
      <c r="J443" s="211"/>
      <c r="K443" s="211"/>
      <c r="L443" s="58"/>
      <c r="M443" s="58"/>
      <c r="N443" s="58"/>
      <c r="O443" s="58"/>
      <c r="P443" s="11"/>
      <c r="Q443" s="11"/>
      <c r="R443" s="34">
        <v>445</v>
      </c>
    </row>
    <row r="444" spans="2:18" ht="20" x14ac:dyDescent="0.2">
      <c r="B444" s="96" t="s">
        <v>556</v>
      </c>
      <c r="C444" s="22" t="s">
        <v>2985</v>
      </c>
      <c r="D444" s="22"/>
      <c r="E444" s="262"/>
      <c r="F444" s="262"/>
      <c r="G444" s="96" t="s">
        <v>2379</v>
      </c>
      <c r="H444" s="22"/>
      <c r="I444" s="201">
        <v>240</v>
      </c>
      <c r="J444" s="211"/>
      <c r="K444" s="211"/>
      <c r="L444" s="58"/>
      <c r="M444" s="58"/>
      <c r="N444" s="58"/>
      <c r="O444" s="58"/>
      <c r="P444" s="11"/>
      <c r="Q444" s="11"/>
      <c r="R444" s="34">
        <v>446</v>
      </c>
    </row>
    <row r="445" spans="2:18" ht="20" x14ac:dyDescent="0.2">
      <c r="B445" s="96" t="s">
        <v>864</v>
      </c>
      <c r="C445" s="22" t="s">
        <v>2986</v>
      </c>
      <c r="D445" s="22"/>
      <c r="E445" s="262"/>
      <c r="F445" s="262"/>
      <c r="G445" s="96" t="s">
        <v>2379</v>
      </c>
      <c r="H445" s="162" t="s">
        <v>1150</v>
      </c>
      <c r="I445" s="209">
        <v>240</v>
      </c>
      <c r="J445" s="209">
        <v>25</v>
      </c>
      <c r="K445" s="209">
        <v>200</v>
      </c>
      <c r="L445" s="94">
        <f>K445*1.2</f>
        <v>240</v>
      </c>
      <c r="M445" s="94">
        <v>0.9</v>
      </c>
      <c r="N445" s="94">
        <f>K445*$M445</f>
        <v>180</v>
      </c>
      <c r="O445" s="94">
        <f>L445*$M445</f>
        <v>216</v>
      </c>
      <c r="P445" s="11" t="s">
        <v>3272</v>
      </c>
      <c r="Q445" s="11"/>
      <c r="R445" s="34">
        <v>447</v>
      </c>
    </row>
    <row r="446" spans="2:18" ht="20" x14ac:dyDescent="0.2">
      <c r="B446" s="96" t="s">
        <v>864</v>
      </c>
      <c r="C446" s="22" t="s">
        <v>2986</v>
      </c>
      <c r="D446" s="22"/>
      <c r="E446" s="262"/>
      <c r="F446" s="262"/>
      <c r="G446" s="96" t="s">
        <v>2379</v>
      </c>
      <c r="H446" s="162" t="s">
        <v>1154</v>
      </c>
      <c r="I446" s="209">
        <v>240</v>
      </c>
      <c r="J446" s="209">
        <v>25</v>
      </c>
      <c r="K446" s="209">
        <v>200</v>
      </c>
      <c r="L446" s="94">
        <f>K446*1.2</f>
        <v>240</v>
      </c>
      <c r="M446" s="94">
        <v>0.9</v>
      </c>
      <c r="N446" s="94">
        <f>K446*$M446</f>
        <v>180</v>
      </c>
      <c r="O446" s="94">
        <f>L446*$M446</f>
        <v>216</v>
      </c>
      <c r="P446" s="11" t="s">
        <v>3272</v>
      </c>
      <c r="Q446" s="11"/>
      <c r="R446" s="34">
        <v>448</v>
      </c>
    </row>
    <row r="447" spans="2:18" ht="20" x14ac:dyDescent="0.2">
      <c r="B447" s="96" t="s">
        <v>1182</v>
      </c>
      <c r="C447" s="22" t="s">
        <v>3262</v>
      </c>
      <c r="D447" s="22"/>
      <c r="E447" s="262"/>
      <c r="F447" s="262"/>
      <c r="G447" s="96" t="s">
        <v>2379</v>
      </c>
      <c r="H447" s="22"/>
      <c r="I447" s="201">
        <v>72</v>
      </c>
      <c r="J447" s="211"/>
      <c r="K447" s="211"/>
      <c r="L447" s="58"/>
      <c r="M447" s="58"/>
      <c r="N447" s="58"/>
      <c r="O447" s="58"/>
      <c r="P447" s="11"/>
      <c r="Q447" s="11"/>
      <c r="R447" s="34">
        <v>449</v>
      </c>
    </row>
    <row r="448" spans="2:18" ht="20" x14ac:dyDescent="0.2">
      <c r="B448" s="96" t="s">
        <v>1938</v>
      </c>
      <c r="C448" s="22" t="s">
        <v>2987</v>
      </c>
      <c r="D448" s="22"/>
      <c r="E448" s="262"/>
      <c r="F448" s="262"/>
      <c r="G448" s="96" t="s">
        <v>2379</v>
      </c>
      <c r="H448" s="22"/>
      <c r="I448" s="201">
        <v>144</v>
      </c>
      <c r="J448" s="211"/>
      <c r="K448" s="211"/>
      <c r="L448" s="58"/>
      <c r="M448" s="58"/>
      <c r="N448" s="58"/>
      <c r="O448" s="58"/>
      <c r="P448" s="11"/>
      <c r="Q448" s="11"/>
      <c r="R448" s="34">
        <v>450</v>
      </c>
    </row>
    <row r="449" spans="2:18" ht="20" x14ac:dyDescent="0.2">
      <c r="B449" s="96" t="s">
        <v>1499</v>
      </c>
      <c r="C449" s="22" t="s">
        <v>2988</v>
      </c>
      <c r="D449" s="22"/>
      <c r="E449" s="262"/>
      <c r="F449" s="262"/>
      <c r="G449" s="96" t="s">
        <v>2379</v>
      </c>
      <c r="H449" s="22"/>
      <c r="I449" s="201">
        <v>144</v>
      </c>
      <c r="J449" s="211"/>
      <c r="K449" s="211"/>
      <c r="L449" s="58"/>
      <c r="M449" s="58"/>
      <c r="N449" s="58"/>
      <c r="O449" s="58"/>
      <c r="P449" s="11"/>
      <c r="Q449" s="11"/>
      <c r="R449" s="34">
        <v>451</v>
      </c>
    </row>
    <row r="450" spans="2:18" ht="20" x14ac:dyDescent="0.2">
      <c r="B450" s="96" t="s">
        <v>2080</v>
      </c>
      <c r="C450" s="22" t="s">
        <v>2644</v>
      </c>
      <c r="D450" s="22"/>
      <c r="E450" s="262"/>
      <c r="F450" s="262"/>
      <c r="G450" s="96" t="s">
        <v>2379</v>
      </c>
      <c r="H450" s="22"/>
      <c r="I450" s="201">
        <v>138</v>
      </c>
      <c r="J450" s="211"/>
      <c r="K450" s="211"/>
      <c r="L450" s="58"/>
      <c r="M450" s="58"/>
      <c r="N450" s="58"/>
      <c r="O450" s="58"/>
      <c r="P450" s="11"/>
      <c r="Q450" s="11"/>
      <c r="R450" s="34">
        <v>452</v>
      </c>
    </row>
    <row r="451" spans="2:18" ht="20" x14ac:dyDescent="0.2">
      <c r="B451" s="96" t="s">
        <v>876</v>
      </c>
      <c r="C451" s="22" t="s">
        <v>2989</v>
      </c>
      <c r="D451" s="22"/>
      <c r="E451" s="262"/>
      <c r="F451" s="262"/>
      <c r="G451" s="96" t="s">
        <v>2379</v>
      </c>
      <c r="H451" s="22"/>
      <c r="I451" s="201">
        <v>144</v>
      </c>
      <c r="J451" s="211"/>
      <c r="K451" s="211"/>
      <c r="L451" s="58"/>
      <c r="M451" s="58"/>
      <c r="N451" s="58"/>
      <c r="O451" s="58"/>
      <c r="P451" s="11"/>
      <c r="Q451" s="11"/>
      <c r="R451" s="34">
        <v>453</v>
      </c>
    </row>
    <row r="452" spans="2:18" ht="20" x14ac:dyDescent="0.2">
      <c r="B452" s="96" t="s">
        <v>2078</v>
      </c>
      <c r="C452" s="22" t="s">
        <v>2990</v>
      </c>
      <c r="D452" s="22"/>
      <c r="E452" s="262"/>
      <c r="F452" s="262"/>
      <c r="G452" s="96" t="s">
        <v>2379</v>
      </c>
      <c r="H452" s="22"/>
      <c r="I452" s="201">
        <v>144</v>
      </c>
      <c r="J452" s="211"/>
      <c r="K452" s="211"/>
      <c r="L452" s="58"/>
      <c r="M452" s="58"/>
      <c r="N452" s="58"/>
      <c r="O452" s="58"/>
      <c r="P452" s="11"/>
      <c r="Q452" s="11"/>
      <c r="R452" s="34">
        <v>456</v>
      </c>
    </row>
    <row r="453" spans="2:18" ht="20" x14ac:dyDescent="0.2">
      <c r="B453" s="96" t="s">
        <v>820</v>
      </c>
      <c r="C453" s="22" t="s">
        <v>2991</v>
      </c>
      <c r="D453" s="22"/>
      <c r="E453" s="262"/>
      <c r="F453" s="262"/>
      <c r="G453" s="96" t="s">
        <v>2379</v>
      </c>
      <c r="H453" s="22"/>
      <c r="I453" s="201">
        <v>144</v>
      </c>
      <c r="J453" s="211"/>
      <c r="K453" s="211"/>
      <c r="L453" s="58"/>
      <c r="M453" s="58"/>
      <c r="N453" s="58"/>
      <c r="O453" s="58"/>
      <c r="P453" s="11"/>
      <c r="Q453" s="11"/>
      <c r="R453" s="34">
        <v>457</v>
      </c>
    </row>
    <row r="454" spans="2:18" ht="20" x14ac:dyDescent="0.2">
      <c r="B454" s="96" t="s">
        <v>1703</v>
      </c>
      <c r="C454" s="22" t="s">
        <v>2992</v>
      </c>
      <c r="D454" s="22"/>
      <c r="E454" s="262"/>
      <c r="F454" s="262"/>
      <c r="G454" s="96" t="s">
        <v>2379</v>
      </c>
      <c r="H454" s="162" t="s">
        <v>1150</v>
      </c>
      <c r="I454" s="209">
        <v>138</v>
      </c>
      <c r="J454" s="209">
        <v>25</v>
      </c>
      <c r="K454" s="209">
        <v>6</v>
      </c>
      <c r="L454" s="94">
        <f>K454*1.2</f>
        <v>7.1999999999999993</v>
      </c>
      <c r="M454" s="94">
        <v>0.9</v>
      </c>
      <c r="N454" s="94">
        <f>K454*$M454</f>
        <v>5.4</v>
      </c>
      <c r="O454" s="94">
        <f>L454*$M454</f>
        <v>6.4799999999999995</v>
      </c>
      <c r="P454" s="11" t="s">
        <v>3296</v>
      </c>
      <c r="Q454" s="11"/>
      <c r="R454" s="34">
        <v>454</v>
      </c>
    </row>
    <row r="455" spans="2:18" ht="20" x14ac:dyDescent="0.2">
      <c r="B455" s="96" t="s">
        <v>1703</v>
      </c>
      <c r="C455" s="22" t="s">
        <v>2992</v>
      </c>
      <c r="D455" s="22"/>
      <c r="E455" s="262"/>
      <c r="F455" s="262"/>
      <c r="G455" s="96" t="s">
        <v>2379</v>
      </c>
      <c r="H455" s="162" t="s">
        <v>1154</v>
      </c>
      <c r="I455" s="209">
        <v>138</v>
      </c>
      <c r="J455" s="209">
        <v>25</v>
      </c>
      <c r="K455" s="209">
        <v>10</v>
      </c>
      <c r="L455" s="94">
        <f>K455*1.2</f>
        <v>12</v>
      </c>
      <c r="M455" s="94">
        <v>0.9</v>
      </c>
      <c r="N455" s="94">
        <f>K455*$M455</f>
        <v>9</v>
      </c>
      <c r="O455" s="94">
        <f>L455*$M455</f>
        <v>10.8</v>
      </c>
      <c r="P455" s="11" t="s">
        <v>3296</v>
      </c>
      <c r="Q455" s="11"/>
      <c r="R455" s="34">
        <v>455</v>
      </c>
    </row>
    <row r="456" spans="2:18" ht="20" x14ac:dyDescent="0.2">
      <c r="B456" s="96" t="s">
        <v>1192</v>
      </c>
      <c r="C456" s="22" t="s">
        <v>2993</v>
      </c>
      <c r="D456" s="22"/>
      <c r="E456" s="262"/>
      <c r="F456" s="262"/>
      <c r="G456" s="96" t="s">
        <v>2379</v>
      </c>
      <c r="H456" s="22"/>
      <c r="I456" s="201">
        <v>144</v>
      </c>
      <c r="J456" s="211"/>
      <c r="K456" s="211"/>
      <c r="L456" s="58"/>
      <c r="M456" s="58"/>
      <c r="N456" s="58"/>
      <c r="O456" s="58"/>
      <c r="P456" s="11"/>
      <c r="Q456" s="11"/>
      <c r="R456" s="34">
        <v>458</v>
      </c>
    </row>
    <row r="457" spans="2:18" ht="20" x14ac:dyDescent="0.2">
      <c r="B457" s="96" t="s">
        <v>1109</v>
      </c>
      <c r="C457" s="22" t="s">
        <v>2698</v>
      </c>
      <c r="D457" s="22"/>
      <c r="E457" s="262">
        <v>57.253700000000002</v>
      </c>
      <c r="F457" s="262">
        <v>-111.5064</v>
      </c>
      <c r="G457" s="96" t="s">
        <v>2379</v>
      </c>
      <c r="H457" s="22"/>
      <c r="I457" s="213">
        <v>240</v>
      </c>
      <c r="J457" s="211"/>
      <c r="K457" s="211"/>
      <c r="L457" s="58"/>
      <c r="M457" s="58"/>
      <c r="N457" s="58"/>
      <c r="O457" s="58"/>
      <c r="P457" s="11"/>
      <c r="Q457" s="11"/>
      <c r="R457" s="34">
        <v>459</v>
      </c>
    </row>
    <row r="458" spans="2:18" ht="20" x14ac:dyDescent="0.2">
      <c r="B458" s="96" t="s">
        <v>1633</v>
      </c>
      <c r="C458" s="22" t="s">
        <v>2994</v>
      </c>
      <c r="D458" s="22"/>
      <c r="E458" s="262"/>
      <c r="F458" s="262"/>
      <c r="G458" s="96" t="s">
        <v>2379</v>
      </c>
      <c r="H458" s="22"/>
      <c r="I458" s="201">
        <v>144</v>
      </c>
      <c r="J458" s="211"/>
      <c r="K458" s="211"/>
      <c r="L458" s="58"/>
      <c r="M458" s="58"/>
      <c r="N458" s="58"/>
      <c r="O458" s="58"/>
      <c r="P458" s="11"/>
      <c r="Q458" s="11"/>
      <c r="R458" s="34">
        <v>460</v>
      </c>
    </row>
    <row r="459" spans="2:18" ht="20" x14ac:dyDescent="0.2">
      <c r="B459" s="96" t="s">
        <v>2081</v>
      </c>
      <c r="C459" s="22" t="s">
        <v>2995</v>
      </c>
      <c r="D459" s="22"/>
      <c r="E459" s="262"/>
      <c r="F459" s="262"/>
      <c r="G459" s="96" t="s">
        <v>2379</v>
      </c>
      <c r="H459" s="22"/>
      <c r="I459" s="201">
        <v>138</v>
      </c>
      <c r="J459" s="211"/>
      <c r="K459" s="211"/>
      <c r="L459" s="58"/>
      <c r="M459" s="58"/>
      <c r="N459" s="58"/>
      <c r="O459" s="58"/>
      <c r="P459" s="11"/>
      <c r="Q459" s="11"/>
      <c r="R459" s="34">
        <v>461</v>
      </c>
    </row>
    <row r="460" spans="2:18" ht="20" x14ac:dyDescent="0.2">
      <c r="B460" s="96" t="s">
        <v>1411</v>
      </c>
      <c r="C460" s="22" t="s">
        <v>2699</v>
      </c>
      <c r="D460" s="22"/>
      <c r="E460" s="262">
        <v>54.726500000000001</v>
      </c>
      <c r="F460" s="262">
        <v>-110.3441</v>
      </c>
      <c r="G460" s="96" t="s">
        <v>2379</v>
      </c>
      <c r="H460" s="22"/>
      <c r="I460" s="201">
        <v>144</v>
      </c>
      <c r="J460" s="211"/>
      <c r="K460" s="211"/>
      <c r="L460" s="58"/>
      <c r="M460" s="58"/>
      <c r="N460" s="58"/>
      <c r="O460" s="58"/>
      <c r="P460" s="11"/>
      <c r="Q460" s="11"/>
      <c r="R460" s="34">
        <v>462</v>
      </c>
    </row>
    <row r="461" spans="2:18" ht="20" x14ac:dyDescent="0.2">
      <c r="B461" s="96" t="s">
        <v>1799</v>
      </c>
      <c r="C461" s="22" t="s">
        <v>2621</v>
      </c>
      <c r="D461" s="22"/>
      <c r="E461" s="262"/>
      <c r="F461" s="262"/>
      <c r="G461" s="96" t="s">
        <v>2379</v>
      </c>
      <c r="H461" s="22"/>
      <c r="I461" s="201">
        <v>138</v>
      </c>
      <c r="J461" s="211"/>
      <c r="K461" s="211"/>
      <c r="L461" s="58"/>
      <c r="M461" s="58"/>
      <c r="N461" s="58"/>
      <c r="O461" s="58"/>
      <c r="P461" s="11"/>
      <c r="Q461" s="11"/>
      <c r="R461" s="34">
        <v>463</v>
      </c>
    </row>
    <row r="462" spans="2:18" ht="20" x14ac:dyDescent="0.2">
      <c r="B462" s="96" t="s">
        <v>1337</v>
      </c>
      <c r="C462" s="22" t="s">
        <v>2996</v>
      </c>
      <c r="D462" s="22"/>
      <c r="E462" s="262"/>
      <c r="F462" s="262"/>
      <c r="G462" s="96" t="s">
        <v>2379</v>
      </c>
      <c r="H462" s="22"/>
      <c r="I462" s="201">
        <v>69</v>
      </c>
      <c r="J462" s="211"/>
      <c r="K462" s="211"/>
      <c r="L462" s="58"/>
      <c r="M462" s="58"/>
      <c r="N462" s="58"/>
      <c r="O462" s="58"/>
      <c r="P462" s="11"/>
      <c r="Q462" s="11"/>
      <c r="R462" s="34">
        <v>464</v>
      </c>
    </row>
    <row r="463" spans="2:18" ht="20" x14ac:dyDescent="0.2">
      <c r="B463" s="96" t="s">
        <v>885</v>
      </c>
      <c r="C463" s="22" t="s">
        <v>2997</v>
      </c>
      <c r="D463" s="22"/>
      <c r="E463" s="262"/>
      <c r="F463" s="262"/>
      <c r="G463" s="96" t="s">
        <v>2379</v>
      </c>
      <c r="H463" s="22"/>
      <c r="I463" s="201">
        <v>144</v>
      </c>
      <c r="J463" s="211"/>
      <c r="K463" s="211"/>
      <c r="L463" s="58"/>
      <c r="M463" s="58"/>
      <c r="N463" s="58"/>
      <c r="O463" s="58"/>
      <c r="P463" s="11"/>
      <c r="Q463" s="11"/>
      <c r="R463" s="34">
        <v>465</v>
      </c>
    </row>
    <row r="464" spans="2:18" ht="20" x14ac:dyDescent="0.2">
      <c r="B464" s="96" t="s">
        <v>1393</v>
      </c>
      <c r="C464" s="22" t="s">
        <v>2998</v>
      </c>
      <c r="D464" s="22"/>
      <c r="E464" s="262"/>
      <c r="F464" s="262"/>
      <c r="G464" s="96" t="s">
        <v>2379</v>
      </c>
      <c r="H464" s="22"/>
      <c r="I464" s="201">
        <v>144</v>
      </c>
      <c r="J464" s="211"/>
      <c r="K464" s="211"/>
      <c r="L464" s="58"/>
      <c r="M464" s="58"/>
      <c r="N464" s="58"/>
      <c r="O464" s="58"/>
      <c r="P464" s="11"/>
      <c r="Q464" s="11"/>
      <c r="R464" s="34">
        <v>466</v>
      </c>
    </row>
    <row r="465" spans="2:18" ht="20" x14ac:dyDescent="0.2">
      <c r="B465" s="96" t="s">
        <v>998</v>
      </c>
      <c r="C465" s="22" t="s">
        <v>2999</v>
      </c>
      <c r="D465" s="22"/>
      <c r="E465" s="262"/>
      <c r="F465" s="262"/>
      <c r="G465" s="96" t="s">
        <v>2379</v>
      </c>
      <c r="H465" s="162" t="s">
        <v>1155</v>
      </c>
      <c r="I465" s="209">
        <v>240</v>
      </c>
      <c r="J465" s="209">
        <v>144</v>
      </c>
      <c r="K465" s="209">
        <v>100</v>
      </c>
      <c r="L465" s="94">
        <f>K465*1.2</f>
        <v>120</v>
      </c>
      <c r="M465" s="94">
        <v>0.9</v>
      </c>
      <c r="N465" s="94">
        <f>K465*$M465</f>
        <v>90</v>
      </c>
      <c r="O465" s="94">
        <f>L465*$M465</f>
        <v>108</v>
      </c>
      <c r="P465" s="11" t="s">
        <v>3291</v>
      </c>
      <c r="Q465" s="11"/>
      <c r="R465" s="34">
        <v>467</v>
      </c>
    </row>
    <row r="466" spans="2:18" ht="20" x14ac:dyDescent="0.2">
      <c r="B466" s="96" t="s">
        <v>998</v>
      </c>
      <c r="C466" s="22" t="s">
        <v>2999</v>
      </c>
      <c r="D466" s="22"/>
      <c r="E466" s="262"/>
      <c r="F466" s="262"/>
      <c r="G466" s="96" t="s">
        <v>2379</v>
      </c>
      <c r="H466" s="162" t="s">
        <v>1153</v>
      </c>
      <c r="I466" s="209">
        <v>144</v>
      </c>
      <c r="J466" s="209">
        <v>25</v>
      </c>
      <c r="K466" s="209">
        <v>20</v>
      </c>
      <c r="L466" s="94">
        <f>K466*1.2</f>
        <v>24</v>
      </c>
      <c r="M466" s="94">
        <v>0.9</v>
      </c>
      <c r="N466" s="94">
        <f>K466*$M466</f>
        <v>18</v>
      </c>
      <c r="O466" s="94">
        <f>L466*$M466</f>
        <v>21.6</v>
      </c>
      <c r="P466" s="11" t="s">
        <v>3291</v>
      </c>
      <c r="Q466" s="11"/>
      <c r="R466" s="34">
        <v>468</v>
      </c>
    </row>
    <row r="467" spans="2:18" ht="20" x14ac:dyDescent="0.2">
      <c r="B467" s="96" t="s">
        <v>2065</v>
      </c>
      <c r="C467" s="22" t="s">
        <v>3000</v>
      </c>
      <c r="D467" s="22"/>
      <c r="E467" s="262"/>
      <c r="F467" s="262"/>
      <c r="G467" s="96" t="s">
        <v>2379</v>
      </c>
      <c r="H467" s="22"/>
      <c r="I467" s="201">
        <v>144</v>
      </c>
      <c r="J467" s="211"/>
      <c r="K467" s="211"/>
      <c r="L467" s="58"/>
      <c r="M467" s="58"/>
      <c r="N467" s="58"/>
      <c r="O467" s="58"/>
      <c r="P467" s="11"/>
      <c r="Q467" s="11"/>
      <c r="R467" s="34">
        <v>469</v>
      </c>
    </row>
    <row r="468" spans="2:18" ht="20" x14ac:dyDescent="0.2">
      <c r="B468" s="96" t="s">
        <v>563</v>
      </c>
      <c r="C468" s="22" t="s">
        <v>3001</v>
      </c>
      <c r="D468" s="22"/>
      <c r="E468" s="262"/>
      <c r="F468" s="262"/>
      <c r="G468" s="96" t="s">
        <v>2379</v>
      </c>
      <c r="H468" s="22"/>
      <c r="I468" s="201">
        <v>500</v>
      </c>
      <c r="J468" s="211"/>
      <c r="K468" s="211"/>
      <c r="L468" s="58"/>
      <c r="M468" s="58"/>
      <c r="N468" s="58"/>
      <c r="O468" s="58"/>
      <c r="P468" s="11"/>
      <c r="Q468" s="11"/>
      <c r="R468" s="34">
        <v>470</v>
      </c>
    </row>
    <row r="469" spans="2:18" ht="20" x14ac:dyDescent="0.2">
      <c r="B469" s="96" t="s">
        <v>587</v>
      </c>
      <c r="C469" s="22" t="s">
        <v>3002</v>
      </c>
      <c r="D469" s="22"/>
      <c r="E469" s="262"/>
      <c r="F469" s="262"/>
      <c r="G469" s="96" t="s">
        <v>2379</v>
      </c>
      <c r="H469" s="162" t="s">
        <v>1150</v>
      </c>
      <c r="I469" s="209">
        <v>240</v>
      </c>
      <c r="J469" s="209">
        <v>138</v>
      </c>
      <c r="K469" s="209">
        <v>400</v>
      </c>
      <c r="L469" s="94">
        <f>K469*1.2</f>
        <v>480</v>
      </c>
      <c r="M469" s="94">
        <v>0.9</v>
      </c>
      <c r="N469" s="94">
        <f>K469*$M469</f>
        <v>360</v>
      </c>
      <c r="O469" s="94">
        <f>L469*$M469</f>
        <v>432</v>
      </c>
      <c r="P469" s="11" t="s">
        <v>3291</v>
      </c>
      <c r="Q469" s="11"/>
      <c r="R469" s="34">
        <v>471</v>
      </c>
    </row>
    <row r="470" spans="2:18" ht="20" x14ac:dyDescent="0.2">
      <c r="B470" s="96" t="s">
        <v>587</v>
      </c>
      <c r="C470" s="22" t="s">
        <v>3002</v>
      </c>
      <c r="D470" s="22"/>
      <c r="E470" s="262"/>
      <c r="F470" s="262"/>
      <c r="G470" s="96" t="s">
        <v>2379</v>
      </c>
      <c r="H470" s="162" t="s">
        <v>1154</v>
      </c>
      <c r="I470" s="209">
        <v>240</v>
      </c>
      <c r="J470" s="209">
        <v>138</v>
      </c>
      <c r="K470" s="209">
        <v>400</v>
      </c>
      <c r="L470" s="94">
        <f>K470*1.2</f>
        <v>480</v>
      </c>
      <c r="M470" s="94">
        <v>0.9</v>
      </c>
      <c r="N470" s="94">
        <f>K470*$M470</f>
        <v>360</v>
      </c>
      <c r="O470" s="94">
        <f>L470*$M470</f>
        <v>432</v>
      </c>
      <c r="P470" s="11" t="s">
        <v>3291</v>
      </c>
      <c r="Q470" s="11"/>
      <c r="R470" s="34">
        <v>472</v>
      </c>
    </row>
    <row r="471" spans="2:18" ht="20" x14ac:dyDescent="0.2">
      <c r="B471" s="96" t="s">
        <v>886</v>
      </c>
      <c r="C471" s="22" t="s">
        <v>3003</v>
      </c>
      <c r="D471" s="22"/>
      <c r="E471" s="262"/>
      <c r="F471" s="262"/>
      <c r="G471" s="96" t="s">
        <v>2379</v>
      </c>
      <c r="H471" s="22"/>
      <c r="I471" s="201">
        <v>144</v>
      </c>
      <c r="J471" s="211"/>
      <c r="K471" s="211"/>
      <c r="L471" s="58"/>
      <c r="M471" s="58"/>
      <c r="N471" s="58"/>
      <c r="O471" s="58"/>
      <c r="P471" s="11"/>
      <c r="Q471" s="11"/>
      <c r="R471" s="34">
        <v>473</v>
      </c>
    </row>
    <row r="472" spans="2:18" ht="20" x14ac:dyDescent="0.2">
      <c r="B472" s="96" t="s">
        <v>1358</v>
      </c>
      <c r="C472" s="22" t="s">
        <v>3004</v>
      </c>
      <c r="D472" s="22"/>
      <c r="E472" s="262"/>
      <c r="F472" s="262"/>
      <c r="G472" s="96" t="s">
        <v>2379</v>
      </c>
      <c r="H472" s="22"/>
      <c r="I472" s="201">
        <v>144</v>
      </c>
      <c r="J472" s="211"/>
      <c r="K472" s="211"/>
      <c r="L472" s="58"/>
      <c r="M472" s="58"/>
      <c r="N472" s="58"/>
      <c r="O472" s="58"/>
      <c r="P472" s="11"/>
      <c r="Q472" s="11"/>
      <c r="R472" s="34">
        <v>474</v>
      </c>
    </row>
    <row r="473" spans="2:18" ht="20" x14ac:dyDescent="0.2">
      <c r="B473" s="96" t="s">
        <v>1435</v>
      </c>
      <c r="C473" s="22" t="s">
        <v>3005</v>
      </c>
      <c r="D473" s="22"/>
      <c r="E473" s="262"/>
      <c r="F473" s="262"/>
      <c r="G473" s="96" t="s">
        <v>2379</v>
      </c>
      <c r="H473" s="22"/>
      <c r="I473" s="201">
        <v>144</v>
      </c>
      <c r="J473" s="211"/>
      <c r="K473" s="211"/>
      <c r="L473" s="58"/>
      <c r="M473" s="58"/>
      <c r="N473" s="58"/>
      <c r="O473" s="58"/>
      <c r="P473" s="11"/>
      <c r="Q473" s="11"/>
      <c r="R473" s="34">
        <v>475</v>
      </c>
    </row>
    <row r="474" spans="2:18" ht="20" x14ac:dyDescent="0.2">
      <c r="B474" s="96" t="s">
        <v>928</v>
      </c>
      <c r="C474" s="22" t="s">
        <v>3006</v>
      </c>
      <c r="D474" s="22"/>
      <c r="E474" s="262"/>
      <c r="F474" s="262"/>
      <c r="G474" s="96" t="s">
        <v>2379</v>
      </c>
      <c r="H474" s="22"/>
      <c r="I474" s="201">
        <v>144</v>
      </c>
      <c r="J474" s="211"/>
      <c r="K474" s="211"/>
      <c r="L474" s="58"/>
      <c r="M474" s="58"/>
      <c r="N474" s="58"/>
      <c r="O474" s="58"/>
      <c r="P474" s="11"/>
      <c r="Q474" s="11"/>
      <c r="R474" s="34">
        <v>476</v>
      </c>
    </row>
    <row r="475" spans="2:18" ht="20" x14ac:dyDescent="0.2">
      <c r="B475" s="96" t="s">
        <v>761</v>
      </c>
      <c r="C475" s="22" t="s">
        <v>3007</v>
      </c>
      <c r="D475" s="22"/>
      <c r="E475" s="262"/>
      <c r="F475" s="262"/>
      <c r="G475" s="96" t="s">
        <v>2379</v>
      </c>
      <c r="H475" s="162" t="s">
        <v>1157</v>
      </c>
      <c r="I475" s="209">
        <v>240</v>
      </c>
      <c r="J475" s="209">
        <v>138</v>
      </c>
      <c r="K475" s="209">
        <v>179</v>
      </c>
      <c r="L475" s="94">
        <f>K475*1.2</f>
        <v>214.79999999999998</v>
      </c>
      <c r="M475" s="94">
        <v>0.9</v>
      </c>
      <c r="N475" s="94">
        <f>K475*$M475</f>
        <v>161.1</v>
      </c>
      <c r="O475" s="94">
        <f>L475*$M475</f>
        <v>193.32</v>
      </c>
      <c r="P475" s="11" t="s">
        <v>3286</v>
      </c>
      <c r="Q475" s="11"/>
      <c r="R475" s="34">
        <v>477</v>
      </c>
    </row>
    <row r="476" spans="2:18" ht="20" x14ac:dyDescent="0.2">
      <c r="B476" s="96" t="s">
        <v>989</v>
      </c>
      <c r="C476" s="22" t="s">
        <v>3008</v>
      </c>
      <c r="D476" s="22"/>
      <c r="E476" s="262"/>
      <c r="F476" s="262"/>
      <c r="G476" s="96" t="s">
        <v>2379</v>
      </c>
      <c r="H476" s="162" t="s">
        <v>1159</v>
      </c>
      <c r="I476" s="209">
        <v>240</v>
      </c>
      <c r="J476" s="209">
        <v>138</v>
      </c>
      <c r="K476" s="209">
        <v>286.8</v>
      </c>
      <c r="L476" s="94">
        <f>K476*1.2</f>
        <v>344.16</v>
      </c>
      <c r="M476" s="94">
        <v>0.9</v>
      </c>
      <c r="N476" s="94">
        <f>K476*$M476</f>
        <v>258.12</v>
      </c>
      <c r="O476" s="94">
        <f>L476*$M476</f>
        <v>309.74400000000003</v>
      </c>
      <c r="P476" s="11" t="s">
        <v>3297</v>
      </c>
      <c r="Q476" s="11"/>
      <c r="R476" s="34">
        <v>478</v>
      </c>
    </row>
    <row r="477" spans="2:18" ht="20" x14ac:dyDescent="0.2">
      <c r="B477" s="96" t="s">
        <v>1386</v>
      </c>
      <c r="C477" s="22" t="s">
        <v>3009</v>
      </c>
      <c r="D477" s="22"/>
      <c r="E477" s="262"/>
      <c r="F477" s="262"/>
      <c r="G477" s="96" t="s">
        <v>2379</v>
      </c>
      <c r="H477" s="22"/>
      <c r="I477" s="201">
        <v>138</v>
      </c>
      <c r="J477" s="211"/>
      <c r="K477" s="211"/>
      <c r="L477" s="58"/>
      <c r="M477" s="58"/>
      <c r="N477" s="58"/>
      <c r="O477" s="58"/>
      <c r="P477" s="11"/>
      <c r="Q477" s="11"/>
      <c r="R477" s="34">
        <v>479</v>
      </c>
    </row>
    <row r="478" spans="2:18" ht="20" x14ac:dyDescent="0.2">
      <c r="B478" s="96" t="s">
        <v>572</v>
      </c>
      <c r="C478" s="22" t="s">
        <v>3010</v>
      </c>
      <c r="D478" s="22"/>
      <c r="E478" s="262"/>
      <c r="F478" s="262"/>
      <c r="G478" s="96" t="s">
        <v>2379</v>
      </c>
      <c r="H478" s="162" t="s">
        <v>1156</v>
      </c>
      <c r="I478" s="209">
        <v>240</v>
      </c>
      <c r="J478" s="209">
        <v>138</v>
      </c>
      <c r="K478" s="209">
        <v>193.6</v>
      </c>
      <c r="L478" s="94">
        <f>K478*1.2</f>
        <v>232.32</v>
      </c>
      <c r="M478" s="94">
        <v>0.9</v>
      </c>
      <c r="N478" s="94">
        <f t="shared" ref="N478:O480" si="14">K478*$M478</f>
        <v>174.24</v>
      </c>
      <c r="O478" s="94">
        <f t="shared" si="14"/>
        <v>209.08799999999999</v>
      </c>
      <c r="P478" s="11" t="s">
        <v>3301</v>
      </c>
      <c r="Q478" s="11"/>
      <c r="R478" s="34">
        <v>480</v>
      </c>
    </row>
    <row r="479" spans="2:18" ht="20" x14ac:dyDescent="0.2">
      <c r="B479" s="96" t="s">
        <v>572</v>
      </c>
      <c r="C479" s="22" t="s">
        <v>3010</v>
      </c>
      <c r="D479" s="22"/>
      <c r="E479" s="262"/>
      <c r="F479" s="262"/>
      <c r="G479" s="96" t="s">
        <v>2379</v>
      </c>
      <c r="H479" s="162" t="s">
        <v>1166</v>
      </c>
      <c r="I479" s="209">
        <v>240</v>
      </c>
      <c r="J479" s="209">
        <v>138</v>
      </c>
      <c r="K479" s="209">
        <v>200</v>
      </c>
      <c r="L479" s="94">
        <f>K479*1.2</f>
        <v>240</v>
      </c>
      <c r="M479" s="94">
        <v>0.9</v>
      </c>
      <c r="N479" s="94">
        <f t="shared" si="14"/>
        <v>180</v>
      </c>
      <c r="O479" s="94">
        <f t="shared" si="14"/>
        <v>216</v>
      </c>
      <c r="P479" s="11" t="s">
        <v>3301</v>
      </c>
      <c r="Q479" s="11"/>
      <c r="R479" s="34">
        <v>481</v>
      </c>
    </row>
    <row r="480" spans="2:18" ht="20" x14ac:dyDescent="0.2">
      <c r="B480" s="96" t="s">
        <v>572</v>
      </c>
      <c r="C480" s="22" t="s">
        <v>3010</v>
      </c>
      <c r="D480" s="22"/>
      <c r="E480" s="262"/>
      <c r="F480" s="262"/>
      <c r="G480" s="96" t="s">
        <v>2379</v>
      </c>
      <c r="H480" s="162" t="s">
        <v>1159</v>
      </c>
      <c r="I480" s="209">
        <v>240</v>
      </c>
      <c r="J480" s="209">
        <v>138</v>
      </c>
      <c r="K480" s="209">
        <v>200</v>
      </c>
      <c r="L480" s="94">
        <f>K480*1.2</f>
        <v>240</v>
      </c>
      <c r="M480" s="94">
        <v>0.9</v>
      </c>
      <c r="N480" s="94">
        <f t="shared" si="14"/>
        <v>180</v>
      </c>
      <c r="O480" s="94">
        <f t="shared" si="14"/>
        <v>216</v>
      </c>
      <c r="P480" s="11" t="s">
        <v>3301</v>
      </c>
      <c r="Q480" s="11"/>
      <c r="R480" s="34">
        <v>482</v>
      </c>
    </row>
    <row r="481" spans="2:18" ht="20" x14ac:dyDescent="0.2">
      <c r="B481" s="96" t="s">
        <v>1637</v>
      </c>
      <c r="C481" s="22" t="s">
        <v>3011</v>
      </c>
      <c r="D481" s="22"/>
      <c r="E481" s="262"/>
      <c r="F481" s="262"/>
      <c r="G481" s="96" t="s">
        <v>2379</v>
      </c>
      <c r="H481" s="22"/>
      <c r="I481" s="201">
        <v>144</v>
      </c>
      <c r="J481" s="211"/>
      <c r="K481" s="211"/>
      <c r="L481" s="58"/>
      <c r="M481" s="58"/>
      <c r="N481" s="58"/>
      <c r="O481" s="58"/>
      <c r="P481" s="11"/>
      <c r="Q481" s="11"/>
      <c r="R481" s="34">
        <v>483</v>
      </c>
    </row>
    <row r="482" spans="2:18" ht="20" x14ac:dyDescent="0.2">
      <c r="B482" s="96" t="s">
        <v>1284</v>
      </c>
      <c r="C482" s="22" t="s">
        <v>3012</v>
      </c>
      <c r="D482" s="22"/>
      <c r="E482" s="262"/>
      <c r="F482" s="262"/>
      <c r="G482" s="96" t="s">
        <v>2379</v>
      </c>
      <c r="H482" s="22"/>
      <c r="I482" s="201">
        <v>138</v>
      </c>
      <c r="J482" s="211"/>
      <c r="K482" s="211"/>
      <c r="L482" s="58"/>
      <c r="M482" s="58"/>
      <c r="N482" s="58"/>
      <c r="O482" s="58"/>
      <c r="P482" s="11"/>
      <c r="Q482" s="11"/>
      <c r="R482" s="34">
        <v>484</v>
      </c>
    </row>
    <row r="483" spans="2:18" ht="20" x14ac:dyDescent="0.2">
      <c r="B483" s="96" t="s">
        <v>1721</v>
      </c>
      <c r="C483" s="22" t="s">
        <v>3013</v>
      </c>
      <c r="D483" s="22"/>
      <c r="E483" s="262"/>
      <c r="F483" s="262"/>
      <c r="G483" s="96" t="s">
        <v>2379</v>
      </c>
      <c r="H483" s="22"/>
      <c r="I483" s="201">
        <v>144</v>
      </c>
      <c r="J483" s="211"/>
      <c r="K483" s="211"/>
      <c r="L483" s="58"/>
      <c r="M483" s="58"/>
      <c r="N483" s="58"/>
      <c r="O483" s="58"/>
      <c r="P483" s="11"/>
      <c r="Q483" s="11"/>
      <c r="R483" s="34">
        <v>485</v>
      </c>
    </row>
    <row r="484" spans="2:18" ht="20" x14ac:dyDescent="0.2">
      <c r="B484" s="96" t="s">
        <v>1082</v>
      </c>
      <c r="C484" s="22" t="s">
        <v>3014</v>
      </c>
      <c r="D484" s="22"/>
      <c r="E484" s="262"/>
      <c r="F484" s="262"/>
      <c r="G484" s="96" t="s">
        <v>2379</v>
      </c>
      <c r="H484" s="22"/>
      <c r="I484" s="201">
        <v>240</v>
      </c>
      <c r="J484" s="211"/>
      <c r="K484" s="211"/>
      <c r="L484" s="58"/>
      <c r="M484" s="58"/>
      <c r="N484" s="58"/>
      <c r="O484" s="58"/>
      <c r="P484" s="11"/>
      <c r="Q484" s="11"/>
      <c r="R484" s="34">
        <v>486</v>
      </c>
    </row>
    <row r="485" spans="2:18" ht="20" x14ac:dyDescent="0.2">
      <c r="B485" s="96" t="s">
        <v>1843</v>
      </c>
      <c r="C485" s="22" t="s">
        <v>3015</v>
      </c>
      <c r="D485" s="22"/>
      <c r="E485" s="262"/>
      <c r="F485" s="262"/>
      <c r="G485" s="96" t="s">
        <v>2379</v>
      </c>
      <c r="H485" s="22"/>
      <c r="I485" s="201">
        <v>138</v>
      </c>
      <c r="J485" s="211"/>
      <c r="K485" s="211"/>
      <c r="L485" s="58"/>
      <c r="M485" s="58"/>
      <c r="N485" s="58"/>
      <c r="O485" s="58"/>
      <c r="P485" s="11"/>
      <c r="Q485" s="11"/>
      <c r="R485" s="34">
        <v>487</v>
      </c>
    </row>
    <row r="486" spans="2:18" ht="20" x14ac:dyDescent="0.2">
      <c r="B486" s="96" t="s">
        <v>1891</v>
      </c>
      <c r="C486" s="22" t="s">
        <v>2701</v>
      </c>
      <c r="D486" s="22"/>
      <c r="E486" s="262">
        <v>49.561007699999998</v>
      </c>
      <c r="F486" s="262">
        <v>-113.89603839999999</v>
      </c>
      <c r="G486" s="96" t="s">
        <v>2379</v>
      </c>
      <c r="H486" s="22"/>
      <c r="I486" s="201">
        <v>144</v>
      </c>
      <c r="J486" s="211"/>
      <c r="K486" s="211"/>
      <c r="L486" s="58"/>
      <c r="M486" s="58"/>
      <c r="N486" s="58"/>
      <c r="O486" s="58"/>
      <c r="P486" s="11"/>
      <c r="Q486" s="11"/>
      <c r="R486" s="34">
        <v>488</v>
      </c>
    </row>
    <row r="487" spans="2:18" ht="20" x14ac:dyDescent="0.2">
      <c r="B487" s="96" t="s">
        <v>1647</v>
      </c>
      <c r="C487" s="22" t="s">
        <v>3016</v>
      </c>
      <c r="D487" s="22"/>
      <c r="E487" s="262"/>
      <c r="F487" s="262"/>
      <c r="G487" s="96" t="s">
        <v>2379</v>
      </c>
      <c r="H487" s="22"/>
      <c r="I487" s="201">
        <v>144</v>
      </c>
      <c r="J487" s="211"/>
      <c r="K487" s="211"/>
      <c r="L487" s="58"/>
      <c r="M487" s="58"/>
      <c r="N487" s="58"/>
      <c r="O487" s="58"/>
      <c r="P487" s="11"/>
      <c r="Q487" s="11"/>
      <c r="R487" s="34">
        <v>489</v>
      </c>
    </row>
    <row r="488" spans="2:18" ht="20" x14ac:dyDescent="0.2">
      <c r="B488" s="96" t="s">
        <v>1215</v>
      </c>
      <c r="C488" s="22" t="s">
        <v>3017</v>
      </c>
      <c r="D488" s="22"/>
      <c r="E488" s="262"/>
      <c r="F488" s="262"/>
      <c r="G488" s="96" t="s">
        <v>2379</v>
      </c>
      <c r="H488" s="22"/>
      <c r="I488" s="201">
        <v>69</v>
      </c>
      <c r="J488" s="211"/>
      <c r="K488" s="211"/>
      <c r="L488" s="58"/>
      <c r="M488" s="58"/>
      <c r="N488" s="58"/>
      <c r="O488" s="58"/>
      <c r="P488" s="11"/>
      <c r="Q488" s="11"/>
      <c r="R488" s="34">
        <v>490</v>
      </c>
    </row>
    <row r="489" spans="2:18" ht="20" x14ac:dyDescent="0.2">
      <c r="B489" s="96" t="s">
        <v>2055</v>
      </c>
      <c r="C489" s="22" t="s">
        <v>3018</v>
      </c>
      <c r="D489" s="22"/>
      <c r="E489" s="262"/>
      <c r="F489" s="262"/>
      <c r="G489" s="96" t="s">
        <v>2379</v>
      </c>
      <c r="H489" s="22"/>
      <c r="I489" s="201">
        <v>144</v>
      </c>
      <c r="J489" s="211"/>
      <c r="K489" s="211"/>
      <c r="L489" s="58"/>
      <c r="M489" s="58"/>
      <c r="N489" s="58"/>
      <c r="O489" s="58"/>
      <c r="P489" s="11"/>
      <c r="Q489" s="11"/>
      <c r="R489" s="34">
        <v>491</v>
      </c>
    </row>
    <row r="490" spans="2:18" ht="20" x14ac:dyDescent="0.2">
      <c r="B490" s="96" t="s">
        <v>747</v>
      </c>
      <c r="C490" s="22" t="s">
        <v>2640</v>
      </c>
      <c r="D490" s="22"/>
      <c r="E490" s="262"/>
      <c r="F490" s="262"/>
      <c r="G490" s="96" t="s">
        <v>2379</v>
      </c>
      <c r="H490" s="22"/>
      <c r="I490" s="201">
        <v>72</v>
      </c>
      <c r="J490" s="211"/>
      <c r="K490" s="211"/>
      <c r="L490" s="58"/>
      <c r="M490" s="58"/>
      <c r="N490" s="58"/>
      <c r="O490" s="58"/>
      <c r="P490" s="11"/>
      <c r="Q490" s="11"/>
      <c r="R490" s="34">
        <v>492</v>
      </c>
    </row>
    <row r="491" spans="2:18" ht="20" x14ac:dyDescent="0.2">
      <c r="B491" s="96" t="s">
        <v>1514</v>
      </c>
      <c r="C491" s="22" t="s">
        <v>2639</v>
      </c>
      <c r="D491" s="22"/>
      <c r="E491" s="262"/>
      <c r="F491" s="262"/>
      <c r="G491" s="96" t="s">
        <v>2379</v>
      </c>
      <c r="H491" s="22"/>
      <c r="I491" s="201">
        <v>69</v>
      </c>
      <c r="J491" s="211"/>
      <c r="K491" s="211"/>
      <c r="L491" s="58"/>
      <c r="M491" s="58"/>
      <c r="N491" s="58"/>
      <c r="O491" s="58"/>
      <c r="P491" s="11"/>
      <c r="Q491" s="11"/>
      <c r="R491" s="34">
        <v>493</v>
      </c>
    </row>
    <row r="492" spans="2:18" ht="20" x14ac:dyDescent="0.2">
      <c r="B492" s="96" t="s">
        <v>459</v>
      </c>
      <c r="C492" s="22" t="s">
        <v>2649</v>
      </c>
      <c r="D492" s="22"/>
      <c r="E492" s="262"/>
      <c r="F492" s="262"/>
      <c r="G492" s="96" t="s">
        <v>2379</v>
      </c>
      <c r="H492" s="22"/>
      <c r="I492" s="201">
        <v>144</v>
      </c>
      <c r="J492" s="211"/>
      <c r="K492" s="211"/>
      <c r="L492" s="58"/>
      <c r="M492" s="58"/>
      <c r="N492" s="58"/>
      <c r="O492" s="58"/>
      <c r="P492" s="11"/>
      <c r="Q492" s="11"/>
      <c r="R492" s="34">
        <v>494</v>
      </c>
    </row>
    <row r="493" spans="2:18" ht="20" x14ac:dyDescent="0.2">
      <c r="B493" s="96" t="s">
        <v>1206</v>
      </c>
      <c r="C493" s="22" t="s">
        <v>3019</v>
      </c>
      <c r="D493" s="22"/>
      <c r="E493" s="262"/>
      <c r="F493" s="262"/>
      <c r="G493" s="96" t="s">
        <v>2379</v>
      </c>
      <c r="H493" s="22"/>
      <c r="I493" s="201">
        <v>138</v>
      </c>
      <c r="J493" s="211"/>
      <c r="K493" s="211"/>
      <c r="L493" s="58"/>
      <c r="M493" s="58"/>
      <c r="N493" s="58"/>
      <c r="O493" s="58"/>
      <c r="P493" s="11"/>
      <c r="Q493" s="11"/>
      <c r="R493" s="34">
        <v>495</v>
      </c>
    </row>
    <row r="494" spans="2:18" ht="20" x14ac:dyDescent="0.2">
      <c r="B494" s="96" t="s">
        <v>1034</v>
      </c>
      <c r="C494" s="22" t="s">
        <v>3020</v>
      </c>
      <c r="D494" s="22"/>
      <c r="E494" s="262"/>
      <c r="F494" s="262"/>
      <c r="G494" s="96" t="s">
        <v>2379</v>
      </c>
      <c r="H494" s="22"/>
      <c r="I494" s="201">
        <v>240</v>
      </c>
      <c r="J494" s="211"/>
      <c r="K494" s="211"/>
      <c r="L494" s="58"/>
      <c r="M494" s="58"/>
      <c r="N494" s="58"/>
      <c r="O494" s="58"/>
      <c r="P494" s="11"/>
      <c r="Q494" s="11"/>
      <c r="R494" s="34">
        <v>496</v>
      </c>
    </row>
    <row r="495" spans="2:18" ht="20" x14ac:dyDescent="0.2">
      <c r="B495" s="96" t="s">
        <v>867</v>
      </c>
      <c r="C495" s="22" t="s">
        <v>3021</v>
      </c>
      <c r="D495" s="22"/>
      <c r="E495" s="262"/>
      <c r="F495" s="262"/>
      <c r="G495" s="96" t="s">
        <v>2379</v>
      </c>
      <c r="H495" s="22"/>
      <c r="I495" s="213">
        <v>144</v>
      </c>
      <c r="J495" s="211"/>
      <c r="K495" s="211"/>
      <c r="L495" s="58"/>
      <c r="M495" s="58"/>
      <c r="N495" s="58"/>
      <c r="O495" s="58"/>
      <c r="P495" s="11"/>
      <c r="Q495" s="11"/>
      <c r="R495" s="34">
        <v>497</v>
      </c>
    </row>
    <row r="496" spans="2:18" ht="20" x14ac:dyDescent="0.2">
      <c r="B496" s="96" t="s">
        <v>1984</v>
      </c>
      <c r="C496" s="22" t="s">
        <v>2607</v>
      </c>
      <c r="D496" s="22"/>
      <c r="E496" s="262"/>
      <c r="F496" s="262"/>
      <c r="G496" s="96" t="s">
        <v>2379</v>
      </c>
      <c r="H496" s="162" t="s">
        <v>1150</v>
      </c>
      <c r="I496" s="209">
        <v>138</v>
      </c>
      <c r="J496" s="209">
        <v>4.16</v>
      </c>
      <c r="K496" s="209">
        <v>18.7</v>
      </c>
      <c r="L496" s="94">
        <f>K496*1.2</f>
        <v>22.439999999999998</v>
      </c>
      <c r="M496" s="94">
        <v>0.9</v>
      </c>
      <c r="N496" s="94">
        <f>K496*$M496</f>
        <v>16.829999999999998</v>
      </c>
      <c r="O496" s="94">
        <f>L496*$M496</f>
        <v>20.195999999999998</v>
      </c>
      <c r="P496" s="11" t="s">
        <v>3274</v>
      </c>
      <c r="Q496" s="11"/>
      <c r="R496" s="34">
        <v>498</v>
      </c>
    </row>
    <row r="497" spans="2:18" ht="20" x14ac:dyDescent="0.2">
      <c r="B497" s="96" t="s">
        <v>1984</v>
      </c>
      <c r="C497" s="22" t="s">
        <v>2607</v>
      </c>
      <c r="D497" s="22"/>
      <c r="E497" s="262"/>
      <c r="F497" s="262"/>
      <c r="G497" s="96" t="s">
        <v>2379</v>
      </c>
      <c r="H497" s="162" t="s">
        <v>1154</v>
      </c>
      <c r="I497" s="209">
        <v>138</v>
      </c>
      <c r="J497" s="209">
        <v>25</v>
      </c>
      <c r="K497" s="209">
        <v>25</v>
      </c>
      <c r="L497" s="94">
        <f>K497*1.2</f>
        <v>30</v>
      </c>
      <c r="M497" s="94">
        <v>0.9</v>
      </c>
      <c r="N497" s="94">
        <f>K497*$M497</f>
        <v>22.5</v>
      </c>
      <c r="O497" s="94">
        <f>L497*$M497</f>
        <v>27</v>
      </c>
      <c r="P497" s="11" t="s">
        <v>3274</v>
      </c>
      <c r="Q497" s="11"/>
      <c r="R497" s="34">
        <v>499</v>
      </c>
    </row>
    <row r="498" spans="2:18" ht="20" x14ac:dyDescent="0.2">
      <c r="B498" s="96" t="s">
        <v>722</v>
      </c>
      <c r="C498" s="22" t="s">
        <v>3022</v>
      </c>
      <c r="D498" s="22"/>
      <c r="E498" s="262"/>
      <c r="F498" s="262"/>
      <c r="G498" s="96" t="s">
        <v>2379</v>
      </c>
      <c r="H498" s="22"/>
      <c r="I498" s="201">
        <v>72</v>
      </c>
      <c r="J498" s="211"/>
      <c r="K498" s="211"/>
      <c r="L498" s="58"/>
      <c r="M498" s="58"/>
      <c r="N498" s="58"/>
      <c r="O498" s="58"/>
      <c r="P498" s="11"/>
      <c r="Q498" s="11"/>
      <c r="R498" s="34">
        <v>500</v>
      </c>
    </row>
    <row r="499" spans="2:18" ht="20" x14ac:dyDescent="0.2">
      <c r="B499" s="96" t="s">
        <v>590</v>
      </c>
      <c r="C499" s="22" t="s">
        <v>3023</v>
      </c>
      <c r="D499" s="22"/>
      <c r="E499" s="262"/>
      <c r="F499" s="262"/>
      <c r="G499" s="96" t="s">
        <v>2379</v>
      </c>
      <c r="H499" s="162" t="s">
        <v>1150</v>
      </c>
      <c r="I499" s="209">
        <v>240</v>
      </c>
      <c r="J499" s="209">
        <v>138</v>
      </c>
      <c r="K499" s="209">
        <v>179</v>
      </c>
      <c r="L499" s="94">
        <f>K499*1.2</f>
        <v>214.79999999999998</v>
      </c>
      <c r="M499" s="94">
        <v>0.9</v>
      </c>
      <c r="N499" s="94">
        <f>K499*$M499</f>
        <v>161.1</v>
      </c>
      <c r="O499" s="94">
        <f>L499*$M499</f>
        <v>193.32</v>
      </c>
      <c r="P499" s="11" t="s">
        <v>3302</v>
      </c>
      <c r="Q499" s="11"/>
      <c r="R499" s="34">
        <v>501</v>
      </c>
    </row>
    <row r="500" spans="2:18" ht="20" x14ac:dyDescent="0.2">
      <c r="B500" s="96" t="s">
        <v>1043</v>
      </c>
      <c r="C500" s="22" t="s">
        <v>3024</v>
      </c>
      <c r="D500" s="22"/>
      <c r="E500" s="262"/>
      <c r="F500" s="262"/>
      <c r="G500" s="96" t="s">
        <v>2379</v>
      </c>
      <c r="H500" s="162" t="s">
        <v>1155</v>
      </c>
      <c r="I500" s="209">
        <v>240</v>
      </c>
      <c r="J500" s="209">
        <v>25</v>
      </c>
      <c r="K500" s="209">
        <v>66.7</v>
      </c>
      <c r="L500" s="94">
        <f>K500*1.2</f>
        <v>80.040000000000006</v>
      </c>
      <c r="M500" s="94">
        <v>0.9</v>
      </c>
      <c r="N500" s="94">
        <f>K500*$M500</f>
        <v>60.03</v>
      </c>
      <c r="O500" s="94">
        <f>L500*$M500</f>
        <v>72.036000000000001</v>
      </c>
      <c r="P500" s="11" t="s">
        <v>3291</v>
      </c>
      <c r="Q500" s="11"/>
      <c r="R500" s="34">
        <v>502</v>
      </c>
    </row>
    <row r="501" spans="2:18" ht="40" x14ac:dyDescent="0.2">
      <c r="B501" s="96" t="s">
        <v>1575</v>
      </c>
      <c r="C501" s="22" t="s">
        <v>3263</v>
      </c>
      <c r="D501" s="22"/>
      <c r="E501" s="262"/>
      <c r="F501" s="262"/>
      <c r="G501" s="96" t="s">
        <v>2379</v>
      </c>
      <c r="H501" s="22"/>
      <c r="I501" s="201">
        <v>144</v>
      </c>
      <c r="J501" s="211"/>
      <c r="K501" s="211"/>
      <c r="L501" s="58"/>
      <c r="M501" s="58"/>
      <c r="N501" s="58"/>
      <c r="O501" s="58"/>
      <c r="P501" s="11"/>
      <c r="Q501" s="11"/>
      <c r="R501" s="34">
        <v>503</v>
      </c>
    </row>
    <row r="502" spans="2:18" ht="20" x14ac:dyDescent="0.2">
      <c r="B502" s="96" t="s">
        <v>1315</v>
      </c>
      <c r="C502" s="22" t="s">
        <v>3025</v>
      </c>
      <c r="D502" s="22"/>
      <c r="E502" s="262"/>
      <c r="F502" s="262"/>
      <c r="G502" s="96" t="s">
        <v>2379</v>
      </c>
      <c r="H502" s="22"/>
      <c r="I502" s="201">
        <v>138</v>
      </c>
      <c r="J502" s="211"/>
      <c r="K502" s="211"/>
      <c r="L502" s="58"/>
      <c r="M502" s="58"/>
      <c r="N502" s="58"/>
      <c r="O502" s="58"/>
      <c r="P502" s="11"/>
      <c r="Q502" s="11"/>
      <c r="R502" s="34">
        <v>504</v>
      </c>
    </row>
    <row r="503" spans="2:18" ht="20" x14ac:dyDescent="0.2">
      <c r="B503" s="96" t="s">
        <v>579</v>
      </c>
      <c r="C503" s="22" t="s">
        <v>3026</v>
      </c>
      <c r="D503" s="22"/>
      <c r="E503" s="262"/>
      <c r="F503" s="262"/>
      <c r="G503" s="96" t="s">
        <v>2379</v>
      </c>
      <c r="H503" s="22"/>
      <c r="I503" s="201">
        <v>240</v>
      </c>
      <c r="J503" s="211"/>
      <c r="K503" s="211"/>
      <c r="L503" s="58"/>
      <c r="M503" s="58"/>
      <c r="N503" s="58"/>
      <c r="O503" s="58"/>
      <c r="P503" s="11"/>
      <c r="Q503" s="11"/>
      <c r="R503" s="34">
        <v>505</v>
      </c>
    </row>
    <row r="504" spans="2:18" ht="20" x14ac:dyDescent="0.2">
      <c r="B504" s="96" t="s">
        <v>555</v>
      </c>
      <c r="C504" s="22" t="s">
        <v>3027</v>
      </c>
      <c r="D504" s="22"/>
      <c r="E504" s="262"/>
      <c r="F504" s="262"/>
      <c r="G504" s="96" t="s">
        <v>2379</v>
      </c>
      <c r="H504" s="22"/>
      <c r="I504" s="201">
        <v>240</v>
      </c>
      <c r="J504" s="211"/>
      <c r="K504" s="211"/>
      <c r="L504" s="58"/>
      <c r="M504" s="58"/>
      <c r="N504" s="58"/>
      <c r="O504" s="58"/>
      <c r="P504" s="11"/>
      <c r="Q504" s="11"/>
      <c r="R504" s="34">
        <v>506</v>
      </c>
    </row>
    <row r="505" spans="2:18" ht="20" x14ac:dyDescent="0.2">
      <c r="B505" s="96" t="s">
        <v>1365</v>
      </c>
      <c r="C505" s="22" t="s">
        <v>3028</v>
      </c>
      <c r="D505" s="22"/>
      <c r="E505" s="262"/>
      <c r="F505" s="262"/>
      <c r="G505" s="96" t="s">
        <v>2379</v>
      </c>
      <c r="H505" s="22"/>
      <c r="I505" s="201">
        <v>144</v>
      </c>
      <c r="J505" s="211"/>
      <c r="K505" s="211"/>
      <c r="L505" s="58"/>
      <c r="M505" s="58"/>
      <c r="N505" s="58"/>
      <c r="O505" s="58"/>
      <c r="P505" s="11"/>
      <c r="Q505" s="11"/>
      <c r="R505" s="34">
        <v>507</v>
      </c>
    </row>
    <row r="506" spans="2:18" ht="20" x14ac:dyDescent="0.2">
      <c r="B506" s="96" t="s">
        <v>642</v>
      </c>
      <c r="C506" s="22" t="s">
        <v>3029</v>
      </c>
      <c r="D506" s="22"/>
      <c r="E506" s="262"/>
      <c r="F506" s="262"/>
      <c r="G506" s="96" t="s">
        <v>2379</v>
      </c>
      <c r="H506" s="162" t="s">
        <v>1150</v>
      </c>
      <c r="I506" s="209">
        <v>240</v>
      </c>
      <c r="J506" s="209">
        <v>144</v>
      </c>
      <c r="K506" s="209">
        <v>200</v>
      </c>
      <c r="L506" s="94">
        <f>K506*1.2</f>
        <v>240</v>
      </c>
      <c r="M506" s="94">
        <v>0.9</v>
      </c>
      <c r="N506" s="94">
        <f t="shared" ref="N506:O508" si="15">K506*$M506</f>
        <v>180</v>
      </c>
      <c r="O506" s="94">
        <f t="shared" si="15"/>
        <v>216</v>
      </c>
      <c r="P506" s="11" t="s">
        <v>3294</v>
      </c>
      <c r="Q506" s="11"/>
      <c r="R506" s="34">
        <v>508</v>
      </c>
    </row>
    <row r="507" spans="2:18" ht="20" x14ac:dyDescent="0.2">
      <c r="B507" s="96" t="s">
        <v>642</v>
      </c>
      <c r="C507" s="22" t="s">
        <v>3029</v>
      </c>
      <c r="D507" s="22"/>
      <c r="E507" s="262"/>
      <c r="F507" s="262"/>
      <c r="G507" s="96" t="s">
        <v>2379</v>
      </c>
      <c r="H507" s="162" t="s">
        <v>1154</v>
      </c>
      <c r="I507" s="209">
        <v>240</v>
      </c>
      <c r="J507" s="209">
        <v>144</v>
      </c>
      <c r="K507" s="209">
        <v>200</v>
      </c>
      <c r="L507" s="94">
        <f>K507*1.2</f>
        <v>240</v>
      </c>
      <c r="M507" s="94">
        <v>0.9</v>
      </c>
      <c r="N507" s="94">
        <f t="shared" si="15"/>
        <v>180</v>
      </c>
      <c r="O507" s="94">
        <f t="shared" si="15"/>
        <v>216</v>
      </c>
      <c r="P507" s="11" t="s">
        <v>3294</v>
      </c>
      <c r="Q507" s="11"/>
      <c r="R507" s="34">
        <v>509</v>
      </c>
    </row>
    <row r="508" spans="2:18" ht="20" x14ac:dyDescent="0.2">
      <c r="B508" s="96" t="s">
        <v>1866</v>
      </c>
      <c r="C508" s="22" t="s">
        <v>2615</v>
      </c>
      <c r="D508" s="22"/>
      <c r="E508" s="262"/>
      <c r="F508" s="262"/>
      <c r="G508" s="96" t="s">
        <v>2379</v>
      </c>
      <c r="H508" s="162" t="s">
        <v>1150</v>
      </c>
      <c r="I508" s="209">
        <v>138</v>
      </c>
      <c r="J508" s="209">
        <v>69</v>
      </c>
      <c r="K508" s="209">
        <v>50</v>
      </c>
      <c r="L508" s="94">
        <f>K508*1.2</f>
        <v>60</v>
      </c>
      <c r="M508" s="94">
        <v>0.9</v>
      </c>
      <c r="N508" s="94">
        <f t="shared" si="15"/>
        <v>45</v>
      </c>
      <c r="O508" s="94">
        <f t="shared" si="15"/>
        <v>54</v>
      </c>
      <c r="P508" s="11" t="s">
        <v>3302</v>
      </c>
      <c r="Q508" s="11"/>
      <c r="R508" s="34">
        <v>510</v>
      </c>
    </row>
    <row r="509" spans="2:18" ht="20" x14ac:dyDescent="0.2">
      <c r="B509" s="96" t="s">
        <v>773</v>
      </c>
      <c r="C509" s="22" t="s">
        <v>3030</v>
      </c>
      <c r="D509" s="22"/>
      <c r="E509" s="262"/>
      <c r="F509" s="262"/>
      <c r="G509" s="96" t="s">
        <v>2379</v>
      </c>
      <c r="H509" s="22"/>
      <c r="I509" s="201">
        <v>138</v>
      </c>
      <c r="J509" s="211"/>
      <c r="K509" s="211"/>
      <c r="L509" s="58"/>
      <c r="M509" s="58"/>
      <c r="N509" s="58"/>
      <c r="O509" s="58"/>
      <c r="P509" s="11"/>
      <c r="Q509" s="11"/>
      <c r="R509" s="34">
        <v>511</v>
      </c>
    </row>
    <row r="510" spans="2:18" ht="20" x14ac:dyDescent="0.2">
      <c r="B510" s="96" t="s">
        <v>1619</v>
      </c>
      <c r="C510" s="22" t="s">
        <v>3031</v>
      </c>
      <c r="D510" s="22"/>
      <c r="E510" s="262"/>
      <c r="F510" s="262"/>
      <c r="G510" s="96" t="s">
        <v>2379</v>
      </c>
      <c r="H510" s="22"/>
      <c r="I510" s="201">
        <v>144</v>
      </c>
      <c r="J510" s="211"/>
      <c r="K510" s="211"/>
      <c r="L510" s="58"/>
      <c r="M510" s="58"/>
      <c r="N510" s="58"/>
      <c r="O510" s="58"/>
      <c r="P510" s="11"/>
      <c r="Q510" s="11"/>
      <c r="R510" s="34">
        <v>512</v>
      </c>
    </row>
    <row r="511" spans="2:18" ht="20" x14ac:dyDescent="0.2">
      <c r="B511" s="96" t="s">
        <v>768</v>
      </c>
      <c r="C511" s="22" t="s">
        <v>3032</v>
      </c>
      <c r="D511" s="22"/>
      <c r="E511" s="262"/>
      <c r="F511" s="262"/>
      <c r="G511" s="96" t="s">
        <v>2379</v>
      </c>
      <c r="H511" s="22"/>
      <c r="I511" s="201">
        <v>138</v>
      </c>
      <c r="J511" s="211"/>
      <c r="K511" s="211"/>
      <c r="L511" s="58"/>
      <c r="M511" s="58"/>
      <c r="N511" s="58"/>
      <c r="O511" s="58"/>
      <c r="P511" s="11"/>
      <c r="Q511" s="11"/>
      <c r="R511" s="34">
        <v>513</v>
      </c>
    </row>
    <row r="512" spans="2:18" ht="20" x14ac:dyDescent="0.2">
      <c r="B512" s="96" t="s">
        <v>1231</v>
      </c>
      <c r="C512" s="22" t="s">
        <v>3033</v>
      </c>
      <c r="D512" s="22"/>
      <c r="E512" s="262"/>
      <c r="F512" s="262"/>
      <c r="G512" s="96" t="s">
        <v>2379</v>
      </c>
      <c r="H512" s="22"/>
      <c r="I512" s="201">
        <v>72</v>
      </c>
      <c r="J512" s="211"/>
      <c r="K512" s="211"/>
      <c r="L512" s="58"/>
      <c r="M512" s="58"/>
      <c r="N512" s="58"/>
      <c r="O512" s="58"/>
      <c r="P512" s="11"/>
      <c r="Q512" s="11"/>
      <c r="R512" s="34">
        <v>514</v>
      </c>
    </row>
    <row r="513" spans="2:18" ht="20" x14ac:dyDescent="0.2">
      <c r="B513" s="96" t="s">
        <v>1711</v>
      </c>
      <c r="C513" s="22" t="s">
        <v>2702</v>
      </c>
      <c r="D513" s="22"/>
      <c r="E513" s="262">
        <v>50.699324099999998</v>
      </c>
      <c r="F513" s="262">
        <v>-115.1193763</v>
      </c>
      <c r="G513" s="96" t="s">
        <v>2379</v>
      </c>
      <c r="H513" s="22"/>
      <c r="I513" s="201">
        <v>144</v>
      </c>
      <c r="J513" s="211"/>
      <c r="K513" s="211"/>
      <c r="L513" s="58"/>
      <c r="M513" s="58"/>
      <c r="N513" s="58"/>
      <c r="O513" s="58"/>
      <c r="P513" s="11"/>
      <c r="Q513" s="11"/>
      <c r="R513" s="34">
        <v>515</v>
      </c>
    </row>
    <row r="514" spans="2:18" ht="20" x14ac:dyDescent="0.2">
      <c r="B514" s="96" t="s">
        <v>1389</v>
      </c>
      <c r="C514" s="22" t="s">
        <v>3034</v>
      </c>
      <c r="D514" s="22"/>
      <c r="E514" s="262"/>
      <c r="F514" s="262"/>
      <c r="G514" s="96" t="s">
        <v>2379</v>
      </c>
      <c r="H514" s="22"/>
      <c r="I514" s="201">
        <v>144</v>
      </c>
      <c r="J514" s="211"/>
      <c r="K514" s="211"/>
      <c r="L514" s="58"/>
      <c r="M514" s="58"/>
      <c r="N514" s="58"/>
      <c r="O514" s="58"/>
      <c r="P514" s="11"/>
      <c r="Q514" s="11"/>
      <c r="R514" s="34">
        <v>516</v>
      </c>
    </row>
    <row r="515" spans="2:18" ht="20" x14ac:dyDescent="0.2">
      <c r="B515" s="96" t="s">
        <v>814</v>
      </c>
      <c r="C515" s="22" t="s">
        <v>2703</v>
      </c>
      <c r="D515" s="22"/>
      <c r="E515" s="262">
        <v>57.008000000000003</v>
      </c>
      <c r="F515" s="262">
        <v>-111.4868</v>
      </c>
      <c r="G515" s="96" t="s">
        <v>2379</v>
      </c>
      <c r="H515" s="162" t="s">
        <v>1150</v>
      </c>
      <c r="I515" s="209">
        <v>144</v>
      </c>
      <c r="J515" s="209">
        <v>25</v>
      </c>
      <c r="K515" s="209">
        <v>33.299999999999997</v>
      </c>
      <c r="L515" s="94">
        <f>K515*1.2</f>
        <v>39.959999999999994</v>
      </c>
      <c r="M515" s="94">
        <v>0.9</v>
      </c>
      <c r="N515" s="94">
        <f>K515*$M515</f>
        <v>29.97</v>
      </c>
      <c r="O515" s="94">
        <f>L515*$M515</f>
        <v>35.963999999999999</v>
      </c>
      <c r="P515" s="11" t="s">
        <v>3273</v>
      </c>
      <c r="Q515" s="11"/>
      <c r="R515" s="34">
        <v>517</v>
      </c>
    </row>
    <row r="516" spans="2:18" ht="20" x14ac:dyDescent="0.2">
      <c r="B516" s="96" t="s">
        <v>814</v>
      </c>
      <c r="C516" s="22" t="s">
        <v>2703</v>
      </c>
      <c r="D516" s="22"/>
      <c r="E516" s="262">
        <v>57.008000000000003</v>
      </c>
      <c r="F516" s="262">
        <v>-111.4868</v>
      </c>
      <c r="G516" s="96" t="s">
        <v>2379</v>
      </c>
      <c r="H516" s="162" t="s">
        <v>1154</v>
      </c>
      <c r="I516" s="209">
        <v>144</v>
      </c>
      <c r="J516" s="209">
        <v>25</v>
      </c>
      <c r="K516" s="209">
        <v>33</v>
      </c>
      <c r="L516" s="94">
        <f>K516*1.2</f>
        <v>39.6</v>
      </c>
      <c r="M516" s="94">
        <v>0.9</v>
      </c>
      <c r="N516" s="94">
        <f>K516*$M516</f>
        <v>29.7</v>
      </c>
      <c r="O516" s="94">
        <f>L516*$M516</f>
        <v>35.64</v>
      </c>
      <c r="P516" s="11" t="s">
        <v>3273</v>
      </c>
      <c r="Q516" s="11"/>
      <c r="R516" s="34">
        <v>518</v>
      </c>
    </row>
    <row r="517" spans="2:18" ht="20" x14ac:dyDescent="0.2">
      <c r="B517" s="96" t="s">
        <v>634</v>
      </c>
      <c r="C517" s="22" t="s">
        <v>3035</v>
      </c>
      <c r="D517" s="22"/>
      <c r="E517" s="262"/>
      <c r="F517" s="262"/>
      <c r="G517" s="96" t="s">
        <v>2379</v>
      </c>
      <c r="H517" s="22"/>
      <c r="I517" s="201">
        <v>240</v>
      </c>
      <c r="J517" s="211"/>
      <c r="K517" s="211"/>
      <c r="L517" s="58"/>
      <c r="M517" s="58"/>
      <c r="N517" s="58"/>
      <c r="O517" s="58"/>
      <c r="P517" s="11"/>
      <c r="Q517" s="11"/>
      <c r="R517" s="34">
        <v>519</v>
      </c>
    </row>
    <row r="518" spans="2:18" ht="20" x14ac:dyDescent="0.2">
      <c r="B518" s="96" t="s">
        <v>1404</v>
      </c>
      <c r="C518" s="22" t="s">
        <v>2704</v>
      </c>
      <c r="D518" s="22"/>
      <c r="E518" s="262">
        <v>54.696300000000001</v>
      </c>
      <c r="F518" s="262">
        <v>-110.7238</v>
      </c>
      <c r="G518" s="96" t="s">
        <v>2379</v>
      </c>
      <c r="H518" s="22"/>
      <c r="I518" s="201">
        <v>144</v>
      </c>
      <c r="J518" s="211"/>
      <c r="K518" s="211"/>
      <c r="L518" s="58"/>
      <c r="M518" s="58"/>
      <c r="N518" s="58"/>
      <c r="O518" s="58"/>
      <c r="P518" s="11"/>
      <c r="Q518" s="11"/>
      <c r="R518" s="34">
        <v>520</v>
      </c>
    </row>
    <row r="519" spans="2:18" ht="20" x14ac:dyDescent="0.2">
      <c r="B519" s="96" t="s">
        <v>1496</v>
      </c>
      <c r="C519" s="22" t="s">
        <v>3036</v>
      </c>
      <c r="D519" s="22"/>
      <c r="E519" s="262"/>
      <c r="F519" s="262"/>
      <c r="G519" s="96" t="s">
        <v>2379</v>
      </c>
      <c r="H519" s="162" t="s">
        <v>1150</v>
      </c>
      <c r="I519" s="209">
        <v>138</v>
      </c>
      <c r="J519" s="209">
        <v>25</v>
      </c>
      <c r="K519" s="209">
        <v>42</v>
      </c>
      <c r="L519" s="94">
        <f>K519*1.2</f>
        <v>50.4</v>
      </c>
      <c r="M519" s="94">
        <v>0.9</v>
      </c>
      <c r="N519" s="94">
        <f>K519*$M519</f>
        <v>37.800000000000004</v>
      </c>
      <c r="O519" s="94">
        <f>L519*$M519</f>
        <v>45.36</v>
      </c>
      <c r="P519" s="11" t="s">
        <v>3282</v>
      </c>
      <c r="Q519" s="11"/>
      <c r="R519" s="34">
        <v>521</v>
      </c>
    </row>
    <row r="520" spans="2:18" ht="20" x14ac:dyDescent="0.2">
      <c r="B520" s="96" t="s">
        <v>1378</v>
      </c>
      <c r="C520" s="22" t="s">
        <v>3037</v>
      </c>
      <c r="D520" s="22"/>
      <c r="E520" s="262"/>
      <c r="F520" s="262"/>
      <c r="G520" s="96" t="s">
        <v>2379</v>
      </c>
      <c r="H520" s="22"/>
      <c r="I520" s="201">
        <v>144</v>
      </c>
      <c r="J520" s="211"/>
      <c r="K520" s="211"/>
      <c r="L520" s="58"/>
      <c r="M520" s="58"/>
      <c r="N520" s="58"/>
      <c r="O520" s="58"/>
      <c r="P520" s="11"/>
      <c r="Q520" s="11"/>
      <c r="R520" s="34">
        <v>522</v>
      </c>
    </row>
    <row r="521" spans="2:18" ht="20" x14ac:dyDescent="0.2">
      <c r="B521" s="96" t="s">
        <v>1945</v>
      </c>
      <c r="C521" s="22" t="s">
        <v>3038</v>
      </c>
      <c r="D521" s="22"/>
      <c r="E521" s="262"/>
      <c r="F521" s="262"/>
      <c r="G521" s="96" t="s">
        <v>2379</v>
      </c>
      <c r="H521" s="22"/>
      <c r="I521" s="201">
        <v>138</v>
      </c>
      <c r="J521" s="211"/>
      <c r="K521" s="211"/>
      <c r="L521" s="58"/>
      <c r="M521" s="58"/>
      <c r="N521" s="58"/>
      <c r="O521" s="58"/>
      <c r="P521" s="11"/>
      <c r="Q521" s="11"/>
      <c r="R521" s="34">
        <v>523</v>
      </c>
    </row>
    <row r="522" spans="2:18" ht="20" x14ac:dyDescent="0.2">
      <c r="B522" s="96" t="s">
        <v>825</v>
      </c>
      <c r="C522" s="22" t="s">
        <v>3039</v>
      </c>
      <c r="D522" s="22"/>
      <c r="E522" s="262"/>
      <c r="F522" s="262"/>
      <c r="G522" s="96" t="s">
        <v>2379</v>
      </c>
      <c r="H522" s="22"/>
      <c r="I522" s="201">
        <v>144</v>
      </c>
      <c r="J522" s="211"/>
      <c r="K522" s="211"/>
      <c r="L522" s="58"/>
      <c r="M522" s="58"/>
      <c r="N522" s="58"/>
      <c r="O522" s="58"/>
      <c r="P522" s="11"/>
      <c r="Q522" s="11"/>
      <c r="R522" s="34">
        <v>524</v>
      </c>
    </row>
    <row r="523" spans="2:18" ht="20" x14ac:dyDescent="0.2">
      <c r="B523" s="96" t="s">
        <v>890</v>
      </c>
      <c r="C523" s="22" t="s">
        <v>2706</v>
      </c>
      <c r="D523" s="22"/>
      <c r="E523" s="262">
        <v>58.447099999999999</v>
      </c>
      <c r="F523" s="262">
        <v>-119.2383</v>
      </c>
      <c r="G523" s="96" t="s">
        <v>2379</v>
      </c>
      <c r="H523" s="22"/>
      <c r="I523" s="201">
        <v>144</v>
      </c>
      <c r="J523" s="211"/>
      <c r="K523" s="211"/>
      <c r="L523" s="58"/>
      <c r="M523" s="58"/>
      <c r="N523" s="58"/>
      <c r="O523" s="58"/>
      <c r="P523" s="11"/>
      <c r="Q523" s="11"/>
      <c r="R523" s="34">
        <v>525</v>
      </c>
    </row>
    <row r="524" spans="2:18" ht="20" x14ac:dyDescent="0.2">
      <c r="B524" s="96" t="s">
        <v>829</v>
      </c>
      <c r="C524" s="22" t="s">
        <v>2705</v>
      </c>
      <c r="D524" s="22"/>
      <c r="E524" s="262">
        <v>58.447099999999999</v>
      </c>
      <c r="F524" s="262">
        <v>-119.2383</v>
      </c>
      <c r="G524" s="96" t="s">
        <v>2379</v>
      </c>
      <c r="H524" s="22"/>
      <c r="I524" s="201">
        <v>144</v>
      </c>
      <c r="J524" s="211"/>
      <c r="K524" s="211"/>
      <c r="L524" s="58"/>
      <c r="M524" s="58"/>
      <c r="N524" s="58"/>
      <c r="O524" s="58"/>
      <c r="P524" s="11"/>
      <c r="Q524" s="11"/>
      <c r="R524" s="34">
        <v>526</v>
      </c>
    </row>
    <row r="525" spans="2:18" ht="20" x14ac:dyDescent="0.2">
      <c r="B525" s="96" t="s">
        <v>1876</v>
      </c>
      <c r="C525" s="22" t="s">
        <v>3040</v>
      </c>
      <c r="D525" s="22"/>
      <c r="E525" s="262"/>
      <c r="F525" s="262"/>
      <c r="G525" s="96" t="s">
        <v>2379</v>
      </c>
      <c r="H525" s="22"/>
      <c r="I525" s="201">
        <v>72</v>
      </c>
      <c r="J525" s="211"/>
      <c r="K525" s="211"/>
      <c r="L525" s="58"/>
      <c r="M525" s="58"/>
      <c r="N525" s="58"/>
      <c r="O525" s="58"/>
      <c r="P525" s="11"/>
      <c r="Q525" s="11"/>
      <c r="R525" s="34">
        <v>527</v>
      </c>
    </row>
    <row r="526" spans="2:18" ht="20" x14ac:dyDescent="0.2">
      <c r="B526" s="96" t="s">
        <v>1661</v>
      </c>
      <c r="C526" s="22" t="s">
        <v>3041</v>
      </c>
      <c r="D526" s="22"/>
      <c r="E526" s="262"/>
      <c r="F526" s="262"/>
      <c r="G526" s="96" t="s">
        <v>2379</v>
      </c>
      <c r="H526" s="22"/>
      <c r="I526" s="201">
        <v>144</v>
      </c>
      <c r="J526" s="211"/>
      <c r="K526" s="211"/>
      <c r="L526" s="58"/>
      <c r="M526" s="58"/>
      <c r="N526" s="58"/>
      <c r="O526" s="58"/>
      <c r="P526" s="11"/>
      <c r="Q526" s="11"/>
      <c r="R526" s="34">
        <v>528</v>
      </c>
    </row>
    <row r="527" spans="2:18" ht="20" x14ac:dyDescent="0.2">
      <c r="B527" s="96" t="s">
        <v>1905</v>
      </c>
      <c r="C527" s="22" t="s">
        <v>2707</v>
      </c>
      <c r="D527" s="22"/>
      <c r="E527" s="262">
        <v>49.407098599999998</v>
      </c>
      <c r="F527" s="262">
        <v>-112.69240240000001</v>
      </c>
      <c r="G527" s="96" t="s">
        <v>2379</v>
      </c>
      <c r="H527" s="22"/>
      <c r="I527" s="201">
        <v>72</v>
      </c>
      <c r="J527" s="211"/>
      <c r="K527" s="211"/>
      <c r="L527" s="58"/>
      <c r="M527" s="58"/>
      <c r="N527" s="58"/>
      <c r="O527" s="58"/>
      <c r="P527" s="11"/>
      <c r="Q527" s="11"/>
      <c r="R527" s="34">
        <v>529</v>
      </c>
    </row>
    <row r="528" spans="2:18" ht="20" x14ac:dyDescent="0.2">
      <c r="B528" s="96" t="s">
        <v>627</v>
      </c>
      <c r="C528" s="22" t="s">
        <v>2618</v>
      </c>
      <c r="D528" s="22"/>
      <c r="E528" s="262"/>
      <c r="F528" s="262"/>
      <c r="G528" s="96" t="s">
        <v>2379</v>
      </c>
      <c r="H528" s="22"/>
      <c r="I528" s="201">
        <v>240</v>
      </c>
      <c r="J528" s="211"/>
      <c r="K528" s="211"/>
      <c r="L528" s="58"/>
      <c r="M528" s="58"/>
      <c r="N528" s="58"/>
      <c r="O528" s="58"/>
      <c r="P528" s="11"/>
      <c r="Q528" s="11"/>
      <c r="R528" s="34">
        <v>530</v>
      </c>
    </row>
    <row r="529" spans="2:18" ht="20" x14ac:dyDescent="0.2">
      <c r="B529" s="96" t="s">
        <v>1641</v>
      </c>
      <c r="C529" s="22" t="s">
        <v>3042</v>
      </c>
      <c r="D529" s="22"/>
      <c r="E529" s="262"/>
      <c r="F529" s="262"/>
      <c r="G529" s="96" t="s">
        <v>2379</v>
      </c>
      <c r="H529" s="22"/>
      <c r="I529" s="201">
        <v>144</v>
      </c>
      <c r="J529" s="211"/>
      <c r="K529" s="211"/>
      <c r="L529" s="58"/>
      <c r="M529" s="58"/>
      <c r="N529" s="58"/>
      <c r="O529" s="58"/>
      <c r="P529" s="11"/>
      <c r="Q529" s="11"/>
      <c r="R529" s="34">
        <v>531</v>
      </c>
    </row>
    <row r="530" spans="2:18" ht="20" x14ac:dyDescent="0.2">
      <c r="B530" s="96" t="s">
        <v>1640</v>
      </c>
      <c r="C530" s="22" t="s">
        <v>3043</v>
      </c>
      <c r="D530" s="22"/>
      <c r="E530" s="262"/>
      <c r="F530" s="262"/>
      <c r="G530" s="96" t="s">
        <v>2379</v>
      </c>
      <c r="H530" s="22"/>
      <c r="I530" s="201">
        <v>144</v>
      </c>
      <c r="J530" s="211"/>
      <c r="K530" s="211"/>
      <c r="L530" s="58"/>
      <c r="M530" s="58"/>
      <c r="N530" s="58"/>
      <c r="O530" s="58"/>
      <c r="P530" s="11"/>
      <c r="Q530" s="11"/>
      <c r="R530" s="34">
        <v>532</v>
      </c>
    </row>
    <row r="531" spans="2:18" ht="20" x14ac:dyDescent="0.2">
      <c r="B531" s="96" t="s">
        <v>770</v>
      </c>
      <c r="C531" s="22" t="s">
        <v>3044</v>
      </c>
      <c r="D531" s="22"/>
      <c r="E531" s="262"/>
      <c r="F531" s="262"/>
      <c r="G531" s="96" t="s">
        <v>2379</v>
      </c>
      <c r="H531" s="22"/>
      <c r="I531" s="201">
        <v>138</v>
      </c>
      <c r="J531" s="211"/>
      <c r="K531" s="211"/>
      <c r="L531" s="58"/>
      <c r="M531" s="58"/>
      <c r="N531" s="58"/>
      <c r="O531" s="58"/>
      <c r="P531" s="11"/>
      <c r="Q531" s="11"/>
      <c r="R531" s="34">
        <v>533</v>
      </c>
    </row>
    <row r="532" spans="2:18" ht="20" x14ac:dyDescent="0.2">
      <c r="B532" s="96" t="s">
        <v>1508</v>
      </c>
      <c r="C532" s="22" t="s">
        <v>3045</v>
      </c>
      <c r="D532" s="22"/>
      <c r="E532" s="262"/>
      <c r="F532" s="262"/>
      <c r="G532" s="96" t="s">
        <v>2379</v>
      </c>
      <c r="H532" s="22"/>
      <c r="I532" s="201">
        <v>144</v>
      </c>
      <c r="J532" s="211"/>
      <c r="K532" s="211"/>
      <c r="L532" s="58"/>
      <c r="M532" s="58"/>
      <c r="N532" s="58"/>
      <c r="O532" s="58"/>
      <c r="P532" s="11"/>
      <c r="Q532" s="11"/>
      <c r="R532" s="34">
        <v>534</v>
      </c>
    </row>
    <row r="533" spans="2:18" ht="20" x14ac:dyDescent="0.2">
      <c r="B533" s="96" t="s">
        <v>1518</v>
      </c>
      <c r="C533" s="22" t="s">
        <v>3046</v>
      </c>
      <c r="D533" s="22"/>
      <c r="E533" s="262"/>
      <c r="F533" s="262"/>
      <c r="G533" s="96" t="s">
        <v>2379</v>
      </c>
      <c r="H533" s="22"/>
      <c r="I533" s="201">
        <v>69</v>
      </c>
      <c r="J533" s="211"/>
      <c r="K533" s="211"/>
      <c r="L533" s="58"/>
      <c r="M533" s="58"/>
      <c r="N533" s="58"/>
      <c r="O533" s="58"/>
      <c r="P533" s="11"/>
      <c r="Q533" s="11"/>
      <c r="R533" s="34">
        <v>535</v>
      </c>
    </row>
    <row r="534" spans="2:18" ht="20" x14ac:dyDescent="0.2">
      <c r="B534" s="96" t="s">
        <v>1663</v>
      </c>
      <c r="C534" s="22" t="s">
        <v>3047</v>
      </c>
      <c r="D534" s="22"/>
      <c r="E534" s="262"/>
      <c r="F534" s="262"/>
      <c r="G534" s="96" t="s">
        <v>2379</v>
      </c>
      <c r="H534" s="22"/>
      <c r="I534" s="201">
        <v>144</v>
      </c>
      <c r="J534" s="211"/>
      <c r="K534" s="211"/>
      <c r="L534" s="58"/>
      <c r="M534" s="58"/>
      <c r="N534" s="58"/>
      <c r="O534" s="58"/>
      <c r="P534" s="11"/>
      <c r="Q534" s="11"/>
      <c r="R534" s="34">
        <v>536</v>
      </c>
    </row>
    <row r="535" spans="2:18" ht="20" x14ac:dyDescent="0.2">
      <c r="B535" s="96" t="s">
        <v>1602</v>
      </c>
      <c r="C535" s="22" t="s">
        <v>3048</v>
      </c>
      <c r="D535" s="22"/>
      <c r="E535" s="262"/>
      <c r="F535" s="262"/>
      <c r="G535" s="96" t="s">
        <v>2379</v>
      </c>
      <c r="H535" s="22"/>
      <c r="I535" s="201">
        <v>144</v>
      </c>
      <c r="J535" s="211"/>
      <c r="K535" s="211"/>
      <c r="L535" s="58"/>
      <c r="M535" s="58"/>
      <c r="N535" s="58"/>
      <c r="O535" s="58"/>
      <c r="P535" s="11"/>
      <c r="Q535" s="11"/>
      <c r="R535" s="34">
        <v>537</v>
      </c>
    </row>
    <row r="536" spans="2:18" ht="20" x14ac:dyDescent="0.2">
      <c r="B536" s="96" t="s">
        <v>832</v>
      </c>
      <c r="C536" s="22" t="s">
        <v>3049</v>
      </c>
      <c r="D536" s="22"/>
      <c r="E536" s="262"/>
      <c r="F536" s="262"/>
      <c r="G536" s="96" t="s">
        <v>2379</v>
      </c>
      <c r="H536" s="22"/>
      <c r="I536" s="201">
        <v>144</v>
      </c>
      <c r="J536" s="211"/>
      <c r="K536" s="211"/>
      <c r="L536" s="58"/>
      <c r="M536" s="58"/>
      <c r="N536" s="58"/>
      <c r="O536" s="58"/>
      <c r="P536" s="11"/>
      <c r="Q536" s="11"/>
      <c r="R536" s="34">
        <v>538</v>
      </c>
    </row>
    <row r="537" spans="2:18" ht="20" x14ac:dyDescent="0.2">
      <c r="B537" s="96" t="s">
        <v>1902</v>
      </c>
      <c r="C537" s="22" t="s">
        <v>3050</v>
      </c>
      <c r="D537" s="22"/>
      <c r="E537" s="262"/>
      <c r="F537" s="262"/>
      <c r="G537" s="96" t="s">
        <v>2379</v>
      </c>
      <c r="H537" s="22"/>
      <c r="I537" s="201">
        <v>138</v>
      </c>
      <c r="J537" s="211"/>
      <c r="K537" s="211"/>
      <c r="L537" s="58"/>
      <c r="M537" s="58"/>
      <c r="N537" s="58"/>
      <c r="O537" s="58"/>
      <c r="P537" s="11"/>
      <c r="Q537" s="11"/>
      <c r="R537" s="34">
        <v>539</v>
      </c>
    </row>
    <row r="538" spans="2:18" ht="20" x14ac:dyDescent="0.2">
      <c r="B538" s="96" t="s">
        <v>2051</v>
      </c>
      <c r="C538" s="22" t="s">
        <v>2638</v>
      </c>
      <c r="D538" s="22"/>
      <c r="E538" s="262">
        <v>53.816189999999999</v>
      </c>
      <c r="F538" s="262">
        <v>-113.12627999999999</v>
      </c>
      <c r="G538" s="96" t="s">
        <v>2379</v>
      </c>
      <c r="H538" s="22"/>
      <c r="I538" s="201">
        <v>144</v>
      </c>
      <c r="J538" s="211"/>
      <c r="K538" s="211"/>
      <c r="L538" s="58"/>
      <c r="M538" s="58"/>
      <c r="N538" s="58"/>
      <c r="O538" s="58"/>
      <c r="P538" s="11"/>
      <c r="Q538" s="11"/>
      <c r="R538" s="34">
        <v>540</v>
      </c>
    </row>
    <row r="539" spans="2:18" ht="20" x14ac:dyDescent="0.2">
      <c r="B539" s="96" t="s">
        <v>1596</v>
      </c>
      <c r="C539" s="22" t="s">
        <v>3051</v>
      </c>
      <c r="D539" s="22"/>
      <c r="E539" s="262"/>
      <c r="F539" s="262"/>
      <c r="G539" s="96" t="s">
        <v>2379</v>
      </c>
      <c r="H539" s="22"/>
      <c r="I539" s="201">
        <v>144</v>
      </c>
      <c r="J539" s="211"/>
      <c r="K539" s="211"/>
      <c r="L539" s="58"/>
      <c r="M539" s="58"/>
      <c r="N539" s="58"/>
      <c r="O539" s="58"/>
      <c r="P539" s="11"/>
      <c r="Q539" s="11"/>
      <c r="R539" s="34">
        <v>541</v>
      </c>
    </row>
    <row r="540" spans="2:18" ht="20" x14ac:dyDescent="0.2">
      <c r="B540" s="96" t="s">
        <v>786</v>
      </c>
      <c r="C540" s="22" t="s">
        <v>3052</v>
      </c>
      <c r="D540" s="22"/>
      <c r="E540" s="262"/>
      <c r="F540" s="262"/>
      <c r="G540" s="96" t="s">
        <v>2379</v>
      </c>
      <c r="H540" s="22"/>
      <c r="I540" s="201">
        <v>144</v>
      </c>
      <c r="J540" s="211"/>
      <c r="K540" s="211"/>
      <c r="L540" s="58"/>
      <c r="M540" s="58"/>
      <c r="N540" s="58"/>
      <c r="O540" s="58"/>
      <c r="P540" s="11"/>
      <c r="Q540" s="11"/>
      <c r="R540" s="34">
        <v>542</v>
      </c>
    </row>
    <row r="541" spans="2:18" ht="20" x14ac:dyDescent="0.2">
      <c r="B541" s="96" t="s">
        <v>1348</v>
      </c>
      <c r="C541" s="22" t="s">
        <v>3053</v>
      </c>
      <c r="D541" s="22"/>
      <c r="E541" s="262"/>
      <c r="F541" s="262"/>
      <c r="G541" s="96" t="s">
        <v>2379</v>
      </c>
      <c r="H541" s="22"/>
      <c r="I541" s="201">
        <v>72</v>
      </c>
      <c r="J541" s="211"/>
      <c r="K541" s="211"/>
      <c r="L541" s="58"/>
      <c r="M541" s="58"/>
      <c r="N541" s="58"/>
      <c r="O541" s="58"/>
      <c r="P541" s="11"/>
      <c r="Q541" s="11"/>
      <c r="R541" s="34">
        <v>543</v>
      </c>
    </row>
    <row r="542" spans="2:18" ht="20" x14ac:dyDescent="0.2">
      <c r="B542" s="96" t="s">
        <v>1469</v>
      </c>
      <c r="C542" s="22" t="s">
        <v>3054</v>
      </c>
      <c r="D542" s="22"/>
      <c r="E542" s="262"/>
      <c r="F542" s="262"/>
      <c r="G542" s="96" t="s">
        <v>2379</v>
      </c>
      <c r="H542" s="22"/>
      <c r="I542" s="201">
        <v>138</v>
      </c>
      <c r="J542" s="211"/>
      <c r="K542" s="211"/>
      <c r="L542" s="58"/>
      <c r="M542" s="58"/>
      <c r="N542" s="58"/>
      <c r="O542" s="58"/>
      <c r="P542" s="11"/>
      <c r="Q542" s="11"/>
      <c r="R542" s="34">
        <v>544</v>
      </c>
    </row>
    <row r="543" spans="2:18" ht="20" x14ac:dyDescent="0.2">
      <c r="B543" s="96" t="s">
        <v>1102</v>
      </c>
      <c r="C543" s="22" t="s">
        <v>3055</v>
      </c>
      <c r="D543" s="22"/>
      <c r="E543" s="262"/>
      <c r="F543" s="262"/>
      <c r="G543" s="96" t="s">
        <v>2379</v>
      </c>
      <c r="H543" s="22"/>
      <c r="I543" s="201">
        <v>240</v>
      </c>
      <c r="J543" s="211"/>
      <c r="K543" s="211"/>
      <c r="L543" s="58"/>
      <c r="M543" s="58"/>
      <c r="N543" s="58"/>
      <c r="O543" s="58"/>
      <c r="P543" s="11"/>
      <c r="Q543" s="11"/>
      <c r="R543" s="34">
        <v>545</v>
      </c>
    </row>
    <row r="544" spans="2:18" ht="20" x14ac:dyDescent="0.2">
      <c r="B544" s="96" t="s">
        <v>1545</v>
      </c>
      <c r="C544" s="22" t="s">
        <v>3056</v>
      </c>
      <c r="D544" s="22"/>
      <c r="E544" s="262"/>
      <c r="F544" s="262"/>
      <c r="G544" s="96" t="s">
        <v>2379</v>
      </c>
      <c r="H544" s="22"/>
      <c r="I544" s="201">
        <v>138</v>
      </c>
      <c r="J544" s="211"/>
      <c r="K544" s="211"/>
      <c r="L544" s="58"/>
      <c r="M544" s="58"/>
      <c r="N544" s="58"/>
      <c r="O544" s="58"/>
      <c r="P544" s="11"/>
      <c r="Q544" s="11"/>
      <c r="R544" s="34">
        <v>546</v>
      </c>
    </row>
    <row r="545" spans="2:18" ht="20" x14ac:dyDescent="0.2">
      <c r="B545" s="96" t="s">
        <v>1698</v>
      </c>
      <c r="C545" s="22" t="s">
        <v>2708</v>
      </c>
      <c r="D545" s="22"/>
      <c r="E545" s="262">
        <v>51.0886809</v>
      </c>
      <c r="F545" s="262">
        <v>-115.3735507</v>
      </c>
      <c r="G545" s="96" t="s">
        <v>2379</v>
      </c>
      <c r="H545" s="22"/>
      <c r="I545" s="201">
        <v>138</v>
      </c>
      <c r="J545" s="211"/>
      <c r="K545" s="211"/>
      <c r="L545" s="58"/>
      <c r="M545" s="58"/>
      <c r="N545" s="58"/>
      <c r="O545" s="58"/>
      <c r="P545" s="11"/>
      <c r="Q545" s="11"/>
      <c r="R545" s="34">
        <v>547</v>
      </c>
    </row>
    <row r="546" spans="2:18" ht="20" x14ac:dyDescent="0.2">
      <c r="B546" s="96" t="s">
        <v>1862</v>
      </c>
      <c r="C546" s="22" t="s">
        <v>3057</v>
      </c>
      <c r="D546" s="22"/>
      <c r="E546" s="262"/>
      <c r="F546" s="262"/>
      <c r="G546" s="96" t="s">
        <v>2379</v>
      </c>
      <c r="H546" s="22"/>
      <c r="I546" s="201">
        <v>138</v>
      </c>
      <c r="J546" s="211"/>
      <c r="K546" s="211"/>
      <c r="L546" s="58"/>
      <c r="M546" s="58"/>
      <c r="N546" s="58"/>
      <c r="O546" s="58"/>
      <c r="P546" s="11"/>
      <c r="Q546" s="11"/>
      <c r="R546" s="34">
        <v>548</v>
      </c>
    </row>
    <row r="547" spans="2:18" ht="20" x14ac:dyDescent="0.2">
      <c r="B547" s="96" t="s">
        <v>697</v>
      </c>
      <c r="C547" s="22" t="s">
        <v>2641</v>
      </c>
      <c r="D547" s="22"/>
      <c r="E547" s="262"/>
      <c r="F547" s="262"/>
      <c r="G547" s="96" t="s">
        <v>2379</v>
      </c>
      <c r="H547" s="162" t="s">
        <v>1155</v>
      </c>
      <c r="I547" s="209">
        <v>260</v>
      </c>
      <c r="J547" s="209">
        <v>72</v>
      </c>
      <c r="K547" s="209">
        <v>100</v>
      </c>
      <c r="L547" s="94">
        <f>K547*1.2</f>
        <v>120</v>
      </c>
      <c r="M547" s="94">
        <v>0.9</v>
      </c>
      <c r="N547" s="94">
        <f>K547*$M547</f>
        <v>90</v>
      </c>
      <c r="O547" s="94">
        <f>L547*$M547</f>
        <v>108</v>
      </c>
      <c r="P547" s="11" t="s">
        <v>3305</v>
      </c>
      <c r="Q547" s="11"/>
      <c r="R547" s="34">
        <v>549</v>
      </c>
    </row>
    <row r="548" spans="2:18" ht="20" x14ac:dyDescent="0.2">
      <c r="B548" s="96" t="s">
        <v>697</v>
      </c>
      <c r="C548" s="22" t="s">
        <v>2641</v>
      </c>
      <c r="D548" s="22"/>
      <c r="E548" s="262"/>
      <c r="F548" s="262"/>
      <c r="G548" s="96" t="s">
        <v>2379</v>
      </c>
      <c r="H548" s="162" t="s">
        <v>1158</v>
      </c>
      <c r="I548" s="209">
        <v>260</v>
      </c>
      <c r="J548" s="209">
        <v>72</v>
      </c>
      <c r="K548" s="209">
        <v>107.2</v>
      </c>
      <c r="L548" s="94">
        <f>K548*1.2</f>
        <v>128.63999999999999</v>
      </c>
      <c r="M548" s="94">
        <v>0.9</v>
      </c>
      <c r="N548" s="94">
        <f>K548*$M548</f>
        <v>96.48</v>
      </c>
      <c r="O548" s="94">
        <f>L548*$M548</f>
        <v>115.776</v>
      </c>
      <c r="P548" s="11" t="s">
        <v>3305</v>
      </c>
      <c r="Q548" s="11"/>
      <c r="R548" s="34">
        <v>550</v>
      </c>
    </row>
    <row r="549" spans="2:18" ht="20" x14ac:dyDescent="0.2">
      <c r="B549" s="96" t="s">
        <v>934</v>
      </c>
      <c r="C549" s="22" t="s">
        <v>3058</v>
      </c>
      <c r="D549" s="22"/>
      <c r="E549" s="262"/>
      <c r="F549" s="262"/>
      <c r="G549" s="96" t="s">
        <v>2379</v>
      </c>
      <c r="H549" s="22"/>
      <c r="I549" s="201">
        <v>144</v>
      </c>
      <c r="J549" s="211"/>
      <c r="K549" s="211"/>
      <c r="L549" s="58"/>
      <c r="M549" s="58"/>
      <c r="N549" s="58"/>
      <c r="O549" s="58"/>
      <c r="P549" s="11"/>
      <c r="Q549" s="11"/>
      <c r="R549" s="34">
        <v>551</v>
      </c>
    </row>
    <row r="550" spans="2:18" ht="20" x14ac:dyDescent="0.2">
      <c r="B550" s="96" t="s">
        <v>882</v>
      </c>
      <c r="C550" s="22" t="s">
        <v>2709</v>
      </c>
      <c r="D550" s="22"/>
      <c r="E550" s="262">
        <v>55.669320999999997</v>
      </c>
      <c r="F550" s="262">
        <v>-118.917821</v>
      </c>
      <c r="G550" s="96" t="s">
        <v>2379</v>
      </c>
      <c r="H550" s="22"/>
      <c r="I550" s="201">
        <v>144</v>
      </c>
      <c r="J550" s="211"/>
      <c r="K550" s="211"/>
      <c r="L550" s="58"/>
      <c r="M550" s="58"/>
      <c r="N550" s="58"/>
      <c r="O550" s="58"/>
      <c r="P550" s="11"/>
      <c r="Q550" s="11"/>
      <c r="R550" s="34">
        <v>552</v>
      </c>
    </row>
    <row r="551" spans="2:18" ht="20" x14ac:dyDescent="0.2">
      <c r="B551" s="96" t="s">
        <v>793</v>
      </c>
      <c r="C551" s="22" t="s">
        <v>3059</v>
      </c>
      <c r="D551" s="22"/>
      <c r="E551" s="262"/>
      <c r="F551" s="262"/>
      <c r="G551" s="96" t="s">
        <v>2379</v>
      </c>
      <c r="H551" s="162" t="s">
        <v>1150</v>
      </c>
      <c r="I551" s="209">
        <v>240</v>
      </c>
      <c r="J551" s="209">
        <v>144</v>
      </c>
      <c r="K551" s="209">
        <v>200</v>
      </c>
      <c r="L551" s="94">
        <f>K551*1.2</f>
        <v>240</v>
      </c>
      <c r="M551" s="94">
        <v>0.9</v>
      </c>
      <c r="N551" s="94">
        <f t="shared" ref="N551:O553" si="16">K551*$M551</f>
        <v>180</v>
      </c>
      <c r="O551" s="94">
        <f t="shared" si="16"/>
        <v>216</v>
      </c>
      <c r="P551" s="11" t="s">
        <v>3272</v>
      </c>
      <c r="Q551" s="11"/>
      <c r="R551" s="34">
        <v>553</v>
      </c>
    </row>
    <row r="552" spans="2:18" ht="20" x14ac:dyDescent="0.2">
      <c r="B552" s="96" t="s">
        <v>793</v>
      </c>
      <c r="C552" s="22" t="s">
        <v>3059</v>
      </c>
      <c r="D552" s="22"/>
      <c r="E552" s="262"/>
      <c r="F552" s="262"/>
      <c r="G552" s="96" t="s">
        <v>2379</v>
      </c>
      <c r="H552" s="162" t="s">
        <v>1154</v>
      </c>
      <c r="I552" s="209">
        <v>240</v>
      </c>
      <c r="J552" s="209">
        <v>144</v>
      </c>
      <c r="K552" s="209">
        <v>200</v>
      </c>
      <c r="L552" s="94">
        <f>K552*1.2</f>
        <v>240</v>
      </c>
      <c r="M552" s="94">
        <v>0.9</v>
      </c>
      <c r="N552" s="94">
        <f t="shared" si="16"/>
        <v>180</v>
      </c>
      <c r="O552" s="94">
        <f t="shared" si="16"/>
        <v>216</v>
      </c>
      <c r="P552" s="11" t="s">
        <v>3272</v>
      </c>
      <c r="Q552" s="11"/>
      <c r="R552" s="34">
        <v>554</v>
      </c>
    </row>
    <row r="553" spans="2:18" ht="20" x14ac:dyDescent="0.2">
      <c r="B553" s="96" t="s">
        <v>854</v>
      </c>
      <c r="C553" s="22" t="s">
        <v>3060</v>
      </c>
      <c r="D553" s="22"/>
      <c r="E553" s="262"/>
      <c r="F553" s="262"/>
      <c r="G553" s="96" t="s">
        <v>2379</v>
      </c>
      <c r="H553" s="162" t="s">
        <v>1155</v>
      </c>
      <c r="I553" s="209">
        <v>260</v>
      </c>
      <c r="J553" s="209">
        <v>144</v>
      </c>
      <c r="K553" s="209">
        <v>300</v>
      </c>
      <c r="L553" s="94">
        <f>K553*1.2</f>
        <v>360</v>
      </c>
      <c r="M553" s="94">
        <v>0.9</v>
      </c>
      <c r="N553" s="94">
        <f t="shared" si="16"/>
        <v>270</v>
      </c>
      <c r="O553" s="94">
        <f t="shared" si="16"/>
        <v>324</v>
      </c>
      <c r="P553" s="11" t="s">
        <v>3305</v>
      </c>
      <c r="Q553" s="11"/>
      <c r="R553" s="34">
        <v>555</v>
      </c>
    </row>
    <row r="554" spans="2:18" ht="20" x14ac:dyDescent="0.2">
      <c r="B554" s="96" t="s">
        <v>2002</v>
      </c>
      <c r="C554" s="22" t="s">
        <v>3061</v>
      </c>
      <c r="D554" s="22"/>
      <c r="E554" s="262"/>
      <c r="F554" s="262"/>
      <c r="G554" s="96" t="s">
        <v>2379</v>
      </c>
      <c r="H554" s="22"/>
      <c r="I554" s="201">
        <v>144</v>
      </c>
      <c r="J554" s="211"/>
      <c r="K554" s="211"/>
      <c r="L554" s="58"/>
      <c r="M554" s="58"/>
      <c r="N554" s="58"/>
      <c r="O554" s="58"/>
      <c r="P554" s="11"/>
      <c r="Q554" s="11"/>
      <c r="R554" s="34">
        <v>556</v>
      </c>
    </row>
    <row r="555" spans="2:18" ht="20" x14ac:dyDescent="0.2">
      <c r="B555" s="96" t="s">
        <v>2000</v>
      </c>
      <c r="C555" s="22" t="s">
        <v>3062</v>
      </c>
      <c r="D555" s="22"/>
      <c r="E555" s="262"/>
      <c r="F555" s="262"/>
      <c r="G555" s="96" t="s">
        <v>2379</v>
      </c>
      <c r="H555" s="22"/>
      <c r="I555" s="201">
        <v>144</v>
      </c>
      <c r="J555" s="211"/>
      <c r="K555" s="211"/>
      <c r="L555" s="58"/>
      <c r="M555" s="58"/>
      <c r="N555" s="58"/>
      <c r="O555" s="58"/>
      <c r="P555" s="11"/>
      <c r="Q555" s="11"/>
      <c r="R555" s="34">
        <v>557</v>
      </c>
    </row>
    <row r="556" spans="2:18" ht="20" x14ac:dyDescent="0.2">
      <c r="B556" s="96" t="s">
        <v>740</v>
      </c>
      <c r="C556" s="22" t="s">
        <v>3063</v>
      </c>
      <c r="D556" s="22"/>
      <c r="E556" s="262"/>
      <c r="F556" s="262"/>
      <c r="G556" s="96" t="s">
        <v>2379</v>
      </c>
      <c r="H556" s="22"/>
      <c r="I556" s="201">
        <v>72</v>
      </c>
      <c r="J556" s="211"/>
      <c r="K556" s="211"/>
      <c r="L556" s="58"/>
      <c r="M556" s="58"/>
      <c r="N556" s="58"/>
      <c r="O556" s="58"/>
      <c r="P556" s="11"/>
      <c r="Q556" s="11"/>
      <c r="R556" s="34">
        <v>558</v>
      </c>
    </row>
    <row r="557" spans="2:18" ht="20" x14ac:dyDescent="0.2">
      <c r="B557" s="96" t="s">
        <v>991</v>
      </c>
      <c r="C557" s="22" t="s">
        <v>3064</v>
      </c>
      <c r="D557" s="22"/>
      <c r="E557" s="262"/>
      <c r="F557" s="262"/>
      <c r="G557" s="96" t="s">
        <v>2379</v>
      </c>
      <c r="H557" s="162" t="s">
        <v>1150</v>
      </c>
      <c r="I557" s="209">
        <v>240</v>
      </c>
      <c r="J557" s="209">
        <v>138</v>
      </c>
      <c r="K557" s="209">
        <v>400</v>
      </c>
      <c r="L557" s="94">
        <f>K557*1.2</f>
        <v>480</v>
      </c>
      <c r="M557" s="94">
        <v>0.9</v>
      </c>
      <c r="N557" s="94">
        <f>K557*$M557</f>
        <v>360</v>
      </c>
      <c r="O557" s="94">
        <f>L557*$M557</f>
        <v>432</v>
      </c>
      <c r="P557" s="11" t="s">
        <v>3287</v>
      </c>
      <c r="Q557" s="11"/>
      <c r="R557" s="34">
        <v>559</v>
      </c>
    </row>
    <row r="558" spans="2:18" ht="20" x14ac:dyDescent="0.2">
      <c r="B558" s="96" t="s">
        <v>991</v>
      </c>
      <c r="C558" s="22" t="s">
        <v>3064</v>
      </c>
      <c r="D558" s="22"/>
      <c r="E558" s="262"/>
      <c r="F558" s="262"/>
      <c r="G558" s="96" t="s">
        <v>2379</v>
      </c>
      <c r="H558" s="162" t="s">
        <v>1154</v>
      </c>
      <c r="I558" s="209">
        <v>240</v>
      </c>
      <c r="J558" s="209">
        <v>138</v>
      </c>
      <c r="K558" s="209">
        <v>400</v>
      </c>
      <c r="L558" s="94">
        <f>K558*1.2</f>
        <v>480</v>
      </c>
      <c r="M558" s="94">
        <v>0.9</v>
      </c>
      <c r="N558" s="94">
        <f>K558*$M558</f>
        <v>360</v>
      </c>
      <c r="O558" s="94">
        <f>L558*$M558</f>
        <v>432</v>
      </c>
      <c r="P558" s="11" t="s">
        <v>3287</v>
      </c>
      <c r="Q558" s="11"/>
      <c r="R558" s="34">
        <v>560</v>
      </c>
    </row>
    <row r="559" spans="2:18" ht="20" x14ac:dyDescent="0.2">
      <c r="B559" s="96" t="s">
        <v>1355</v>
      </c>
      <c r="C559" s="22" t="s">
        <v>3065</v>
      </c>
      <c r="D559" s="22"/>
      <c r="E559" s="262"/>
      <c r="F559" s="262"/>
      <c r="G559" s="96" t="s">
        <v>2379</v>
      </c>
      <c r="H559" s="22"/>
      <c r="I559" s="201">
        <v>240</v>
      </c>
      <c r="J559" s="211"/>
      <c r="K559" s="211"/>
      <c r="L559" s="58"/>
      <c r="M559" s="58"/>
      <c r="N559" s="58"/>
      <c r="O559" s="58"/>
      <c r="P559" s="11"/>
      <c r="Q559" s="11"/>
      <c r="R559" s="34">
        <v>561</v>
      </c>
    </row>
    <row r="560" spans="2:18" ht="20" x14ac:dyDescent="0.2">
      <c r="B560" s="96" t="s">
        <v>568</v>
      </c>
      <c r="C560" s="22" t="s">
        <v>3066</v>
      </c>
      <c r="D560" s="22"/>
      <c r="E560" s="262"/>
      <c r="F560" s="262"/>
      <c r="G560" s="96" t="s">
        <v>2379</v>
      </c>
      <c r="H560" s="22"/>
      <c r="I560" s="201">
        <v>240</v>
      </c>
      <c r="J560" s="211"/>
      <c r="K560" s="211"/>
      <c r="L560" s="58"/>
      <c r="M560" s="58"/>
      <c r="N560" s="58"/>
      <c r="O560" s="58"/>
      <c r="P560" s="11"/>
      <c r="Q560" s="11"/>
      <c r="R560" s="34">
        <v>562</v>
      </c>
    </row>
    <row r="561" spans="2:18" ht="20" x14ac:dyDescent="0.2">
      <c r="B561" s="96" t="s">
        <v>1606</v>
      </c>
      <c r="C561" s="22" t="s">
        <v>3067</v>
      </c>
      <c r="D561" s="22"/>
      <c r="E561" s="262"/>
      <c r="F561" s="262"/>
      <c r="G561" s="96" t="s">
        <v>2379</v>
      </c>
      <c r="H561" s="22"/>
      <c r="I561" s="201">
        <v>144</v>
      </c>
      <c r="J561" s="211"/>
      <c r="K561" s="211"/>
      <c r="L561" s="58"/>
      <c r="M561" s="58"/>
      <c r="N561" s="58"/>
      <c r="O561" s="58"/>
      <c r="P561" s="11"/>
      <c r="Q561" s="11"/>
      <c r="R561" s="34">
        <v>563</v>
      </c>
    </row>
    <row r="562" spans="2:18" ht="20" x14ac:dyDescent="0.2">
      <c r="B562" s="96" t="s">
        <v>2054</v>
      </c>
      <c r="C562" s="22" t="s">
        <v>3068</v>
      </c>
      <c r="D562" s="22"/>
      <c r="E562" s="262"/>
      <c r="F562" s="262"/>
      <c r="G562" s="96" t="s">
        <v>2379</v>
      </c>
      <c r="H562" s="22"/>
      <c r="I562" s="201">
        <v>144</v>
      </c>
      <c r="J562" s="211"/>
      <c r="K562" s="211"/>
      <c r="L562" s="58"/>
      <c r="M562" s="58"/>
      <c r="N562" s="58"/>
      <c r="O562" s="58"/>
      <c r="P562" s="11"/>
      <c r="Q562" s="11"/>
      <c r="R562" s="34">
        <v>564</v>
      </c>
    </row>
    <row r="563" spans="2:18" ht="20" x14ac:dyDescent="0.2">
      <c r="B563" s="96" t="s">
        <v>974</v>
      </c>
      <c r="C563" s="22" t="s">
        <v>2710</v>
      </c>
      <c r="D563" s="22"/>
      <c r="E563" s="262">
        <v>53.798499999999997</v>
      </c>
      <c r="F563" s="262">
        <v>-113.0943</v>
      </c>
      <c r="G563" s="96" t="s">
        <v>2379</v>
      </c>
      <c r="H563" s="22"/>
      <c r="I563" s="201">
        <v>138</v>
      </c>
      <c r="J563" s="211"/>
      <c r="K563" s="211"/>
      <c r="L563" s="58"/>
      <c r="M563" s="58"/>
      <c r="N563" s="58"/>
      <c r="O563" s="58"/>
      <c r="P563" s="11"/>
      <c r="Q563" s="11"/>
      <c r="R563" s="34">
        <v>565</v>
      </c>
    </row>
    <row r="564" spans="2:18" ht="20" x14ac:dyDescent="0.2">
      <c r="B564" s="96" t="s">
        <v>1138</v>
      </c>
      <c r="C564" s="22" t="s">
        <v>3264</v>
      </c>
      <c r="D564" s="22"/>
      <c r="E564" s="262"/>
      <c r="F564" s="262"/>
      <c r="G564" s="96" t="s">
        <v>2379</v>
      </c>
      <c r="H564" s="22"/>
      <c r="I564" s="201">
        <v>138</v>
      </c>
      <c r="J564" s="211"/>
      <c r="K564" s="211"/>
      <c r="L564" s="58"/>
      <c r="M564" s="58"/>
      <c r="N564" s="58"/>
      <c r="O564" s="58"/>
      <c r="P564" s="11"/>
      <c r="Q564" s="11"/>
      <c r="R564" s="34">
        <v>566</v>
      </c>
    </row>
    <row r="565" spans="2:18" ht="20" x14ac:dyDescent="0.2">
      <c r="B565" s="96" t="s">
        <v>836</v>
      </c>
      <c r="C565" s="22" t="s">
        <v>3069</v>
      </c>
      <c r="D565" s="22"/>
      <c r="E565" s="262"/>
      <c r="F565" s="262"/>
      <c r="G565" s="96" t="s">
        <v>2379</v>
      </c>
      <c r="H565" s="22"/>
      <c r="I565" s="201">
        <v>144</v>
      </c>
      <c r="J565" s="211"/>
      <c r="K565" s="211"/>
      <c r="L565" s="58"/>
      <c r="M565" s="58"/>
      <c r="N565" s="58"/>
      <c r="O565" s="58"/>
      <c r="P565" s="11"/>
      <c r="Q565" s="11"/>
      <c r="R565" s="34">
        <v>567</v>
      </c>
    </row>
    <row r="566" spans="2:18" ht="20" x14ac:dyDescent="0.2">
      <c r="B566" s="96" t="s">
        <v>727</v>
      </c>
      <c r="C566" s="22" t="s">
        <v>3070</v>
      </c>
      <c r="D566" s="22"/>
      <c r="E566" s="262"/>
      <c r="F566" s="262"/>
      <c r="G566" s="96" t="s">
        <v>2379</v>
      </c>
      <c r="H566" s="22"/>
      <c r="I566" s="201">
        <v>240</v>
      </c>
      <c r="J566" s="211"/>
      <c r="K566" s="211"/>
      <c r="L566" s="58"/>
      <c r="M566" s="58"/>
      <c r="N566" s="58"/>
      <c r="O566" s="58"/>
      <c r="P566" s="11"/>
      <c r="Q566" s="11"/>
      <c r="R566" s="34">
        <v>568</v>
      </c>
    </row>
    <row r="567" spans="2:18" ht="20" x14ac:dyDescent="0.2">
      <c r="B567" s="96" t="s">
        <v>1477</v>
      </c>
      <c r="C567" s="22" t="s">
        <v>2601</v>
      </c>
      <c r="D567" s="22"/>
      <c r="E567" s="262"/>
      <c r="F567" s="262"/>
      <c r="G567" s="96" t="s">
        <v>2379</v>
      </c>
      <c r="H567" s="22"/>
      <c r="I567" s="201">
        <v>144</v>
      </c>
      <c r="J567" s="211"/>
      <c r="K567" s="211"/>
      <c r="L567" s="58"/>
      <c r="M567" s="58"/>
      <c r="N567" s="58"/>
      <c r="O567" s="58"/>
      <c r="P567" s="11"/>
      <c r="Q567" s="11"/>
      <c r="R567" s="34">
        <v>569</v>
      </c>
    </row>
    <row r="568" spans="2:18" ht="20" x14ac:dyDescent="0.2">
      <c r="B568" s="96" t="s">
        <v>1678</v>
      </c>
      <c r="C568" s="22" t="s">
        <v>3071</v>
      </c>
      <c r="D568" s="22"/>
      <c r="E568" s="262"/>
      <c r="F568" s="262"/>
      <c r="G568" s="96" t="s">
        <v>2379</v>
      </c>
      <c r="H568" s="162" t="s">
        <v>1154</v>
      </c>
      <c r="I568" s="209">
        <v>138</v>
      </c>
      <c r="J568" s="209">
        <v>25</v>
      </c>
      <c r="K568" s="209">
        <v>25</v>
      </c>
      <c r="L568" s="94">
        <f>K568*1.2</f>
        <v>30</v>
      </c>
      <c r="M568" s="94">
        <v>0.9</v>
      </c>
      <c r="N568" s="94">
        <f>K568*$M568</f>
        <v>22.5</v>
      </c>
      <c r="O568" s="94">
        <f>L568*$M568</f>
        <v>27</v>
      </c>
      <c r="P568" s="11" t="s">
        <v>3296</v>
      </c>
      <c r="Q568" s="11"/>
      <c r="R568" s="34">
        <v>570</v>
      </c>
    </row>
    <row r="569" spans="2:18" ht="20" x14ac:dyDescent="0.2">
      <c r="B569" s="96" t="s">
        <v>654</v>
      </c>
      <c r="C569" s="22" t="s">
        <v>2650</v>
      </c>
      <c r="D569" s="22"/>
      <c r="E569" s="262"/>
      <c r="F569" s="262"/>
      <c r="G569" s="96" t="s">
        <v>2379</v>
      </c>
      <c r="H569" s="22"/>
      <c r="I569" s="201">
        <v>240</v>
      </c>
      <c r="J569" s="211"/>
      <c r="K569" s="211"/>
      <c r="L569" s="58"/>
      <c r="M569" s="58"/>
      <c r="N569" s="58"/>
      <c r="O569" s="58"/>
      <c r="P569" s="11"/>
      <c r="Q569" s="11"/>
      <c r="R569" s="34">
        <v>571</v>
      </c>
    </row>
    <row r="570" spans="2:18" ht="20" x14ac:dyDescent="0.2">
      <c r="B570" s="96" t="s">
        <v>1065</v>
      </c>
      <c r="C570" s="22" t="s">
        <v>2711</v>
      </c>
      <c r="D570" s="22"/>
      <c r="E570" s="262">
        <v>51.442599999999999</v>
      </c>
      <c r="F570" s="262">
        <v>-111.7919</v>
      </c>
      <c r="G570" s="96" t="s">
        <v>2379</v>
      </c>
      <c r="H570" s="22"/>
      <c r="I570" s="201">
        <v>240</v>
      </c>
      <c r="J570" s="211"/>
      <c r="K570" s="211"/>
      <c r="L570" s="58"/>
      <c r="M570" s="58"/>
      <c r="N570" s="58"/>
      <c r="O570" s="58"/>
      <c r="P570" s="11"/>
      <c r="Q570" s="11"/>
      <c r="R570" s="34">
        <v>572</v>
      </c>
    </row>
    <row r="571" spans="2:18" ht="20" x14ac:dyDescent="0.2">
      <c r="B571" s="96" t="s">
        <v>965</v>
      </c>
      <c r="C571" s="22" t="s">
        <v>3072</v>
      </c>
      <c r="D571" s="22"/>
      <c r="E571" s="262"/>
      <c r="F571" s="262"/>
      <c r="G571" s="96" t="s">
        <v>2379</v>
      </c>
      <c r="H571" s="22"/>
      <c r="I571" s="201">
        <v>138</v>
      </c>
      <c r="J571" s="211"/>
      <c r="K571" s="211"/>
      <c r="L571" s="58"/>
      <c r="M571" s="58"/>
      <c r="N571" s="58"/>
      <c r="O571" s="58"/>
      <c r="P571" s="11"/>
      <c r="Q571" s="11"/>
      <c r="R571" s="34">
        <v>573</v>
      </c>
    </row>
    <row r="572" spans="2:18" ht="20" x14ac:dyDescent="0.2">
      <c r="B572" s="96" t="s">
        <v>1656</v>
      </c>
      <c r="C572" s="22" t="s">
        <v>2677</v>
      </c>
      <c r="D572" s="22"/>
      <c r="E572" s="262">
        <v>51.658399000000003</v>
      </c>
      <c r="F572" s="262">
        <v>-114.136515</v>
      </c>
      <c r="G572" s="96" t="s">
        <v>2379</v>
      </c>
      <c r="H572" s="22"/>
      <c r="I572" s="201">
        <v>144</v>
      </c>
      <c r="J572" s="211"/>
      <c r="K572" s="211"/>
      <c r="L572" s="58"/>
      <c r="M572" s="58"/>
      <c r="N572" s="58"/>
      <c r="O572" s="58"/>
      <c r="P572" s="11"/>
      <c r="Q572" s="11"/>
      <c r="R572" s="34">
        <v>574</v>
      </c>
    </row>
    <row r="573" spans="2:18" ht="20" x14ac:dyDescent="0.2">
      <c r="B573" s="96" t="s">
        <v>1879</v>
      </c>
      <c r="C573" s="22" t="s">
        <v>3265</v>
      </c>
      <c r="D573" s="22"/>
      <c r="E573" s="262"/>
      <c r="F573" s="262"/>
      <c r="G573" s="96" t="s">
        <v>2379</v>
      </c>
      <c r="H573" s="22"/>
      <c r="I573" s="201">
        <v>72</v>
      </c>
      <c r="J573" s="211"/>
      <c r="K573" s="211"/>
      <c r="L573" s="58"/>
      <c r="M573" s="58"/>
      <c r="N573" s="58"/>
      <c r="O573" s="58"/>
      <c r="P573" s="11"/>
      <c r="Q573" s="11"/>
      <c r="R573" s="34">
        <v>575</v>
      </c>
    </row>
    <row r="574" spans="2:18" ht="20" x14ac:dyDescent="0.2">
      <c r="B574" s="96" t="s">
        <v>638</v>
      </c>
      <c r="C574" s="22" t="s">
        <v>2713</v>
      </c>
      <c r="D574" s="22"/>
      <c r="E574" s="262">
        <v>50.971299999999999</v>
      </c>
      <c r="F574" s="262">
        <v>-113.8858</v>
      </c>
      <c r="G574" s="96" t="s">
        <v>2379</v>
      </c>
      <c r="H574" s="22"/>
      <c r="I574" s="201">
        <v>240</v>
      </c>
      <c r="J574" s="211"/>
      <c r="K574" s="211"/>
      <c r="L574" s="58"/>
      <c r="M574" s="58"/>
      <c r="N574" s="58"/>
      <c r="O574" s="58"/>
      <c r="P574" s="11"/>
      <c r="Q574" s="11"/>
      <c r="R574" s="34">
        <v>576</v>
      </c>
    </row>
    <row r="575" spans="2:18" ht="20" x14ac:dyDescent="0.2">
      <c r="B575" s="96" t="s">
        <v>757</v>
      </c>
      <c r="C575" s="22" t="s">
        <v>2714</v>
      </c>
      <c r="D575" s="22"/>
      <c r="E575" s="262">
        <v>53.719822000000001</v>
      </c>
      <c r="F575" s="262">
        <v>-113.190454</v>
      </c>
      <c r="G575" s="96" t="s">
        <v>2379</v>
      </c>
      <c r="H575" s="22"/>
      <c r="I575" s="201">
        <v>144</v>
      </c>
      <c r="J575" s="211"/>
      <c r="K575" s="211"/>
      <c r="L575" s="58"/>
      <c r="M575" s="58"/>
      <c r="N575" s="58"/>
      <c r="O575" s="58"/>
      <c r="P575" s="11"/>
      <c r="Q575" s="11"/>
      <c r="R575" s="34">
        <v>577</v>
      </c>
    </row>
    <row r="576" spans="2:18" ht="20" x14ac:dyDescent="0.2">
      <c r="B576" s="96" t="s">
        <v>1367</v>
      </c>
      <c r="C576" s="22" t="s">
        <v>3073</v>
      </c>
      <c r="D576" s="22"/>
      <c r="E576" s="262"/>
      <c r="F576" s="262"/>
      <c r="G576" s="96" t="s">
        <v>2379</v>
      </c>
      <c r="H576" s="162" t="s">
        <v>1150</v>
      </c>
      <c r="I576" s="209">
        <v>138</v>
      </c>
      <c r="J576" s="209">
        <v>25</v>
      </c>
      <c r="K576" s="209">
        <v>42</v>
      </c>
      <c r="L576" s="94">
        <f>K576*1.2</f>
        <v>50.4</v>
      </c>
      <c r="M576" s="94">
        <v>0.9</v>
      </c>
      <c r="N576" s="94">
        <f>K576*$M576</f>
        <v>37.800000000000004</v>
      </c>
      <c r="O576" s="94">
        <f>L576*$M576</f>
        <v>45.36</v>
      </c>
      <c r="P576" s="11" t="s">
        <v>3281</v>
      </c>
      <c r="Q576" s="11"/>
      <c r="R576" s="34">
        <v>578</v>
      </c>
    </row>
    <row r="577" spans="2:18" ht="20" x14ac:dyDescent="0.2">
      <c r="B577" s="96" t="s">
        <v>1367</v>
      </c>
      <c r="C577" s="22" t="s">
        <v>3073</v>
      </c>
      <c r="D577" s="22"/>
      <c r="E577" s="262"/>
      <c r="F577" s="262"/>
      <c r="G577" s="96" t="s">
        <v>2379</v>
      </c>
      <c r="H577" s="162" t="s">
        <v>1154</v>
      </c>
      <c r="I577" s="209">
        <v>138</v>
      </c>
      <c r="J577" s="209">
        <v>25</v>
      </c>
      <c r="K577" s="209">
        <v>42</v>
      </c>
      <c r="L577" s="94">
        <f>K577*1.2</f>
        <v>50.4</v>
      </c>
      <c r="M577" s="94">
        <v>0.9</v>
      </c>
      <c r="N577" s="94">
        <f>K577*$M577</f>
        <v>37.800000000000004</v>
      </c>
      <c r="O577" s="94">
        <f>L577*$M577</f>
        <v>45.36</v>
      </c>
      <c r="P577" s="11" t="s">
        <v>3281</v>
      </c>
      <c r="Q577" s="11"/>
      <c r="R577" s="34">
        <v>579</v>
      </c>
    </row>
    <row r="578" spans="2:18" ht="20" x14ac:dyDescent="0.2">
      <c r="B578" s="96" t="s">
        <v>902</v>
      </c>
      <c r="C578" s="22" t="s">
        <v>3074</v>
      </c>
      <c r="D578" s="22"/>
      <c r="E578" s="262"/>
      <c r="F578" s="262"/>
      <c r="G578" s="96" t="s">
        <v>2379</v>
      </c>
      <c r="H578" s="22"/>
      <c r="I578" s="201">
        <v>144</v>
      </c>
      <c r="J578" s="211"/>
      <c r="K578" s="211"/>
      <c r="L578" s="58"/>
      <c r="M578" s="58"/>
      <c r="N578" s="58"/>
      <c r="O578" s="58"/>
      <c r="P578" s="11"/>
      <c r="Q578" s="11"/>
      <c r="R578" s="34">
        <v>580</v>
      </c>
    </row>
    <row r="579" spans="2:18" ht="20" x14ac:dyDescent="0.2">
      <c r="B579" s="96" t="s">
        <v>746</v>
      </c>
      <c r="C579" s="22" t="s">
        <v>3075</v>
      </c>
      <c r="D579" s="22"/>
      <c r="E579" s="262"/>
      <c r="F579" s="262"/>
      <c r="G579" s="96" t="s">
        <v>2379</v>
      </c>
      <c r="H579" s="22"/>
      <c r="I579" s="201">
        <v>72</v>
      </c>
      <c r="J579" s="211"/>
      <c r="K579" s="211"/>
      <c r="L579" s="58"/>
      <c r="M579" s="58"/>
      <c r="N579" s="58"/>
      <c r="O579" s="58"/>
      <c r="P579" s="11"/>
      <c r="Q579" s="11"/>
      <c r="R579" s="34">
        <v>581</v>
      </c>
    </row>
    <row r="580" spans="2:18" ht="20" x14ac:dyDescent="0.2">
      <c r="B580" s="96" t="s">
        <v>1896</v>
      </c>
      <c r="C580" s="22" t="s">
        <v>2715</v>
      </c>
      <c r="D580" s="22"/>
      <c r="E580" s="262">
        <v>49.538450699999999</v>
      </c>
      <c r="F580" s="262">
        <v>-113.523146</v>
      </c>
      <c r="G580" s="96" t="s">
        <v>2379</v>
      </c>
      <c r="H580" s="22"/>
      <c r="I580" s="201">
        <v>144</v>
      </c>
      <c r="J580" s="211"/>
      <c r="K580" s="211"/>
      <c r="L580" s="58"/>
      <c r="M580" s="58"/>
      <c r="N580" s="58"/>
      <c r="O580" s="58"/>
      <c r="P580" s="11"/>
      <c r="Q580" s="11"/>
      <c r="R580" s="34">
        <v>582</v>
      </c>
    </row>
    <row r="581" spans="2:18" ht="20" x14ac:dyDescent="0.2">
      <c r="B581" s="96" t="s">
        <v>893</v>
      </c>
      <c r="C581" s="22" t="s">
        <v>3076</v>
      </c>
      <c r="D581" s="22"/>
      <c r="E581" s="262"/>
      <c r="F581" s="262"/>
      <c r="G581" s="96" t="s">
        <v>2379</v>
      </c>
      <c r="H581" s="22"/>
      <c r="I581" s="201">
        <v>144</v>
      </c>
      <c r="J581" s="211"/>
      <c r="K581" s="211"/>
      <c r="L581" s="58"/>
      <c r="M581" s="58"/>
      <c r="N581" s="58"/>
      <c r="O581" s="58"/>
      <c r="P581" s="11"/>
      <c r="Q581" s="11"/>
      <c r="R581" s="34">
        <v>583</v>
      </c>
    </row>
    <row r="582" spans="2:18" ht="20" x14ac:dyDescent="0.2">
      <c r="B582" s="96" t="s">
        <v>794</v>
      </c>
      <c r="C582" s="22" t="s">
        <v>3077</v>
      </c>
      <c r="D582" s="22"/>
      <c r="E582" s="262"/>
      <c r="F582" s="262"/>
      <c r="G582" s="96" t="s">
        <v>2379</v>
      </c>
      <c r="H582" s="22"/>
      <c r="I582" s="201">
        <v>138</v>
      </c>
      <c r="J582" s="211"/>
      <c r="K582" s="211"/>
      <c r="L582" s="58"/>
      <c r="M582" s="58"/>
      <c r="N582" s="58"/>
      <c r="O582" s="58"/>
      <c r="P582" s="11"/>
      <c r="Q582" s="11"/>
      <c r="R582" s="34">
        <v>584</v>
      </c>
    </row>
    <row r="583" spans="2:18" ht="20" x14ac:dyDescent="0.2">
      <c r="B583" s="96" t="s">
        <v>1639</v>
      </c>
      <c r="C583" s="22" t="s">
        <v>3078</v>
      </c>
      <c r="D583" s="22"/>
      <c r="E583" s="262"/>
      <c r="F583" s="262"/>
      <c r="G583" s="96" t="s">
        <v>2379</v>
      </c>
      <c r="H583" s="22"/>
      <c r="I583" s="201">
        <v>144</v>
      </c>
      <c r="J583" s="211"/>
      <c r="K583" s="211"/>
      <c r="L583" s="58"/>
      <c r="M583" s="58"/>
      <c r="N583" s="58"/>
      <c r="O583" s="58"/>
      <c r="P583" s="11"/>
      <c r="Q583" s="11"/>
      <c r="R583" s="34">
        <v>585</v>
      </c>
    </row>
    <row r="584" spans="2:18" ht="20" x14ac:dyDescent="0.2">
      <c r="B584" s="96" t="s">
        <v>1700</v>
      </c>
      <c r="C584" s="22" t="s">
        <v>2716</v>
      </c>
      <c r="D584" s="22"/>
      <c r="E584" s="262">
        <v>51.074511200000003</v>
      </c>
      <c r="F584" s="262">
        <v>-115.4023779</v>
      </c>
      <c r="G584" s="96" t="s">
        <v>2379</v>
      </c>
      <c r="H584" s="22"/>
      <c r="I584" s="201">
        <v>138</v>
      </c>
      <c r="J584" s="211"/>
      <c r="K584" s="211"/>
      <c r="L584" s="58"/>
      <c r="M584" s="58"/>
      <c r="N584" s="58"/>
      <c r="O584" s="58"/>
      <c r="P584" s="11"/>
      <c r="Q584" s="11"/>
      <c r="R584" s="34">
        <v>586</v>
      </c>
    </row>
    <row r="585" spans="2:18" ht="20" x14ac:dyDescent="0.2">
      <c r="B585" s="96" t="s">
        <v>1883</v>
      </c>
      <c r="C585" s="22" t="s">
        <v>2717</v>
      </c>
      <c r="D585" s="22"/>
      <c r="E585" s="262">
        <v>49.287111139336503</v>
      </c>
      <c r="F585" s="262">
        <v>-113.157735123675</v>
      </c>
      <c r="G585" s="96" t="s">
        <v>2379</v>
      </c>
      <c r="H585" s="22"/>
      <c r="I585" s="201">
        <v>69</v>
      </c>
      <c r="J585" s="211"/>
      <c r="K585" s="211"/>
      <c r="L585" s="58"/>
      <c r="M585" s="58"/>
      <c r="N585" s="58"/>
      <c r="O585" s="58"/>
      <c r="P585" s="11"/>
      <c r="Q585" s="11"/>
      <c r="R585" s="34">
        <v>587</v>
      </c>
    </row>
    <row r="586" spans="2:18" ht="20" x14ac:dyDescent="0.2">
      <c r="B586" s="96" t="s">
        <v>1677</v>
      </c>
      <c r="C586" s="22" t="s">
        <v>3079</v>
      </c>
      <c r="D586" s="22"/>
      <c r="E586" s="262"/>
      <c r="F586" s="262"/>
      <c r="G586" s="96" t="s">
        <v>2379</v>
      </c>
      <c r="H586" s="22"/>
      <c r="I586" s="201">
        <v>138</v>
      </c>
      <c r="J586" s="211"/>
      <c r="K586" s="211"/>
      <c r="L586" s="58"/>
      <c r="M586" s="58"/>
      <c r="N586" s="58"/>
      <c r="O586" s="58"/>
      <c r="P586" s="11"/>
      <c r="Q586" s="11"/>
      <c r="R586" s="34">
        <v>588</v>
      </c>
    </row>
    <row r="587" spans="2:18" ht="20" x14ac:dyDescent="0.2">
      <c r="B587" s="96" t="s">
        <v>1288</v>
      </c>
      <c r="C587" s="22" t="s">
        <v>3080</v>
      </c>
      <c r="D587" s="22"/>
      <c r="E587" s="262"/>
      <c r="F587" s="262"/>
      <c r="G587" s="96" t="s">
        <v>2379</v>
      </c>
      <c r="H587" s="22"/>
      <c r="I587" s="201">
        <v>138</v>
      </c>
      <c r="J587" s="211"/>
      <c r="K587" s="211"/>
      <c r="L587" s="58"/>
      <c r="M587" s="58"/>
      <c r="N587" s="58"/>
      <c r="O587" s="58"/>
      <c r="P587" s="11"/>
      <c r="Q587" s="11"/>
      <c r="R587" s="34">
        <v>589</v>
      </c>
    </row>
    <row r="588" spans="2:18" ht="20" x14ac:dyDescent="0.2">
      <c r="B588" s="96" t="s">
        <v>1750</v>
      </c>
      <c r="C588" s="22" t="s">
        <v>3081</v>
      </c>
      <c r="D588" s="22"/>
      <c r="E588" s="262"/>
      <c r="F588" s="262"/>
      <c r="G588" s="96" t="s">
        <v>2379</v>
      </c>
      <c r="H588" s="22"/>
      <c r="I588" s="201">
        <v>138</v>
      </c>
      <c r="J588" s="211"/>
      <c r="K588" s="211"/>
      <c r="L588" s="58"/>
      <c r="M588" s="58"/>
      <c r="N588" s="58"/>
      <c r="O588" s="58"/>
      <c r="P588" s="11"/>
      <c r="Q588" s="11"/>
      <c r="R588" s="34">
        <v>590</v>
      </c>
    </row>
    <row r="589" spans="2:18" ht="20" x14ac:dyDescent="0.2">
      <c r="B589" s="96" t="s">
        <v>1754</v>
      </c>
      <c r="C589" s="22" t="s">
        <v>3082</v>
      </c>
      <c r="D589" s="22"/>
      <c r="E589" s="262"/>
      <c r="F589" s="262"/>
      <c r="G589" s="96" t="s">
        <v>2379</v>
      </c>
      <c r="H589" s="22"/>
      <c r="I589" s="201">
        <v>144</v>
      </c>
      <c r="J589" s="211"/>
      <c r="K589" s="211"/>
      <c r="L589" s="58"/>
      <c r="M589" s="58"/>
      <c r="N589" s="58"/>
      <c r="O589" s="58"/>
      <c r="P589" s="11"/>
      <c r="Q589" s="11"/>
      <c r="R589" s="34">
        <v>591</v>
      </c>
    </row>
    <row r="590" spans="2:18" ht="20" x14ac:dyDescent="0.2">
      <c r="B590" s="96" t="s">
        <v>1733</v>
      </c>
      <c r="C590" s="22" t="s">
        <v>3083</v>
      </c>
      <c r="D590" s="22"/>
      <c r="E590" s="262"/>
      <c r="F590" s="262"/>
      <c r="G590" s="96" t="s">
        <v>2379</v>
      </c>
      <c r="H590" s="22"/>
      <c r="I590" s="201">
        <v>138</v>
      </c>
      <c r="J590" s="211"/>
      <c r="K590" s="211"/>
      <c r="L590" s="58"/>
      <c r="M590" s="58"/>
      <c r="N590" s="58"/>
      <c r="O590" s="58"/>
      <c r="P590" s="11"/>
      <c r="Q590" s="11"/>
      <c r="R590" s="34">
        <v>592</v>
      </c>
    </row>
    <row r="591" spans="2:18" ht="20" x14ac:dyDescent="0.2">
      <c r="B591" s="96" t="s">
        <v>1756</v>
      </c>
      <c r="C591" s="22" t="s">
        <v>3084</v>
      </c>
      <c r="D591" s="22"/>
      <c r="E591" s="262"/>
      <c r="F591" s="262"/>
      <c r="G591" s="96" t="s">
        <v>2379</v>
      </c>
      <c r="H591" s="22"/>
      <c r="I591" s="201">
        <v>144</v>
      </c>
      <c r="J591" s="211"/>
      <c r="K591" s="211"/>
      <c r="L591" s="58"/>
      <c r="M591" s="58"/>
      <c r="N591" s="58"/>
      <c r="O591" s="58"/>
      <c r="P591" s="11"/>
      <c r="Q591" s="11"/>
      <c r="R591" s="34">
        <v>593</v>
      </c>
    </row>
    <row r="592" spans="2:18" ht="20" x14ac:dyDescent="0.2">
      <c r="B592" s="96" t="s">
        <v>1735</v>
      </c>
      <c r="C592" s="22" t="s">
        <v>3085</v>
      </c>
      <c r="D592" s="22"/>
      <c r="E592" s="262"/>
      <c r="F592" s="262"/>
      <c r="G592" s="96" t="s">
        <v>2379</v>
      </c>
      <c r="H592" s="22"/>
      <c r="I592" s="201">
        <v>138</v>
      </c>
      <c r="J592" s="211"/>
      <c r="K592" s="211"/>
      <c r="L592" s="58"/>
      <c r="M592" s="58"/>
      <c r="N592" s="58"/>
      <c r="O592" s="58"/>
      <c r="P592" s="11"/>
      <c r="Q592" s="11"/>
      <c r="R592" s="34">
        <v>594</v>
      </c>
    </row>
    <row r="593" spans="2:18" ht="20" x14ac:dyDescent="0.2">
      <c r="B593" s="96" t="s">
        <v>1737</v>
      </c>
      <c r="C593" s="22" t="s">
        <v>3086</v>
      </c>
      <c r="D593" s="22"/>
      <c r="E593" s="262"/>
      <c r="F593" s="262"/>
      <c r="G593" s="96" t="s">
        <v>2379</v>
      </c>
      <c r="H593" s="22"/>
      <c r="I593" s="201">
        <v>138</v>
      </c>
      <c r="J593" s="211"/>
      <c r="K593" s="211"/>
      <c r="L593" s="58"/>
      <c r="M593" s="58"/>
      <c r="N593" s="58"/>
      <c r="O593" s="58"/>
      <c r="P593" s="11"/>
      <c r="Q593" s="11"/>
      <c r="R593" s="34">
        <v>595</v>
      </c>
    </row>
    <row r="594" spans="2:18" ht="20" x14ac:dyDescent="0.2">
      <c r="B594" s="96" t="s">
        <v>1792</v>
      </c>
      <c r="C594" s="22" t="s">
        <v>3087</v>
      </c>
      <c r="D594" s="22"/>
      <c r="E594" s="262"/>
      <c r="F594" s="262"/>
      <c r="G594" s="96" t="s">
        <v>2379</v>
      </c>
      <c r="H594" s="22"/>
      <c r="I594" s="201">
        <v>69</v>
      </c>
      <c r="J594" s="211"/>
      <c r="K594" s="211"/>
      <c r="L594" s="58"/>
      <c r="M594" s="58"/>
      <c r="N594" s="58"/>
      <c r="O594" s="58"/>
      <c r="P594" s="11"/>
      <c r="Q594" s="11"/>
      <c r="R594" s="34">
        <v>596</v>
      </c>
    </row>
    <row r="595" spans="2:18" ht="20" x14ac:dyDescent="0.2">
      <c r="B595" s="96" t="s">
        <v>1786</v>
      </c>
      <c r="C595" s="22" t="s">
        <v>3088</v>
      </c>
      <c r="D595" s="22"/>
      <c r="E595" s="262"/>
      <c r="F595" s="262"/>
      <c r="G595" s="96" t="s">
        <v>2379</v>
      </c>
      <c r="H595" s="22"/>
      <c r="I595" s="201">
        <v>69</v>
      </c>
      <c r="J595" s="211"/>
      <c r="K595" s="211"/>
      <c r="L595" s="58"/>
      <c r="M595" s="58"/>
      <c r="N595" s="58"/>
      <c r="O595" s="58"/>
      <c r="P595" s="11"/>
      <c r="Q595" s="11"/>
      <c r="R595" s="34">
        <v>597</v>
      </c>
    </row>
    <row r="596" spans="2:18" ht="20" x14ac:dyDescent="0.2">
      <c r="B596" s="96" t="s">
        <v>1758</v>
      </c>
      <c r="C596" s="22" t="s">
        <v>3089</v>
      </c>
      <c r="D596" s="22"/>
      <c r="E596" s="262"/>
      <c r="F596" s="262"/>
      <c r="G596" s="96" t="s">
        <v>2379</v>
      </c>
      <c r="H596" s="22"/>
      <c r="I596" s="201">
        <v>138</v>
      </c>
      <c r="J596" s="211"/>
      <c r="K596" s="211"/>
      <c r="L596" s="58"/>
      <c r="M596" s="58"/>
      <c r="N596" s="58"/>
      <c r="O596" s="58"/>
      <c r="P596" s="11"/>
      <c r="Q596" s="11"/>
      <c r="R596" s="34">
        <v>598</v>
      </c>
    </row>
    <row r="597" spans="2:18" ht="20" x14ac:dyDescent="0.2">
      <c r="B597" s="96" t="s">
        <v>1749</v>
      </c>
      <c r="C597" s="22" t="s">
        <v>3090</v>
      </c>
      <c r="D597" s="22"/>
      <c r="E597" s="262"/>
      <c r="F597" s="262"/>
      <c r="G597" s="96" t="s">
        <v>2379</v>
      </c>
      <c r="H597" s="22"/>
      <c r="I597" s="201">
        <v>138</v>
      </c>
      <c r="J597" s="211"/>
      <c r="K597" s="211"/>
      <c r="L597" s="58"/>
      <c r="M597" s="58"/>
      <c r="N597" s="58"/>
      <c r="O597" s="58"/>
      <c r="P597" s="11"/>
      <c r="Q597" s="11"/>
      <c r="R597" s="34">
        <v>599</v>
      </c>
    </row>
    <row r="598" spans="2:18" ht="20" x14ac:dyDescent="0.2">
      <c r="B598" s="96" t="s">
        <v>1741</v>
      </c>
      <c r="C598" s="22" t="s">
        <v>3091</v>
      </c>
      <c r="D598" s="22"/>
      <c r="E598" s="262"/>
      <c r="F598" s="262"/>
      <c r="G598" s="96" t="s">
        <v>2379</v>
      </c>
      <c r="H598" s="22"/>
      <c r="I598" s="201">
        <v>138</v>
      </c>
      <c r="J598" s="211"/>
      <c r="K598" s="211"/>
      <c r="L598" s="58"/>
      <c r="M598" s="58"/>
      <c r="N598" s="58"/>
      <c r="O598" s="58"/>
      <c r="P598" s="11"/>
      <c r="Q598" s="11"/>
      <c r="R598" s="34">
        <v>600</v>
      </c>
    </row>
    <row r="599" spans="2:18" ht="20" x14ac:dyDescent="0.2">
      <c r="B599" s="96" t="s">
        <v>1769</v>
      </c>
      <c r="C599" s="22" t="s">
        <v>3092</v>
      </c>
      <c r="D599" s="22"/>
      <c r="E599" s="262"/>
      <c r="F599" s="262"/>
      <c r="G599" s="96" t="s">
        <v>2379</v>
      </c>
      <c r="H599" s="22"/>
      <c r="I599" s="201">
        <v>138</v>
      </c>
      <c r="J599" s="211"/>
      <c r="K599" s="211"/>
      <c r="L599" s="58"/>
      <c r="M599" s="58"/>
      <c r="N599" s="58"/>
      <c r="O599" s="58"/>
      <c r="P599" s="11"/>
      <c r="Q599" s="11"/>
      <c r="R599" s="34">
        <v>601</v>
      </c>
    </row>
    <row r="600" spans="2:18" ht="20" x14ac:dyDescent="0.2">
      <c r="B600" s="96" t="s">
        <v>1781</v>
      </c>
      <c r="C600" s="22" t="s">
        <v>3093</v>
      </c>
      <c r="D600" s="22"/>
      <c r="E600" s="262"/>
      <c r="F600" s="262"/>
      <c r="G600" s="96" t="s">
        <v>2379</v>
      </c>
      <c r="H600" s="22"/>
      <c r="I600" s="201">
        <v>138</v>
      </c>
      <c r="J600" s="211"/>
      <c r="K600" s="211"/>
      <c r="L600" s="58"/>
      <c r="M600" s="58"/>
      <c r="N600" s="58"/>
      <c r="O600" s="58"/>
      <c r="P600" s="11"/>
      <c r="Q600" s="11"/>
      <c r="R600" s="34">
        <v>602</v>
      </c>
    </row>
    <row r="601" spans="2:18" ht="20" x14ac:dyDescent="0.2">
      <c r="B601" s="96" t="s">
        <v>1803</v>
      </c>
      <c r="C601" s="22" t="s">
        <v>2599</v>
      </c>
      <c r="D601" s="22"/>
      <c r="E601" s="262"/>
      <c r="F601" s="262"/>
      <c r="G601" s="96" t="s">
        <v>2379</v>
      </c>
      <c r="H601" s="22"/>
      <c r="I601" s="201">
        <v>138</v>
      </c>
      <c r="J601" s="211"/>
      <c r="K601" s="211"/>
      <c r="L601" s="58"/>
      <c r="M601" s="58"/>
      <c r="N601" s="58"/>
      <c r="O601" s="58"/>
      <c r="P601" s="11"/>
      <c r="Q601" s="11"/>
      <c r="R601" s="34">
        <v>603</v>
      </c>
    </row>
    <row r="602" spans="2:18" ht="20" x14ac:dyDescent="0.2">
      <c r="B602" s="96" t="s">
        <v>1808</v>
      </c>
      <c r="C602" s="22" t="s">
        <v>3094</v>
      </c>
      <c r="D602" s="22"/>
      <c r="E602" s="262"/>
      <c r="F602" s="262"/>
      <c r="G602" s="96" t="s">
        <v>2379</v>
      </c>
      <c r="H602" s="22"/>
      <c r="I602" s="201">
        <v>138</v>
      </c>
      <c r="J602" s="211"/>
      <c r="K602" s="211"/>
      <c r="L602" s="58"/>
      <c r="M602" s="58"/>
      <c r="N602" s="58"/>
      <c r="O602" s="58"/>
      <c r="P602" s="11"/>
      <c r="Q602" s="11"/>
      <c r="R602" s="34">
        <v>604</v>
      </c>
    </row>
    <row r="603" spans="2:18" ht="20" x14ac:dyDescent="0.2">
      <c r="B603" s="96" t="s">
        <v>1784</v>
      </c>
      <c r="C603" s="22" t="s">
        <v>3095</v>
      </c>
      <c r="D603" s="22"/>
      <c r="E603" s="262"/>
      <c r="F603" s="262"/>
      <c r="G603" s="96" t="s">
        <v>2379</v>
      </c>
      <c r="H603" s="22"/>
      <c r="I603" s="201">
        <v>69</v>
      </c>
      <c r="J603" s="211"/>
      <c r="K603" s="211"/>
      <c r="L603" s="58"/>
      <c r="M603" s="58"/>
      <c r="N603" s="58"/>
      <c r="O603" s="58"/>
      <c r="P603" s="11"/>
      <c r="Q603" s="11"/>
      <c r="R603" s="34">
        <v>605</v>
      </c>
    </row>
    <row r="604" spans="2:18" ht="20" x14ac:dyDescent="0.2">
      <c r="B604" s="96" t="s">
        <v>1747</v>
      </c>
      <c r="C604" s="22" t="s">
        <v>3096</v>
      </c>
      <c r="D604" s="22"/>
      <c r="E604" s="262"/>
      <c r="F604" s="262"/>
      <c r="G604" s="96" t="s">
        <v>2379</v>
      </c>
      <c r="H604" s="22"/>
      <c r="I604" s="201">
        <v>138</v>
      </c>
      <c r="J604" s="211"/>
      <c r="K604" s="211"/>
      <c r="L604" s="58"/>
      <c r="M604" s="58"/>
      <c r="N604" s="58"/>
      <c r="O604" s="58"/>
      <c r="P604" s="11"/>
      <c r="Q604" s="11"/>
      <c r="R604" s="34">
        <v>606</v>
      </c>
    </row>
    <row r="605" spans="2:18" ht="20" x14ac:dyDescent="0.2">
      <c r="B605" s="96" t="s">
        <v>1766</v>
      </c>
      <c r="C605" s="22" t="s">
        <v>3097</v>
      </c>
      <c r="D605" s="22"/>
      <c r="E605" s="262"/>
      <c r="F605" s="262"/>
      <c r="G605" s="96" t="s">
        <v>2379</v>
      </c>
      <c r="H605" s="22"/>
      <c r="I605" s="201">
        <v>138</v>
      </c>
      <c r="J605" s="211"/>
      <c r="K605" s="211"/>
      <c r="L605" s="58"/>
      <c r="M605" s="58"/>
      <c r="N605" s="58"/>
      <c r="O605" s="58"/>
      <c r="P605" s="11"/>
      <c r="Q605" s="11"/>
      <c r="R605" s="34">
        <v>607</v>
      </c>
    </row>
    <row r="606" spans="2:18" ht="20" x14ac:dyDescent="0.2">
      <c r="B606" s="96" t="s">
        <v>1805</v>
      </c>
      <c r="C606" s="22" t="s">
        <v>3098</v>
      </c>
      <c r="D606" s="22"/>
      <c r="E606" s="262"/>
      <c r="F606" s="262"/>
      <c r="G606" s="96" t="s">
        <v>2379</v>
      </c>
      <c r="H606" s="22"/>
      <c r="I606" s="201">
        <v>138</v>
      </c>
      <c r="J606" s="211"/>
      <c r="K606" s="211"/>
      <c r="L606" s="58"/>
      <c r="M606" s="58"/>
      <c r="N606" s="58"/>
      <c r="O606" s="58"/>
      <c r="P606" s="11"/>
      <c r="Q606" s="11"/>
      <c r="R606" s="34">
        <v>608</v>
      </c>
    </row>
    <row r="607" spans="2:18" ht="20" x14ac:dyDescent="0.2">
      <c r="B607" s="96" t="s">
        <v>1810</v>
      </c>
      <c r="C607" s="22" t="s">
        <v>3099</v>
      </c>
      <c r="D607" s="22"/>
      <c r="E607" s="262"/>
      <c r="F607" s="262"/>
      <c r="G607" s="96" t="s">
        <v>2379</v>
      </c>
      <c r="H607" s="22"/>
      <c r="I607" s="201">
        <v>138</v>
      </c>
      <c r="J607" s="211"/>
      <c r="K607" s="211"/>
      <c r="L607" s="58"/>
      <c r="M607" s="58"/>
      <c r="N607" s="58"/>
      <c r="O607" s="58"/>
      <c r="P607" s="11"/>
      <c r="Q607" s="11"/>
      <c r="R607" s="34">
        <v>609</v>
      </c>
    </row>
    <row r="608" spans="2:18" ht="20" x14ac:dyDescent="0.2">
      <c r="B608" s="96" t="s">
        <v>1823</v>
      </c>
      <c r="C608" s="22" t="s">
        <v>3100</v>
      </c>
      <c r="D608" s="22"/>
      <c r="E608" s="262"/>
      <c r="F608" s="262"/>
      <c r="G608" s="96" t="s">
        <v>2379</v>
      </c>
      <c r="H608" s="22"/>
      <c r="I608" s="201">
        <v>138</v>
      </c>
      <c r="J608" s="211"/>
      <c r="K608" s="211"/>
      <c r="L608" s="58"/>
      <c r="M608" s="58"/>
      <c r="N608" s="58"/>
      <c r="O608" s="58"/>
      <c r="P608" s="11"/>
      <c r="Q608" s="11"/>
      <c r="R608" s="34">
        <v>610</v>
      </c>
    </row>
    <row r="609" spans="2:18" ht="20" x14ac:dyDescent="0.2">
      <c r="B609" s="96" t="s">
        <v>1788</v>
      </c>
      <c r="C609" s="22" t="s">
        <v>3101</v>
      </c>
      <c r="D609" s="22"/>
      <c r="E609" s="262"/>
      <c r="F609" s="262"/>
      <c r="G609" s="96" t="s">
        <v>2379</v>
      </c>
      <c r="H609" s="22"/>
      <c r="I609" s="201">
        <v>69</v>
      </c>
      <c r="J609" s="211"/>
      <c r="K609" s="211"/>
      <c r="L609" s="58"/>
      <c r="M609" s="58"/>
      <c r="N609" s="58"/>
      <c r="O609" s="58"/>
      <c r="P609" s="11"/>
      <c r="Q609" s="11"/>
      <c r="R609" s="34">
        <v>611</v>
      </c>
    </row>
    <row r="610" spans="2:18" ht="20" x14ac:dyDescent="0.2">
      <c r="B610" s="96" t="s">
        <v>1828</v>
      </c>
      <c r="C610" s="22" t="s">
        <v>3102</v>
      </c>
      <c r="D610" s="22"/>
      <c r="E610" s="262"/>
      <c r="F610" s="262"/>
      <c r="G610" s="96" t="s">
        <v>2379</v>
      </c>
      <c r="H610" s="22"/>
      <c r="I610" s="201">
        <v>144</v>
      </c>
      <c r="J610" s="211"/>
      <c r="K610" s="211"/>
      <c r="L610" s="58"/>
      <c r="M610" s="58"/>
      <c r="N610" s="58"/>
      <c r="O610" s="58"/>
      <c r="P610" s="11"/>
      <c r="Q610" s="11"/>
      <c r="R610" s="34">
        <v>612</v>
      </c>
    </row>
    <row r="611" spans="2:18" ht="20" x14ac:dyDescent="0.2">
      <c r="B611" s="96" t="s">
        <v>461</v>
      </c>
      <c r="C611" s="22" t="s">
        <v>2643</v>
      </c>
      <c r="D611" s="22"/>
      <c r="E611" s="262"/>
      <c r="F611" s="262"/>
      <c r="G611" s="96" t="s">
        <v>2379</v>
      </c>
      <c r="H611" s="22"/>
      <c r="I611" s="201">
        <v>138</v>
      </c>
      <c r="J611" s="211"/>
      <c r="K611" s="211"/>
      <c r="L611" s="58"/>
      <c r="M611" s="58"/>
      <c r="N611" s="58"/>
      <c r="O611" s="58"/>
      <c r="P611" s="11"/>
      <c r="Q611" s="11"/>
      <c r="R611" s="34">
        <v>613</v>
      </c>
    </row>
    <row r="612" spans="2:18" ht="20" x14ac:dyDescent="0.2">
      <c r="B612" s="96" t="s">
        <v>1774</v>
      </c>
      <c r="C612" s="22" t="s">
        <v>3103</v>
      </c>
      <c r="D612" s="22"/>
      <c r="E612" s="262"/>
      <c r="F612" s="262"/>
      <c r="G612" s="96" t="s">
        <v>2379</v>
      </c>
      <c r="H612" s="22"/>
      <c r="I612" s="201">
        <v>138</v>
      </c>
      <c r="J612" s="211"/>
      <c r="K612" s="211"/>
      <c r="L612" s="58"/>
      <c r="M612" s="58"/>
      <c r="N612" s="58"/>
      <c r="O612" s="58"/>
      <c r="P612" s="11"/>
      <c r="Q612" s="11"/>
      <c r="R612" s="34">
        <v>614</v>
      </c>
    </row>
    <row r="613" spans="2:18" ht="20" x14ac:dyDescent="0.2">
      <c r="B613" s="96" t="s">
        <v>1773</v>
      </c>
      <c r="C613" s="22" t="s">
        <v>3104</v>
      </c>
      <c r="D613" s="22"/>
      <c r="E613" s="262"/>
      <c r="F613" s="262"/>
      <c r="G613" s="96" t="s">
        <v>2379</v>
      </c>
      <c r="H613" s="22"/>
      <c r="I613" s="201">
        <v>138</v>
      </c>
      <c r="J613" s="211"/>
      <c r="K613" s="211"/>
      <c r="L613" s="58"/>
      <c r="M613" s="58"/>
      <c r="N613" s="58"/>
      <c r="O613" s="58"/>
      <c r="P613" s="11"/>
      <c r="Q613" s="11"/>
      <c r="R613" s="34">
        <v>615</v>
      </c>
    </row>
    <row r="614" spans="2:18" ht="20" x14ac:dyDescent="0.2">
      <c r="B614" s="96" t="s">
        <v>1771</v>
      </c>
      <c r="C614" s="22" t="s">
        <v>3105</v>
      </c>
      <c r="D614" s="22"/>
      <c r="E614" s="262"/>
      <c r="F614" s="262"/>
      <c r="G614" s="96" t="s">
        <v>2379</v>
      </c>
      <c r="H614" s="22"/>
      <c r="I614" s="201">
        <v>138</v>
      </c>
      <c r="J614" s="211"/>
      <c r="K614" s="211"/>
      <c r="L614" s="58"/>
      <c r="M614" s="58"/>
      <c r="N614" s="58"/>
      <c r="O614" s="58"/>
      <c r="P614" s="11"/>
      <c r="Q614" s="11"/>
      <c r="R614" s="34">
        <v>616</v>
      </c>
    </row>
    <row r="615" spans="2:18" ht="20" x14ac:dyDescent="0.2">
      <c r="B615" s="96" t="s">
        <v>1820</v>
      </c>
      <c r="C615" s="22" t="s">
        <v>3106</v>
      </c>
      <c r="D615" s="22"/>
      <c r="E615" s="262"/>
      <c r="F615" s="262"/>
      <c r="G615" s="96" t="s">
        <v>2379</v>
      </c>
      <c r="H615" s="22"/>
      <c r="I615" s="201">
        <v>138</v>
      </c>
      <c r="J615" s="211"/>
      <c r="K615" s="211"/>
      <c r="L615" s="58"/>
      <c r="M615" s="58"/>
      <c r="N615" s="58"/>
      <c r="O615" s="58"/>
      <c r="P615" s="11"/>
      <c r="Q615" s="11"/>
      <c r="R615" s="34">
        <v>617</v>
      </c>
    </row>
    <row r="616" spans="2:18" ht="20" x14ac:dyDescent="0.2">
      <c r="B616" s="96" t="s">
        <v>1814</v>
      </c>
      <c r="C616" s="22" t="s">
        <v>3107</v>
      </c>
      <c r="D616" s="22"/>
      <c r="E616" s="262"/>
      <c r="F616" s="262"/>
      <c r="G616" s="96" t="s">
        <v>2379</v>
      </c>
      <c r="H616" s="22"/>
      <c r="I616" s="201">
        <v>138</v>
      </c>
      <c r="J616" s="211"/>
      <c r="K616" s="211"/>
      <c r="L616" s="58"/>
      <c r="M616" s="58"/>
      <c r="N616" s="58"/>
      <c r="O616" s="58"/>
      <c r="P616" s="11"/>
      <c r="Q616" s="11"/>
      <c r="R616" s="34">
        <v>618</v>
      </c>
    </row>
    <row r="617" spans="2:18" ht="20" x14ac:dyDescent="0.2">
      <c r="B617" s="96" t="s">
        <v>1818</v>
      </c>
      <c r="C617" s="22" t="s">
        <v>3108</v>
      </c>
      <c r="D617" s="22"/>
      <c r="E617" s="262"/>
      <c r="F617" s="262"/>
      <c r="G617" s="96" t="s">
        <v>2379</v>
      </c>
      <c r="H617" s="22"/>
      <c r="I617" s="201">
        <v>138</v>
      </c>
      <c r="J617" s="211"/>
      <c r="K617" s="211"/>
      <c r="L617" s="58"/>
      <c r="M617" s="58"/>
      <c r="N617" s="58"/>
      <c r="O617" s="58"/>
      <c r="P617" s="11"/>
      <c r="Q617" s="11"/>
      <c r="R617" s="34">
        <v>619</v>
      </c>
    </row>
    <row r="618" spans="2:18" ht="20" x14ac:dyDescent="0.2">
      <c r="B618" s="96" t="s">
        <v>1731</v>
      </c>
      <c r="C618" s="22" t="s">
        <v>3109</v>
      </c>
      <c r="D618" s="22"/>
      <c r="E618" s="262"/>
      <c r="F618" s="262"/>
      <c r="G618" s="96" t="s">
        <v>2379</v>
      </c>
      <c r="H618" s="22"/>
      <c r="I618" s="201">
        <v>144</v>
      </c>
      <c r="J618" s="211"/>
      <c r="K618" s="211"/>
      <c r="L618" s="58"/>
      <c r="M618" s="58"/>
      <c r="N618" s="58"/>
      <c r="O618" s="58"/>
      <c r="P618" s="11"/>
      <c r="Q618" s="11"/>
      <c r="R618" s="34">
        <v>620</v>
      </c>
    </row>
    <row r="619" spans="2:18" ht="20" x14ac:dyDescent="0.2">
      <c r="B619" s="96" t="s">
        <v>1763</v>
      </c>
      <c r="C619" s="22" t="s">
        <v>3110</v>
      </c>
      <c r="D619" s="22"/>
      <c r="E619" s="262"/>
      <c r="F619" s="262"/>
      <c r="G619" s="96" t="s">
        <v>2379</v>
      </c>
      <c r="H619" s="22"/>
      <c r="I619" s="201">
        <v>138</v>
      </c>
      <c r="J619" s="211"/>
      <c r="K619" s="211"/>
      <c r="L619" s="58"/>
      <c r="M619" s="58"/>
      <c r="N619" s="58"/>
      <c r="O619" s="58"/>
      <c r="P619" s="11"/>
      <c r="Q619" s="11"/>
      <c r="R619" s="34">
        <v>621</v>
      </c>
    </row>
    <row r="620" spans="2:18" ht="20" x14ac:dyDescent="0.2">
      <c r="B620" s="96" t="s">
        <v>1812</v>
      </c>
      <c r="C620" s="22" t="s">
        <v>3111</v>
      </c>
      <c r="D620" s="22"/>
      <c r="E620" s="262"/>
      <c r="F620" s="262"/>
      <c r="G620" s="96" t="s">
        <v>2379</v>
      </c>
      <c r="H620" s="22"/>
      <c r="I620" s="201">
        <v>144</v>
      </c>
      <c r="J620" s="211"/>
      <c r="K620" s="211"/>
      <c r="L620" s="58"/>
      <c r="M620" s="58"/>
      <c r="N620" s="58"/>
      <c r="O620" s="58"/>
      <c r="P620" s="11"/>
      <c r="Q620" s="11"/>
      <c r="R620" s="34">
        <v>622</v>
      </c>
    </row>
    <row r="621" spans="2:18" ht="20" x14ac:dyDescent="0.2">
      <c r="B621" s="96" t="s">
        <v>1827</v>
      </c>
      <c r="C621" s="22" t="s">
        <v>3112</v>
      </c>
      <c r="D621" s="22"/>
      <c r="E621" s="262"/>
      <c r="F621" s="262"/>
      <c r="G621" s="96" t="s">
        <v>2379</v>
      </c>
      <c r="H621" s="22"/>
      <c r="I621" s="201">
        <v>138</v>
      </c>
      <c r="J621" s="211"/>
      <c r="K621" s="211"/>
      <c r="L621" s="58"/>
      <c r="M621" s="58"/>
      <c r="N621" s="58"/>
      <c r="O621" s="58"/>
      <c r="P621" s="11"/>
      <c r="Q621" s="11"/>
      <c r="R621" s="34">
        <v>623</v>
      </c>
    </row>
    <row r="622" spans="2:18" ht="20" x14ac:dyDescent="0.2">
      <c r="B622" s="96" t="s">
        <v>637</v>
      </c>
      <c r="C622" s="22" t="s">
        <v>3113</v>
      </c>
      <c r="D622" s="22"/>
      <c r="E622" s="262"/>
      <c r="F622" s="262"/>
      <c r="G622" s="96" t="s">
        <v>2379</v>
      </c>
      <c r="H622" s="162" t="s">
        <v>1150</v>
      </c>
      <c r="I622" s="209">
        <v>240</v>
      </c>
      <c r="J622" s="209">
        <v>138</v>
      </c>
      <c r="K622" s="209">
        <v>400</v>
      </c>
      <c r="L622" s="94">
        <f>K622*1.2</f>
        <v>480</v>
      </c>
      <c r="M622" s="94">
        <v>0.9</v>
      </c>
      <c r="N622" s="94">
        <f>K622*$M622</f>
        <v>360</v>
      </c>
      <c r="O622" s="94">
        <f>L622*$M622</f>
        <v>432</v>
      </c>
      <c r="P622" s="11" t="s">
        <v>3292</v>
      </c>
      <c r="Q622" s="11"/>
      <c r="R622" s="34">
        <v>624</v>
      </c>
    </row>
    <row r="623" spans="2:18" ht="20" x14ac:dyDescent="0.2">
      <c r="B623" s="96" t="s">
        <v>637</v>
      </c>
      <c r="C623" s="22" t="s">
        <v>3113</v>
      </c>
      <c r="D623" s="22"/>
      <c r="E623" s="262"/>
      <c r="F623" s="262"/>
      <c r="G623" s="96" t="s">
        <v>2379</v>
      </c>
      <c r="H623" s="162" t="s">
        <v>1154</v>
      </c>
      <c r="I623" s="209">
        <v>240</v>
      </c>
      <c r="J623" s="209">
        <v>138</v>
      </c>
      <c r="K623" s="209">
        <v>400</v>
      </c>
      <c r="L623" s="94">
        <f>K623*1.2</f>
        <v>480</v>
      </c>
      <c r="M623" s="94">
        <v>0.9</v>
      </c>
      <c r="N623" s="94">
        <f>K623*$M623</f>
        <v>360</v>
      </c>
      <c r="O623" s="94">
        <f>L623*$M623</f>
        <v>432</v>
      </c>
      <c r="P623" s="11" t="s">
        <v>3292</v>
      </c>
      <c r="Q623" s="11"/>
      <c r="R623" s="34">
        <v>625</v>
      </c>
    </row>
    <row r="624" spans="2:18" ht="20" x14ac:dyDescent="0.2">
      <c r="B624" s="96" t="s">
        <v>1743</v>
      </c>
      <c r="C624" s="22" t="s">
        <v>3114</v>
      </c>
      <c r="D624" s="22"/>
      <c r="E624" s="262"/>
      <c r="F624" s="262"/>
      <c r="G624" s="96" t="s">
        <v>2379</v>
      </c>
      <c r="H624" s="22"/>
      <c r="I624" s="201">
        <v>138</v>
      </c>
      <c r="J624" s="211"/>
      <c r="K624" s="211"/>
      <c r="L624" s="58"/>
      <c r="M624" s="58"/>
      <c r="N624" s="58"/>
      <c r="O624" s="58"/>
      <c r="P624" s="11"/>
      <c r="Q624" s="11"/>
      <c r="R624" s="34">
        <v>626</v>
      </c>
    </row>
    <row r="625" spans="2:18" ht="20" x14ac:dyDescent="0.2">
      <c r="B625" s="96" t="s">
        <v>1760</v>
      </c>
      <c r="C625" s="22" t="s">
        <v>3115</v>
      </c>
      <c r="D625" s="22"/>
      <c r="E625" s="262"/>
      <c r="F625" s="262"/>
      <c r="G625" s="96" t="s">
        <v>2379</v>
      </c>
      <c r="H625" s="22"/>
      <c r="I625" s="201">
        <v>138</v>
      </c>
      <c r="J625" s="211"/>
      <c r="K625" s="211"/>
      <c r="L625" s="58"/>
      <c r="M625" s="58"/>
      <c r="N625" s="58"/>
      <c r="O625" s="58"/>
      <c r="P625" s="11"/>
      <c r="Q625" s="11"/>
      <c r="R625" s="34">
        <v>627</v>
      </c>
    </row>
    <row r="626" spans="2:18" ht="20" x14ac:dyDescent="0.2">
      <c r="B626" s="96" t="s">
        <v>1801</v>
      </c>
      <c r="C626" s="22" t="s">
        <v>3116</v>
      </c>
      <c r="D626" s="22"/>
      <c r="E626" s="262"/>
      <c r="F626" s="262"/>
      <c r="G626" s="96" t="s">
        <v>2379</v>
      </c>
      <c r="H626" s="22"/>
      <c r="I626" s="201">
        <v>138</v>
      </c>
      <c r="J626" s="211"/>
      <c r="K626" s="211"/>
      <c r="L626" s="58"/>
      <c r="M626" s="58"/>
      <c r="N626" s="58"/>
      <c r="O626" s="58"/>
      <c r="P626" s="11"/>
      <c r="Q626" s="11"/>
      <c r="R626" s="34">
        <v>628</v>
      </c>
    </row>
    <row r="627" spans="2:18" ht="20" x14ac:dyDescent="0.2">
      <c r="B627" s="96" t="s">
        <v>1427</v>
      </c>
      <c r="C627" s="22" t="s">
        <v>3117</v>
      </c>
      <c r="D627" s="22"/>
      <c r="E627" s="262"/>
      <c r="F627" s="262"/>
      <c r="G627" s="96" t="s">
        <v>2379</v>
      </c>
      <c r="H627" s="22"/>
      <c r="I627" s="201">
        <v>138</v>
      </c>
      <c r="J627" s="211"/>
      <c r="K627" s="211"/>
      <c r="L627" s="58"/>
      <c r="M627" s="58"/>
      <c r="N627" s="58"/>
      <c r="O627" s="58"/>
      <c r="P627" s="11"/>
      <c r="Q627" s="11"/>
      <c r="R627" s="34">
        <v>629</v>
      </c>
    </row>
    <row r="628" spans="2:18" ht="20" x14ac:dyDescent="0.2">
      <c r="B628" s="96" t="s">
        <v>1943</v>
      </c>
      <c r="C628" s="22" t="s">
        <v>2635</v>
      </c>
      <c r="D628" s="22"/>
      <c r="E628" s="262"/>
      <c r="F628" s="262"/>
      <c r="G628" s="96" t="s">
        <v>2379</v>
      </c>
      <c r="H628" s="22"/>
      <c r="I628" s="201">
        <v>144</v>
      </c>
      <c r="J628" s="211"/>
      <c r="K628" s="211"/>
      <c r="L628" s="58"/>
      <c r="M628" s="58"/>
      <c r="N628" s="58"/>
      <c r="O628" s="58"/>
      <c r="P628" s="11"/>
      <c r="Q628" s="11"/>
      <c r="R628" s="34">
        <v>630</v>
      </c>
    </row>
    <row r="629" spans="2:18" ht="20" x14ac:dyDescent="0.2">
      <c r="B629" s="96" t="s">
        <v>1243</v>
      </c>
      <c r="C629" s="22" t="s">
        <v>3118</v>
      </c>
      <c r="D629" s="22"/>
      <c r="E629" s="262"/>
      <c r="F629" s="262"/>
      <c r="G629" s="96" t="s">
        <v>2379</v>
      </c>
      <c r="H629" s="22"/>
      <c r="I629" s="201">
        <v>72</v>
      </c>
      <c r="J629" s="211"/>
      <c r="K629" s="211"/>
      <c r="L629" s="58"/>
      <c r="M629" s="58"/>
      <c r="N629" s="58"/>
      <c r="O629" s="58"/>
      <c r="P629" s="11"/>
      <c r="Q629" s="11"/>
      <c r="R629" s="34">
        <v>631</v>
      </c>
    </row>
    <row r="630" spans="2:18" ht="20" x14ac:dyDescent="0.2">
      <c r="B630" s="96" t="s">
        <v>1328</v>
      </c>
      <c r="C630" s="22" t="s">
        <v>3119</v>
      </c>
      <c r="D630" s="22"/>
      <c r="E630" s="262"/>
      <c r="F630" s="262"/>
      <c r="G630" s="96" t="s">
        <v>2379</v>
      </c>
      <c r="H630" s="22"/>
      <c r="I630" s="201">
        <v>138</v>
      </c>
      <c r="J630" s="211"/>
      <c r="K630" s="211"/>
      <c r="L630" s="58"/>
      <c r="M630" s="58"/>
      <c r="N630" s="58"/>
      <c r="O630" s="58"/>
      <c r="P630" s="11"/>
      <c r="Q630" s="11"/>
      <c r="R630" s="34">
        <v>632</v>
      </c>
    </row>
    <row r="631" spans="2:18" ht="20" x14ac:dyDescent="0.2">
      <c r="B631" s="96" t="s">
        <v>1536</v>
      </c>
      <c r="C631" s="22" t="s">
        <v>3120</v>
      </c>
      <c r="D631" s="22"/>
      <c r="E631" s="262"/>
      <c r="F631" s="262"/>
      <c r="G631" s="96" t="s">
        <v>2379</v>
      </c>
      <c r="H631" s="22"/>
      <c r="I631" s="201">
        <v>69</v>
      </c>
      <c r="J631" s="211"/>
      <c r="K631" s="211"/>
      <c r="L631" s="58"/>
      <c r="M631" s="58"/>
      <c r="N631" s="58"/>
      <c r="O631" s="58"/>
      <c r="P631" s="11"/>
      <c r="Q631" s="11"/>
      <c r="R631" s="34">
        <v>633</v>
      </c>
    </row>
    <row r="632" spans="2:18" ht="20" x14ac:dyDescent="0.2">
      <c r="B632" s="96" t="s">
        <v>1907</v>
      </c>
      <c r="C632" s="22" t="s">
        <v>2718</v>
      </c>
      <c r="D632" s="22"/>
      <c r="E632" s="262"/>
      <c r="F632" s="262"/>
      <c r="G632" s="96" t="s">
        <v>2379</v>
      </c>
      <c r="H632" s="162" t="s">
        <v>1154</v>
      </c>
      <c r="I632" s="209">
        <v>138</v>
      </c>
      <c r="J632" s="209">
        <v>69</v>
      </c>
      <c r="K632" s="209">
        <v>50</v>
      </c>
      <c r="L632" s="94">
        <f>K632*1.2</f>
        <v>60</v>
      </c>
      <c r="M632" s="94">
        <v>0.9</v>
      </c>
      <c r="N632" s="94">
        <f>K632*$M632</f>
        <v>45</v>
      </c>
      <c r="O632" s="94">
        <f>L632*$M632</f>
        <v>54</v>
      </c>
      <c r="P632" s="11" t="s">
        <v>3302</v>
      </c>
      <c r="Q632" s="11"/>
      <c r="R632" s="34">
        <v>634</v>
      </c>
    </row>
    <row r="633" spans="2:18" ht="20" x14ac:dyDescent="0.2">
      <c r="B633" s="96" t="s">
        <v>1294</v>
      </c>
      <c r="C633" s="22" t="s">
        <v>3121</v>
      </c>
      <c r="D633" s="22"/>
      <c r="E633" s="262"/>
      <c r="F633" s="262"/>
      <c r="G633" s="96" t="s">
        <v>2379</v>
      </c>
      <c r="H633" s="22"/>
      <c r="I633" s="201">
        <v>138</v>
      </c>
      <c r="J633" s="211"/>
      <c r="K633" s="211"/>
      <c r="L633" s="58"/>
      <c r="M633" s="58"/>
      <c r="N633" s="58"/>
      <c r="O633" s="58"/>
      <c r="P633" s="11"/>
      <c r="Q633" s="11"/>
      <c r="R633" s="34">
        <v>635</v>
      </c>
    </row>
    <row r="634" spans="2:18" ht="20" x14ac:dyDescent="0.2">
      <c r="B634" s="96" t="s">
        <v>1598</v>
      </c>
      <c r="C634" s="22" t="s">
        <v>3122</v>
      </c>
      <c r="D634" s="22"/>
      <c r="E634" s="262"/>
      <c r="F634" s="262"/>
      <c r="G634" s="96" t="s">
        <v>2379</v>
      </c>
      <c r="H634" s="22"/>
      <c r="I634" s="201">
        <v>144</v>
      </c>
      <c r="J634" s="211"/>
      <c r="K634" s="211"/>
      <c r="L634" s="58"/>
      <c r="M634" s="58"/>
      <c r="N634" s="58"/>
      <c r="O634" s="58"/>
      <c r="P634" s="11"/>
      <c r="Q634" s="11"/>
      <c r="R634" s="34">
        <v>636</v>
      </c>
    </row>
    <row r="635" spans="2:18" ht="20" x14ac:dyDescent="0.2">
      <c r="B635" s="96" t="s">
        <v>2211</v>
      </c>
      <c r="C635" s="22" t="s">
        <v>2719</v>
      </c>
      <c r="D635" s="22"/>
      <c r="E635" s="262">
        <v>53.5433510362286</v>
      </c>
      <c r="F635" s="262">
        <v>-113.39102028788299</v>
      </c>
      <c r="G635" s="96" t="s">
        <v>2379</v>
      </c>
      <c r="H635" s="22"/>
      <c r="I635" s="201">
        <v>72</v>
      </c>
      <c r="J635" s="211"/>
      <c r="K635" s="211"/>
      <c r="L635" s="58"/>
      <c r="M635" s="58"/>
      <c r="N635" s="58"/>
      <c r="O635" s="58"/>
      <c r="P635" s="11"/>
      <c r="Q635" s="11"/>
      <c r="R635" s="34">
        <v>637</v>
      </c>
    </row>
    <row r="636" spans="2:18" ht="20" x14ac:dyDescent="0.2">
      <c r="B636" s="96" t="s">
        <v>1797</v>
      </c>
      <c r="C636" s="22" t="s">
        <v>2720</v>
      </c>
      <c r="D636" s="22"/>
      <c r="E636" s="262">
        <v>51.032690029239298</v>
      </c>
      <c r="F636" s="262">
        <v>-113.37670362096</v>
      </c>
      <c r="G636" s="96" t="s">
        <v>2379</v>
      </c>
      <c r="H636" s="22"/>
      <c r="I636" s="201">
        <v>138</v>
      </c>
      <c r="J636" s="211"/>
      <c r="K636" s="211"/>
      <c r="L636" s="58"/>
      <c r="M636" s="58"/>
      <c r="N636" s="58"/>
      <c r="O636" s="58"/>
      <c r="P636" s="11"/>
      <c r="Q636" s="11"/>
      <c r="R636" s="34">
        <v>638</v>
      </c>
    </row>
    <row r="637" spans="2:18" ht="20" x14ac:dyDescent="0.2">
      <c r="B637" s="96" t="s">
        <v>1446</v>
      </c>
      <c r="C637" s="22" t="s">
        <v>3123</v>
      </c>
      <c r="D637" s="22"/>
      <c r="E637" s="262"/>
      <c r="F637" s="262"/>
      <c r="G637" s="96" t="s">
        <v>2379</v>
      </c>
      <c r="H637" s="22"/>
      <c r="I637" s="201">
        <v>138</v>
      </c>
      <c r="J637" s="211"/>
      <c r="K637" s="211"/>
      <c r="L637" s="58"/>
      <c r="M637" s="58"/>
      <c r="N637" s="58"/>
      <c r="O637" s="58"/>
      <c r="P637" s="11"/>
      <c r="Q637" s="11"/>
      <c r="R637" s="34">
        <v>639</v>
      </c>
    </row>
    <row r="638" spans="2:18" ht="20" x14ac:dyDescent="0.2">
      <c r="B638" s="96" t="s">
        <v>796</v>
      </c>
      <c r="C638" s="22" t="s">
        <v>3124</v>
      </c>
      <c r="D638" s="22"/>
      <c r="E638" s="262"/>
      <c r="F638" s="262"/>
      <c r="G638" s="96" t="s">
        <v>2379</v>
      </c>
      <c r="H638" s="22"/>
      <c r="I638" s="201">
        <v>144</v>
      </c>
      <c r="J638" s="211"/>
      <c r="K638" s="211"/>
      <c r="L638" s="58"/>
      <c r="M638" s="58"/>
      <c r="N638" s="58"/>
      <c r="O638" s="58"/>
      <c r="P638" s="11"/>
      <c r="Q638" s="11"/>
      <c r="R638" s="34">
        <v>640</v>
      </c>
    </row>
    <row r="639" spans="2:18" ht="20" x14ac:dyDescent="0.2">
      <c r="B639" s="96" t="s">
        <v>919</v>
      </c>
      <c r="C639" s="22" t="s">
        <v>3125</v>
      </c>
      <c r="D639" s="22"/>
      <c r="E639" s="262"/>
      <c r="F639" s="262"/>
      <c r="G639" s="96" t="s">
        <v>2379</v>
      </c>
      <c r="H639" s="22"/>
      <c r="I639" s="201">
        <v>144</v>
      </c>
      <c r="J639" s="211"/>
      <c r="K639" s="211"/>
      <c r="L639" s="58"/>
      <c r="M639" s="58"/>
      <c r="N639" s="58"/>
      <c r="O639" s="58"/>
      <c r="P639" s="11"/>
      <c r="Q639" s="11"/>
      <c r="R639" s="34">
        <v>641</v>
      </c>
    </row>
    <row r="640" spans="2:18" ht="20" x14ac:dyDescent="0.2">
      <c r="B640" s="96" t="s">
        <v>1967</v>
      </c>
      <c r="C640" s="22" t="s">
        <v>2721</v>
      </c>
      <c r="D640" s="22"/>
      <c r="E640" s="262">
        <v>50.219400999999998</v>
      </c>
      <c r="F640" s="262">
        <v>-111.159651</v>
      </c>
      <c r="G640" s="96" t="s">
        <v>2379</v>
      </c>
      <c r="H640" s="162" t="s">
        <v>1154</v>
      </c>
      <c r="I640" s="209">
        <v>138</v>
      </c>
      <c r="J640" s="209">
        <v>25</v>
      </c>
      <c r="K640" s="209">
        <v>25</v>
      </c>
      <c r="L640" s="94">
        <f>K640*1.2</f>
        <v>30</v>
      </c>
      <c r="M640" s="94">
        <v>0.9</v>
      </c>
      <c r="N640" s="94">
        <f>K640*$M640</f>
        <v>22.5</v>
      </c>
      <c r="O640" s="94">
        <f>L640*$M640</f>
        <v>27</v>
      </c>
      <c r="P640" s="11" t="s">
        <v>3276</v>
      </c>
      <c r="Q640" s="11"/>
      <c r="R640" s="34">
        <v>642</v>
      </c>
    </row>
    <row r="641" spans="2:18" ht="20" x14ac:dyDescent="0.2">
      <c r="B641" s="96" t="s">
        <v>1967</v>
      </c>
      <c r="C641" s="22" t="s">
        <v>2721</v>
      </c>
      <c r="D641" s="22"/>
      <c r="E641" s="262">
        <v>50.219400999999998</v>
      </c>
      <c r="F641" s="262">
        <v>-111.159651</v>
      </c>
      <c r="G641" s="96" t="s">
        <v>2379</v>
      </c>
      <c r="H641" s="162" t="s">
        <v>1156</v>
      </c>
      <c r="I641" s="209">
        <v>138</v>
      </c>
      <c r="J641" s="209">
        <v>25</v>
      </c>
      <c r="K641" s="209">
        <v>42</v>
      </c>
      <c r="L641" s="94">
        <f>K641*1.2</f>
        <v>50.4</v>
      </c>
      <c r="M641" s="94">
        <v>0.9</v>
      </c>
      <c r="N641" s="94">
        <f>K641*$M641</f>
        <v>37.800000000000004</v>
      </c>
      <c r="O641" s="94">
        <f>L641*$M641</f>
        <v>45.36</v>
      </c>
      <c r="P641" s="11" t="s">
        <v>3276</v>
      </c>
      <c r="Q641" s="11"/>
      <c r="R641" s="34">
        <v>643</v>
      </c>
    </row>
    <row r="642" spans="2:18" ht="20" x14ac:dyDescent="0.2">
      <c r="B642" s="96" t="s">
        <v>1522</v>
      </c>
      <c r="C642" s="22" t="s">
        <v>3126</v>
      </c>
      <c r="D642" s="22"/>
      <c r="E642" s="262"/>
      <c r="F642" s="262"/>
      <c r="G642" s="96" t="s">
        <v>2379</v>
      </c>
      <c r="H642" s="22"/>
      <c r="I642" s="201">
        <v>69</v>
      </c>
      <c r="J642" s="211"/>
      <c r="K642" s="211"/>
      <c r="L642" s="58"/>
      <c r="M642" s="58"/>
      <c r="N642" s="58"/>
      <c r="O642" s="58"/>
      <c r="P642" s="11"/>
      <c r="Q642" s="11"/>
      <c r="R642" s="34">
        <v>644</v>
      </c>
    </row>
    <row r="643" spans="2:18" ht="20" x14ac:dyDescent="0.2">
      <c r="B643" s="96" t="s">
        <v>1167</v>
      </c>
      <c r="C643" s="22" t="s">
        <v>3127</v>
      </c>
      <c r="D643" s="22"/>
      <c r="E643" s="262"/>
      <c r="F643" s="262"/>
      <c r="G643" s="96" t="s">
        <v>2379</v>
      </c>
      <c r="H643" s="22"/>
      <c r="I643" s="201">
        <v>144</v>
      </c>
      <c r="J643" s="211"/>
      <c r="K643" s="211"/>
      <c r="L643" s="58"/>
      <c r="M643" s="58"/>
      <c r="N643" s="58"/>
      <c r="O643" s="58"/>
      <c r="P643" s="11"/>
      <c r="Q643" s="11"/>
      <c r="R643" s="34">
        <v>645</v>
      </c>
    </row>
    <row r="644" spans="2:18" ht="20" x14ac:dyDescent="0.2">
      <c r="B644" s="96" t="s">
        <v>605</v>
      </c>
      <c r="C644" s="22" t="s">
        <v>3128</v>
      </c>
      <c r="D644" s="22"/>
      <c r="E644" s="262"/>
      <c r="F644" s="262"/>
      <c r="G644" s="96" t="s">
        <v>2379</v>
      </c>
      <c r="H644" s="162" t="s">
        <v>1150</v>
      </c>
      <c r="I644" s="209">
        <v>240</v>
      </c>
      <c r="J644" s="209">
        <v>25</v>
      </c>
      <c r="K644" s="209">
        <v>75</v>
      </c>
      <c r="L644" s="94">
        <f>K644*1.2</f>
        <v>90</v>
      </c>
      <c r="M644" s="94">
        <v>0.9</v>
      </c>
      <c r="N644" s="94">
        <f>K644*$M644</f>
        <v>67.5</v>
      </c>
      <c r="O644" s="94">
        <f>L644*$M644</f>
        <v>81</v>
      </c>
      <c r="P644" s="11" t="s">
        <v>3304</v>
      </c>
      <c r="Q644" s="11"/>
      <c r="R644" s="34">
        <v>646</v>
      </c>
    </row>
    <row r="645" spans="2:18" ht="20" x14ac:dyDescent="0.2">
      <c r="B645" s="96" t="s">
        <v>605</v>
      </c>
      <c r="C645" s="22" t="s">
        <v>3128</v>
      </c>
      <c r="D645" s="22"/>
      <c r="E645" s="262"/>
      <c r="F645" s="262"/>
      <c r="G645" s="96" t="s">
        <v>2379</v>
      </c>
      <c r="H645" s="162" t="s">
        <v>1154</v>
      </c>
      <c r="I645" s="209">
        <v>240</v>
      </c>
      <c r="J645" s="209">
        <v>25</v>
      </c>
      <c r="K645" s="209">
        <v>75</v>
      </c>
      <c r="L645" s="94">
        <f>K645*1.2</f>
        <v>90</v>
      </c>
      <c r="M645" s="94">
        <v>0.9</v>
      </c>
      <c r="N645" s="94">
        <f>K645*$M645</f>
        <v>67.5</v>
      </c>
      <c r="O645" s="94">
        <f>L645*$M645</f>
        <v>81</v>
      </c>
      <c r="P645" s="11" t="s">
        <v>3304</v>
      </c>
      <c r="Q645" s="11"/>
      <c r="R645" s="34">
        <v>647</v>
      </c>
    </row>
    <row r="646" spans="2:18" ht="20" x14ac:dyDescent="0.2">
      <c r="B646" s="96" t="s">
        <v>1886</v>
      </c>
      <c r="C646" s="22" t="s">
        <v>2722</v>
      </c>
      <c r="D646" s="22"/>
      <c r="E646" s="262">
        <v>49.582899699999999</v>
      </c>
      <c r="F646" s="262">
        <v>-113.7931167</v>
      </c>
      <c r="G646" s="96" t="s">
        <v>2379</v>
      </c>
      <c r="H646" s="22"/>
      <c r="I646" s="201">
        <v>144</v>
      </c>
      <c r="J646" s="211"/>
      <c r="K646" s="211"/>
      <c r="L646" s="58"/>
      <c r="M646" s="58"/>
      <c r="N646" s="58"/>
      <c r="O646" s="58"/>
      <c r="P646" s="11"/>
      <c r="Q646" s="11"/>
      <c r="R646" s="34">
        <v>648</v>
      </c>
    </row>
    <row r="647" spans="2:18" ht="20" x14ac:dyDescent="0.2">
      <c r="B647" s="96" t="s">
        <v>1719</v>
      </c>
      <c r="C647" s="22" t="s">
        <v>2616</v>
      </c>
      <c r="D647" s="22"/>
      <c r="E647" s="262"/>
      <c r="F647" s="262"/>
      <c r="G647" s="96" t="s">
        <v>2379</v>
      </c>
      <c r="H647" s="22"/>
      <c r="I647" s="201">
        <v>138</v>
      </c>
      <c r="J647" s="211"/>
      <c r="K647" s="211"/>
      <c r="L647" s="58"/>
      <c r="M647" s="58"/>
      <c r="N647" s="58"/>
      <c r="O647" s="58"/>
      <c r="P647" s="11"/>
      <c r="Q647" s="11"/>
      <c r="R647" s="34">
        <v>649</v>
      </c>
    </row>
    <row r="648" spans="2:18" ht="20" x14ac:dyDescent="0.2">
      <c r="B648" s="96" t="s">
        <v>582</v>
      </c>
      <c r="C648" s="22" t="s">
        <v>2723</v>
      </c>
      <c r="D648" s="22"/>
      <c r="E648" s="262">
        <v>53.5075</v>
      </c>
      <c r="F648" s="262">
        <v>-114.5569</v>
      </c>
      <c r="G648" s="96" t="s">
        <v>2379</v>
      </c>
      <c r="H648" s="162" t="s">
        <v>1150</v>
      </c>
      <c r="I648" s="209">
        <v>240</v>
      </c>
      <c r="J648" s="209">
        <v>138</v>
      </c>
      <c r="K648" s="209">
        <v>168</v>
      </c>
      <c r="L648" s="94">
        <f>K648*1.2</f>
        <v>201.6</v>
      </c>
      <c r="M648" s="94">
        <v>0.9</v>
      </c>
      <c r="N648" s="94">
        <f>K648*$M648</f>
        <v>151.20000000000002</v>
      </c>
      <c r="O648" s="94">
        <f>L648*$M648</f>
        <v>181.44</v>
      </c>
      <c r="P648" s="11" t="s">
        <v>3280</v>
      </c>
      <c r="Q648" s="11"/>
      <c r="R648" s="34">
        <v>650</v>
      </c>
    </row>
    <row r="649" spans="2:18" ht="20" x14ac:dyDescent="0.2">
      <c r="B649" s="96" t="s">
        <v>582</v>
      </c>
      <c r="C649" s="22" t="s">
        <v>2723</v>
      </c>
      <c r="D649" s="22"/>
      <c r="E649" s="262">
        <v>53.5075</v>
      </c>
      <c r="F649" s="262">
        <v>-114.5569</v>
      </c>
      <c r="G649" s="96" t="s">
        <v>2379</v>
      </c>
      <c r="H649" s="162" t="s">
        <v>1157</v>
      </c>
      <c r="I649" s="209">
        <v>240</v>
      </c>
      <c r="J649" s="209">
        <v>69</v>
      </c>
      <c r="K649" s="209">
        <v>44.8</v>
      </c>
      <c r="L649" s="94">
        <f>K649*1.2</f>
        <v>53.76</v>
      </c>
      <c r="M649" s="94">
        <v>0.9</v>
      </c>
      <c r="N649" s="94">
        <f>K649*$M649</f>
        <v>40.32</v>
      </c>
      <c r="O649" s="94">
        <f>L649*$M649</f>
        <v>48.384</v>
      </c>
      <c r="P649" s="11" t="s">
        <v>3280</v>
      </c>
      <c r="Q649" s="11"/>
      <c r="R649" s="34">
        <v>651</v>
      </c>
    </row>
    <row r="650" spans="2:18" ht="20" x14ac:dyDescent="0.2">
      <c r="B650" s="96" t="s">
        <v>2042</v>
      </c>
      <c r="C650" s="22" t="s">
        <v>3129</v>
      </c>
      <c r="D650" s="22"/>
      <c r="E650" s="262"/>
      <c r="F650" s="262"/>
      <c r="G650" s="96" t="s">
        <v>2379</v>
      </c>
      <c r="H650" s="22"/>
      <c r="I650" s="201">
        <v>72</v>
      </c>
      <c r="J650" s="211"/>
      <c r="K650" s="211"/>
      <c r="L650" s="58"/>
      <c r="M650" s="58"/>
      <c r="N650" s="58"/>
      <c r="O650" s="58"/>
      <c r="P650" s="11"/>
      <c r="Q650" s="11"/>
      <c r="R650" s="34">
        <v>652</v>
      </c>
    </row>
    <row r="651" spans="2:18" ht="20" x14ac:dyDescent="0.2">
      <c r="B651" s="96" t="s">
        <v>1223</v>
      </c>
      <c r="C651" s="22" t="s">
        <v>3130</v>
      </c>
      <c r="D651" s="22"/>
      <c r="E651" s="262"/>
      <c r="F651" s="262"/>
      <c r="G651" s="96" t="s">
        <v>2379</v>
      </c>
      <c r="H651" s="22"/>
      <c r="I651" s="201">
        <v>69</v>
      </c>
      <c r="J651" s="211"/>
      <c r="K651" s="211"/>
      <c r="L651" s="58"/>
      <c r="M651" s="58"/>
      <c r="N651" s="58"/>
      <c r="O651" s="58"/>
      <c r="P651" s="11"/>
      <c r="Q651" s="11"/>
      <c r="R651" s="34">
        <v>653</v>
      </c>
    </row>
    <row r="652" spans="2:18" ht="20" x14ac:dyDescent="0.2">
      <c r="B652" s="96" t="s">
        <v>648</v>
      </c>
      <c r="C652" s="22" t="s">
        <v>3131</v>
      </c>
      <c r="D652" s="22"/>
      <c r="E652" s="262"/>
      <c r="F652" s="262"/>
      <c r="G652" s="96" t="s">
        <v>2379</v>
      </c>
      <c r="H652" s="22"/>
      <c r="I652" s="201">
        <v>240</v>
      </c>
      <c r="J652" s="211"/>
      <c r="K652" s="211"/>
      <c r="L652" s="58"/>
      <c r="M652" s="58"/>
      <c r="N652" s="58"/>
      <c r="O652" s="58"/>
      <c r="P652" s="11"/>
      <c r="Q652" s="11"/>
      <c r="R652" s="34">
        <v>654</v>
      </c>
    </row>
    <row r="653" spans="2:18" ht="20" x14ac:dyDescent="0.2">
      <c r="B653" s="96" t="s">
        <v>1658</v>
      </c>
      <c r="C653" s="22" t="s">
        <v>3132</v>
      </c>
      <c r="D653" s="22"/>
      <c r="E653" s="262"/>
      <c r="F653" s="262"/>
      <c r="G653" s="96" t="s">
        <v>2379</v>
      </c>
      <c r="H653" s="22"/>
      <c r="I653" s="201">
        <v>144</v>
      </c>
      <c r="J653" s="211"/>
      <c r="K653" s="211"/>
      <c r="L653" s="58"/>
      <c r="M653" s="58"/>
      <c r="N653" s="58"/>
      <c r="O653" s="58"/>
      <c r="P653" s="11"/>
      <c r="Q653" s="11"/>
      <c r="R653" s="34">
        <v>655</v>
      </c>
    </row>
    <row r="654" spans="2:18" ht="20" x14ac:dyDescent="0.2">
      <c r="B654" s="96" t="s">
        <v>1473</v>
      </c>
      <c r="C654" s="22" t="s">
        <v>3133</v>
      </c>
      <c r="D654" s="22"/>
      <c r="E654" s="262"/>
      <c r="F654" s="262"/>
      <c r="G654" s="96" t="s">
        <v>2379</v>
      </c>
      <c r="H654" s="162" t="s">
        <v>1150</v>
      </c>
      <c r="I654" s="209">
        <v>138</v>
      </c>
      <c r="J654" s="209">
        <v>4.16</v>
      </c>
      <c r="K654" s="209">
        <v>25</v>
      </c>
      <c r="L654" s="94">
        <f>K654*1.2</f>
        <v>30</v>
      </c>
      <c r="M654" s="94">
        <v>0.9</v>
      </c>
      <c r="N654" s="94">
        <f>K654*$M654</f>
        <v>22.5</v>
      </c>
      <c r="O654" s="94">
        <f>L654*$M654</f>
        <v>27</v>
      </c>
      <c r="P654" s="11" t="s">
        <v>3282</v>
      </c>
      <c r="Q654" s="11"/>
      <c r="R654" s="34">
        <v>656</v>
      </c>
    </row>
    <row r="655" spans="2:18" ht="20" x14ac:dyDescent="0.2">
      <c r="B655" s="96" t="s">
        <v>1473</v>
      </c>
      <c r="C655" s="22" t="s">
        <v>3133</v>
      </c>
      <c r="D655" s="22"/>
      <c r="E655" s="262"/>
      <c r="F655" s="262"/>
      <c r="G655" s="96" t="s">
        <v>2379</v>
      </c>
      <c r="H655" s="162" t="s">
        <v>1154</v>
      </c>
      <c r="I655" s="209">
        <v>138</v>
      </c>
      <c r="J655" s="209">
        <v>4.16</v>
      </c>
      <c r="K655" s="209">
        <v>25</v>
      </c>
      <c r="L655" s="94">
        <f>K655*1.2</f>
        <v>30</v>
      </c>
      <c r="M655" s="94">
        <v>0.9</v>
      </c>
      <c r="N655" s="94">
        <f>K655*$M655</f>
        <v>22.5</v>
      </c>
      <c r="O655" s="94">
        <f>L655*$M655</f>
        <v>27</v>
      </c>
      <c r="P655" s="11" t="s">
        <v>3282</v>
      </c>
      <c r="Q655" s="11"/>
      <c r="R655" s="34">
        <v>657</v>
      </c>
    </row>
    <row r="656" spans="2:18" ht="20" x14ac:dyDescent="0.2">
      <c r="B656" s="96" t="s">
        <v>1616</v>
      </c>
      <c r="C656" s="22" t="s">
        <v>3134</v>
      </c>
      <c r="D656" s="22"/>
      <c r="E656" s="262"/>
      <c r="F656" s="262"/>
      <c r="G656" s="96" t="s">
        <v>2379</v>
      </c>
      <c r="H656" s="22"/>
      <c r="I656" s="201">
        <v>500</v>
      </c>
      <c r="J656" s="211"/>
      <c r="K656" s="211"/>
      <c r="L656" s="58"/>
      <c r="M656" s="58"/>
      <c r="N656" s="58"/>
      <c r="O656" s="58"/>
      <c r="P656" s="11"/>
      <c r="Q656" s="11"/>
      <c r="R656" s="34">
        <v>658</v>
      </c>
    </row>
    <row r="657" spans="2:18" ht="20" x14ac:dyDescent="0.2">
      <c r="B657" s="96" t="s">
        <v>1694</v>
      </c>
      <c r="C657" s="22" t="s">
        <v>3135</v>
      </c>
      <c r="D657" s="22"/>
      <c r="E657" s="262"/>
      <c r="F657" s="262"/>
      <c r="G657" s="96" t="s">
        <v>2379</v>
      </c>
      <c r="H657" s="22"/>
      <c r="I657" s="201">
        <v>72</v>
      </c>
      <c r="J657" s="211"/>
      <c r="K657" s="211"/>
      <c r="L657" s="58"/>
      <c r="M657" s="58"/>
      <c r="N657" s="58"/>
      <c r="O657" s="58"/>
      <c r="P657" s="11"/>
      <c r="Q657" s="11"/>
      <c r="R657" s="34">
        <v>659</v>
      </c>
    </row>
    <row r="658" spans="2:18" ht="20" x14ac:dyDescent="0.2">
      <c r="B658" s="96" t="s">
        <v>743</v>
      </c>
      <c r="C658" s="22" t="s">
        <v>3136</v>
      </c>
      <c r="D658" s="22"/>
      <c r="E658" s="262"/>
      <c r="F658" s="262"/>
      <c r="G658" s="96" t="s">
        <v>2379</v>
      </c>
      <c r="H658" s="22"/>
      <c r="I658" s="201">
        <v>72</v>
      </c>
      <c r="J658" s="211"/>
      <c r="K658" s="211"/>
      <c r="L658" s="58"/>
      <c r="M658" s="58"/>
      <c r="N658" s="58"/>
      <c r="O658" s="58"/>
      <c r="P658" s="11"/>
      <c r="Q658" s="11"/>
      <c r="R658" s="34">
        <v>660</v>
      </c>
    </row>
    <row r="659" spans="2:18" ht="20" x14ac:dyDescent="0.2">
      <c r="B659" s="96" t="s">
        <v>738</v>
      </c>
      <c r="C659" s="22" t="s">
        <v>3137</v>
      </c>
      <c r="D659" s="22"/>
      <c r="E659" s="22"/>
      <c r="F659" s="22"/>
      <c r="G659" s="96" t="s">
        <v>2379</v>
      </c>
      <c r="H659" s="22"/>
      <c r="I659" s="201">
        <v>72</v>
      </c>
      <c r="J659" s="211"/>
      <c r="K659" s="211"/>
      <c r="L659" s="58"/>
      <c r="M659" s="58"/>
      <c r="N659" s="58"/>
      <c r="O659" s="58"/>
      <c r="P659" s="11"/>
      <c r="Q659" s="11"/>
      <c r="R659" s="34">
        <v>661</v>
      </c>
    </row>
    <row r="660" spans="2:18" ht="20" x14ac:dyDescent="0.2">
      <c r="B660" s="96" t="s">
        <v>858</v>
      </c>
      <c r="C660" s="22" t="s">
        <v>3138</v>
      </c>
      <c r="D660" s="22"/>
      <c r="E660" s="22"/>
      <c r="F660" s="22"/>
      <c r="G660" s="96" t="s">
        <v>2379</v>
      </c>
      <c r="H660" s="22"/>
      <c r="I660" s="201">
        <v>144</v>
      </c>
      <c r="J660" s="211"/>
      <c r="K660" s="211"/>
      <c r="L660" s="58"/>
      <c r="M660" s="58"/>
      <c r="N660" s="58"/>
      <c r="O660" s="58"/>
      <c r="P660" s="11"/>
      <c r="Q660" s="11"/>
      <c r="R660" s="34">
        <v>662</v>
      </c>
    </row>
    <row r="661" spans="2:18" ht="20" x14ac:dyDescent="0.2">
      <c r="B661" s="96" t="s">
        <v>1610</v>
      </c>
      <c r="C661" s="22" t="s">
        <v>3139</v>
      </c>
      <c r="D661" s="22"/>
      <c r="E661" s="22"/>
      <c r="F661" s="22"/>
      <c r="G661" s="96" t="s">
        <v>2379</v>
      </c>
      <c r="H661" s="22"/>
      <c r="I661" s="201">
        <v>144</v>
      </c>
      <c r="J661" s="211"/>
      <c r="K661" s="211"/>
      <c r="L661" s="58"/>
      <c r="M661" s="58"/>
      <c r="N661" s="58"/>
      <c r="O661" s="58"/>
      <c r="P661" s="11"/>
      <c r="Q661" s="11"/>
      <c r="R661" s="34">
        <v>663</v>
      </c>
    </row>
    <row r="662" spans="2:18" ht="20" x14ac:dyDescent="0.2">
      <c r="B662" s="96" t="s">
        <v>1228</v>
      </c>
      <c r="C662" s="22" t="s">
        <v>3140</v>
      </c>
      <c r="D662" s="22"/>
      <c r="E662" s="22"/>
      <c r="F662" s="22"/>
      <c r="G662" s="96" t="s">
        <v>2379</v>
      </c>
      <c r="H662" s="22"/>
      <c r="I662" s="201">
        <v>72</v>
      </c>
      <c r="J662" s="211"/>
      <c r="K662" s="211"/>
      <c r="L662" s="58"/>
      <c r="M662" s="58"/>
      <c r="N662" s="58"/>
      <c r="O662" s="58"/>
      <c r="P662" s="11"/>
      <c r="Q662" s="11"/>
      <c r="R662" s="34">
        <v>664</v>
      </c>
    </row>
    <row r="663" spans="2:18" ht="20" x14ac:dyDescent="0.2">
      <c r="B663" s="96" t="s">
        <v>674</v>
      </c>
      <c r="C663" s="22" t="s">
        <v>3266</v>
      </c>
      <c r="D663" s="22"/>
      <c r="E663" s="22"/>
      <c r="F663" s="22"/>
      <c r="G663" s="96" t="s">
        <v>2379</v>
      </c>
      <c r="H663" s="22"/>
      <c r="I663" s="201">
        <v>138</v>
      </c>
      <c r="J663" s="211"/>
      <c r="K663" s="211"/>
      <c r="L663" s="58"/>
      <c r="M663" s="58"/>
      <c r="N663" s="58"/>
      <c r="O663" s="58"/>
      <c r="P663" s="11"/>
      <c r="Q663" s="11"/>
      <c r="R663" s="34">
        <v>665</v>
      </c>
    </row>
    <row r="664" spans="2:18" ht="20" x14ac:dyDescent="0.2">
      <c r="B664" s="96" t="s">
        <v>1917</v>
      </c>
      <c r="C664" s="22" t="s">
        <v>2629</v>
      </c>
      <c r="D664" s="22"/>
      <c r="E664" s="22">
        <v>49.782231000000003</v>
      </c>
      <c r="F664" s="22">
        <v>-112.150141</v>
      </c>
      <c r="G664" s="96" t="s">
        <v>2379</v>
      </c>
      <c r="H664" s="162" t="s">
        <v>1150</v>
      </c>
      <c r="I664" s="209">
        <v>138</v>
      </c>
      <c r="J664" s="209">
        <v>25</v>
      </c>
      <c r="K664" s="209">
        <v>42</v>
      </c>
      <c r="L664" s="94">
        <f>K664*1.2</f>
        <v>50.4</v>
      </c>
      <c r="M664" s="94">
        <v>0.9</v>
      </c>
      <c r="N664" s="94">
        <f>K664*$M664</f>
        <v>37.800000000000004</v>
      </c>
      <c r="O664" s="94">
        <f>L664*$M664</f>
        <v>45.36</v>
      </c>
      <c r="P664" s="11" t="s">
        <v>3293</v>
      </c>
      <c r="Q664" s="11"/>
      <c r="R664" s="34">
        <v>666</v>
      </c>
    </row>
    <row r="665" spans="2:18" ht="20" x14ac:dyDescent="0.2">
      <c r="B665" s="96" t="s">
        <v>1917</v>
      </c>
      <c r="C665" s="22" t="s">
        <v>2629</v>
      </c>
      <c r="D665" s="22"/>
      <c r="E665" s="22">
        <v>49.782231000000003</v>
      </c>
      <c r="F665" s="22">
        <v>-112.150141</v>
      </c>
      <c r="G665" s="96" t="s">
        <v>2379</v>
      </c>
      <c r="H665" s="162" t="s">
        <v>1156</v>
      </c>
      <c r="I665" s="209">
        <v>138</v>
      </c>
      <c r="J665" s="209">
        <v>25</v>
      </c>
      <c r="K665" s="209">
        <v>42</v>
      </c>
      <c r="L665" s="94">
        <f>K665*1.2</f>
        <v>50.4</v>
      </c>
      <c r="M665" s="94">
        <v>0.9</v>
      </c>
      <c r="N665" s="94">
        <f>K665*$M665</f>
        <v>37.800000000000004</v>
      </c>
      <c r="O665" s="94">
        <f>L665*$M665</f>
        <v>45.36</v>
      </c>
      <c r="P665" s="11" t="s">
        <v>3293</v>
      </c>
      <c r="Q665" s="11"/>
      <c r="R665" s="34">
        <v>667</v>
      </c>
    </row>
    <row r="666" spans="2:18" ht="20" x14ac:dyDescent="0.2">
      <c r="B666" s="96" t="s">
        <v>1973</v>
      </c>
      <c r="C666" s="22" t="s">
        <v>2724</v>
      </c>
      <c r="D666" s="22"/>
      <c r="E666" s="22">
        <v>49.718360400000002</v>
      </c>
      <c r="F666" s="22">
        <v>-111.92656580000001</v>
      </c>
      <c r="G666" s="96" t="s">
        <v>2379</v>
      </c>
      <c r="H666" s="22"/>
      <c r="I666" s="201">
        <v>144</v>
      </c>
      <c r="J666" s="211"/>
      <c r="K666" s="211"/>
      <c r="L666" s="58"/>
      <c r="M666" s="58"/>
      <c r="N666" s="58"/>
      <c r="O666" s="58"/>
      <c r="P666" s="11"/>
      <c r="Q666" s="11"/>
      <c r="R666" s="34">
        <v>668</v>
      </c>
    </row>
    <row r="667" spans="2:18" ht="20" x14ac:dyDescent="0.2">
      <c r="B667" s="96" t="s">
        <v>667</v>
      </c>
      <c r="C667" s="22" t="s">
        <v>3141</v>
      </c>
      <c r="D667" s="22"/>
      <c r="E667" s="22"/>
      <c r="F667" s="22"/>
      <c r="G667" s="96" t="s">
        <v>2379</v>
      </c>
      <c r="H667" s="162" t="s">
        <v>2214</v>
      </c>
      <c r="I667" s="209">
        <v>525</v>
      </c>
      <c r="J667" s="209">
        <v>258</v>
      </c>
      <c r="K667" s="209">
        <v>1250</v>
      </c>
      <c r="L667" s="94">
        <f>K667*1.2</f>
        <v>1500</v>
      </c>
      <c r="M667" s="94">
        <v>0.9</v>
      </c>
      <c r="N667" s="94">
        <f>K667*$M667</f>
        <v>1125</v>
      </c>
      <c r="O667" s="94">
        <f>L667*$M667</f>
        <v>1350</v>
      </c>
      <c r="P667" s="11" t="s">
        <v>3305</v>
      </c>
      <c r="Q667" s="11"/>
      <c r="R667" s="34">
        <v>669</v>
      </c>
    </row>
    <row r="668" spans="2:18" ht="20" x14ac:dyDescent="0.2">
      <c r="B668" s="96" t="s">
        <v>787</v>
      </c>
      <c r="C668" s="22" t="s">
        <v>3142</v>
      </c>
      <c r="D668" s="22"/>
      <c r="E668" s="22"/>
      <c r="F668" s="22"/>
      <c r="G668" s="96" t="s">
        <v>2379</v>
      </c>
      <c r="H668" s="22"/>
      <c r="I668" s="201">
        <v>144</v>
      </c>
      <c r="J668" s="211"/>
      <c r="K668" s="211"/>
      <c r="L668" s="58"/>
      <c r="M668" s="58"/>
      <c r="N668" s="58"/>
      <c r="O668" s="58"/>
      <c r="P668" s="11"/>
      <c r="Q668" s="11"/>
      <c r="R668" s="34">
        <v>670</v>
      </c>
    </row>
    <row r="669" spans="2:18" ht="20" x14ac:dyDescent="0.2">
      <c r="B669" s="96" t="s">
        <v>881</v>
      </c>
      <c r="C669" s="22" t="s">
        <v>3143</v>
      </c>
      <c r="D669" s="22"/>
      <c r="E669" s="22"/>
      <c r="F669" s="22"/>
      <c r="G669" s="96" t="s">
        <v>2379</v>
      </c>
      <c r="H669" s="22"/>
      <c r="I669" s="201">
        <v>144</v>
      </c>
      <c r="J669" s="211"/>
      <c r="K669" s="211"/>
      <c r="L669" s="58"/>
      <c r="M669" s="58"/>
      <c r="N669" s="58"/>
      <c r="O669" s="58"/>
      <c r="P669" s="11"/>
      <c r="Q669" s="11"/>
      <c r="R669" s="34">
        <v>671</v>
      </c>
    </row>
    <row r="670" spans="2:18" ht="20" x14ac:dyDescent="0.2">
      <c r="B670" s="96" t="s">
        <v>1543</v>
      </c>
      <c r="C670" s="22" t="s">
        <v>3144</v>
      </c>
      <c r="D670" s="22"/>
      <c r="E670" s="22"/>
      <c r="F670" s="22"/>
      <c r="G670" s="96" t="s">
        <v>2379</v>
      </c>
      <c r="H670" s="22"/>
      <c r="I670" s="201">
        <v>138</v>
      </c>
      <c r="J670" s="211"/>
      <c r="K670" s="211"/>
      <c r="L670" s="58"/>
      <c r="M670" s="58"/>
      <c r="N670" s="58"/>
      <c r="O670" s="58"/>
      <c r="P670" s="11"/>
      <c r="Q670" s="11"/>
      <c r="R670" s="34">
        <v>672</v>
      </c>
    </row>
    <row r="671" spans="2:18" ht="20" x14ac:dyDescent="0.2">
      <c r="B671" s="96" t="s">
        <v>1706</v>
      </c>
      <c r="C671" s="22" t="s">
        <v>2725</v>
      </c>
      <c r="D671" s="22"/>
      <c r="E671" s="22">
        <v>50.998495800000001</v>
      </c>
      <c r="F671" s="22">
        <v>-115.3746398</v>
      </c>
      <c r="G671" s="96" t="s">
        <v>2379</v>
      </c>
      <c r="H671" s="22"/>
      <c r="I671" s="201">
        <v>144</v>
      </c>
      <c r="J671" s="211"/>
      <c r="K671" s="211"/>
      <c r="L671" s="58"/>
      <c r="M671" s="58"/>
      <c r="N671" s="58"/>
      <c r="O671" s="58"/>
      <c r="P671" s="11"/>
      <c r="Q671" s="11"/>
      <c r="R671" s="34">
        <v>673</v>
      </c>
    </row>
    <row r="672" spans="2:18" ht="20" x14ac:dyDescent="0.2">
      <c r="B672" s="96" t="s">
        <v>1856</v>
      </c>
      <c r="C672" s="22" t="s">
        <v>2598</v>
      </c>
      <c r="D672" s="22"/>
      <c r="E672" s="22">
        <v>50.533890920811501</v>
      </c>
      <c r="F672" s="22">
        <v>-111.670157543654</v>
      </c>
      <c r="G672" s="96" t="s">
        <v>2379</v>
      </c>
      <c r="H672" s="22"/>
      <c r="I672" s="201">
        <v>138</v>
      </c>
      <c r="J672" s="211"/>
      <c r="K672" s="211"/>
      <c r="L672" s="58"/>
      <c r="M672" s="58"/>
      <c r="N672" s="58"/>
      <c r="O672" s="58"/>
      <c r="P672" s="11"/>
      <c r="Q672" s="11"/>
      <c r="R672" s="34">
        <v>674</v>
      </c>
    </row>
    <row r="673" spans="2:18" ht="20" x14ac:dyDescent="0.2">
      <c r="B673" s="96" t="s">
        <v>1073</v>
      </c>
      <c r="C673" s="22" t="s">
        <v>3145</v>
      </c>
      <c r="D673" s="22"/>
      <c r="E673" s="22"/>
      <c r="F673" s="22"/>
      <c r="G673" s="96" t="s">
        <v>2379</v>
      </c>
      <c r="H673" s="22"/>
      <c r="I673" s="201">
        <v>240</v>
      </c>
      <c r="J673" s="211"/>
      <c r="K673" s="211"/>
      <c r="L673" s="58"/>
      <c r="M673" s="58"/>
      <c r="N673" s="58"/>
      <c r="O673" s="58"/>
      <c r="P673" s="11"/>
      <c r="Q673" s="11"/>
      <c r="R673" s="34">
        <v>675</v>
      </c>
    </row>
    <row r="674" spans="2:18" ht="20" x14ac:dyDescent="0.2">
      <c r="B674" s="96" t="s">
        <v>1205</v>
      </c>
      <c r="C674" s="22" t="s">
        <v>3267</v>
      </c>
      <c r="D674" s="22"/>
      <c r="E674" s="22"/>
      <c r="F674" s="22"/>
      <c r="G674" s="96" t="s">
        <v>2379</v>
      </c>
      <c r="H674" s="22"/>
      <c r="I674" s="201">
        <v>138</v>
      </c>
      <c r="J674" s="211"/>
      <c r="K674" s="211"/>
      <c r="L674" s="58"/>
      <c r="M674" s="58"/>
      <c r="N674" s="58"/>
      <c r="O674" s="58"/>
      <c r="P674" s="11"/>
      <c r="Q674" s="11"/>
      <c r="R674" s="34">
        <v>676</v>
      </c>
    </row>
    <row r="675" spans="2:18" ht="20" x14ac:dyDescent="0.2">
      <c r="B675" s="96" t="s">
        <v>866</v>
      </c>
      <c r="C675" s="22" t="s">
        <v>3146</v>
      </c>
      <c r="D675" s="22"/>
      <c r="E675" s="22"/>
      <c r="F675" s="22"/>
      <c r="G675" s="96" t="s">
        <v>2379</v>
      </c>
      <c r="H675" s="22"/>
      <c r="I675" s="213">
        <v>144</v>
      </c>
      <c r="J675" s="211"/>
      <c r="K675" s="211"/>
      <c r="L675" s="58"/>
      <c r="M675" s="58"/>
      <c r="N675" s="58"/>
      <c r="O675" s="58"/>
      <c r="P675" s="11"/>
      <c r="Q675" s="11"/>
      <c r="R675" s="34">
        <v>677</v>
      </c>
    </row>
    <row r="676" spans="2:18" ht="20" x14ac:dyDescent="0.2">
      <c r="B676" s="96" t="s">
        <v>565</v>
      </c>
      <c r="C676" s="22" t="s">
        <v>3147</v>
      </c>
      <c r="D676" s="22"/>
      <c r="E676" s="22"/>
      <c r="F676" s="22"/>
      <c r="G676" s="96" t="s">
        <v>2379</v>
      </c>
      <c r="H676" s="22"/>
      <c r="I676" s="201">
        <v>240</v>
      </c>
      <c r="J676" s="211"/>
      <c r="K676" s="211"/>
      <c r="L676" s="58"/>
      <c r="M676" s="58"/>
      <c r="N676" s="58"/>
      <c r="O676" s="58"/>
      <c r="P676" s="11"/>
      <c r="Q676" s="11"/>
      <c r="R676" s="34">
        <v>678</v>
      </c>
    </row>
    <row r="677" spans="2:18" ht="20" x14ac:dyDescent="0.2">
      <c r="B677" s="96" t="s">
        <v>1178</v>
      </c>
      <c r="C677" s="22" t="s">
        <v>3148</v>
      </c>
      <c r="D677" s="22"/>
      <c r="E677" s="22"/>
      <c r="F677" s="22"/>
      <c r="G677" s="96" t="s">
        <v>2379</v>
      </c>
      <c r="H677" s="22"/>
      <c r="I677" s="201">
        <v>144</v>
      </c>
      <c r="J677" s="211"/>
      <c r="K677" s="211"/>
      <c r="L677" s="58"/>
      <c r="M677" s="58"/>
      <c r="N677" s="58"/>
      <c r="O677" s="58"/>
      <c r="P677" s="11"/>
      <c r="Q677" s="11"/>
      <c r="R677" s="34">
        <v>679</v>
      </c>
    </row>
    <row r="678" spans="2:18" ht="20" x14ac:dyDescent="0.2">
      <c r="B678" s="96" t="s">
        <v>1384</v>
      </c>
      <c r="C678" s="22" t="s">
        <v>3268</v>
      </c>
      <c r="D678" s="22"/>
      <c r="E678" s="22"/>
      <c r="F678" s="22"/>
      <c r="G678" s="96" t="s">
        <v>2379</v>
      </c>
      <c r="H678" s="22"/>
      <c r="I678" s="201">
        <v>144</v>
      </c>
      <c r="J678" s="211"/>
      <c r="K678" s="211"/>
      <c r="L678" s="58"/>
      <c r="M678" s="58"/>
      <c r="N678" s="58"/>
      <c r="O678" s="58"/>
      <c r="P678" s="11"/>
      <c r="Q678" s="11"/>
      <c r="R678" s="34">
        <v>680</v>
      </c>
    </row>
    <row r="679" spans="2:18" ht="20" x14ac:dyDescent="0.2">
      <c r="B679" s="96" t="s">
        <v>1460</v>
      </c>
      <c r="C679" s="22" t="s">
        <v>3149</v>
      </c>
      <c r="D679" s="22"/>
      <c r="E679" s="22"/>
      <c r="F679" s="22"/>
      <c r="G679" s="96" t="s">
        <v>2379</v>
      </c>
      <c r="H679" s="22"/>
      <c r="I679" s="201">
        <v>138</v>
      </c>
      <c r="J679" s="211"/>
      <c r="K679" s="211"/>
      <c r="L679" s="58"/>
      <c r="M679" s="58"/>
      <c r="N679" s="58"/>
      <c r="O679" s="58"/>
      <c r="P679" s="11"/>
      <c r="Q679" s="11"/>
      <c r="R679" s="34">
        <v>681</v>
      </c>
    </row>
    <row r="680" spans="2:18" ht="20" x14ac:dyDescent="0.2">
      <c r="B680" s="96" t="s">
        <v>1728</v>
      </c>
      <c r="C680" s="22" t="s">
        <v>2631</v>
      </c>
      <c r="D680" s="22"/>
      <c r="E680" s="22"/>
      <c r="F680" s="22"/>
      <c r="G680" s="96" t="s">
        <v>2379</v>
      </c>
      <c r="H680" s="22"/>
      <c r="I680" s="201">
        <v>144</v>
      </c>
      <c r="J680" s="211"/>
      <c r="K680" s="211"/>
      <c r="L680" s="58"/>
      <c r="M680" s="58"/>
      <c r="N680" s="58"/>
      <c r="O680" s="58"/>
      <c r="P680" s="11"/>
      <c r="Q680" s="11"/>
      <c r="R680" s="34">
        <v>682</v>
      </c>
    </row>
    <row r="681" spans="2:18" ht="20" x14ac:dyDescent="0.2">
      <c r="B681" s="96" t="s">
        <v>714</v>
      </c>
      <c r="C681" s="22" t="s">
        <v>3150</v>
      </c>
      <c r="D681" s="22"/>
      <c r="E681" s="22"/>
      <c r="F681" s="22"/>
      <c r="G681" s="96" t="s">
        <v>2379</v>
      </c>
      <c r="H681" s="22"/>
      <c r="I681" s="201">
        <v>144</v>
      </c>
      <c r="J681" s="211"/>
      <c r="K681" s="211"/>
      <c r="L681" s="58"/>
      <c r="M681" s="58"/>
      <c r="N681" s="58"/>
      <c r="O681" s="58"/>
      <c r="P681" s="11"/>
      <c r="Q681" s="11"/>
      <c r="R681" s="34">
        <v>683</v>
      </c>
    </row>
    <row r="682" spans="2:18" ht="20" x14ac:dyDescent="0.2">
      <c r="B682" s="96" t="s">
        <v>1625</v>
      </c>
      <c r="C682" s="22" t="s">
        <v>3269</v>
      </c>
      <c r="D682" s="22"/>
      <c r="E682" s="22"/>
      <c r="F682" s="22"/>
      <c r="G682" s="96" t="s">
        <v>2379</v>
      </c>
      <c r="H682" s="22"/>
      <c r="I682" s="201">
        <v>144</v>
      </c>
      <c r="J682" s="211"/>
      <c r="K682" s="211"/>
      <c r="L682" s="58"/>
      <c r="M682" s="58"/>
      <c r="N682" s="58"/>
      <c r="O682" s="58"/>
      <c r="P682" s="11"/>
      <c r="Q682" s="11"/>
      <c r="R682" s="34">
        <v>684</v>
      </c>
    </row>
    <row r="683" spans="2:18" ht="20" x14ac:dyDescent="0.2">
      <c r="B683" s="96" t="s">
        <v>896</v>
      </c>
      <c r="C683" s="22" t="s">
        <v>3151</v>
      </c>
      <c r="D683" s="22"/>
      <c r="E683" s="22"/>
      <c r="F683" s="22"/>
      <c r="G683" s="96" t="s">
        <v>2379</v>
      </c>
      <c r="H683" s="22"/>
      <c r="I683" s="201">
        <v>144</v>
      </c>
      <c r="J683" s="211"/>
      <c r="K683" s="211"/>
      <c r="L683" s="58"/>
      <c r="M683" s="58"/>
      <c r="N683" s="58"/>
      <c r="O683" s="58"/>
      <c r="P683" s="11"/>
      <c r="Q683" s="11"/>
      <c r="R683" s="34">
        <v>685</v>
      </c>
    </row>
    <row r="684" spans="2:18" ht="20" x14ac:dyDescent="0.2">
      <c r="B684" s="96" t="s">
        <v>1920</v>
      </c>
      <c r="C684" s="22" t="s">
        <v>3152</v>
      </c>
      <c r="D684" s="22"/>
      <c r="E684" s="22"/>
      <c r="F684" s="22"/>
      <c r="G684" s="96" t="s">
        <v>2379</v>
      </c>
      <c r="H684" s="22"/>
      <c r="I684" s="201">
        <v>138</v>
      </c>
      <c r="J684" s="211"/>
      <c r="K684" s="211"/>
      <c r="L684" s="58"/>
      <c r="M684" s="58"/>
      <c r="N684" s="58"/>
      <c r="O684" s="58"/>
      <c r="P684" s="11"/>
      <c r="Q684" s="11"/>
      <c r="R684" s="34">
        <v>686</v>
      </c>
    </row>
    <row r="685" spans="2:18" ht="20" x14ac:dyDescent="0.2">
      <c r="B685" s="96" t="s">
        <v>912</v>
      </c>
      <c r="C685" s="22" t="s">
        <v>3153</v>
      </c>
      <c r="D685" s="22"/>
      <c r="E685" s="22"/>
      <c r="F685" s="22"/>
      <c r="G685" s="96" t="s">
        <v>2379</v>
      </c>
      <c r="H685" s="22"/>
      <c r="I685" s="201">
        <v>144</v>
      </c>
      <c r="J685" s="211"/>
      <c r="K685" s="211"/>
      <c r="L685" s="58"/>
      <c r="M685" s="58"/>
      <c r="N685" s="58"/>
      <c r="O685" s="58"/>
      <c r="P685" s="11"/>
      <c r="Q685" s="11"/>
      <c r="R685" s="34">
        <v>687</v>
      </c>
    </row>
    <row r="686" spans="2:18" ht="20" x14ac:dyDescent="0.2">
      <c r="B686" s="96" t="s">
        <v>1959</v>
      </c>
      <c r="C686" s="22" t="s">
        <v>2637</v>
      </c>
      <c r="D686" s="22"/>
      <c r="E686" s="22">
        <v>50.109131443142999</v>
      </c>
      <c r="F686" s="22">
        <v>-112.14212213572</v>
      </c>
      <c r="G686" s="96" t="s">
        <v>2379</v>
      </c>
      <c r="H686" s="162" t="s">
        <v>1150</v>
      </c>
      <c r="I686" s="209">
        <v>138</v>
      </c>
      <c r="J686" s="209">
        <v>25</v>
      </c>
      <c r="K686" s="209">
        <v>42</v>
      </c>
      <c r="L686" s="94">
        <f>K686*1.2</f>
        <v>50.4</v>
      </c>
      <c r="M686" s="94">
        <v>0.9</v>
      </c>
      <c r="N686" s="94">
        <f>K686*$M686</f>
        <v>37.800000000000004</v>
      </c>
      <c r="O686" s="94">
        <f>L686*$M686</f>
        <v>45.36</v>
      </c>
      <c r="P686" s="11" t="s">
        <v>3293</v>
      </c>
      <c r="Q686" s="11"/>
      <c r="R686" s="34">
        <v>688</v>
      </c>
    </row>
    <row r="687" spans="2:18" ht="20" x14ac:dyDescent="0.2">
      <c r="B687" s="96" t="s">
        <v>1441</v>
      </c>
      <c r="C687" s="22" t="s">
        <v>2646</v>
      </c>
      <c r="D687" s="22"/>
      <c r="E687" s="22">
        <v>53.693435299999997</v>
      </c>
      <c r="F687" s="22">
        <v>-111.9785888</v>
      </c>
      <c r="G687" s="96" t="s">
        <v>2379</v>
      </c>
      <c r="H687" s="22"/>
      <c r="I687" s="201">
        <v>144</v>
      </c>
      <c r="J687" s="211"/>
      <c r="K687" s="211"/>
      <c r="L687" s="58"/>
      <c r="M687" s="58"/>
      <c r="N687" s="58"/>
      <c r="O687" s="58"/>
      <c r="P687" s="11"/>
      <c r="Q687" s="11"/>
      <c r="R687" s="34">
        <v>689</v>
      </c>
    </row>
    <row r="688" spans="2:18" ht="20" x14ac:dyDescent="0.2">
      <c r="B688" s="96" t="s">
        <v>1433</v>
      </c>
      <c r="C688" s="22" t="s">
        <v>3154</v>
      </c>
      <c r="D688" s="22"/>
      <c r="E688" s="22"/>
      <c r="F688" s="22"/>
      <c r="G688" s="96" t="s">
        <v>2379</v>
      </c>
      <c r="H688" s="22"/>
      <c r="I688" s="201">
        <v>138</v>
      </c>
      <c r="J688" s="211"/>
      <c r="K688" s="211"/>
      <c r="L688" s="58"/>
      <c r="M688" s="58"/>
      <c r="N688" s="58"/>
      <c r="O688" s="58"/>
      <c r="P688" s="11"/>
      <c r="Q688" s="11"/>
      <c r="R688" s="34">
        <v>690</v>
      </c>
    </row>
    <row r="689" spans="2:18" ht="20" x14ac:dyDescent="0.2">
      <c r="B689" s="96" t="s">
        <v>1507</v>
      </c>
      <c r="C689" s="22" t="s">
        <v>3155</v>
      </c>
      <c r="D689" s="22"/>
      <c r="E689" s="22"/>
      <c r="F689" s="22"/>
      <c r="G689" s="96" t="s">
        <v>2379</v>
      </c>
      <c r="H689" s="22"/>
      <c r="I689" s="201">
        <v>138</v>
      </c>
      <c r="J689" s="211"/>
      <c r="K689" s="211"/>
      <c r="L689" s="58"/>
      <c r="M689" s="58"/>
      <c r="N689" s="58"/>
      <c r="O689" s="58"/>
      <c r="P689" s="11"/>
      <c r="Q689" s="11"/>
      <c r="R689" s="34">
        <v>691</v>
      </c>
    </row>
    <row r="690" spans="2:18" ht="20" x14ac:dyDescent="0.2">
      <c r="B690" s="96" t="s">
        <v>2217</v>
      </c>
      <c r="C690" s="22" t="s">
        <v>3156</v>
      </c>
      <c r="D690" s="210"/>
      <c r="E690" s="22"/>
      <c r="F690" s="22"/>
      <c r="G690" s="96" t="s">
        <v>2379</v>
      </c>
      <c r="H690" s="162" t="s">
        <v>1150</v>
      </c>
      <c r="I690" s="209">
        <v>72</v>
      </c>
      <c r="J690" s="209">
        <v>14.4</v>
      </c>
      <c r="K690" s="209">
        <v>66.7</v>
      </c>
      <c r="L690" s="94">
        <f>K690*1.2</f>
        <v>80.040000000000006</v>
      </c>
      <c r="M690" s="94">
        <v>0.9</v>
      </c>
      <c r="N690" s="94">
        <f t="shared" ref="N690:O694" si="17">K690*$M690</f>
        <v>60.03</v>
      </c>
      <c r="O690" s="94">
        <f t="shared" si="17"/>
        <v>72.036000000000001</v>
      </c>
      <c r="P690" s="11" t="s">
        <v>3288</v>
      </c>
      <c r="Q690" s="11"/>
      <c r="R690" s="34">
        <v>692</v>
      </c>
    </row>
    <row r="691" spans="2:18" ht="20" x14ac:dyDescent="0.2">
      <c r="B691" s="96" t="s">
        <v>2217</v>
      </c>
      <c r="C691" s="22" t="s">
        <v>3156</v>
      </c>
      <c r="D691" s="210"/>
      <c r="E691" s="22"/>
      <c r="F691" s="22"/>
      <c r="G691" s="96" t="s">
        <v>2379</v>
      </c>
      <c r="H691" s="162" t="s">
        <v>1154</v>
      </c>
      <c r="I691" s="209">
        <v>72</v>
      </c>
      <c r="J691" s="209">
        <v>14.4</v>
      </c>
      <c r="K691" s="209">
        <v>66.7</v>
      </c>
      <c r="L691" s="94">
        <f>K691*1.2</f>
        <v>80.040000000000006</v>
      </c>
      <c r="M691" s="94">
        <v>0.9</v>
      </c>
      <c r="N691" s="94">
        <f t="shared" si="17"/>
        <v>60.03</v>
      </c>
      <c r="O691" s="94">
        <f t="shared" si="17"/>
        <v>72.036000000000001</v>
      </c>
      <c r="P691" s="11" t="s">
        <v>3288</v>
      </c>
      <c r="Q691" s="11"/>
      <c r="R691" s="34">
        <v>693</v>
      </c>
    </row>
    <row r="692" spans="2:18" ht="20" x14ac:dyDescent="0.2">
      <c r="B692" s="96" t="s">
        <v>2217</v>
      </c>
      <c r="C692" s="22" t="s">
        <v>3156</v>
      </c>
      <c r="D692" s="210"/>
      <c r="E692" s="22"/>
      <c r="F692" s="22"/>
      <c r="G692" s="96" t="s">
        <v>2379</v>
      </c>
      <c r="H692" s="162" t="s">
        <v>1156</v>
      </c>
      <c r="I692" s="209">
        <v>72</v>
      </c>
      <c r="J692" s="209">
        <v>14.4</v>
      </c>
      <c r="K692" s="209">
        <v>66.7</v>
      </c>
      <c r="L692" s="94">
        <f>K692*1.2</f>
        <v>80.040000000000006</v>
      </c>
      <c r="M692" s="94">
        <v>0.9</v>
      </c>
      <c r="N692" s="94">
        <f t="shared" si="17"/>
        <v>60.03</v>
      </c>
      <c r="O692" s="94">
        <f t="shared" si="17"/>
        <v>72.036000000000001</v>
      </c>
      <c r="P692" s="11" t="s">
        <v>3288</v>
      </c>
      <c r="Q692" s="11"/>
      <c r="R692" s="34">
        <v>694</v>
      </c>
    </row>
    <row r="693" spans="2:18" ht="20" x14ac:dyDescent="0.2">
      <c r="B693" s="96" t="s">
        <v>2217</v>
      </c>
      <c r="C693" s="22" t="s">
        <v>3156</v>
      </c>
      <c r="D693" s="210"/>
      <c r="E693" s="22"/>
      <c r="F693" s="22"/>
      <c r="G693" s="96" t="s">
        <v>2379</v>
      </c>
      <c r="H693" s="162" t="s">
        <v>1157</v>
      </c>
      <c r="I693" s="209">
        <v>72</v>
      </c>
      <c r="J693" s="209">
        <v>14.4</v>
      </c>
      <c r="K693" s="209">
        <v>66.7</v>
      </c>
      <c r="L693" s="94">
        <f>K693*1.2</f>
        <v>80.040000000000006</v>
      </c>
      <c r="M693" s="94">
        <v>0.9</v>
      </c>
      <c r="N693" s="94">
        <f t="shared" si="17"/>
        <v>60.03</v>
      </c>
      <c r="O693" s="94">
        <f t="shared" si="17"/>
        <v>72.036000000000001</v>
      </c>
      <c r="P693" s="11" t="s">
        <v>3288</v>
      </c>
      <c r="Q693" s="11"/>
      <c r="R693" s="34">
        <v>695</v>
      </c>
    </row>
    <row r="694" spans="2:18" ht="20" x14ac:dyDescent="0.2">
      <c r="B694" s="96" t="s">
        <v>2217</v>
      </c>
      <c r="C694" s="22" t="s">
        <v>3156</v>
      </c>
      <c r="D694" s="210"/>
      <c r="E694" s="22"/>
      <c r="F694" s="22"/>
      <c r="G694" s="96" t="s">
        <v>2379</v>
      </c>
      <c r="H694" s="162" t="s">
        <v>1166</v>
      </c>
      <c r="I694" s="209">
        <v>240</v>
      </c>
      <c r="J694" s="209">
        <v>72</v>
      </c>
      <c r="K694" s="209">
        <v>450</v>
      </c>
      <c r="L694" s="94">
        <f>K694*1.2</f>
        <v>540</v>
      </c>
      <c r="M694" s="94">
        <v>0.9</v>
      </c>
      <c r="N694" s="94">
        <f t="shared" si="17"/>
        <v>405</v>
      </c>
      <c r="O694" s="94">
        <f t="shared" si="17"/>
        <v>486</v>
      </c>
      <c r="P694" s="11" t="s">
        <v>3288</v>
      </c>
      <c r="Q694" s="11"/>
      <c r="R694" s="34">
        <v>696</v>
      </c>
    </row>
    <row r="695" spans="2:18" ht="20" x14ac:dyDescent="0.2">
      <c r="B695" s="96" t="s">
        <v>1439</v>
      </c>
      <c r="C695" s="22" t="s">
        <v>3157</v>
      </c>
      <c r="D695" s="22"/>
      <c r="E695" s="22"/>
      <c r="F695" s="22"/>
      <c r="G695" s="96" t="s">
        <v>2379</v>
      </c>
      <c r="H695" s="22"/>
      <c r="I695" s="201">
        <v>138</v>
      </c>
      <c r="J695" s="211"/>
      <c r="K695" s="211"/>
      <c r="L695" s="58"/>
      <c r="M695" s="58"/>
      <c r="N695" s="58"/>
      <c r="O695" s="58"/>
      <c r="P695" s="11"/>
      <c r="Q695" s="11"/>
      <c r="R695" s="34">
        <v>697</v>
      </c>
    </row>
    <row r="696" spans="2:18" ht="20" x14ac:dyDescent="0.2">
      <c r="B696" s="96" t="s">
        <v>1561</v>
      </c>
      <c r="C696" s="22" t="s">
        <v>3158</v>
      </c>
      <c r="D696" s="22"/>
      <c r="E696" s="22"/>
      <c r="F696" s="22"/>
      <c r="G696" s="96" t="s">
        <v>2379</v>
      </c>
      <c r="H696" s="22"/>
      <c r="I696" s="201">
        <v>138</v>
      </c>
      <c r="J696" s="211"/>
      <c r="K696" s="211"/>
      <c r="L696" s="58"/>
      <c r="M696" s="58"/>
      <c r="N696" s="58"/>
      <c r="O696" s="58"/>
      <c r="P696" s="11"/>
      <c r="Q696" s="11"/>
      <c r="R696" s="34">
        <v>698</v>
      </c>
    </row>
    <row r="697" spans="2:18" ht="20" x14ac:dyDescent="0.2">
      <c r="B697" s="96" t="s">
        <v>916</v>
      </c>
      <c r="C697" s="22" t="s">
        <v>3159</v>
      </c>
      <c r="D697" s="22"/>
      <c r="E697" s="22"/>
      <c r="F697" s="22"/>
      <c r="G697" s="96" t="s">
        <v>2379</v>
      </c>
      <c r="H697" s="22"/>
      <c r="I697" s="201">
        <v>144</v>
      </c>
      <c r="J697" s="211"/>
      <c r="K697" s="211"/>
      <c r="L697" s="58"/>
      <c r="M697" s="58"/>
      <c r="N697" s="58"/>
      <c r="O697" s="58"/>
      <c r="P697" s="11"/>
      <c r="Q697" s="11"/>
      <c r="R697" s="34">
        <v>699</v>
      </c>
    </row>
    <row r="698" spans="2:18" ht="20" x14ac:dyDescent="0.2">
      <c r="B698" s="96" t="s">
        <v>1281</v>
      </c>
      <c r="C698" s="22" t="s">
        <v>3160</v>
      </c>
      <c r="D698" s="22"/>
      <c r="E698" s="22"/>
      <c r="F698" s="22"/>
      <c r="G698" s="96" t="s">
        <v>2379</v>
      </c>
      <c r="H698" s="22"/>
      <c r="I698" s="201">
        <v>138</v>
      </c>
      <c r="J698" s="211"/>
      <c r="K698" s="211"/>
      <c r="L698" s="58"/>
      <c r="M698" s="58"/>
      <c r="N698" s="58"/>
      <c r="O698" s="58"/>
      <c r="P698" s="11"/>
      <c r="Q698" s="11"/>
      <c r="R698" s="34">
        <v>700</v>
      </c>
    </row>
    <row r="699" spans="2:18" ht="20" x14ac:dyDescent="0.2">
      <c r="B699" s="96" t="s">
        <v>1585</v>
      </c>
      <c r="C699" s="22" t="s">
        <v>3161</v>
      </c>
      <c r="D699" s="22"/>
      <c r="E699" s="22"/>
      <c r="F699" s="22"/>
      <c r="G699" s="96" t="s">
        <v>2379</v>
      </c>
      <c r="H699" s="22"/>
      <c r="I699" s="201">
        <v>138</v>
      </c>
      <c r="J699" s="211"/>
      <c r="K699" s="211"/>
      <c r="L699" s="58"/>
      <c r="M699" s="58"/>
      <c r="N699" s="58"/>
      <c r="O699" s="58"/>
      <c r="P699" s="11"/>
      <c r="Q699" s="11"/>
      <c r="R699" s="34">
        <v>701</v>
      </c>
    </row>
    <row r="700" spans="2:18" ht="20" x14ac:dyDescent="0.2">
      <c r="B700" s="96" t="s">
        <v>1941</v>
      </c>
      <c r="C700" s="22" t="s">
        <v>3162</v>
      </c>
      <c r="D700" s="22"/>
      <c r="E700" s="22"/>
      <c r="F700" s="22"/>
      <c r="G700" s="96" t="s">
        <v>2379</v>
      </c>
      <c r="H700" s="22"/>
      <c r="I700" s="201">
        <v>138</v>
      </c>
      <c r="J700" s="211"/>
      <c r="K700" s="211"/>
      <c r="L700" s="58"/>
      <c r="M700" s="58"/>
      <c r="N700" s="58"/>
      <c r="O700" s="58"/>
      <c r="P700" s="11"/>
      <c r="Q700" s="11"/>
      <c r="R700" s="34">
        <v>702</v>
      </c>
    </row>
    <row r="701" spans="2:18" ht="20" x14ac:dyDescent="0.2">
      <c r="B701" s="96" t="s">
        <v>585</v>
      </c>
      <c r="C701" s="22" t="s">
        <v>3163</v>
      </c>
      <c r="D701" s="22"/>
      <c r="E701" s="22"/>
      <c r="F701" s="22"/>
      <c r="G701" s="96" t="s">
        <v>2379</v>
      </c>
      <c r="H701" s="162" t="s">
        <v>1150</v>
      </c>
      <c r="I701" s="209">
        <v>240</v>
      </c>
      <c r="J701" s="209">
        <v>138</v>
      </c>
      <c r="K701" s="209">
        <v>200</v>
      </c>
      <c r="L701" s="94">
        <f>K701*1.2</f>
        <v>240</v>
      </c>
      <c r="M701" s="94">
        <v>0.9</v>
      </c>
      <c r="N701" s="94">
        <f>K701*$M701</f>
        <v>180</v>
      </c>
      <c r="O701" s="94">
        <f>L701*$M701</f>
        <v>216</v>
      </c>
      <c r="P701" s="11" t="s">
        <v>3280</v>
      </c>
      <c r="Q701" s="11"/>
      <c r="R701" s="34">
        <v>703</v>
      </c>
    </row>
    <row r="702" spans="2:18" ht="20" x14ac:dyDescent="0.2">
      <c r="B702" s="96" t="s">
        <v>2087</v>
      </c>
      <c r="C702" s="22" t="s">
        <v>3164</v>
      </c>
      <c r="D702" s="22"/>
      <c r="E702" s="22"/>
      <c r="F702" s="22"/>
      <c r="G702" s="96" t="s">
        <v>2379</v>
      </c>
      <c r="H702" s="22"/>
      <c r="I702" s="201">
        <v>69</v>
      </c>
      <c r="J702" s="211"/>
      <c r="K702" s="211"/>
      <c r="L702" s="58"/>
      <c r="M702" s="58"/>
      <c r="N702" s="58"/>
      <c r="O702" s="58"/>
      <c r="P702" s="11"/>
      <c r="Q702" s="11"/>
      <c r="R702" s="34">
        <v>704</v>
      </c>
    </row>
    <row r="703" spans="2:18" ht="20" x14ac:dyDescent="0.2">
      <c r="B703" s="96" t="s">
        <v>1104</v>
      </c>
      <c r="C703" s="22" t="s">
        <v>3165</v>
      </c>
      <c r="D703" s="22"/>
      <c r="E703" s="22"/>
      <c r="F703" s="22"/>
      <c r="G703" s="96" t="s">
        <v>2379</v>
      </c>
      <c r="H703" s="22"/>
      <c r="I703" s="201">
        <v>240</v>
      </c>
      <c r="J703" s="211"/>
      <c r="K703" s="211"/>
      <c r="L703" s="58"/>
      <c r="M703" s="58"/>
      <c r="N703" s="58"/>
      <c r="O703" s="58"/>
      <c r="P703" s="11"/>
      <c r="Q703" s="11"/>
      <c r="R703" s="34">
        <v>705</v>
      </c>
    </row>
    <row r="704" spans="2:18" ht="20" x14ac:dyDescent="0.2">
      <c r="B704" s="96" t="s">
        <v>835</v>
      </c>
      <c r="C704" s="22" t="s">
        <v>3166</v>
      </c>
      <c r="D704" s="22"/>
      <c r="E704" s="22"/>
      <c r="F704" s="22"/>
      <c r="G704" s="96" t="s">
        <v>2379</v>
      </c>
      <c r="H704" s="22"/>
      <c r="I704" s="201">
        <v>144</v>
      </c>
      <c r="J704" s="211"/>
      <c r="K704" s="211"/>
      <c r="L704" s="58"/>
      <c r="M704" s="58"/>
      <c r="N704" s="58"/>
      <c r="O704" s="58"/>
      <c r="P704" s="11"/>
      <c r="Q704" s="11"/>
      <c r="R704" s="34">
        <v>706</v>
      </c>
    </row>
    <row r="705" spans="2:18" ht="20" x14ac:dyDescent="0.2">
      <c r="B705" s="96" t="s">
        <v>1458</v>
      </c>
      <c r="C705" s="22" t="s">
        <v>3167</v>
      </c>
      <c r="D705" s="22"/>
      <c r="E705" s="22"/>
      <c r="F705" s="22"/>
      <c r="G705" s="96" t="s">
        <v>2379</v>
      </c>
      <c r="H705" s="22"/>
      <c r="I705" s="201">
        <v>138</v>
      </c>
      <c r="J705" s="211"/>
      <c r="K705" s="211"/>
      <c r="L705" s="58"/>
      <c r="M705" s="58"/>
      <c r="N705" s="58"/>
      <c r="O705" s="58"/>
      <c r="P705" s="11"/>
      <c r="Q705" s="11"/>
      <c r="R705" s="34">
        <v>707</v>
      </c>
    </row>
    <row r="706" spans="2:18" ht="20" x14ac:dyDescent="0.2">
      <c r="B706" s="96" t="s">
        <v>762</v>
      </c>
      <c r="C706" s="22" t="s">
        <v>3168</v>
      </c>
      <c r="D706" s="22"/>
      <c r="E706" s="22"/>
      <c r="F706" s="22"/>
      <c r="G706" s="96" t="s">
        <v>2379</v>
      </c>
      <c r="H706" s="22"/>
      <c r="I706" s="201">
        <v>144</v>
      </c>
      <c r="J706" s="211"/>
      <c r="K706" s="211"/>
      <c r="L706" s="58"/>
      <c r="M706" s="58"/>
      <c r="N706" s="58"/>
      <c r="O706" s="58"/>
      <c r="P706" s="11"/>
      <c r="Q706" s="11"/>
      <c r="R706" s="34">
        <v>708</v>
      </c>
    </row>
    <row r="707" spans="2:18" ht="20" x14ac:dyDescent="0.2">
      <c r="B707" s="96" t="s">
        <v>801</v>
      </c>
      <c r="C707" s="22" t="s">
        <v>3169</v>
      </c>
      <c r="D707" s="22"/>
      <c r="E707" s="22"/>
      <c r="F707" s="22"/>
      <c r="G707" s="96" t="s">
        <v>2379</v>
      </c>
      <c r="H707" s="22"/>
      <c r="I707" s="201">
        <v>144</v>
      </c>
      <c r="J707" s="211"/>
      <c r="K707" s="211"/>
      <c r="L707" s="58"/>
      <c r="M707" s="58"/>
      <c r="N707" s="58"/>
      <c r="O707" s="58"/>
      <c r="P707" s="11"/>
      <c r="Q707" s="11"/>
      <c r="R707" s="34">
        <v>709</v>
      </c>
    </row>
    <row r="708" spans="2:18" ht="20" x14ac:dyDescent="0.2">
      <c r="B708" s="96" t="s">
        <v>1981</v>
      </c>
      <c r="C708" s="22" t="s">
        <v>3170</v>
      </c>
      <c r="D708" s="22"/>
      <c r="E708" s="22"/>
      <c r="F708" s="22"/>
      <c r="G708" s="96" t="s">
        <v>2379</v>
      </c>
      <c r="H708" s="22"/>
      <c r="I708" s="201">
        <v>144</v>
      </c>
      <c r="J708" s="211"/>
      <c r="K708" s="211"/>
      <c r="L708" s="58"/>
      <c r="M708" s="58"/>
      <c r="N708" s="58"/>
      <c r="O708" s="58"/>
      <c r="P708" s="11"/>
      <c r="Q708" s="11"/>
      <c r="R708" s="34">
        <v>710</v>
      </c>
    </row>
    <row r="709" spans="2:18" ht="20" x14ac:dyDescent="0.2">
      <c r="B709" s="96" t="s">
        <v>596</v>
      </c>
      <c r="C709" s="22" t="s">
        <v>3171</v>
      </c>
      <c r="D709" s="22"/>
      <c r="E709" s="22"/>
      <c r="F709" s="22"/>
      <c r="G709" s="96" t="s">
        <v>2379</v>
      </c>
      <c r="H709" s="22"/>
      <c r="I709" s="201">
        <v>240</v>
      </c>
      <c r="J709" s="211"/>
      <c r="K709" s="211"/>
      <c r="L709" s="58"/>
      <c r="M709" s="58"/>
      <c r="N709" s="58"/>
      <c r="O709" s="58"/>
      <c r="P709" s="11"/>
      <c r="Q709" s="11"/>
      <c r="R709" s="34">
        <v>711</v>
      </c>
    </row>
    <row r="710" spans="2:18" ht="20" x14ac:dyDescent="0.2">
      <c r="B710" s="96" t="s">
        <v>1909</v>
      </c>
      <c r="C710" s="22" t="s">
        <v>3172</v>
      </c>
      <c r="D710" s="22"/>
      <c r="E710" s="22"/>
      <c r="F710" s="22"/>
      <c r="G710" s="96" t="s">
        <v>2379</v>
      </c>
      <c r="H710" s="22"/>
      <c r="I710" s="201">
        <v>72</v>
      </c>
      <c r="J710" s="211"/>
      <c r="K710" s="211"/>
      <c r="L710" s="58"/>
      <c r="M710" s="58"/>
      <c r="N710" s="58"/>
      <c r="O710" s="58"/>
      <c r="P710" s="11"/>
      <c r="Q710" s="11"/>
      <c r="R710" s="34">
        <v>712</v>
      </c>
    </row>
    <row r="711" spans="2:18" ht="20" x14ac:dyDescent="0.2">
      <c r="B711" s="96" t="s">
        <v>1875</v>
      </c>
      <c r="C711" s="22" t="s">
        <v>3173</v>
      </c>
      <c r="D711" s="22"/>
      <c r="E711" s="22"/>
      <c r="F711" s="22"/>
      <c r="G711" s="96" t="s">
        <v>2379</v>
      </c>
      <c r="H711" s="22"/>
      <c r="I711" s="201">
        <v>69</v>
      </c>
      <c r="J711" s="211"/>
      <c r="K711" s="211"/>
      <c r="L711" s="58"/>
      <c r="M711" s="58"/>
      <c r="N711" s="58"/>
      <c r="O711" s="58"/>
      <c r="P711" s="11"/>
      <c r="Q711" s="11"/>
      <c r="R711" s="34">
        <v>713</v>
      </c>
    </row>
    <row r="712" spans="2:18" ht="20" x14ac:dyDescent="0.2">
      <c r="B712" s="96" t="s">
        <v>1583</v>
      </c>
      <c r="C712" s="22" t="s">
        <v>3174</v>
      </c>
      <c r="D712" s="22"/>
      <c r="E712" s="22"/>
      <c r="F712" s="22"/>
      <c r="G712" s="96" t="s">
        <v>2379</v>
      </c>
      <c r="H712" s="22"/>
      <c r="I712" s="201">
        <v>138</v>
      </c>
      <c r="J712" s="211"/>
      <c r="K712" s="211"/>
      <c r="L712" s="58"/>
      <c r="M712" s="58"/>
      <c r="N712" s="58"/>
      <c r="O712" s="58"/>
      <c r="P712" s="11"/>
      <c r="Q712" s="11"/>
      <c r="R712" s="34">
        <v>714</v>
      </c>
    </row>
    <row r="713" spans="2:18" ht="20" x14ac:dyDescent="0.2">
      <c r="B713" s="96" t="s">
        <v>1442</v>
      </c>
      <c r="C713" s="22" t="s">
        <v>3175</v>
      </c>
      <c r="D713" s="22"/>
      <c r="E713" s="22"/>
      <c r="F713" s="22"/>
      <c r="G713" s="96" t="s">
        <v>2379</v>
      </c>
      <c r="H713" s="22"/>
      <c r="I713" s="201">
        <v>144</v>
      </c>
      <c r="J713" s="211"/>
      <c r="K713" s="211"/>
      <c r="L713" s="58"/>
      <c r="M713" s="58"/>
      <c r="N713" s="58"/>
      <c r="O713" s="58"/>
      <c r="P713" s="11"/>
      <c r="Q713" s="11"/>
      <c r="R713" s="34">
        <v>715</v>
      </c>
    </row>
    <row r="714" spans="2:18" ht="20" x14ac:dyDescent="0.2">
      <c r="B714" s="96" t="s">
        <v>724</v>
      </c>
      <c r="C714" s="22" t="s">
        <v>3176</v>
      </c>
      <c r="D714" s="22"/>
      <c r="E714" s="22"/>
      <c r="F714" s="22"/>
      <c r="G714" s="96" t="s">
        <v>2379</v>
      </c>
      <c r="H714" s="22"/>
      <c r="I714" s="201">
        <v>138</v>
      </c>
      <c r="J714" s="211"/>
      <c r="K714" s="211"/>
      <c r="L714" s="58"/>
      <c r="M714" s="58"/>
      <c r="N714" s="58"/>
      <c r="O714" s="58"/>
      <c r="P714" s="11"/>
      <c r="Q714" s="11"/>
      <c r="R714" s="34">
        <v>716</v>
      </c>
    </row>
    <row r="715" spans="2:18" ht="20" x14ac:dyDescent="0.2">
      <c r="B715" s="96" t="s">
        <v>906</v>
      </c>
      <c r="C715" s="22" t="s">
        <v>3177</v>
      </c>
      <c r="D715" s="22"/>
      <c r="E715" s="22"/>
      <c r="F715" s="22"/>
      <c r="G715" s="96" t="s">
        <v>2379</v>
      </c>
      <c r="H715" s="22"/>
      <c r="I715" s="201">
        <v>144</v>
      </c>
      <c r="J715" s="211"/>
      <c r="K715" s="211"/>
      <c r="L715" s="58"/>
      <c r="M715" s="58"/>
      <c r="N715" s="58"/>
      <c r="O715" s="58"/>
      <c r="P715" s="11"/>
      <c r="Q715" s="11"/>
      <c r="R715" s="34">
        <v>717</v>
      </c>
    </row>
    <row r="716" spans="2:18" ht="20" x14ac:dyDescent="0.2">
      <c r="B716" s="96" t="s">
        <v>817</v>
      </c>
      <c r="C716" s="22" t="s">
        <v>3178</v>
      </c>
      <c r="D716" s="22"/>
      <c r="E716" s="22"/>
      <c r="F716" s="22"/>
      <c r="G716" s="96" t="s">
        <v>2379</v>
      </c>
      <c r="H716" s="162" t="s">
        <v>1161</v>
      </c>
      <c r="I716" s="209">
        <v>144</v>
      </c>
      <c r="J716" s="209">
        <v>25</v>
      </c>
      <c r="K716" s="209">
        <v>66.7</v>
      </c>
      <c r="L716" s="94">
        <f t="shared" ref="L716:L721" si="18">K716*1.2</f>
        <v>80.040000000000006</v>
      </c>
      <c r="M716" s="94">
        <v>0.9</v>
      </c>
      <c r="N716" s="94">
        <f t="shared" ref="N716:O721" si="19">K716*$M716</f>
        <v>60.03</v>
      </c>
      <c r="O716" s="94">
        <f t="shared" si="19"/>
        <v>72.036000000000001</v>
      </c>
      <c r="P716" s="11" t="s">
        <v>3283</v>
      </c>
      <c r="Q716" s="11"/>
      <c r="R716" s="34">
        <v>718</v>
      </c>
    </row>
    <row r="717" spans="2:18" ht="20" x14ac:dyDescent="0.2">
      <c r="B717" s="96" t="s">
        <v>817</v>
      </c>
      <c r="C717" s="22" t="s">
        <v>3178</v>
      </c>
      <c r="D717" s="22"/>
      <c r="E717" s="22"/>
      <c r="F717" s="22"/>
      <c r="G717" s="96" t="s">
        <v>2379</v>
      </c>
      <c r="H717" s="162" t="s">
        <v>1162</v>
      </c>
      <c r="I717" s="209">
        <v>144</v>
      </c>
      <c r="J717" s="209">
        <v>25</v>
      </c>
      <c r="K717" s="209">
        <v>66.7</v>
      </c>
      <c r="L717" s="94">
        <f t="shared" si="18"/>
        <v>80.040000000000006</v>
      </c>
      <c r="M717" s="94">
        <v>0.9</v>
      </c>
      <c r="N717" s="94">
        <f t="shared" si="19"/>
        <v>60.03</v>
      </c>
      <c r="O717" s="94">
        <f t="shared" si="19"/>
        <v>72.036000000000001</v>
      </c>
      <c r="P717" s="11" t="s">
        <v>3283</v>
      </c>
      <c r="Q717" s="11"/>
      <c r="R717" s="34">
        <v>719</v>
      </c>
    </row>
    <row r="718" spans="2:18" ht="20" x14ac:dyDescent="0.2">
      <c r="B718" s="96" t="s">
        <v>817</v>
      </c>
      <c r="C718" s="22" t="s">
        <v>3178</v>
      </c>
      <c r="D718" s="22"/>
      <c r="E718" s="22"/>
      <c r="F718" s="22"/>
      <c r="G718" s="96" t="s">
        <v>2379</v>
      </c>
      <c r="H718" s="162" t="s">
        <v>1163</v>
      </c>
      <c r="I718" s="209">
        <v>240</v>
      </c>
      <c r="J718" s="209">
        <v>144</v>
      </c>
      <c r="K718" s="209">
        <v>300</v>
      </c>
      <c r="L718" s="94">
        <f t="shared" si="18"/>
        <v>360</v>
      </c>
      <c r="M718" s="94">
        <v>0.9</v>
      </c>
      <c r="N718" s="94">
        <f t="shared" si="19"/>
        <v>270</v>
      </c>
      <c r="O718" s="94">
        <f t="shared" si="19"/>
        <v>324</v>
      </c>
      <c r="P718" s="11" t="s">
        <v>3283</v>
      </c>
      <c r="Q718" s="11"/>
      <c r="R718" s="34">
        <v>720</v>
      </c>
    </row>
    <row r="719" spans="2:18" ht="20" x14ac:dyDescent="0.2">
      <c r="B719" s="96" t="s">
        <v>817</v>
      </c>
      <c r="C719" s="22" t="s">
        <v>3178</v>
      </c>
      <c r="D719" s="22"/>
      <c r="E719" s="22"/>
      <c r="F719" s="22"/>
      <c r="G719" s="96" t="s">
        <v>2379</v>
      </c>
      <c r="H719" s="162" t="s">
        <v>1164</v>
      </c>
      <c r="I719" s="209">
        <v>240</v>
      </c>
      <c r="J719" s="209">
        <v>144</v>
      </c>
      <c r="K719" s="209">
        <v>300</v>
      </c>
      <c r="L719" s="94">
        <f t="shared" si="18"/>
        <v>360</v>
      </c>
      <c r="M719" s="94">
        <v>0.9</v>
      </c>
      <c r="N719" s="94">
        <f t="shared" si="19"/>
        <v>270</v>
      </c>
      <c r="O719" s="94">
        <f t="shared" si="19"/>
        <v>324</v>
      </c>
      <c r="P719" s="11" t="s">
        <v>3283</v>
      </c>
      <c r="Q719" s="11"/>
      <c r="R719" s="34">
        <v>721</v>
      </c>
    </row>
    <row r="720" spans="2:18" ht="20" x14ac:dyDescent="0.2">
      <c r="B720" s="96" t="s">
        <v>593</v>
      </c>
      <c r="C720" s="22" t="s">
        <v>3179</v>
      </c>
      <c r="D720" s="22"/>
      <c r="E720" s="22"/>
      <c r="F720" s="22"/>
      <c r="G720" s="96" t="s">
        <v>2379</v>
      </c>
      <c r="H720" s="162" t="s">
        <v>1150</v>
      </c>
      <c r="I720" s="209">
        <v>240</v>
      </c>
      <c r="J720" s="209">
        <v>25</v>
      </c>
      <c r="K720" s="209">
        <v>400</v>
      </c>
      <c r="L720" s="94">
        <f t="shared" si="18"/>
        <v>480</v>
      </c>
      <c r="M720" s="94">
        <v>0.9</v>
      </c>
      <c r="N720" s="94">
        <f t="shared" si="19"/>
        <v>360</v>
      </c>
      <c r="O720" s="94">
        <f t="shared" si="19"/>
        <v>432</v>
      </c>
      <c r="P720" s="11" t="s">
        <v>3276</v>
      </c>
      <c r="Q720" s="11"/>
      <c r="R720" s="34">
        <v>722</v>
      </c>
    </row>
    <row r="721" spans="2:18" ht="20" x14ac:dyDescent="0.2">
      <c r="B721" s="96" t="s">
        <v>593</v>
      </c>
      <c r="C721" s="22" t="s">
        <v>3179</v>
      </c>
      <c r="D721" s="22"/>
      <c r="E721" s="22"/>
      <c r="F721" s="22"/>
      <c r="G721" s="96" t="s">
        <v>2379</v>
      </c>
      <c r="H721" s="162" t="s">
        <v>1154</v>
      </c>
      <c r="I721" s="209">
        <v>240</v>
      </c>
      <c r="J721" s="209">
        <v>25</v>
      </c>
      <c r="K721" s="209">
        <v>400</v>
      </c>
      <c r="L721" s="94">
        <f t="shared" si="18"/>
        <v>480</v>
      </c>
      <c r="M721" s="94">
        <v>0.9</v>
      </c>
      <c r="N721" s="94">
        <f t="shared" si="19"/>
        <v>360</v>
      </c>
      <c r="O721" s="94">
        <f t="shared" si="19"/>
        <v>432</v>
      </c>
      <c r="P721" s="11" t="s">
        <v>3276</v>
      </c>
      <c r="Q721" s="11"/>
      <c r="R721" s="34">
        <v>723</v>
      </c>
    </row>
    <row r="722" spans="2:18" ht="20" x14ac:dyDescent="0.2">
      <c r="B722" s="96" t="s">
        <v>1691</v>
      </c>
      <c r="C722" s="22" t="s">
        <v>3180</v>
      </c>
      <c r="D722" s="22"/>
      <c r="E722" s="22"/>
      <c r="F722" s="22"/>
      <c r="G722" s="96" t="s">
        <v>2379</v>
      </c>
      <c r="H722" s="22"/>
      <c r="I722" s="201">
        <v>138</v>
      </c>
      <c r="J722" s="211"/>
      <c r="K722" s="211"/>
      <c r="L722" s="58"/>
      <c r="M722" s="58"/>
      <c r="N722" s="58"/>
      <c r="O722" s="58"/>
      <c r="P722" s="11"/>
      <c r="Q722" s="11"/>
      <c r="R722" s="34">
        <v>724</v>
      </c>
    </row>
    <row r="723" spans="2:18" ht="20" x14ac:dyDescent="0.2">
      <c r="B723" s="96" t="s">
        <v>1718</v>
      </c>
      <c r="C723" s="22" t="s">
        <v>3181</v>
      </c>
      <c r="D723" s="22"/>
      <c r="E723" s="22"/>
      <c r="F723" s="22"/>
      <c r="G723" s="96" t="s">
        <v>2379</v>
      </c>
      <c r="H723" s="22"/>
      <c r="I723" s="201">
        <v>138</v>
      </c>
      <c r="J723" s="211"/>
      <c r="K723" s="211"/>
      <c r="L723" s="58"/>
      <c r="M723" s="58"/>
      <c r="N723" s="58"/>
      <c r="O723" s="58"/>
      <c r="P723" s="11"/>
      <c r="Q723" s="11"/>
      <c r="R723" s="34">
        <v>725</v>
      </c>
    </row>
    <row r="724" spans="2:18" ht="20" x14ac:dyDescent="0.2">
      <c r="B724" s="96" t="s">
        <v>1565</v>
      </c>
      <c r="C724" s="22" t="s">
        <v>3182</v>
      </c>
      <c r="D724" s="22"/>
      <c r="E724" s="22"/>
      <c r="F724" s="22"/>
      <c r="G724" s="96" t="s">
        <v>2379</v>
      </c>
      <c r="H724" s="22"/>
      <c r="I724" s="201">
        <v>144</v>
      </c>
      <c r="J724" s="211"/>
      <c r="K724" s="211"/>
      <c r="L724" s="58"/>
      <c r="M724" s="58"/>
      <c r="N724" s="58"/>
      <c r="O724" s="58"/>
      <c r="P724" s="11"/>
      <c r="Q724" s="11"/>
      <c r="R724" s="34">
        <v>726</v>
      </c>
    </row>
    <row r="725" spans="2:18" ht="20" x14ac:dyDescent="0.2">
      <c r="B725" s="96" t="s">
        <v>1573</v>
      </c>
      <c r="C725" s="22" t="s">
        <v>2726</v>
      </c>
      <c r="D725" s="22"/>
      <c r="E725" s="22">
        <v>53.1032488260226</v>
      </c>
      <c r="F725" s="22">
        <v>-115.30206852225599</v>
      </c>
      <c r="G725" s="96" t="s">
        <v>2379</v>
      </c>
      <c r="H725" s="22"/>
      <c r="I725" s="201">
        <v>144</v>
      </c>
      <c r="J725" s="211"/>
      <c r="K725" s="211"/>
      <c r="L725" s="58"/>
      <c r="M725" s="58"/>
      <c r="N725" s="58"/>
      <c r="O725" s="58"/>
      <c r="P725" s="11"/>
      <c r="Q725" s="11"/>
      <c r="R725" s="34">
        <v>727</v>
      </c>
    </row>
    <row r="726" spans="2:18" ht="20" x14ac:dyDescent="0.2">
      <c r="B726" s="96" t="s">
        <v>1978</v>
      </c>
      <c r="C726" s="22" t="s">
        <v>3183</v>
      </c>
      <c r="D726" s="22"/>
      <c r="E726" s="22"/>
      <c r="F726" s="22"/>
      <c r="G726" s="96" t="s">
        <v>2379</v>
      </c>
      <c r="H726" s="162" t="s">
        <v>1150</v>
      </c>
      <c r="I726" s="209">
        <v>138</v>
      </c>
      <c r="J726" s="209">
        <v>25</v>
      </c>
      <c r="K726" s="209">
        <v>25</v>
      </c>
      <c r="L726" s="94">
        <f>K726*1.2</f>
        <v>30</v>
      </c>
      <c r="M726" s="94">
        <v>0.9</v>
      </c>
      <c r="N726" s="94">
        <f>K726*$M726</f>
        <v>22.5</v>
      </c>
      <c r="O726" s="94">
        <f>L726*$M726</f>
        <v>27</v>
      </c>
      <c r="P726" s="11" t="s">
        <v>3293</v>
      </c>
      <c r="Q726" s="11"/>
      <c r="R726" s="34">
        <v>728</v>
      </c>
    </row>
    <row r="727" spans="2:18" ht="20" x14ac:dyDescent="0.2">
      <c r="B727" s="96" t="s">
        <v>760</v>
      </c>
      <c r="C727" s="22" t="s">
        <v>2727</v>
      </c>
      <c r="D727" s="22"/>
      <c r="E727" s="22"/>
      <c r="F727" s="22"/>
      <c r="G727" s="96" t="s">
        <v>2379</v>
      </c>
      <c r="H727" s="22"/>
      <c r="I727" s="201">
        <v>138</v>
      </c>
      <c r="J727" s="211"/>
      <c r="K727" s="211"/>
      <c r="L727" s="58"/>
      <c r="M727" s="58"/>
      <c r="N727" s="58"/>
      <c r="O727" s="58"/>
      <c r="P727" s="11"/>
      <c r="Q727" s="11"/>
      <c r="R727" s="34">
        <v>729</v>
      </c>
    </row>
    <row r="728" spans="2:18" ht="20" x14ac:dyDescent="0.2">
      <c r="B728" s="96" t="s">
        <v>805</v>
      </c>
      <c r="C728" s="22" t="s">
        <v>3184</v>
      </c>
      <c r="D728" s="22"/>
      <c r="E728" s="22"/>
      <c r="F728" s="22"/>
      <c r="G728" s="96" t="s">
        <v>2379</v>
      </c>
      <c r="H728" s="22"/>
      <c r="I728" s="201">
        <v>144</v>
      </c>
      <c r="J728" s="211"/>
      <c r="K728" s="211"/>
      <c r="L728" s="58"/>
      <c r="M728" s="58"/>
      <c r="N728" s="58"/>
      <c r="O728" s="58"/>
      <c r="P728" s="11"/>
      <c r="Q728" s="11"/>
      <c r="R728" s="34">
        <v>730</v>
      </c>
    </row>
    <row r="729" spans="2:18" ht="20" x14ac:dyDescent="0.2">
      <c r="B729" s="96" t="s">
        <v>737</v>
      </c>
      <c r="C729" s="22" t="s">
        <v>3185</v>
      </c>
      <c r="D729" s="22"/>
      <c r="E729" s="22"/>
      <c r="F729" s="22"/>
      <c r="G729" s="96" t="s">
        <v>2379</v>
      </c>
      <c r="H729" s="22"/>
      <c r="I729" s="201">
        <v>138</v>
      </c>
      <c r="J729" s="211"/>
      <c r="K729" s="211"/>
      <c r="L729" s="58"/>
      <c r="M729" s="58"/>
      <c r="N729" s="58"/>
      <c r="O729" s="58"/>
      <c r="P729" s="11"/>
      <c r="Q729" s="11"/>
      <c r="R729" s="34">
        <v>731</v>
      </c>
    </row>
    <row r="730" spans="2:18" ht="20" x14ac:dyDescent="0.2">
      <c r="B730" s="96" t="s">
        <v>1383</v>
      </c>
      <c r="C730" s="22" t="s">
        <v>3186</v>
      </c>
      <c r="D730" s="22"/>
      <c r="E730" s="22"/>
      <c r="F730" s="22"/>
      <c r="G730" s="96" t="s">
        <v>2379</v>
      </c>
      <c r="H730" s="22"/>
      <c r="I730" s="201">
        <v>138</v>
      </c>
      <c r="J730" s="211"/>
      <c r="K730" s="211"/>
      <c r="L730" s="58"/>
      <c r="M730" s="58"/>
      <c r="N730" s="58"/>
      <c r="O730" s="58"/>
      <c r="P730" s="11"/>
      <c r="Q730" s="11"/>
      <c r="R730" s="34">
        <v>732</v>
      </c>
    </row>
    <row r="731" spans="2:18" ht="20" x14ac:dyDescent="0.2">
      <c r="B731" s="96" t="s">
        <v>1551</v>
      </c>
      <c r="C731" s="22" t="s">
        <v>2728</v>
      </c>
      <c r="D731" s="22"/>
      <c r="E731" s="22">
        <v>51.231405169326301</v>
      </c>
      <c r="F731" s="22">
        <v>-112.407854517525</v>
      </c>
      <c r="G731" s="96" t="s">
        <v>2379</v>
      </c>
      <c r="H731" s="22"/>
      <c r="I731" s="201">
        <v>138</v>
      </c>
      <c r="J731" s="211"/>
      <c r="K731" s="211"/>
      <c r="L731" s="58"/>
      <c r="M731" s="58"/>
      <c r="N731" s="58"/>
      <c r="O731" s="58"/>
      <c r="P731" s="11"/>
      <c r="Q731" s="11"/>
      <c r="R731" s="34">
        <v>733</v>
      </c>
    </row>
    <row r="732" spans="2:18" ht="20" x14ac:dyDescent="0.2">
      <c r="B732" s="96" t="s">
        <v>1437</v>
      </c>
      <c r="C732" s="22" t="s">
        <v>3187</v>
      </c>
      <c r="D732" s="22"/>
      <c r="E732" s="22"/>
      <c r="F732" s="22"/>
      <c r="G732" s="96" t="s">
        <v>2379</v>
      </c>
      <c r="H732" s="22"/>
      <c r="I732" s="201">
        <v>138</v>
      </c>
      <c r="J732" s="211"/>
      <c r="K732" s="211"/>
      <c r="L732" s="58"/>
      <c r="M732" s="58"/>
      <c r="N732" s="58"/>
      <c r="O732" s="58"/>
      <c r="P732" s="11"/>
      <c r="Q732" s="11"/>
      <c r="R732" s="34">
        <v>734</v>
      </c>
    </row>
    <row r="733" spans="2:18" ht="20" x14ac:dyDescent="0.2">
      <c r="B733" s="96" t="s">
        <v>718</v>
      </c>
      <c r="C733" s="22" t="s">
        <v>2609</v>
      </c>
      <c r="D733" s="22"/>
      <c r="E733" s="22"/>
      <c r="F733" s="22"/>
      <c r="G733" s="96" t="s">
        <v>2379</v>
      </c>
      <c r="H733" s="22"/>
      <c r="I733" s="201">
        <v>72</v>
      </c>
      <c r="J733" s="211"/>
      <c r="K733" s="211"/>
      <c r="L733" s="58"/>
      <c r="M733" s="58"/>
      <c r="N733" s="58"/>
      <c r="O733" s="58"/>
      <c r="P733" s="11"/>
      <c r="Q733" s="11"/>
      <c r="R733" s="34">
        <v>735</v>
      </c>
    </row>
    <row r="734" spans="2:18" ht="20" x14ac:dyDescent="0.2">
      <c r="B734" s="96" t="s">
        <v>1207</v>
      </c>
      <c r="C734" s="22" t="s">
        <v>3270</v>
      </c>
      <c r="D734" s="22"/>
      <c r="E734" s="22"/>
      <c r="F734" s="22"/>
      <c r="G734" s="96" t="s">
        <v>2379</v>
      </c>
      <c r="H734" s="22"/>
      <c r="I734" s="201">
        <v>144</v>
      </c>
      <c r="J734" s="211"/>
      <c r="K734" s="211"/>
      <c r="L734" s="58"/>
      <c r="M734" s="58"/>
      <c r="N734" s="58"/>
      <c r="O734" s="58"/>
      <c r="P734" s="11"/>
      <c r="Q734" s="11"/>
      <c r="R734" s="34">
        <v>736</v>
      </c>
    </row>
    <row r="735" spans="2:18" ht="20" x14ac:dyDescent="0.2">
      <c r="B735" s="96" t="s">
        <v>719</v>
      </c>
      <c r="C735" s="22" t="s">
        <v>3243</v>
      </c>
      <c r="D735" s="22"/>
      <c r="E735" s="22"/>
      <c r="F735" s="22"/>
      <c r="G735" s="96" t="s">
        <v>2379</v>
      </c>
      <c r="H735" s="22"/>
      <c r="I735" s="201">
        <v>72</v>
      </c>
      <c r="J735" s="211"/>
      <c r="K735" s="211"/>
      <c r="L735" s="58"/>
      <c r="M735" s="58"/>
      <c r="N735" s="58"/>
      <c r="O735" s="58"/>
      <c r="P735" s="11"/>
      <c r="Q735" s="11"/>
      <c r="R735" s="34">
        <v>737</v>
      </c>
    </row>
    <row r="736" spans="2:18" ht="20" x14ac:dyDescent="0.2">
      <c r="B736" s="96" t="s">
        <v>1079</v>
      </c>
      <c r="C736" s="22" t="s">
        <v>3188</v>
      </c>
      <c r="D736" s="22"/>
      <c r="E736" s="22"/>
      <c r="F736" s="22"/>
      <c r="G736" s="96" t="s">
        <v>2379</v>
      </c>
      <c r="H736" s="22"/>
      <c r="I736" s="201">
        <v>240</v>
      </c>
      <c r="J736" s="211"/>
      <c r="K736" s="211"/>
      <c r="L736" s="58"/>
      <c r="M736" s="58"/>
      <c r="N736" s="58"/>
      <c r="O736" s="58"/>
      <c r="P736" s="11"/>
      <c r="Q736" s="11"/>
      <c r="R736" s="34">
        <v>738</v>
      </c>
    </row>
    <row r="737" spans="2:18" ht="20" x14ac:dyDescent="0.2">
      <c r="B737" s="96" t="s">
        <v>655</v>
      </c>
      <c r="C737" s="22" t="s">
        <v>2622</v>
      </c>
      <c r="D737" s="22"/>
      <c r="E737" s="22"/>
      <c r="F737" s="22"/>
      <c r="G737" s="96" t="s">
        <v>2379</v>
      </c>
      <c r="H737" s="22"/>
      <c r="I737" s="201">
        <v>240</v>
      </c>
      <c r="J737" s="211"/>
      <c r="K737" s="211"/>
      <c r="L737" s="58"/>
      <c r="M737" s="58"/>
      <c r="N737" s="58"/>
      <c r="O737" s="58"/>
      <c r="P737" s="11"/>
      <c r="Q737" s="11"/>
      <c r="R737" s="34">
        <v>739</v>
      </c>
    </row>
    <row r="738" spans="2:18" ht="20" x14ac:dyDescent="0.2">
      <c r="B738" s="96" t="s">
        <v>1055</v>
      </c>
      <c r="C738" s="22" t="s">
        <v>3189</v>
      </c>
      <c r="D738" s="22"/>
      <c r="E738" s="22"/>
      <c r="F738" s="22"/>
      <c r="G738" s="96" t="s">
        <v>2379</v>
      </c>
      <c r="H738" s="22"/>
      <c r="I738" s="201">
        <v>240</v>
      </c>
      <c r="J738" s="211"/>
      <c r="K738" s="211"/>
      <c r="L738" s="58"/>
      <c r="M738" s="58"/>
      <c r="N738" s="58"/>
      <c r="O738" s="58"/>
      <c r="P738" s="11"/>
      <c r="Q738" s="11"/>
      <c r="R738" s="34">
        <v>740</v>
      </c>
    </row>
    <row r="739" spans="2:18" ht="20" x14ac:dyDescent="0.2">
      <c r="B739" s="96" t="s">
        <v>845</v>
      </c>
      <c r="C739" s="22" t="s">
        <v>3190</v>
      </c>
      <c r="D739" s="22"/>
      <c r="E739" s="22"/>
      <c r="F739" s="22"/>
      <c r="G739" s="96" t="s">
        <v>2379</v>
      </c>
      <c r="H739" s="22"/>
      <c r="I739" s="201">
        <v>144</v>
      </c>
      <c r="J739" s="211"/>
      <c r="K739" s="211"/>
      <c r="L739" s="58"/>
      <c r="M739" s="58"/>
      <c r="N739" s="58"/>
      <c r="O739" s="58"/>
      <c r="P739" s="11"/>
      <c r="Q739" s="11"/>
      <c r="R739" s="34">
        <v>741</v>
      </c>
    </row>
    <row r="740" spans="2:18" ht="20" x14ac:dyDescent="0.2">
      <c r="B740" s="96" t="s">
        <v>569</v>
      </c>
      <c r="C740" s="22" t="s">
        <v>2651</v>
      </c>
      <c r="D740" s="22"/>
      <c r="E740" s="22"/>
      <c r="F740" s="22"/>
      <c r="G740" s="96" t="s">
        <v>2379</v>
      </c>
      <c r="H740" s="162" t="s">
        <v>1150</v>
      </c>
      <c r="I740" s="209">
        <v>240</v>
      </c>
      <c r="J740" s="209">
        <v>138</v>
      </c>
      <c r="K740" s="209">
        <v>400</v>
      </c>
      <c r="L740" s="94">
        <f>K740*1.2</f>
        <v>480</v>
      </c>
      <c r="M740" s="94">
        <v>0.9</v>
      </c>
      <c r="N740" s="94">
        <f>K740*$M740</f>
        <v>360</v>
      </c>
      <c r="O740" s="94">
        <f>L740*$M740</f>
        <v>432</v>
      </c>
      <c r="P740" s="11" t="s">
        <v>3302</v>
      </c>
      <c r="Q740" s="11"/>
      <c r="R740" s="34">
        <v>742</v>
      </c>
    </row>
    <row r="741" spans="2:18" ht="20" x14ac:dyDescent="0.2">
      <c r="B741" s="96" t="s">
        <v>569</v>
      </c>
      <c r="C741" s="22" t="s">
        <v>2651</v>
      </c>
      <c r="D741" s="22"/>
      <c r="E741" s="22"/>
      <c r="F741" s="22"/>
      <c r="G741" s="96" t="s">
        <v>2379</v>
      </c>
      <c r="H741" s="162" t="s">
        <v>1154</v>
      </c>
      <c r="I741" s="209">
        <v>240</v>
      </c>
      <c r="J741" s="209">
        <v>138</v>
      </c>
      <c r="K741" s="209">
        <v>400</v>
      </c>
      <c r="L741" s="94">
        <f>K741*1.2</f>
        <v>480</v>
      </c>
      <c r="M741" s="94">
        <v>0.9</v>
      </c>
      <c r="N741" s="94">
        <f>K741*$M741</f>
        <v>360</v>
      </c>
      <c r="O741" s="94">
        <f>L741*$M741</f>
        <v>432</v>
      </c>
      <c r="P741" s="11" t="s">
        <v>3303</v>
      </c>
      <c r="Q741" s="11"/>
      <c r="R741" s="34">
        <v>743</v>
      </c>
    </row>
    <row r="742" spans="2:18" ht="20" x14ac:dyDescent="0.2">
      <c r="B742" s="96" t="s">
        <v>1890</v>
      </c>
      <c r="C742" s="22" t="s">
        <v>2634</v>
      </c>
      <c r="D742" s="22"/>
      <c r="E742" s="22"/>
      <c r="F742" s="22"/>
      <c r="G742" s="96" t="s">
        <v>2379</v>
      </c>
      <c r="H742" s="22"/>
      <c r="I742" s="201">
        <v>144</v>
      </c>
      <c r="J742" s="211"/>
      <c r="K742" s="211"/>
      <c r="L742" s="58"/>
      <c r="M742" s="58"/>
      <c r="N742" s="58"/>
      <c r="O742" s="58"/>
      <c r="P742" s="11"/>
      <c r="Q742" s="11"/>
      <c r="R742" s="34">
        <v>744</v>
      </c>
    </row>
    <row r="743" spans="2:18" ht="20" x14ac:dyDescent="0.2">
      <c r="B743" s="96" t="s">
        <v>712</v>
      </c>
      <c r="C743" s="22" t="s">
        <v>3191</v>
      </c>
      <c r="D743" s="22"/>
      <c r="E743" s="22"/>
      <c r="F743" s="22"/>
      <c r="G743" s="96" t="s">
        <v>2379</v>
      </c>
      <c r="H743" s="22"/>
      <c r="I743" s="201">
        <v>138</v>
      </c>
      <c r="J743" s="211"/>
      <c r="K743" s="211"/>
      <c r="L743" s="58"/>
      <c r="M743" s="58"/>
      <c r="N743" s="58"/>
      <c r="O743" s="58"/>
      <c r="P743" s="11"/>
      <c r="Q743" s="11"/>
      <c r="R743" s="34">
        <v>745</v>
      </c>
    </row>
    <row r="744" spans="2:18" ht="20" x14ac:dyDescent="0.2">
      <c r="B744" s="96" t="s">
        <v>1549</v>
      </c>
      <c r="C744" s="22" t="s">
        <v>3192</v>
      </c>
      <c r="D744" s="22"/>
      <c r="E744" s="22"/>
      <c r="F744" s="22"/>
      <c r="G744" s="96" t="s">
        <v>2379</v>
      </c>
      <c r="H744" s="22"/>
      <c r="I744" s="201">
        <v>138</v>
      </c>
      <c r="J744" s="211"/>
      <c r="K744" s="211"/>
      <c r="L744" s="58"/>
      <c r="M744" s="58"/>
      <c r="N744" s="58"/>
      <c r="O744" s="58"/>
      <c r="P744" s="11"/>
      <c r="Q744" s="11"/>
      <c r="R744" s="34">
        <v>746</v>
      </c>
    </row>
    <row r="745" spans="2:18" ht="20" x14ac:dyDescent="0.2">
      <c r="B745" s="96" t="s">
        <v>626</v>
      </c>
      <c r="C745" s="22" t="s">
        <v>3193</v>
      </c>
      <c r="D745" s="22"/>
      <c r="E745" s="22"/>
      <c r="F745" s="22"/>
      <c r="G745" s="96" t="s">
        <v>2379</v>
      </c>
      <c r="H745" s="22"/>
      <c r="I745" s="201">
        <v>240</v>
      </c>
      <c r="J745" s="211"/>
      <c r="K745" s="211"/>
      <c r="L745" s="58"/>
      <c r="M745" s="58"/>
      <c r="N745" s="58"/>
      <c r="O745" s="58"/>
      <c r="P745" s="11"/>
      <c r="Q745" s="11"/>
      <c r="R745" s="34">
        <v>747</v>
      </c>
    </row>
    <row r="746" spans="2:18" ht="20" x14ac:dyDescent="0.2">
      <c r="B746" s="96" t="s">
        <v>1398</v>
      </c>
      <c r="C746" s="22" t="s">
        <v>3194</v>
      </c>
      <c r="D746" s="22"/>
      <c r="E746" s="22"/>
      <c r="F746" s="22"/>
      <c r="G746" s="96" t="s">
        <v>2379</v>
      </c>
      <c r="H746" s="22"/>
      <c r="I746" s="201">
        <v>144</v>
      </c>
      <c r="J746" s="211"/>
      <c r="K746" s="211"/>
      <c r="L746" s="58"/>
      <c r="M746" s="58"/>
      <c r="N746" s="58"/>
      <c r="O746" s="58"/>
      <c r="P746" s="11"/>
      <c r="Q746" s="11"/>
      <c r="R746" s="34">
        <v>748</v>
      </c>
    </row>
    <row r="747" spans="2:18" ht="20" x14ac:dyDescent="0.2">
      <c r="B747" s="96" t="s">
        <v>1340</v>
      </c>
      <c r="C747" s="22" t="s">
        <v>3195</v>
      </c>
      <c r="D747" s="22"/>
      <c r="E747" s="22"/>
      <c r="F747" s="22"/>
      <c r="G747" s="96" t="s">
        <v>2379</v>
      </c>
      <c r="H747" s="22"/>
      <c r="I747" s="201">
        <v>69</v>
      </c>
      <c r="J747" s="211"/>
      <c r="K747" s="211"/>
      <c r="L747" s="58"/>
      <c r="M747" s="58"/>
      <c r="N747" s="58"/>
      <c r="O747" s="58"/>
      <c r="P747" s="11"/>
      <c r="Q747" s="11"/>
      <c r="R747" s="34">
        <v>749</v>
      </c>
    </row>
    <row r="748" spans="2:18" ht="20" x14ac:dyDescent="0.2">
      <c r="B748" s="96" t="s">
        <v>1319</v>
      </c>
      <c r="C748" s="22" t="s">
        <v>3196</v>
      </c>
      <c r="D748" s="22"/>
      <c r="E748" s="22"/>
      <c r="F748" s="22"/>
      <c r="G748" s="96" t="s">
        <v>2379</v>
      </c>
      <c r="H748" s="22"/>
      <c r="I748" s="201">
        <v>138</v>
      </c>
      <c r="J748" s="211"/>
      <c r="K748" s="211"/>
      <c r="L748" s="58"/>
      <c r="M748" s="58"/>
      <c r="N748" s="58"/>
      <c r="O748" s="58"/>
      <c r="P748" s="11"/>
      <c r="Q748" s="11"/>
      <c r="R748" s="34">
        <v>750</v>
      </c>
    </row>
    <row r="749" spans="2:18" ht="20" x14ac:dyDescent="0.2">
      <c r="B749" s="96" t="s">
        <v>1070</v>
      </c>
      <c r="C749" s="22" t="s">
        <v>3197</v>
      </c>
      <c r="D749" s="22"/>
      <c r="E749" s="22"/>
      <c r="F749" s="22"/>
      <c r="G749" s="96" t="s">
        <v>2379</v>
      </c>
      <c r="H749" s="22"/>
      <c r="I749" s="213">
        <v>240</v>
      </c>
      <c r="J749" s="211"/>
      <c r="K749" s="211"/>
      <c r="L749" s="58"/>
      <c r="M749" s="58"/>
      <c r="N749" s="58"/>
      <c r="O749" s="58"/>
      <c r="P749" s="11"/>
      <c r="Q749" s="11"/>
      <c r="R749" s="34">
        <v>751</v>
      </c>
    </row>
    <row r="750" spans="2:18" ht="20" x14ac:dyDescent="0.2">
      <c r="B750" s="96" t="s">
        <v>1517</v>
      </c>
      <c r="C750" s="22" t="s">
        <v>3198</v>
      </c>
      <c r="D750" s="22"/>
      <c r="E750" s="22"/>
      <c r="F750" s="22"/>
      <c r="G750" s="96" t="s">
        <v>2379</v>
      </c>
      <c r="H750" s="22"/>
      <c r="I750" s="201">
        <v>69</v>
      </c>
      <c r="J750" s="211"/>
      <c r="K750" s="211"/>
      <c r="L750" s="58"/>
      <c r="M750" s="58"/>
      <c r="N750" s="58"/>
      <c r="O750" s="58"/>
      <c r="P750" s="11"/>
      <c r="Q750" s="11"/>
      <c r="R750" s="34">
        <v>752</v>
      </c>
    </row>
    <row r="751" spans="2:18" ht="20" x14ac:dyDescent="0.2">
      <c r="B751" s="96" t="s">
        <v>938</v>
      </c>
      <c r="C751" s="22" t="s">
        <v>3199</v>
      </c>
      <c r="D751" s="22"/>
      <c r="E751" s="22"/>
      <c r="F751" s="22"/>
      <c r="G751" s="96" t="s">
        <v>2379</v>
      </c>
      <c r="H751" s="22"/>
      <c r="I751" s="201">
        <v>144</v>
      </c>
      <c r="J751" s="211"/>
      <c r="K751" s="211"/>
      <c r="L751" s="58"/>
      <c r="M751" s="58"/>
      <c r="N751" s="58"/>
      <c r="O751" s="58"/>
      <c r="P751" s="11"/>
      <c r="Q751" s="11"/>
      <c r="R751" s="34">
        <v>753</v>
      </c>
    </row>
    <row r="754" spans="1:22" ht="19" x14ac:dyDescent="0.2">
      <c r="A754" s="274" t="s">
        <v>1491</v>
      </c>
      <c r="B754" s="197"/>
      <c r="C754" s="197"/>
    </row>
    <row r="755" spans="1:22" ht="19" x14ac:dyDescent="0.25">
      <c r="A755" s="2" t="s">
        <v>3344</v>
      </c>
      <c r="B755" s="197"/>
      <c r="C755" s="197"/>
    </row>
    <row r="756" spans="1:22" ht="19" x14ac:dyDescent="0.25">
      <c r="A756" s="2" t="s">
        <v>2589</v>
      </c>
      <c r="B756" s="197"/>
      <c r="C756" s="197"/>
    </row>
    <row r="757" spans="1:22" ht="19" x14ac:dyDescent="0.25">
      <c r="A757" s="2" t="s">
        <v>2590</v>
      </c>
      <c r="B757" s="197"/>
      <c r="C757" s="197"/>
      <c r="J757" s="103"/>
      <c r="O757" s="104"/>
      <c r="P757" s="103"/>
      <c r="Q757" s="103"/>
      <c r="R757" s="104"/>
      <c r="S757" s="103"/>
      <c r="T757" s="104"/>
      <c r="U757" s="104"/>
      <c r="V757" s="2"/>
    </row>
    <row r="758" spans="1:22" ht="19" x14ac:dyDescent="0.25">
      <c r="A758" s="2" t="s">
        <v>2591</v>
      </c>
      <c r="B758" s="197"/>
      <c r="C758" s="197"/>
      <c r="J758" s="103"/>
      <c r="O758" s="104"/>
      <c r="P758" s="103"/>
      <c r="Q758" s="103"/>
      <c r="R758" s="104"/>
      <c r="S758" s="103"/>
      <c r="T758" s="104"/>
      <c r="U758" s="104"/>
      <c r="V758" s="2"/>
    </row>
    <row r="759" spans="1:22" ht="19" x14ac:dyDescent="0.25">
      <c r="A759" s="2" t="s">
        <v>2592</v>
      </c>
      <c r="B759" s="197"/>
      <c r="C759" s="197"/>
    </row>
    <row r="760" spans="1:22" ht="19" x14ac:dyDescent="0.25">
      <c r="A760" s="2" t="s">
        <v>3345</v>
      </c>
      <c r="B760" s="197"/>
      <c r="C760" s="197"/>
    </row>
    <row r="761" spans="1:22" ht="19" x14ac:dyDescent="0.25">
      <c r="A761" s="2" t="s">
        <v>3346</v>
      </c>
      <c r="B761" s="197"/>
      <c r="C761" s="197"/>
    </row>
    <row r="762" spans="1:22" ht="19" x14ac:dyDescent="0.25">
      <c r="A762" s="2" t="s">
        <v>2593</v>
      </c>
      <c r="B762" s="197"/>
      <c r="C762" s="197"/>
    </row>
    <row r="763" spans="1:22" ht="19" x14ac:dyDescent="0.25">
      <c r="A763" s="2" t="s">
        <v>1492</v>
      </c>
      <c r="B763" s="197"/>
      <c r="C763" s="197"/>
    </row>
    <row r="764" spans="1:22" ht="19" x14ac:dyDescent="0.25">
      <c r="A764" s="2" t="s">
        <v>1493</v>
      </c>
      <c r="B764" s="197"/>
      <c r="C764" s="197"/>
    </row>
    <row r="765" spans="1:22" ht="19" x14ac:dyDescent="0.25">
      <c r="A765" s="2" t="s">
        <v>2594</v>
      </c>
      <c r="B765" s="197"/>
      <c r="C765" s="197"/>
    </row>
    <row r="766" spans="1:22" ht="19" x14ac:dyDescent="0.25">
      <c r="A766" s="2" t="s">
        <v>1494</v>
      </c>
      <c r="B766" s="197"/>
      <c r="C766" s="197"/>
    </row>
    <row r="767" spans="1:22" ht="19" x14ac:dyDescent="0.25">
      <c r="A767" s="2" t="s">
        <v>2595</v>
      </c>
      <c r="B767" s="197"/>
      <c r="C767" s="197"/>
    </row>
  </sheetData>
  <autoFilter ref="B3:R3" xr:uid="{AB1DF702-97FD-8640-8303-D250ED8A0169}">
    <sortState xmlns:xlrd2="http://schemas.microsoft.com/office/spreadsheetml/2017/richdata2" ref="B4:R751">
      <sortCondition ref="B3:B751"/>
    </sortState>
  </autoFilter>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C23A6-FF2D-2043-B36C-4BE8CEA26BB7}">
  <sheetPr codeName="Sheet4"/>
  <dimension ref="A1:AW17"/>
  <sheetViews>
    <sheetView topLeftCell="J1" zoomScaleNormal="100" workbookViewId="0">
      <selection activeCell="D4" sqref="D4"/>
    </sheetView>
  </sheetViews>
  <sheetFormatPr baseColWidth="10" defaultColWidth="8.83203125" defaultRowHeight="19" x14ac:dyDescent="0.25"/>
  <cols>
    <col min="1" max="1" width="4.83203125" style="18" customWidth="1"/>
    <col min="2" max="2" width="24.1640625" style="18" customWidth="1"/>
    <col min="3" max="9" width="16.83203125" style="52" customWidth="1"/>
    <col min="10" max="10" width="16.83203125" style="8" customWidth="1"/>
    <col min="11" max="11" width="22.33203125" style="52" bestFit="1" customWidth="1"/>
    <col min="12" max="12" width="13.6640625" style="52" customWidth="1"/>
    <col min="13" max="13" width="12.6640625" style="52" bestFit="1" customWidth="1"/>
    <col min="14" max="14" width="13.5" style="52" customWidth="1"/>
    <col min="15" max="15" width="12.83203125" style="52" customWidth="1"/>
    <col min="16" max="18" width="12.5" style="52" bestFit="1" customWidth="1"/>
    <col min="19" max="19" width="12.83203125" style="52" customWidth="1"/>
    <col min="20" max="20" width="11.83203125" style="52" customWidth="1"/>
    <col min="21" max="21" width="10.6640625" style="52" bestFit="1" customWidth="1"/>
    <col min="22" max="22" width="17.33203125" style="18" customWidth="1"/>
    <col min="23" max="23" width="25.83203125" style="18" customWidth="1"/>
    <col min="24" max="24" width="18.83203125" style="18" customWidth="1"/>
    <col min="25" max="25" width="14.33203125" style="18" bestFit="1" customWidth="1"/>
    <col min="26" max="26" width="18.83203125" style="18" customWidth="1"/>
    <col min="27" max="27" width="4.83203125" style="18" customWidth="1"/>
    <col min="28" max="28" width="22.1640625" style="2" customWidth="1"/>
    <col min="29" max="29" width="17.1640625" style="18" bestFit="1" customWidth="1"/>
    <col min="30" max="30" width="10.5" style="18" bestFit="1" customWidth="1"/>
    <col min="31" max="31" width="10.83203125" style="18" bestFit="1" customWidth="1"/>
    <col min="32" max="32" width="6.6640625" style="18" bestFit="1" customWidth="1"/>
    <col min="33" max="33" width="13.1640625" style="18" bestFit="1" customWidth="1"/>
    <col min="34" max="34" width="13.6640625" style="18" bestFit="1" customWidth="1"/>
    <col min="35" max="35" width="13.1640625" style="18" customWidth="1"/>
    <col min="36" max="36" width="9.6640625" style="18" bestFit="1" customWidth="1"/>
    <col min="37" max="48" width="7.5" style="18" bestFit="1" customWidth="1"/>
    <col min="49" max="49" width="40.1640625" style="18" bestFit="1" customWidth="1"/>
    <col min="50" max="16384" width="8.83203125" style="18"/>
  </cols>
  <sheetData>
    <row r="1" spans="1:49" ht="21" x14ac:dyDescent="0.2">
      <c r="A1" s="47" t="s">
        <v>75</v>
      </c>
      <c r="B1" s="12" t="s">
        <v>174</v>
      </c>
      <c r="AB1" s="35" t="s">
        <v>449</v>
      </c>
    </row>
    <row r="2" spans="1:49" s="2" customFormat="1" ht="80" x14ac:dyDescent="0.25">
      <c r="B2" s="13" t="s">
        <v>19</v>
      </c>
      <c r="C2" s="13" t="s">
        <v>13</v>
      </c>
      <c r="D2" s="13" t="s">
        <v>167</v>
      </c>
      <c r="E2" s="13" t="s">
        <v>2235</v>
      </c>
      <c r="F2" s="13" t="s">
        <v>2236</v>
      </c>
      <c r="G2" s="13" t="s">
        <v>347</v>
      </c>
      <c r="H2" s="13" t="s">
        <v>2447</v>
      </c>
      <c r="I2" s="13" t="s">
        <v>31</v>
      </c>
      <c r="J2" s="57" t="s">
        <v>2446</v>
      </c>
      <c r="K2" s="57" t="s">
        <v>117</v>
      </c>
      <c r="L2" s="57" t="s">
        <v>118</v>
      </c>
      <c r="M2" s="13" t="s">
        <v>119</v>
      </c>
      <c r="N2" s="57" t="s">
        <v>120</v>
      </c>
      <c r="O2" s="57" t="s">
        <v>121</v>
      </c>
      <c r="P2" s="57" t="s">
        <v>145</v>
      </c>
      <c r="Q2" s="57" t="s">
        <v>122</v>
      </c>
      <c r="R2" s="57" t="s">
        <v>123</v>
      </c>
      <c r="S2" s="57" t="s">
        <v>124</v>
      </c>
      <c r="T2" s="57" t="s">
        <v>125</v>
      </c>
      <c r="U2" s="57" t="s">
        <v>126</v>
      </c>
      <c r="V2" s="13" t="s">
        <v>39</v>
      </c>
      <c r="W2" s="13" t="s">
        <v>54</v>
      </c>
      <c r="X2" s="13" t="s">
        <v>55</v>
      </c>
      <c r="Y2" s="57" t="s">
        <v>56</v>
      </c>
      <c r="Z2" s="57" t="s">
        <v>57</v>
      </c>
      <c r="AB2" s="57" t="s">
        <v>128</v>
      </c>
      <c r="AC2" s="57" t="s">
        <v>61</v>
      </c>
      <c r="AD2" s="57" t="s">
        <v>60</v>
      </c>
      <c r="AE2" s="57" t="s">
        <v>0</v>
      </c>
      <c r="AF2" s="57" t="s">
        <v>129</v>
      </c>
      <c r="AG2" s="57" t="s">
        <v>130</v>
      </c>
      <c r="AH2" s="57" t="s">
        <v>33</v>
      </c>
      <c r="AI2" s="57" t="s">
        <v>34</v>
      </c>
      <c r="AJ2" s="57" t="s">
        <v>36</v>
      </c>
      <c r="AK2" s="57" t="s">
        <v>4</v>
      </c>
      <c r="AL2" s="57" t="s">
        <v>5</v>
      </c>
      <c r="AM2" s="57" t="s">
        <v>6</v>
      </c>
      <c r="AN2" s="57" t="s">
        <v>7</v>
      </c>
      <c r="AO2" s="57" t="s">
        <v>8</v>
      </c>
      <c r="AP2" s="57" t="s">
        <v>9</v>
      </c>
      <c r="AQ2" s="57" t="s">
        <v>10</v>
      </c>
      <c r="AR2" s="57" t="s">
        <v>11</v>
      </c>
      <c r="AS2" s="57" t="s">
        <v>12</v>
      </c>
      <c r="AT2" s="57" t="s">
        <v>1</v>
      </c>
      <c r="AU2" s="57" t="s">
        <v>2</v>
      </c>
      <c r="AV2" s="57" t="s">
        <v>3</v>
      </c>
      <c r="AW2" s="13" t="s">
        <v>32</v>
      </c>
    </row>
    <row r="3" spans="1:49" s="25" customFormat="1" ht="20" x14ac:dyDescent="0.25">
      <c r="B3" s="42"/>
      <c r="C3" s="10"/>
      <c r="D3" s="10" t="s">
        <v>20</v>
      </c>
      <c r="E3" s="10"/>
      <c r="F3" s="10" t="s">
        <v>20</v>
      </c>
      <c r="G3" s="10"/>
      <c r="H3" s="10"/>
      <c r="I3" s="10"/>
      <c r="J3" s="42"/>
      <c r="K3" s="10"/>
      <c r="L3" s="10" t="s">
        <v>35</v>
      </c>
      <c r="M3" s="10" t="s">
        <v>35</v>
      </c>
      <c r="N3" s="10" t="s">
        <v>35</v>
      </c>
      <c r="O3" s="10" t="s">
        <v>35</v>
      </c>
      <c r="P3" s="10" t="s">
        <v>63</v>
      </c>
      <c r="Q3" s="10" t="s">
        <v>63</v>
      </c>
      <c r="R3" s="10" t="s">
        <v>63</v>
      </c>
      <c r="S3" s="10" t="s">
        <v>127</v>
      </c>
      <c r="T3" s="10" t="s">
        <v>25</v>
      </c>
      <c r="U3" s="10"/>
      <c r="V3" s="42" t="s">
        <v>40</v>
      </c>
      <c r="W3" s="42"/>
      <c r="X3" s="42" t="s">
        <v>40</v>
      </c>
      <c r="Y3" s="42"/>
      <c r="Z3" s="42" t="s">
        <v>40</v>
      </c>
      <c r="AA3" s="2"/>
      <c r="AB3" s="10"/>
      <c r="AC3" s="10" t="s">
        <v>35</v>
      </c>
      <c r="AD3" s="10" t="s">
        <v>35</v>
      </c>
      <c r="AE3" s="10" t="s">
        <v>35</v>
      </c>
      <c r="AF3" s="38" t="s">
        <v>35</v>
      </c>
      <c r="AG3" s="10" t="s">
        <v>35</v>
      </c>
      <c r="AH3" s="10" t="s">
        <v>62</v>
      </c>
      <c r="AI3" s="10" t="s">
        <v>62</v>
      </c>
      <c r="AJ3" s="10" t="s">
        <v>62</v>
      </c>
      <c r="AK3" s="10" t="s">
        <v>63</v>
      </c>
      <c r="AL3" s="10" t="s">
        <v>63</v>
      </c>
      <c r="AM3" s="10" t="s">
        <v>63</v>
      </c>
      <c r="AN3" s="10" t="s">
        <v>63</v>
      </c>
      <c r="AO3" s="10" t="s">
        <v>63</v>
      </c>
      <c r="AP3" s="10" t="s">
        <v>63</v>
      </c>
      <c r="AQ3" s="10" t="s">
        <v>63</v>
      </c>
      <c r="AR3" s="10" t="s">
        <v>63</v>
      </c>
      <c r="AS3" s="10" t="s">
        <v>63</v>
      </c>
      <c r="AT3" s="10" t="s">
        <v>63</v>
      </c>
      <c r="AU3" s="10" t="s">
        <v>63</v>
      </c>
      <c r="AV3" s="10" t="s">
        <v>63</v>
      </c>
      <c r="AW3" s="10"/>
    </row>
    <row r="4" spans="1:49" s="48" customFormat="1" ht="20" x14ac:dyDescent="0.2">
      <c r="B4" s="11" t="s">
        <v>106</v>
      </c>
      <c r="C4" s="69" t="s">
        <v>139</v>
      </c>
      <c r="D4" s="53">
        <v>17</v>
      </c>
      <c r="E4" s="242">
        <f>System!C$9</f>
        <v>1</v>
      </c>
      <c r="F4" s="53">
        <v>17</v>
      </c>
      <c r="G4" s="242">
        <f>System!$D$9</f>
        <v>0.24</v>
      </c>
      <c r="H4" s="248">
        <f>G4*D4*24*365/1000</f>
        <v>35.7408</v>
      </c>
      <c r="I4" s="54">
        <v>1</v>
      </c>
      <c r="J4" s="79"/>
      <c r="K4" s="37"/>
      <c r="L4" s="58"/>
      <c r="M4" s="73">
        <v>15</v>
      </c>
      <c r="N4" s="58"/>
      <c r="O4" s="58"/>
      <c r="P4" s="58"/>
      <c r="Q4" s="58"/>
      <c r="R4" s="58"/>
      <c r="S4" s="22"/>
      <c r="T4" s="22"/>
      <c r="U4" s="22"/>
      <c r="V4" s="70" t="s">
        <v>107</v>
      </c>
      <c r="W4" s="11" t="s">
        <v>106</v>
      </c>
      <c r="X4" s="22"/>
      <c r="Y4" s="11"/>
      <c r="Z4" s="22"/>
      <c r="AB4" s="11" t="s">
        <v>106</v>
      </c>
      <c r="AC4" s="34"/>
      <c r="AD4" s="34"/>
      <c r="AE4" s="34"/>
      <c r="AF4" s="34"/>
      <c r="AG4" s="34"/>
      <c r="AH4" s="34"/>
      <c r="AI4" s="34"/>
      <c r="AJ4" s="34"/>
      <c r="AK4" s="34"/>
      <c r="AL4" s="34"/>
      <c r="AM4" s="34"/>
      <c r="AN4" s="34"/>
      <c r="AO4" s="34"/>
      <c r="AP4" s="34"/>
      <c r="AQ4" s="34"/>
      <c r="AR4" s="34"/>
      <c r="AS4" s="34"/>
      <c r="AT4" s="34"/>
      <c r="AU4" s="34"/>
      <c r="AV4" s="34"/>
      <c r="AW4" s="11"/>
    </row>
    <row r="5" spans="1:49" s="48" customFormat="1" ht="20" x14ac:dyDescent="0.2">
      <c r="B5" s="11" t="s">
        <v>84</v>
      </c>
      <c r="C5" s="69" t="s">
        <v>331</v>
      </c>
      <c r="D5" s="53">
        <v>120</v>
      </c>
      <c r="E5" s="242">
        <f>System!C$9</f>
        <v>1</v>
      </c>
      <c r="F5" s="53">
        <v>120</v>
      </c>
      <c r="G5" s="242">
        <f>System!$D$9</f>
        <v>0.24</v>
      </c>
      <c r="H5" s="248">
        <f t="shared" ref="H5:H11" si="0">G5*D5*24*365/1000</f>
        <v>252.28799999999998</v>
      </c>
      <c r="I5" s="54">
        <v>2</v>
      </c>
      <c r="J5" s="79"/>
      <c r="K5" s="37"/>
      <c r="L5" s="58"/>
      <c r="M5" s="73">
        <v>95</v>
      </c>
      <c r="N5" s="58"/>
      <c r="O5" s="58"/>
      <c r="P5" s="73">
        <v>60</v>
      </c>
      <c r="Q5" s="58"/>
      <c r="R5" s="58"/>
      <c r="S5" s="22"/>
      <c r="T5" s="22"/>
      <c r="U5" s="22"/>
      <c r="V5" s="70" t="s">
        <v>85</v>
      </c>
      <c r="W5" s="11" t="s">
        <v>86</v>
      </c>
      <c r="X5" s="70" t="s">
        <v>87</v>
      </c>
      <c r="Y5" s="11"/>
      <c r="Z5" s="22"/>
      <c r="AB5" s="11" t="s">
        <v>86</v>
      </c>
      <c r="AC5" s="34"/>
      <c r="AD5" s="34"/>
      <c r="AE5" s="34"/>
      <c r="AF5" s="34"/>
      <c r="AG5" s="34"/>
      <c r="AH5" s="34"/>
      <c r="AI5" s="34"/>
      <c r="AJ5" s="34"/>
      <c r="AK5" s="34"/>
      <c r="AL5" s="34"/>
      <c r="AM5" s="34"/>
      <c r="AN5" s="34"/>
      <c r="AO5" s="34"/>
      <c r="AP5" s="34"/>
      <c r="AQ5" s="34"/>
      <c r="AR5" s="34"/>
      <c r="AS5" s="34"/>
      <c r="AT5" s="34"/>
      <c r="AU5" s="34"/>
      <c r="AV5" s="34"/>
      <c r="AW5" s="11"/>
    </row>
    <row r="6" spans="1:49" s="48" customFormat="1" ht="20" x14ac:dyDescent="0.2">
      <c r="B6" s="11" t="s">
        <v>80</v>
      </c>
      <c r="C6" s="69" t="s">
        <v>331</v>
      </c>
      <c r="D6" s="53">
        <v>362</v>
      </c>
      <c r="E6" s="242">
        <f>System!C$9</f>
        <v>1</v>
      </c>
      <c r="F6" s="53">
        <v>362</v>
      </c>
      <c r="G6" s="242">
        <f>System!$D$9</f>
        <v>0.24</v>
      </c>
      <c r="H6" s="248">
        <f t="shared" si="0"/>
        <v>761.0687999999999</v>
      </c>
      <c r="I6" s="54">
        <v>2</v>
      </c>
      <c r="J6" s="79"/>
      <c r="K6" s="37"/>
      <c r="L6" s="58"/>
      <c r="M6" s="73">
        <v>126</v>
      </c>
      <c r="N6" s="58"/>
      <c r="O6" s="58"/>
      <c r="P6" s="73">
        <v>56</v>
      </c>
      <c r="Q6" s="58"/>
      <c r="R6" s="58"/>
      <c r="S6" s="22"/>
      <c r="T6" s="34"/>
      <c r="U6" s="22"/>
      <c r="V6" s="70" t="s">
        <v>81</v>
      </c>
      <c r="W6" s="11" t="s">
        <v>82</v>
      </c>
      <c r="X6" s="70" t="s">
        <v>83</v>
      </c>
      <c r="Y6" s="11"/>
      <c r="Z6" s="22"/>
      <c r="AB6" s="11" t="s">
        <v>82</v>
      </c>
      <c r="AC6" s="34"/>
      <c r="AD6" s="34"/>
      <c r="AE6" s="34"/>
      <c r="AF6" s="34"/>
      <c r="AG6" s="34"/>
      <c r="AH6" s="34"/>
      <c r="AI6" s="34"/>
      <c r="AJ6" s="34"/>
      <c r="AK6" s="34"/>
      <c r="AL6" s="34"/>
      <c r="AM6" s="34"/>
      <c r="AN6" s="34"/>
      <c r="AO6" s="34"/>
      <c r="AP6" s="34"/>
      <c r="AQ6" s="34"/>
      <c r="AR6" s="34"/>
      <c r="AS6" s="34"/>
      <c r="AT6" s="34"/>
      <c r="AU6" s="34"/>
      <c r="AV6" s="34"/>
      <c r="AW6" s="11"/>
    </row>
    <row r="7" spans="1:49" s="48" customFormat="1" ht="20" x14ac:dyDescent="0.2">
      <c r="B7" s="11" t="s">
        <v>88</v>
      </c>
      <c r="C7" s="69" t="s">
        <v>139</v>
      </c>
      <c r="D7" s="53">
        <v>35</v>
      </c>
      <c r="E7" s="242">
        <f>System!C$9</f>
        <v>1</v>
      </c>
      <c r="F7" s="53">
        <v>35</v>
      </c>
      <c r="G7" s="242">
        <f>System!$D$9</f>
        <v>0.24</v>
      </c>
      <c r="H7" s="248">
        <f t="shared" si="0"/>
        <v>73.584000000000017</v>
      </c>
      <c r="I7" s="54">
        <v>2</v>
      </c>
      <c r="J7" s="79"/>
      <c r="K7" s="37"/>
      <c r="L7" s="58"/>
      <c r="M7" s="73">
        <v>105</v>
      </c>
      <c r="N7" s="58"/>
      <c r="O7" s="58"/>
      <c r="P7" s="73">
        <v>14</v>
      </c>
      <c r="Q7" s="58"/>
      <c r="R7" s="58"/>
      <c r="S7" s="22"/>
      <c r="T7" s="34"/>
      <c r="U7" s="22"/>
      <c r="V7" s="70" t="s">
        <v>89</v>
      </c>
      <c r="W7" s="11" t="s">
        <v>90</v>
      </c>
      <c r="X7" s="70" t="s">
        <v>91</v>
      </c>
      <c r="Y7" s="11"/>
      <c r="Z7" s="22"/>
      <c r="AB7" s="11" t="s">
        <v>90</v>
      </c>
      <c r="AC7" s="34"/>
      <c r="AD7" s="34"/>
      <c r="AE7" s="34"/>
      <c r="AF7" s="34"/>
      <c r="AG7" s="34"/>
      <c r="AH7" s="34"/>
      <c r="AI7" s="34"/>
      <c r="AJ7" s="34"/>
      <c r="AK7" s="34"/>
      <c r="AL7" s="34"/>
      <c r="AM7" s="34"/>
      <c r="AN7" s="34"/>
      <c r="AO7" s="34"/>
      <c r="AP7" s="34"/>
      <c r="AQ7" s="34"/>
      <c r="AR7" s="34"/>
      <c r="AS7" s="34"/>
      <c r="AT7" s="34"/>
      <c r="AU7" s="34"/>
      <c r="AV7" s="34"/>
      <c r="AW7" s="11"/>
    </row>
    <row r="8" spans="1:49" s="48" customFormat="1" ht="20" x14ac:dyDescent="0.2">
      <c r="B8" s="11" t="s">
        <v>92</v>
      </c>
      <c r="C8" s="69" t="s">
        <v>139</v>
      </c>
      <c r="D8" s="53">
        <v>61</v>
      </c>
      <c r="E8" s="242">
        <f>System!C$9</f>
        <v>1</v>
      </c>
      <c r="F8" s="53">
        <v>61</v>
      </c>
      <c r="G8" s="242">
        <f>System!$D$9</f>
        <v>0.24</v>
      </c>
      <c r="H8" s="248">
        <f t="shared" si="0"/>
        <v>128.24639999999997</v>
      </c>
      <c r="I8" s="54">
        <v>4</v>
      </c>
      <c r="J8" s="79"/>
      <c r="K8" s="37"/>
      <c r="L8" s="58"/>
      <c r="M8" s="73">
        <v>34</v>
      </c>
      <c r="N8" s="58"/>
      <c r="O8" s="58"/>
      <c r="P8" s="58"/>
      <c r="Q8" s="58"/>
      <c r="R8" s="58"/>
      <c r="S8" s="22"/>
      <c r="T8" s="34"/>
      <c r="U8" s="22"/>
      <c r="V8" s="70" t="s">
        <v>93</v>
      </c>
      <c r="W8" s="11" t="s">
        <v>94</v>
      </c>
      <c r="X8" s="70" t="s">
        <v>95</v>
      </c>
      <c r="Y8" s="11"/>
      <c r="Z8" s="22"/>
      <c r="AB8" s="11" t="s">
        <v>94</v>
      </c>
      <c r="AC8" s="34"/>
      <c r="AD8" s="34"/>
      <c r="AE8" s="34"/>
      <c r="AF8" s="34"/>
      <c r="AG8" s="34"/>
      <c r="AH8" s="34"/>
      <c r="AI8" s="34"/>
      <c r="AJ8" s="34"/>
      <c r="AK8" s="34"/>
      <c r="AL8" s="34"/>
      <c r="AM8" s="34"/>
      <c r="AN8" s="34"/>
      <c r="AO8" s="34"/>
      <c r="AP8" s="34"/>
      <c r="AQ8" s="34"/>
      <c r="AR8" s="34"/>
      <c r="AS8" s="34"/>
      <c r="AT8" s="34"/>
      <c r="AU8" s="34"/>
      <c r="AV8" s="34"/>
      <c r="AW8" s="11"/>
    </row>
    <row r="9" spans="1:49" s="48" customFormat="1" ht="20" x14ac:dyDescent="0.2">
      <c r="B9" s="11" t="s">
        <v>96</v>
      </c>
      <c r="C9" s="43" t="s">
        <v>139</v>
      </c>
      <c r="D9" s="53">
        <v>32</v>
      </c>
      <c r="E9" s="242">
        <f>System!C$9</f>
        <v>1</v>
      </c>
      <c r="F9" s="53">
        <v>32</v>
      </c>
      <c r="G9" s="242">
        <f>System!$D$9</f>
        <v>0.24</v>
      </c>
      <c r="H9" s="248">
        <f t="shared" si="0"/>
        <v>67.276800000000009</v>
      </c>
      <c r="I9" s="54">
        <v>2</v>
      </c>
      <c r="J9" s="79"/>
      <c r="K9" s="37"/>
      <c r="L9" s="58"/>
      <c r="M9" s="73">
        <v>65</v>
      </c>
      <c r="N9" s="58"/>
      <c r="O9" s="58"/>
      <c r="P9" s="73">
        <v>38</v>
      </c>
      <c r="Q9" s="58"/>
      <c r="R9" s="58"/>
      <c r="S9" s="22"/>
      <c r="T9" s="22"/>
      <c r="U9" s="22"/>
      <c r="V9" s="70" t="s">
        <v>97</v>
      </c>
      <c r="W9" s="11" t="s">
        <v>98</v>
      </c>
      <c r="X9" s="70" t="s">
        <v>99</v>
      </c>
      <c r="Y9" s="11"/>
      <c r="Z9" s="22"/>
      <c r="AB9" s="11" t="s">
        <v>98</v>
      </c>
      <c r="AC9" s="34"/>
      <c r="AD9" s="34"/>
      <c r="AE9" s="34"/>
      <c r="AF9" s="34"/>
      <c r="AG9" s="34"/>
      <c r="AH9" s="34"/>
      <c r="AI9" s="34"/>
      <c r="AJ9" s="34"/>
      <c r="AK9" s="34"/>
      <c r="AL9" s="34"/>
      <c r="AM9" s="34"/>
      <c r="AN9" s="34"/>
      <c r="AO9" s="34"/>
      <c r="AP9" s="34"/>
      <c r="AQ9" s="34"/>
      <c r="AR9" s="34"/>
      <c r="AS9" s="34"/>
      <c r="AT9" s="34"/>
      <c r="AU9" s="34"/>
      <c r="AV9" s="34"/>
      <c r="AW9" s="11"/>
    </row>
    <row r="10" spans="1:49" s="48" customFormat="1" ht="20" x14ac:dyDescent="0.2">
      <c r="B10" s="11" t="s">
        <v>104</v>
      </c>
      <c r="C10" s="69" t="s">
        <v>139</v>
      </c>
      <c r="D10" s="53">
        <v>47</v>
      </c>
      <c r="E10" s="242">
        <f>System!C$9</f>
        <v>1</v>
      </c>
      <c r="F10" s="53">
        <v>47</v>
      </c>
      <c r="G10" s="242">
        <f>System!$D$9</f>
        <v>0.24</v>
      </c>
      <c r="H10" s="248">
        <f t="shared" si="0"/>
        <v>98.812799999999982</v>
      </c>
      <c r="I10" s="54">
        <v>2</v>
      </c>
      <c r="J10" s="79"/>
      <c r="K10" s="37"/>
      <c r="L10" s="58"/>
      <c r="M10" s="73">
        <v>98</v>
      </c>
      <c r="N10" s="58"/>
      <c r="O10" s="58"/>
      <c r="P10" s="58"/>
      <c r="Q10" s="58"/>
      <c r="R10" s="58"/>
      <c r="S10" s="22"/>
      <c r="T10" s="22"/>
      <c r="U10" s="22"/>
      <c r="V10" s="71" t="s">
        <v>105</v>
      </c>
      <c r="W10" s="11" t="s">
        <v>104</v>
      </c>
      <c r="X10" s="71" t="s">
        <v>105</v>
      </c>
      <c r="Y10" s="11"/>
      <c r="Z10" s="22"/>
      <c r="AB10" s="11" t="s">
        <v>104</v>
      </c>
      <c r="AC10" s="34"/>
      <c r="AD10" s="34"/>
      <c r="AE10" s="34"/>
      <c r="AF10" s="34"/>
      <c r="AG10" s="34"/>
      <c r="AH10" s="34"/>
      <c r="AI10" s="34"/>
      <c r="AJ10" s="34"/>
      <c r="AK10" s="34"/>
      <c r="AL10" s="34"/>
      <c r="AM10" s="34"/>
      <c r="AN10" s="34"/>
      <c r="AO10" s="34"/>
      <c r="AP10" s="34"/>
      <c r="AQ10" s="34"/>
      <c r="AR10" s="34"/>
      <c r="AS10" s="34"/>
      <c r="AT10" s="34"/>
      <c r="AU10" s="34"/>
      <c r="AV10" s="34"/>
      <c r="AW10" s="11"/>
    </row>
    <row r="11" spans="1:49" s="48" customFormat="1" ht="20" x14ac:dyDescent="0.2">
      <c r="B11" s="11" t="s">
        <v>100</v>
      </c>
      <c r="C11" s="69" t="s">
        <v>139</v>
      </c>
      <c r="D11" s="53">
        <v>92</v>
      </c>
      <c r="E11" s="242">
        <f>System!C$9</f>
        <v>1</v>
      </c>
      <c r="F11" s="53">
        <v>92</v>
      </c>
      <c r="G11" s="242">
        <f>System!$D$9</f>
        <v>0.24</v>
      </c>
      <c r="H11" s="248">
        <f t="shared" si="0"/>
        <v>193.42079999999999</v>
      </c>
      <c r="I11" s="54">
        <v>2</v>
      </c>
      <c r="J11" s="79"/>
      <c r="K11" s="37"/>
      <c r="L11" s="58"/>
      <c r="M11" s="73">
        <v>274</v>
      </c>
      <c r="N11" s="58"/>
      <c r="O11" s="58"/>
      <c r="P11" s="58"/>
      <c r="Q11" s="58"/>
      <c r="R11" s="58"/>
      <c r="S11" s="22"/>
      <c r="T11" s="22"/>
      <c r="U11" s="22"/>
      <c r="V11" s="70" t="s">
        <v>101</v>
      </c>
      <c r="W11" s="11" t="s">
        <v>102</v>
      </c>
      <c r="X11" s="70" t="s">
        <v>103</v>
      </c>
      <c r="Y11" s="11" t="s">
        <v>104</v>
      </c>
      <c r="Z11" s="22"/>
      <c r="AB11" s="11" t="s">
        <v>102</v>
      </c>
      <c r="AC11" s="34"/>
      <c r="AD11" s="34"/>
      <c r="AE11" s="34"/>
      <c r="AF11" s="34"/>
      <c r="AG11" s="34"/>
      <c r="AH11" s="34"/>
      <c r="AI11" s="34"/>
      <c r="AJ11" s="34"/>
      <c r="AK11" s="34"/>
      <c r="AL11" s="34"/>
      <c r="AM11" s="34"/>
      <c r="AN11" s="34"/>
      <c r="AO11" s="34"/>
      <c r="AP11" s="34"/>
      <c r="AQ11" s="34"/>
      <c r="AR11" s="34"/>
      <c r="AS11" s="34"/>
      <c r="AT11" s="34"/>
      <c r="AU11" s="34"/>
      <c r="AV11" s="34"/>
      <c r="AW11" s="11"/>
    </row>
    <row r="12" spans="1:49" x14ac:dyDescent="0.2">
      <c r="A12" s="6"/>
      <c r="B12" s="11"/>
      <c r="C12" s="67"/>
      <c r="D12" s="68"/>
      <c r="E12" s="68"/>
      <c r="F12" s="68"/>
      <c r="G12" s="68"/>
      <c r="H12" s="68"/>
      <c r="I12" s="68"/>
      <c r="J12" s="67"/>
      <c r="K12" s="22"/>
      <c r="L12" s="58"/>
      <c r="M12" s="58"/>
      <c r="N12" s="58"/>
      <c r="O12" s="58"/>
      <c r="P12" s="58"/>
      <c r="Q12" s="58"/>
      <c r="R12" s="58"/>
      <c r="S12" s="22"/>
      <c r="T12" s="22"/>
      <c r="U12" s="22"/>
      <c r="V12" s="22"/>
      <c r="W12" s="11"/>
      <c r="X12" s="22"/>
      <c r="Y12" s="11"/>
      <c r="Z12" s="22"/>
      <c r="AB12" s="11"/>
      <c r="AC12" s="34"/>
      <c r="AD12" s="34"/>
      <c r="AE12" s="34"/>
      <c r="AF12" s="34"/>
      <c r="AG12" s="34"/>
      <c r="AH12" s="34"/>
      <c r="AI12" s="34"/>
      <c r="AJ12" s="34"/>
      <c r="AK12" s="34"/>
      <c r="AL12" s="34"/>
      <c r="AM12" s="34"/>
      <c r="AN12" s="34"/>
      <c r="AO12" s="34"/>
      <c r="AP12" s="34"/>
      <c r="AQ12" s="34"/>
      <c r="AR12" s="34"/>
      <c r="AS12" s="34"/>
      <c r="AT12" s="34"/>
      <c r="AU12" s="34"/>
      <c r="AV12" s="34"/>
      <c r="AW12" s="11"/>
    </row>
    <row r="13" spans="1:49" x14ac:dyDescent="0.25">
      <c r="A13" s="6"/>
    </row>
    <row r="14" spans="1:49" s="2" customFormat="1" x14ac:dyDescent="0.25">
      <c r="A14" s="35" t="s">
        <v>470</v>
      </c>
      <c r="B14" s="6"/>
      <c r="C14" s="23"/>
      <c r="D14" s="23"/>
      <c r="E14" s="23"/>
      <c r="F14" s="23"/>
      <c r="G14" s="23"/>
      <c r="H14" s="23"/>
      <c r="I14" s="23"/>
      <c r="J14" s="45"/>
      <c r="K14" s="52"/>
      <c r="L14" s="23"/>
      <c r="M14" s="52"/>
      <c r="N14" s="23"/>
      <c r="O14" s="52"/>
      <c r="P14" s="52"/>
      <c r="Q14" s="52"/>
      <c r="R14" s="52"/>
      <c r="S14" s="52"/>
      <c r="T14" s="52"/>
      <c r="U14" s="52"/>
      <c r="V14" s="52"/>
      <c r="W14" s="52"/>
      <c r="X14" s="52"/>
      <c r="Y14" s="48"/>
      <c r="Z14" s="48"/>
      <c r="AA14" s="48"/>
      <c r="AB14" s="48"/>
      <c r="AC14" s="48"/>
      <c r="AD14" s="48"/>
      <c r="AE14" s="48"/>
      <c r="AF14" s="48"/>
      <c r="AG14" s="48"/>
      <c r="AH14" s="48"/>
      <c r="AI14" s="48"/>
      <c r="AJ14" s="48"/>
      <c r="AK14" s="52"/>
      <c r="AL14" s="52"/>
      <c r="AM14" s="52"/>
      <c r="AN14" s="52"/>
      <c r="AO14" s="52"/>
      <c r="AP14" s="52"/>
      <c r="AQ14" s="52"/>
      <c r="AR14" s="52"/>
      <c r="AS14" s="52"/>
      <c r="AT14" s="52"/>
      <c r="AU14" s="52"/>
      <c r="AV14" s="52"/>
      <c r="AW14" s="52"/>
    </row>
    <row r="15" spans="1:49" s="52" customFormat="1" x14ac:dyDescent="0.25">
      <c r="A15" s="2" t="s">
        <v>471</v>
      </c>
      <c r="J15" s="8"/>
    </row>
    <row r="16" spans="1:49" s="50" customFormat="1" x14ac:dyDescent="0.25">
      <c r="A16" s="2" t="s">
        <v>472</v>
      </c>
      <c r="J16" s="258"/>
      <c r="M16" s="2"/>
      <c r="U16" s="52"/>
    </row>
    <row r="17" spans="1:15" x14ac:dyDescent="0.25">
      <c r="A17" s="6"/>
      <c r="C17" s="23"/>
      <c r="D17" s="23"/>
      <c r="E17" s="23"/>
      <c r="F17" s="23"/>
      <c r="G17" s="23"/>
      <c r="H17" s="23"/>
      <c r="I17" s="23"/>
      <c r="J17" s="45"/>
      <c r="K17" s="6"/>
      <c r="L17" s="23"/>
      <c r="M17" s="6"/>
      <c r="N17" s="23"/>
      <c r="O17" s="6"/>
    </row>
  </sheetData>
  <autoFilter ref="B3:AW3" xr:uid="{78C8D5D2-1B13-CE44-81DE-849FC3F59B33}">
    <sortState xmlns:xlrd2="http://schemas.microsoft.com/office/spreadsheetml/2017/richdata2" ref="B4:AW11">
      <sortCondition ref="B3:B1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README</vt:lpstr>
      <vt:lpstr>AB-Sources</vt:lpstr>
      <vt:lpstr>Generation</vt:lpstr>
      <vt:lpstr>Storage</vt:lpstr>
      <vt:lpstr>Transmission</vt:lpstr>
      <vt:lpstr>Nodes</vt:lpstr>
      <vt:lpstr>BLANK</vt:lpstr>
      <vt:lpstr>Distribution</vt:lpstr>
      <vt:lpstr>HydroExisting</vt:lpstr>
      <vt:lpstr>HydroRenewals</vt:lpstr>
      <vt:lpstr>HydroGreenfield</vt:lpstr>
      <vt:lpstr>HydroPS</vt:lpstr>
      <vt:lpstr>System</vt:lpstr>
      <vt:lpstr>HGWh</vt:lpstr>
      <vt:lpstr>HMW</vt:lpstr>
      <vt:lpstr>FGWh</vt:lpstr>
      <vt:lpstr>FMW</vt:lpstr>
      <vt:lpstr>Hourly</vt:lpstr>
      <vt:lpstr>Inputs</vt:lpstr>
      <vt:lpstr>HydroPS!_FilterDatabase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Sean Collins</dc:creator>
  <cp:lastModifiedBy>Richard Hendriks</cp:lastModifiedBy>
  <cp:lastPrinted>2019-05-29T14:46:03Z</cp:lastPrinted>
  <dcterms:created xsi:type="dcterms:W3CDTF">2018-03-01T23:28:31Z</dcterms:created>
  <dcterms:modified xsi:type="dcterms:W3CDTF">2021-08-18T13:43:46Z</dcterms:modified>
</cp:coreProperties>
</file>