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me/Files/UoT-PhD/Research/00-CODERS/210813-Update/"/>
    </mc:Choice>
  </mc:AlternateContent>
  <xr:revisionPtr revIDLastSave="0" documentId="13_ncr:1_{4AA336E6-AC18-AA49-A7ED-4850E71B104B}" xr6:coauthVersionLast="47" xr6:coauthVersionMax="47" xr10:uidLastSave="{00000000-0000-0000-0000-000000000000}"/>
  <bookViews>
    <workbookView xWindow="28800" yWindow="500" windowWidth="50060" windowHeight="16320" xr2:uid="{00000000-000D-0000-FFFF-FFFF00000000}"/>
  </bookViews>
  <sheets>
    <sheet name="README" sheetId="41" r:id="rId1"/>
    <sheet name="MB-Sources" sheetId="45" r:id="rId2"/>
    <sheet name="Generation" sheetId="25" r:id="rId3"/>
    <sheet name="Storage" sheetId="48" r:id="rId4"/>
    <sheet name="Transmission" sheetId="27" r:id="rId5"/>
    <sheet name="Nodes" sheetId="46" r:id="rId6"/>
    <sheet name="BLANK" sheetId="50" r:id="rId7"/>
    <sheet name="HydroExisting" sheetId="33" r:id="rId8"/>
    <sheet name="HydroRenewals" sheetId="34" r:id="rId9"/>
    <sheet name="HydroGreenfield" sheetId="35" r:id="rId10"/>
    <sheet name="HydroPS" sheetId="36" r:id="rId11"/>
    <sheet name="Distribution" sheetId="49" r:id="rId12"/>
    <sheet name="System" sheetId="30" r:id="rId13"/>
    <sheet name="HGWh" sheetId="38" r:id="rId14"/>
    <sheet name="HMW" sheetId="39" r:id="rId15"/>
    <sheet name="FGWh" sheetId="28" r:id="rId16"/>
    <sheet name="FMW" sheetId="40" r:id="rId17"/>
    <sheet name="Hourly" sheetId="42" r:id="rId18"/>
    <sheet name="Inputs" sheetId="47" r:id="rId19"/>
  </sheets>
  <externalReferences>
    <externalReference r:id="rId20"/>
  </externalReferences>
  <definedNames>
    <definedName name="_xlnm._FilterDatabase" localSheetId="11" hidden="1">Distribution!$B$3:$O$3</definedName>
    <definedName name="_xlnm._FilterDatabase" localSheetId="2">Generation!$B$3:$Z$3</definedName>
    <definedName name="_xlnm._FilterDatabase" localSheetId="7" hidden="1">HydroExisting!$B$3:$AW$3</definedName>
    <definedName name="_xlnm._FilterDatabase" localSheetId="9" hidden="1">HydroGreenfield!$B$3:$AM$3</definedName>
    <definedName name="_xlnm._FilterDatabase" localSheetId="10" hidden="1">HydroPS!$B$3:$AL$3</definedName>
    <definedName name="_xlnm._FilterDatabase" localSheetId="8" hidden="1">HydroRenewals!$B$3:$AT$3</definedName>
    <definedName name="_xlnm._FilterDatabase" localSheetId="1" hidden="1">'MB-Sources'!$B$2:$H$2</definedName>
    <definedName name="_xlnm._FilterDatabase" localSheetId="5" hidden="1">Nodes!$A$3:$J$3</definedName>
    <definedName name="_xlnm._FilterDatabase" localSheetId="3" hidden="1">Storage!$B$3:$Z$3</definedName>
    <definedName name="_xlnm._FilterDatabase" localSheetId="4" hidden="1">Transmission!$A$3:$AB$3</definedName>
    <definedName name="code">#REF!</definedName>
    <definedName name="renumber">#REF!</definedName>
    <definedName name="rerank">#REF!</definedName>
    <definedName name="total">#REF!</definedName>
    <definedName name="user">#REF!</definedName>
    <definedName name="VRE">[1]lists!$B$3:$C$3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5" i="40" l="1"/>
  <c r="AG35" i="40"/>
  <c r="AF35" i="40"/>
  <c r="AE35" i="40"/>
  <c r="AD35" i="40"/>
  <c r="AC35" i="40"/>
  <c r="AB35" i="40"/>
  <c r="AA35" i="40"/>
  <c r="Z35" i="40"/>
  <c r="Y35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E2" i="40"/>
  <c r="F2" i="40" s="1"/>
  <c r="G2" i="40" s="1"/>
  <c r="H2" i="40" s="1"/>
  <c r="I2" i="40" s="1"/>
  <c r="J2" i="40" s="1"/>
  <c r="K2" i="40" s="1"/>
  <c r="L2" i="40" s="1"/>
  <c r="M2" i="40" s="1"/>
  <c r="N2" i="40" s="1"/>
  <c r="O2" i="40" s="1"/>
  <c r="P2" i="40" s="1"/>
  <c r="Q2" i="40" s="1"/>
  <c r="R2" i="40" s="1"/>
  <c r="S2" i="40" s="1"/>
  <c r="T2" i="40" s="1"/>
  <c r="U2" i="40" s="1"/>
  <c r="V2" i="40" s="1"/>
  <c r="W2" i="40" s="1"/>
  <c r="X2" i="40" s="1"/>
  <c r="Y2" i="40" s="1"/>
  <c r="Z2" i="40" s="1"/>
  <c r="AA2" i="40" s="1"/>
  <c r="AB2" i="40" s="1"/>
  <c r="AC2" i="40" s="1"/>
  <c r="AD2" i="40" s="1"/>
  <c r="AE2" i="40" s="1"/>
  <c r="AF2" i="40" s="1"/>
  <c r="AG2" i="40" s="1"/>
  <c r="AH2" i="40" s="1"/>
  <c r="AI15" i="40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Q2" i="28" s="1"/>
  <c r="R2" i="28" s="1"/>
  <c r="S2" i="28" s="1"/>
  <c r="T2" i="28" s="1"/>
  <c r="U2" i="28" s="1"/>
  <c r="V2" i="28" s="1"/>
  <c r="W2" i="28" s="1"/>
  <c r="X2" i="28" s="1"/>
  <c r="Y2" i="28" s="1"/>
  <c r="Z2" i="28" s="1"/>
  <c r="AA2" i="28" s="1"/>
  <c r="AB2" i="28" s="1"/>
  <c r="AC2" i="28" s="1"/>
  <c r="AD2" i="28" s="1"/>
  <c r="AE2" i="28" s="1"/>
  <c r="AF2" i="28" s="1"/>
  <c r="AG2" i="28" s="1"/>
  <c r="AH2" i="28" s="1"/>
  <c r="N113" i="25"/>
  <c r="N112" i="25"/>
  <c r="N111" i="25"/>
  <c r="N110" i="25"/>
  <c r="N109" i="25"/>
  <c r="N108" i="25"/>
  <c r="N107" i="25"/>
  <c r="N6" i="25"/>
  <c r="N7" i="25"/>
  <c r="N8" i="25"/>
  <c r="N9" i="25"/>
  <c r="N10" i="25"/>
  <c r="N11" i="25"/>
  <c r="N12" i="25"/>
  <c r="N16" i="25"/>
  <c r="N18" i="25"/>
  <c r="N19" i="25"/>
  <c r="N20" i="25"/>
  <c r="N21" i="25"/>
  <c r="N22" i="25"/>
  <c r="N23" i="25"/>
  <c r="N24" i="25"/>
  <c r="N25" i="25"/>
  <c r="N26" i="25"/>
  <c r="N37" i="25"/>
  <c r="N38" i="25"/>
  <c r="N39" i="25"/>
  <c r="N40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9" i="25"/>
  <c r="N80" i="25"/>
  <c r="N81" i="25"/>
  <c r="N82" i="25"/>
  <c r="N83" i="25"/>
  <c r="N84" i="25"/>
  <c r="N85" i="25"/>
  <c r="N86" i="25"/>
  <c r="N87" i="25"/>
  <c r="N88" i="25"/>
  <c r="N102" i="25"/>
  <c r="N103" i="25"/>
  <c r="N104" i="25"/>
  <c r="N105" i="25"/>
  <c r="N106" i="25"/>
  <c r="N5" i="25"/>
  <c r="N75" i="25"/>
  <c r="N76" i="25"/>
  <c r="N77" i="25"/>
  <c r="N78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89" i="25"/>
  <c r="N31" i="25"/>
  <c r="N32" i="25"/>
  <c r="N33" i="25"/>
  <c r="N34" i="25"/>
  <c r="N35" i="25"/>
  <c r="N36" i="25"/>
  <c r="N71" i="25"/>
  <c r="N72" i="25"/>
  <c r="N73" i="25"/>
  <c r="N74" i="25"/>
  <c r="N30" i="25"/>
  <c r="H274" i="27"/>
  <c r="H273" i="27"/>
  <c r="H272" i="27"/>
  <c r="H271" i="27"/>
  <c r="H270" i="27"/>
  <c r="H269" i="27"/>
  <c r="H268" i="27"/>
  <c r="H267" i="27"/>
  <c r="H266" i="27"/>
  <c r="H265" i="27"/>
  <c r="H264" i="27"/>
  <c r="H263" i="27"/>
  <c r="H262" i="27"/>
  <c r="H261" i="27"/>
  <c r="H260" i="27"/>
  <c r="H259" i="27"/>
  <c r="H258" i="27"/>
  <c r="H257" i="27"/>
  <c r="H256" i="27"/>
  <c r="H255" i="27"/>
  <c r="H254" i="27"/>
  <c r="H253" i="27"/>
  <c r="H252" i="27"/>
  <c r="H251" i="27"/>
  <c r="H250" i="27"/>
  <c r="H249" i="27"/>
  <c r="H248" i="27"/>
  <c r="H247" i="27"/>
  <c r="H246" i="27"/>
  <c r="H245" i="27"/>
  <c r="H244" i="27"/>
  <c r="H243" i="27"/>
  <c r="H242" i="27"/>
  <c r="H241" i="27"/>
  <c r="H240" i="27"/>
  <c r="H239" i="27"/>
  <c r="H238" i="27"/>
  <c r="H237" i="27"/>
  <c r="H236" i="27"/>
  <c r="H235" i="27"/>
  <c r="H234" i="27"/>
  <c r="H233" i="27"/>
  <c r="H232" i="27"/>
  <c r="H231" i="27"/>
  <c r="H230" i="27"/>
  <c r="H229" i="27"/>
  <c r="H228" i="27"/>
  <c r="H227" i="27"/>
  <c r="H226" i="27"/>
  <c r="H225" i="27"/>
  <c r="H224" i="27"/>
  <c r="H223" i="27"/>
  <c r="H222" i="27"/>
  <c r="H221" i="27"/>
  <c r="H220" i="27"/>
  <c r="H219" i="27"/>
  <c r="H218" i="27"/>
  <c r="H217" i="27"/>
  <c r="H216" i="27"/>
  <c r="H215" i="27"/>
  <c r="H214" i="27"/>
  <c r="H213" i="27"/>
  <c r="H212" i="27"/>
  <c r="H211" i="27"/>
  <c r="H210" i="27"/>
  <c r="H209" i="27"/>
  <c r="H208" i="27"/>
  <c r="H207" i="27"/>
  <c r="H206" i="27"/>
  <c r="H205" i="27"/>
  <c r="H204" i="27"/>
  <c r="H203" i="27"/>
  <c r="H202" i="27"/>
  <c r="H201" i="27"/>
  <c r="H200" i="27"/>
  <c r="H199" i="27"/>
  <c r="H198" i="27"/>
  <c r="H197" i="27"/>
  <c r="H196" i="27"/>
  <c r="H195" i="27"/>
  <c r="H194" i="27"/>
  <c r="H193" i="27"/>
  <c r="H192" i="27"/>
  <c r="H191" i="27"/>
  <c r="H190" i="27"/>
  <c r="H189" i="27"/>
  <c r="H188" i="27"/>
  <c r="H187" i="27"/>
  <c r="H186" i="27"/>
  <c r="H185" i="27"/>
  <c r="H184" i="27"/>
  <c r="H183" i="27"/>
  <c r="H182" i="27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6" i="27"/>
  <c r="H15" i="27"/>
  <c r="H14" i="27"/>
  <c r="H17" i="27"/>
  <c r="H13" i="27"/>
  <c r="H12" i="27"/>
  <c r="H11" i="27"/>
  <c r="H10" i="27"/>
  <c r="H9" i="27"/>
  <c r="H8" i="27"/>
  <c r="H7" i="27"/>
  <c r="H6" i="27"/>
  <c r="H5" i="27"/>
  <c r="H4" i="27"/>
  <c r="J274" i="27" l="1"/>
  <c r="J273" i="27"/>
  <c r="J272" i="27"/>
  <c r="J271" i="27"/>
  <c r="J270" i="27"/>
  <c r="J269" i="27"/>
  <c r="J268" i="27"/>
  <c r="J267" i="27"/>
  <c r="J266" i="27"/>
  <c r="J265" i="27"/>
  <c r="J264" i="27"/>
  <c r="J263" i="27"/>
  <c r="J262" i="27"/>
  <c r="J261" i="27"/>
  <c r="J260" i="27"/>
  <c r="J259" i="27"/>
  <c r="J258" i="27"/>
  <c r="J257" i="27"/>
  <c r="J256" i="27"/>
  <c r="J255" i="27"/>
  <c r="J254" i="27"/>
  <c r="J253" i="27"/>
  <c r="J252" i="27"/>
  <c r="J251" i="27"/>
  <c r="J250" i="27"/>
  <c r="J249" i="27"/>
  <c r="J248" i="27"/>
  <c r="J247" i="27"/>
  <c r="J246" i="27"/>
  <c r="J245" i="27"/>
  <c r="J244" i="27"/>
  <c r="J243" i="27"/>
  <c r="J242" i="27"/>
  <c r="J241" i="27"/>
  <c r="J240" i="27"/>
  <c r="J239" i="27"/>
  <c r="J238" i="27"/>
  <c r="J237" i="27"/>
  <c r="J236" i="27"/>
  <c r="J235" i="27"/>
  <c r="J234" i="27"/>
  <c r="J233" i="27"/>
  <c r="J232" i="27"/>
  <c r="J231" i="27"/>
  <c r="J230" i="27"/>
  <c r="J229" i="27"/>
  <c r="J228" i="27"/>
  <c r="J227" i="27"/>
  <c r="J226" i="27"/>
  <c r="J225" i="27"/>
  <c r="J224" i="27"/>
  <c r="J223" i="27"/>
  <c r="J222" i="27"/>
  <c r="J221" i="27"/>
  <c r="J220" i="27"/>
  <c r="J219" i="27"/>
  <c r="J218" i="27"/>
  <c r="J217" i="27"/>
  <c r="J216" i="27"/>
  <c r="J215" i="27"/>
  <c r="J214" i="27"/>
  <c r="J213" i="27"/>
  <c r="J212" i="27"/>
  <c r="J211" i="27"/>
  <c r="J210" i="27"/>
  <c r="J209" i="27"/>
  <c r="J208" i="27"/>
  <c r="J207" i="27"/>
  <c r="J206" i="27"/>
  <c r="J205" i="27"/>
  <c r="J204" i="27"/>
  <c r="J203" i="27"/>
  <c r="J202" i="27"/>
  <c r="J201" i="27"/>
  <c r="J200" i="27"/>
  <c r="J199" i="27"/>
  <c r="J198" i="27"/>
  <c r="J197" i="27"/>
  <c r="J196" i="27"/>
  <c r="J195" i="27"/>
  <c r="J194" i="27"/>
  <c r="J193" i="27"/>
  <c r="J192" i="27"/>
  <c r="J191" i="27"/>
  <c r="J190" i="27"/>
  <c r="J189" i="27"/>
  <c r="J188" i="27"/>
  <c r="J187" i="27"/>
  <c r="J186" i="27"/>
  <c r="J185" i="27"/>
  <c r="J184" i="27"/>
  <c r="J183" i="27"/>
  <c r="J182" i="27"/>
  <c r="J181" i="27"/>
  <c r="J180" i="27"/>
  <c r="J179" i="27"/>
  <c r="J178" i="27"/>
  <c r="J177" i="27"/>
  <c r="J176" i="27"/>
  <c r="J175" i="27"/>
  <c r="J174" i="27"/>
  <c r="J173" i="27"/>
  <c r="J172" i="27"/>
  <c r="J171" i="27"/>
  <c r="J170" i="27"/>
  <c r="J169" i="27"/>
  <c r="J168" i="27"/>
  <c r="J167" i="27"/>
  <c r="J166" i="27"/>
  <c r="J165" i="27"/>
  <c r="J164" i="27"/>
  <c r="J163" i="27"/>
  <c r="J162" i="27"/>
  <c r="J161" i="27"/>
  <c r="J160" i="27"/>
  <c r="J159" i="27"/>
  <c r="J158" i="27"/>
  <c r="J157" i="27"/>
  <c r="J156" i="27"/>
  <c r="J155" i="27"/>
  <c r="J154" i="27"/>
  <c r="J153" i="27"/>
  <c r="J152" i="27"/>
  <c r="J151" i="27"/>
  <c r="J150" i="27"/>
  <c r="J149" i="27"/>
  <c r="J147" i="27"/>
  <c r="J146" i="27"/>
  <c r="J145" i="27"/>
  <c r="J144" i="27"/>
  <c r="J143" i="27"/>
  <c r="J142" i="27"/>
  <c r="J141" i="27"/>
  <c r="J140" i="27"/>
  <c r="J139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J86" i="27"/>
  <c r="J85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7" i="27"/>
  <c r="J56" i="27"/>
  <c r="J55" i="27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6" i="27"/>
  <c r="M16" i="27" s="1"/>
  <c r="S16" i="27" s="1"/>
  <c r="J15" i="27"/>
  <c r="M15" i="27" s="1"/>
  <c r="T15" i="27" s="1"/>
  <c r="J14" i="27"/>
  <c r="M14" i="27" s="1"/>
  <c r="S14" i="27" s="1"/>
  <c r="J17" i="27"/>
  <c r="J13" i="27"/>
  <c r="J12" i="27"/>
  <c r="J11" i="27"/>
  <c r="J10" i="27"/>
  <c r="J9" i="27"/>
  <c r="J8" i="27"/>
  <c r="J7" i="27"/>
  <c r="J6" i="27"/>
  <c r="J5" i="27"/>
  <c r="J4" i="27"/>
  <c r="L16" i="27"/>
  <c r="L15" i="27"/>
  <c r="L14" i="27"/>
  <c r="T16" i="27" l="1"/>
  <c r="S15" i="27"/>
  <c r="T14" i="27"/>
  <c r="M201" i="27" l="1"/>
  <c r="T201" i="27" s="1"/>
  <c r="L201" i="27"/>
  <c r="M200" i="27"/>
  <c r="T200" i="27" s="1"/>
  <c r="L200" i="27"/>
  <c r="M204" i="27"/>
  <c r="M203" i="27"/>
  <c r="M53" i="49"/>
  <c r="I53" i="49"/>
  <c r="L53" i="49" s="1"/>
  <c r="S201" i="27" l="1"/>
  <c r="S200" i="27"/>
  <c r="M213" i="27" l="1"/>
  <c r="T213" i="27" s="1"/>
  <c r="L213" i="27"/>
  <c r="S213" i="27" l="1"/>
  <c r="M223" i="27" l="1"/>
  <c r="T223" i="27" s="1"/>
  <c r="L223" i="27"/>
  <c r="S223" i="27" l="1"/>
  <c r="M136" i="49"/>
  <c r="L136" i="49"/>
  <c r="M135" i="49"/>
  <c r="I135" i="49"/>
  <c r="L135" i="49" s="1"/>
  <c r="M134" i="49"/>
  <c r="I134" i="49"/>
  <c r="L134" i="49" s="1"/>
  <c r="M133" i="49"/>
  <c r="I133" i="49"/>
  <c r="L133" i="49" s="1"/>
  <c r="M132" i="49"/>
  <c r="I132" i="49"/>
  <c r="L132" i="49" s="1"/>
  <c r="M130" i="49"/>
  <c r="I130" i="49"/>
  <c r="L130" i="49" s="1"/>
  <c r="M129" i="49"/>
  <c r="I129" i="49"/>
  <c r="L129" i="49" s="1"/>
  <c r="M127" i="49"/>
  <c r="I127" i="49"/>
  <c r="L127" i="49" s="1"/>
  <c r="M126" i="49"/>
  <c r="L126" i="49"/>
  <c r="M125" i="49"/>
  <c r="L125" i="49"/>
  <c r="M124" i="49"/>
  <c r="I124" i="49"/>
  <c r="L124" i="49" s="1"/>
  <c r="M123" i="49"/>
  <c r="L123" i="49"/>
  <c r="M122" i="49"/>
  <c r="L122" i="49"/>
  <c r="M119" i="49"/>
  <c r="L119" i="49"/>
  <c r="M116" i="49"/>
  <c r="L116" i="49"/>
  <c r="M115" i="49"/>
  <c r="L115" i="49"/>
  <c r="M114" i="49"/>
  <c r="I114" i="49"/>
  <c r="L114" i="49" s="1"/>
  <c r="M113" i="49"/>
  <c r="I113" i="49"/>
  <c r="L113" i="49" s="1"/>
  <c r="M112" i="49"/>
  <c r="I112" i="49"/>
  <c r="L112" i="49" s="1"/>
  <c r="M109" i="49"/>
  <c r="I109" i="49"/>
  <c r="L109" i="49" s="1"/>
  <c r="M108" i="49"/>
  <c r="L108" i="49"/>
  <c r="M107" i="49"/>
  <c r="L107" i="49"/>
  <c r="M104" i="49"/>
  <c r="L104" i="49"/>
  <c r="M103" i="49"/>
  <c r="I103" i="49"/>
  <c r="L103" i="49" s="1"/>
  <c r="M101" i="49"/>
  <c r="I101" i="49"/>
  <c r="L101" i="49" s="1"/>
  <c r="M96" i="49"/>
  <c r="L96" i="49"/>
  <c r="M94" i="49"/>
  <c r="I94" i="49"/>
  <c r="L94" i="49" s="1"/>
  <c r="M92" i="49"/>
  <c r="I92" i="49"/>
  <c r="L92" i="49" s="1"/>
  <c r="M91" i="49"/>
  <c r="L91" i="49"/>
  <c r="M90" i="49"/>
  <c r="I90" i="49"/>
  <c r="L90" i="49" s="1"/>
  <c r="M89" i="49"/>
  <c r="I89" i="49"/>
  <c r="L89" i="49" s="1"/>
  <c r="M84" i="49"/>
  <c r="L84" i="49"/>
  <c r="M82" i="49"/>
  <c r="I82" i="49"/>
  <c r="L82" i="49" s="1"/>
  <c r="M81" i="49"/>
  <c r="I81" i="49"/>
  <c r="L81" i="49" s="1"/>
  <c r="M79" i="49"/>
  <c r="I79" i="49"/>
  <c r="L79" i="49" s="1"/>
  <c r="M78" i="49"/>
  <c r="I78" i="49"/>
  <c r="L78" i="49" s="1"/>
  <c r="M77" i="49"/>
  <c r="I77" i="49"/>
  <c r="L77" i="49" s="1"/>
  <c r="M75" i="49"/>
  <c r="L75" i="49"/>
  <c r="M74" i="49"/>
  <c r="I74" i="49"/>
  <c r="L74" i="49" s="1"/>
  <c r="M72" i="49"/>
  <c r="L72" i="49"/>
  <c r="M71" i="49"/>
  <c r="I71" i="49"/>
  <c r="L71" i="49" s="1"/>
  <c r="M70" i="49"/>
  <c r="I70" i="49"/>
  <c r="L70" i="49" s="1"/>
  <c r="M69" i="49"/>
  <c r="I69" i="49"/>
  <c r="L69" i="49" s="1"/>
  <c r="M67" i="49"/>
  <c r="L67" i="49"/>
  <c r="M64" i="49"/>
  <c r="I64" i="49"/>
  <c r="L64" i="49" s="1"/>
  <c r="M62" i="49"/>
  <c r="I62" i="49"/>
  <c r="L62" i="49" s="1"/>
  <c r="M61" i="49"/>
  <c r="I61" i="49"/>
  <c r="L61" i="49" s="1"/>
  <c r="M59" i="49"/>
  <c r="I59" i="49"/>
  <c r="L59" i="49" s="1"/>
  <c r="M58" i="49"/>
  <c r="I58" i="49"/>
  <c r="L58" i="49" s="1"/>
  <c r="M57" i="49"/>
  <c r="I57" i="49"/>
  <c r="L57" i="49" s="1"/>
  <c r="M56" i="49"/>
  <c r="I56" i="49"/>
  <c r="L56" i="49" s="1"/>
  <c r="M52" i="49"/>
  <c r="L52" i="49"/>
  <c r="M51" i="49"/>
  <c r="I51" i="49"/>
  <c r="L51" i="49" s="1"/>
  <c r="M44" i="49"/>
  <c r="L44" i="49"/>
  <c r="M42" i="49"/>
  <c r="L42" i="49"/>
  <c r="M35" i="49"/>
  <c r="I35" i="49"/>
  <c r="L35" i="49" s="1"/>
  <c r="M33" i="49"/>
  <c r="I33" i="49"/>
  <c r="L33" i="49" s="1"/>
  <c r="M32" i="49"/>
  <c r="L32" i="49"/>
  <c r="M31" i="49"/>
  <c r="I31" i="49"/>
  <c r="L31" i="49" s="1"/>
  <c r="M29" i="49"/>
  <c r="I29" i="49"/>
  <c r="L29" i="49" s="1"/>
  <c r="M28" i="49"/>
  <c r="I28" i="49"/>
  <c r="L28" i="49" s="1"/>
  <c r="M27" i="49"/>
  <c r="L27" i="49"/>
  <c r="M25" i="49"/>
  <c r="I25" i="49"/>
  <c r="L25" i="49" s="1"/>
  <c r="M24" i="49"/>
  <c r="L24" i="49"/>
  <c r="M23" i="49"/>
  <c r="L23" i="49"/>
  <c r="M22" i="49"/>
  <c r="I22" i="49"/>
  <c r="L22" i="49" s="1"/>
  <c r="M21" i="49"/>
  <c r="I21" i="49"/>
  <c r="L21" i="49" s="1"/>
  <c r="M20" i="49"/>
  <c r="L20" i="49"/>
  <c r="M17" i="49"/>
  <c r="I17" i="49"/>
  <c r="L17" i="49" s="1"/>
  <c r="M16" i="49"/>
  <c r="I16" i="49"/>
  <c r="L16" i="49" s="1"/>
  <c r="M15" i="49"/>
  <c r="I15" i="49"/>
  <c r="L15" i="49" s="1"/>
  <c r="M14" i="49"/>
  <c r="I14" i="49"/>
  <c r="L14" i="49" s="1"/>
  <c r="M13" i="49"/>
  <c r="L13" i="49"/>
  <c r="M11" i="49"/>
  <c r="L11" i="49"/>
  <c r="M7" i="49"/>
  <c r="I7" i="49"/>
  <c r="L7" i="49" s="1"/>
  <c r="M6" i="49"/>
  <c r="L6" i="49"/>
  <c r="M5" i="49"/>
  <c r="I5" i="49"/>
  <c r="L5" i="49" s="1"/>
  <c r="P17" i="47" l="1"/>
  <c r="S17" i="47" s="1"/>
  <c r="O17" i="47"/>
  <c r="Q17" i="47" s="1"/>
  <c r="T17" i="47" s="1"/>
  <c r="Q16" i="47"/>
  <c r="T16" i="47" s="1"/>
  <c r="P16" i="47"/>
  <c r="S16" i="47" s="1"/>
  <c r="O16" i="47"/>
  <c r="S15" i="47"/>
  <c r="Q15" i="47"/>
  <c r="T15" i="47" s="1"/>
  <c r="P15" i="47"/>
  <c r="O15" i="47"/>
  <c r="S14" i="47"/>
  <c r="P14" i="47"/>
  <c r="O14" i="47"/>
  <c r="Q14" i="47" s="1"/>
  <c r="T14" i="47" s="1"/>
  <c r="P13" i="47"/>
  <c r="S13" i="47" s="1"/>
  <c r="O13" i="47"/>
  <c r="Q13" i="47" s="1"/>
  <c r="T13" i="47" s="1"/>
  <c r="Q12" i="47"/>
  <c r="T12" i="47" s="1"/>
  <c r="P12" i="47"/>
  <c r="S12" i="47" s="1"/>
  <c r="O12" i="47"/>
  <c r="S11" i="47"/>
  <c r="Q11" i="47"/>
  <c r="T11" i="47" s="1"/>
  <c r="P11" i="47"/>
  <c r="O11" i="47"/>
  <c r="S10" i="47"/>
  <c r="P10" i="47"/>
  <c r="O10" i="47"/>
  <c r="Q10" i="47" s="1"/>
  <c r="T10" i="47" s="1"/>
  <c r="P9" i="47"/>
  <c r="S9" i="47" s="1"/>
  <c r="O9" i="47"/>
  <c r="Q9" i="47" s="1"/>
  <c r="T9" i="47" s="1"/>
  <c r="Q8" i="47"/>
  <c r="T8" i="47" s="1"/>
  <c r="P8" i="47"/>
  <c r="S8" i="47" s="1"/>
  <c r="O8" i="47"/>
  <c r="S7" i="47"/>
  <c r="Q7" i="47"/>
  <c r="T7" i="47" s="1"/>
  <c r="P7" i="47"/>
  <c r="O7" i="47"/>
  <c r="S6" i="47"/>
  <c r="P6" i="47"/>
  <c r="O6" i="47"/>
  <c r="Q6" i="47" s="1"/>
  <c r="T6" i="47" s="1"/>
  <c r="N4" i="39"/>
  <c r="N4" i="38"/>
  <c r="M11" i="27" l="1"/>
  <c r="M12" i="27"/>
  <c r="M13" i="27"/>
  <c r="M17" i="27"/>
  <c r="M21" i="27"/>
  <c r="M23" i="27"/>
  <c r="M22" i="27"/>
  <c r="M24" i="27"/>
  <c r="M25" i="27"/>
  <c r="M27" i="27"/>
  <c r="M26" i="27"/>
  <c r="M28" i="27"/>
  <c r="M29" i="27"/>
  <c r="M32" i="27"/>
  <c r="M33" i="27"/>
  <c r="M34" i="27"/>
  <c r="M35" i="27"/>
  <c r="M38" i="27"/>
  <c r="M36" i="27"/>
  <c r="M37" i="27"/>
  <c r="M40" i="27"/>
  <c r="M39" i="27"/>
  <c r="M41" i="27"/>
  <c r="M42" i="27"/>
  <c r="M43" i="27"/>
  <c r="M58" i="27"/>
  <c r="M60" i="27"/>
  <c r="M63" i="27"/>
  <c r="M64" i="27"/>
  <c r="M74" i="27"/>
  <c r="M76" i="27"/>
  <c r="M75" i="27"/>
  <c r="M77" i="27"/>
  <c r="M78" i="27"/>
  <c r="M89" i="27"/>
  <c r="M90" i="27"/>
  <c r="M88" i="27"/>
  <c r="M91" i="27"/>
  <c r="M92" i="27"/>
  <c r="M95" i="27"/>
  <c r="M127" i="27"/>
  <c r="M126" i="27"/>
  <c r="M150" i="27"/>
  <c r="M151" i="27"/>
  <c r="M152" i="27"/>
  <c r="M153" i="27"/>
  <c r="M154" i="27"/>
  <c r="M156" i="27"/>
  <c r="M163" i="27"/>
  <c r="M164" i="27"/>
  <c r="M165" i="27"/>
  <c r="M166" i="27"/>
  <c r="M167" i="27"/>
  <c r="M168" i="27"/>
  <c r="M169" i="27"/>
  <c r="M177" i="27"/>
  <c r="M179" i="27"/>
  <c r="M180" i="27"/>
  <c r="M181" i="27"/>
  <c r="M182" i="27"/>
  <c r="M183" i="27"/>
  <c r="M185" i="27"/>
  <c r="M184" i="27"/>
  <c r="M186" i="27"/>
  <c r="M187" i="27"/>
  <c r="M188" i="27"/>
  <c r="M189" i="27"/>
  <c r="M190" i="27"/>
  <c r="M191" i="27"/>
  <c r="M192" i="27"/>
  <c r="M193" i="27"/>
  <c r="M194" i="27"/>
  <c r="M198" i="27"/>
  <c r="M199" i="27"/>
  <c r="M202" i="27"/>
  <c r="M207" i="27"/>
  <c r="M205" i="27"/>
  <c r="M206" i="27"/>
  <c r="M208" i="27"/>
  <c r="M209" i="27"/>
  <c r="M210" i="27"/>
  <c r="M211" i="27"/>
  <c r="M212" i="27"/>
  <c r="M214" i="27"/>
  <c r="M216" i="27"/>
  <c r="M215" i="27"/>
  <c r="M217" i="27"/>
  <c r="M218" i="27"/>
  <c r="M219" i="27"/>
  <c r="M220" i="27"/>
  <c r="M221" i="27"/>
  <c r="M222" i="27"/>
  <c r="M227" i="27"/>
  <c r="M226" i="27"/>
  <c r="M224" i="27"/>
  <c r="M225" i="27"/>
  <c r="M228" i="27"/>
  <c r="M229" i="27"/>
  <c r="M232" i="27"/>
  <c r="M242" i="27"/>
  <c r="M243" i="27"/>
  <c r="M245" i="27"/>
  <c r="M244" i="27"/>
  <c r="M246" i="27"/>
  <c r="M249" i="27"/>
  <c r="M248" i="27"/>
  <c r="M247" i="27"/>
  <c r="M258" i="27"/>
  <c r="M259" i="27"/>
  <c r="M260" i="27"/>
  <c r="M261" i="27"/>
  <c r="M262" i="27"/>
  <c r="M265" i="27"/>
  <c r="M266" i="27"/>
  <c r="M267" i="27"/>
  <c r="M268" i="27"/>
  <c r="M271" i="27"/>
  <c r="M270" i="27"/>
  <c r="M272" i="27"/>
  <c r="M273" i="27"/>
  <c r="M274" i="27"/>
  <c r="M20" i="27"/>
  <c r="M73" i="27"/>
  <c r="M79" i="27"/>
  <c r="M87" i="27"/>
  <c r="M96" i="27"/>
  <c r="M97" i="27"/>
  <c r="M102" i="27"/>
  <c r="M103" i="27"/>
  <c r="M104" i="27"/>
  <c r="M105" i="27"/>
  <c r="M110" i="27"/>
  <c r="M111" i="27"/>
  <c r="M112" i="27"/>
  <c r="M113" i="27"/>
  <c r="M114" i="27"/>
  <c r="M115" i="27"/>
  <c r="M116" i="27"/>
  <c r="M118" i="27"/>
  <c r="M117" i="27"/>
  <c r="M119" i="27"/>
  <c r="M120" i="27"/>
  <c r="M121" i="27"/>
  <c r="M122" i="27"/>
  <c r="M123" i="27"/>
  <c r="M124" i="27"/>
  <c r="M125" i="27"/>
  <c r="M178" i="27"/>
  <c r="M230" i="27"/>
  <c r="M253" i="27"/>
  <c r="M256" i="27"/>
  <c r="M257" i="27"/>
  <c r="M254" i="27"/>
  <c r="M255" i="27"/>
  <c r="M4" i="27"/>
  <c r="M5" i="27"/>
  <c r="M6" i="27"/>
  <c r="M7" i="27"/>
  <c r="M8" i="27"/>
  <c r="M9" i="27"/>
  <c r="M10" i="27"/>
  <c r="M18" i="27"/>
  <c r="M19" i="27"/>
  <c r="M31" i="27"/>
  <c r="M30" i="27"/>
  <c r="M44" i="27"/>
  <c r="M45" i="27"/>
  <c r="M46" i="27"/>
  <c r="M47" i="27"/>
  <c r="M48" i="27"/>
  <c r="M49" i="27"/>
  <c r="M50" i="27"/>
  <c r="M51" i="27"/>
  <c r="M52" i="27"/>
  <c r="M53" i="27"/>
  <c r="M56" i="27"/>
  <c r="M57" i="27"/>
  <c r="M59" i="27"/>
  <c r="M61" i="27"/>
  <c r="M62" i="27"/>
  <c r="M65" i="27"/>
  <c r="M66" i="27"/>
  <c r="M67" i="27"/>
  <c r="M68" i="27"/>
  <c r="M69" i="27"/>
  <c r="M71" i="27"/>
  <c r="M70" i="27"/>
  <c r="M72" i="27"/>
  <c r="M80" i="27"/>
  <c r="M81" i="27"/>
  <c r="M82" i="27"/>
  <c r="M83" i="27"/>
  <c r="M84" i="27"/>
  <c r="M85" i="27"/>
  <c r="M86" i="27"/>
  <c r="M93" i="27"/>
  <c r="M94" i="27"/>
  <c r="M98" i="27"/>
  <c r="M99" i="27"/>
  <c r="M100" i="27"/>
  <c r="M101" i="27"/>
  <c r="M106" i="27"/>
  <c r="M107" i="27"/>
  <c r="M108" i="27"/>
  <c r="M109" i="27"/>
  <c r="M128" i="27"/>
  <c r="M129" i="27"/>
  <c r="M130" i="27"/>
  <c r="M131" i="27"/>
  <c r="M132" i="27"/>
  <c r="M133" i="27"/>
  <c r="M134" i="27"/>
  <c r="M135" i="27"/>
  <c r="M136" i="27"/>
  <c r="M137" i="27"/>
  <c r="M138" i="27"/>
  <c r="M139" i="27"/>
  <c r="M140" i="27"/>
  <c r="M141" i="27"/>
  <c r="M142" i="27"/>
  <c r="M143" i="27"/>
  <c r="M144" i="27"/>
  <c r="M146" i="27"/>
  <c r="M147" i="27"/>
  <c r="M149" i="27"/>
  <c r="M155" i="27"/>
  <c r="M157" i="27"/>
  <c r="M158" i="27"/>
  <c r="M159" i="27"/>
  <c r="M160" i="27"/>
  <c r="M161" i="27"/>
  <c r="M162" i="27"/>
  <c r="M170" i="27"/>
  <c r="M171" i="27"/>
  <c r="M172" i="27"/>
  <c r="M173" i="27"/>
  <c r="M174" i="27"/>
  <c r="M175" i="27"/>
  <c r="M176" i="27"/>
  <c r="M195" i="27"/>
  <c r="M196" i="27"/>
  <c r="M197" i="27"/>
  <c r="M231" i="27"/>
  <c r="M233" i="27"/>
  <c r="M234" i="27"/>
  <c r="M235" i="27"/>
  <c r="M250" i="27"/>
  <c r="M251" i="27"/>
  <c r="M252" i="27"/>
  <c r="M263" i="27"/>
  <c r="M264" i="27"/>
  <c r="M54" i="27"/>
  <c r="M55" i="27"/>
  <c r="M145" i="27"/>
  <c r="M269" i="27"/>
  <c r="G23" i="47"/>
  <c r="C23" i="47"/>
  <c r="K22" i="47"/>
  <c r="J22" i="47"/>
  <c r="G22" i="47"/>
  <c r="C22" i="47"/>
  <c r="G21" i="47"/>
  <c r="C21" i="47"/>
  <c r="K20" i="47"/>
  <c r="J20" i="47"/>
  <c r="G20" i="47"/>
  <c r="C20" i="47"/>
  <c r="G19" i="47"/>
  <c r="C19" i="47"/>
  <c r="K18" i="47"/>
  <c r="J18" i="47"/>
  <c r="G18" i="47"/>
  <c r="C18" i="47"/>
  <c r="K17" i="47"/>
  <c r="J17" i="47"/>
  <c r="G17" i="47"/>
  <c r="C17" i="47"/>
  <c r="D17" i="47" s="1"/>
  <c r="K16" i="47"/>
  <c r="J16" i="47"/>
  <c r="G16" i="47"/>
  <c r="C16" i="47"/>
  <c r="D16" i="47" s="1"/>
  <c r="G15" i="47"/>
  <c r="C15" i="47"/>
  <c r="D20" i="47" s="1"/>
  <c r="K14" i="47"/>
  <c r="J14" i="47"/>
  <c r="G14" i="47"/>
  <c r="C14" i="47"/>
  <c r="K13" i="47"/>
  <c r="J13" i="47"/>
  <c r="G13" i="47"/>
  <c r="C13" i="47"/>
  <c r="G12" i="47"/>
  <c r="C12" i="47"/>
  <c r="K11" i="47"/>
  <c r="J11" i="47"/>
  <c r="G11" i="47"/>
  <c r="C11" i="47"/>
  <c r="K10" i="47"/>
  <c r="J10" i="47"/>
  <c r="G10" i="47"/>
  <c r="C10" i="47"/>
  <c r="D10" i="47" s="1"/>
  <c r="K9" i="47"/>
  <c r="J9" i="47"/>
  <c r="G9" i="47"/>
  <c r="C9" i="47"/>
  <c r="G8" i="47"/>
  <c r="C8" i="47"/>
  <c r="K7" i="47"/>
  <c r="J7" i="47"/>
  <c r="G7" i="47"/>
  <c r="C7" i="47"/>
  <c r="D7" i="47" s="1"/>
  <c r="K6" i="47"/>
  <c r="J6" i="47"/>
  <c r="G6" i="47"/>
  <c r="C6" i="47"/>
  <c r="D19" i="47" l="1"/>
  <c r="D23" i="47"/>
  <c r="L11" i="27"/>
  <c r="L17" i="27"/>
  <c r="L24" i="27"/>
  <c r="L28" i="27"/>
  <c r="L34" i="27"/>
  <c r="L37" i="27"/>
  <c r="L42" i="27"/>
  <c r="L63" i="27"/>
  <c r="L75" i="27"/>
  <c r="L90" i="27"/>
  <c r="L95" i="27"/>
  <c r="L151" i="27"/>
  <c r="L156" i="27"/>
  <c r="L166" i="27"/>
  <c r="L177" i="27"/>
  <c r="L182" i="27"/>
  <c r="L186" i="27"/>
  <c r="L190" i="27"/>
  <c r="L194" i="27"/>
  <c r="L209" i="27"/>
  <c r="L214" i="27"/>
  <c r="L218" i="27"/>
  <c r="L221" i="27"/>
  <c r="L224" i="27"/>
  <c r="L232" i="27"/>
  <c r="L244" i="27"/>
  <c r="L247" i="27"/>
  <c r="L261" i="27"/>
  <c r="L267" i="27"/>
  <c r="L272" i="27"/>
  <c r="L4" i="27"/>
  <c r="L8" i="27"/>
  <c r="L19" i="27"/>
  <c r="L45" i="27"/>
  <c r="L49" i="27"/>
  <c r="L53" i="27"/>
  <c r="L61" i="27"/>
  <c r="L67" i="27"/>
  <c r="L70" i="27"/>
  <c r="L82" i="27"/>
  <c r="L86" i="27"/>
  <c r="L99" i="27"/>
  <c r="L107" i="27"/>
  <c r="L129" i="27"/>
  <c r="L133" i="27"/>
  <c r="L137" i="27"/>
  <c r="L141" i="27"/>
  <c r="L146" i="27"/>
  <c r="L155" i="27"/>
  <c r="L159" i="27"/>
  <c r="L170" i="27"/>
  <c r="L174" i="27"/>
  <c r="L196" i="27"/>
  <c r="L234" i="27"/>
  <c r="L252" i="27"/>
  <c r="L55" i="27"/>
  <c r="L12" i="27"/>
  <c r="L21" i="27"/>
  <c r="L25" i="27"/>
  <c r="L29" i="27"/>
  <c r="L35" i="27"/>
  <c r="L40" i="27"/>
  <c r="L43" i="27"/>
  <c r="L64" i="27"/>
  <c r="L77" i="27"/>
  <c r="L88" i="27"/>
  <c r="L127" i="27"/>
  <c r="L152" i="27"/>
  <c r="L163" i="27"/>
  <c r="L167" i="27"/>
  <c r="L179" i="27"/>
  <c r="L183" i="27"/>
  <c r="L187" i="27"/>
  <c r="L191" i="27"/>
  <c r="L198" i="27"/>
  <c r="L205" i="27"/>
  <c r="L210" i="27"/>
  <c r="L216" i="27"/>
  <c r="L219" i="27"/>
  <c r="L222" i="27"/>
  <c r="L225" i="27"/>
  <c r="L242" i="27"/>
  <c r="L246" i="27"/>
  <c r="L258" i="27"/>
  <c r="L262" i="27"/>
  <c r="L268" i="27"/>
  <c r="L273" i="27"/>
  <c r="L5" i="27"/>
  <c r="L9" i="27"/>
  <c r="L31" i="27"/>
  <c r="L46" i="27"/>
  <c r="L50" i="27"/>
  <c r="L56" i="27"/>
  <c r="L62" i="27"/>
  <c r="L68" i="27"/>
  <c r="L72" i="27"/>
  <c r="L83" i="27"/>
  <c r="L93" i="27"/>
  <c r="L100" i="27"/>
  <c r="L108" i="27"/>
  <c r="L130" i="27"/>
  <c r="L134" i="27"/>
  <c r="L138" i="27"/>
  <c r="L142" i="27"/>
  <c r="L147" i="27"/>
  <c r="L157" i="27"/>
  <c r="L160" i="27"/>
  <c r="L171" i="27"/>
  <c r="L175" i="27"/>
  <c r="L197" i="27"/>
  <c r="L235" i="27"/>
  <c r="L263" i="27"/>
  <c r="L145" i="27"/>
  <c r="L23" i="27"/>
  <c r="L27" i="27"/>
  <c r="L32" i="27"/>
  <c r="L38" i="27"/>
  <c r="L39" i="27"/>
  <c r="L58" i="27"/>
  <c r="L74" i="27"/>
  <c r="L78" i="27"/>
  <c r="L91" i="27"/>
  <c r="L126" i="27"/>
  <c r="L153" i="27"/>
  <c r="L164" i="27"/>
  <c r="L168" i="27"/>
  <c r="L180" i="27"/>
  <c r="L185" i="27"/>
  <c r="L188" i="27"/>
  <c r="L192" i="27"/>
  <c r="L199" i="27"/>
  <c r="L206" i="27"/>
  <c r="L211" i="27"/>
  <c r="L215" i="27"/>
  <c r="L220" i="27"/>
  <c r="L227" i="27"/>
  <c r="L228" i="27"/>
  <c r="L243" i="27"/>
  <c r="L249" i="27"/>
  <c r="L259" i="27"/>
  <c r="L265" i="27"/>
  <c r="L271" i="27"/>
  <c r="L274" i="27"/>
  <c r="L6" i="27"/>
  <c r="L10" i="27"/>
  <c r="L30" i="27"/>
  <c r="L47" i="27"/>
  <c r="L51" i="27"/>
  <c r="L57" i="27"/>
  <c r="L65" i="27"/>
  <c r="L69" i="27"/>
  <c r="L80" i="27"/>
  <c r="L84" i="27"/>
  <c r="L94" i="27"/>
  <c r="L101" i="27"/>
  <c r="L109" i="27"/>
  <c r="L131" i="27"/>
  <c r="L135" i="27"/>
  <c r="L139" i="27"/>
  <c r="L143" i="27"/>
  <c r="L149" i="27"/>
  <c r="L158" i="27"/>
  <c r="L161" i="27"/>
  <c r="L172" i="27"/>
  <c r="L176" i="27"/>
  <c r="L231" i="27"/>
  <c r="L250" i="27"/>
  <c r="L264" i="27"/>
  <c r="L269" i="27"/>
  <c r="L13" i="27"/>
  <c r="L22" i="27"/>
  <c r="L26" i="27"/>
  <c r="L33" i="27"/>
  <c r="L36" i="27"/>
  <c r="L41" i="27"/>
  <c r="L60" i="27"/>
  <c r="L76" i="27"/>
  <c r="L89" i="27"/>
  <c r="L92" i="27"/>
  <c r="L150" i="27"/>
  <c r="L154" i="27"/>
  <c r="L165" i="27"/>
  <c r="L169" i="27"/>
  <c r="L181" i="27"/>
  <c r="L184" i="27"/>
  <c r="L189" i="27"/>
  <c r="L193" i="27"/>
  <c r="L202" i="27"/>
  <c r="L207" i="27"/>
  <c r="L208" i="27"/>
  <c r="L212" i="27"/>
  <c r="L217" i="27"/>
  <c r="L226" i="27"/>
  <c r="L229" i="27"/>
  <c r="L245" i="27"/>
  <c r="L248" i="27"/>
  <c r="L260" i="27"/>
  <c r="L266" i="27"/>
  <c r="L270" i="27"/>
  <c r="L7" i="27"/>
  <c r="L18" i="27"/>
  <c r="L44" i="27"/>
  <c r="L48" i="27"/>
  <c r="L52" i="27"/>
  <c r="L59" i="27"/>
  <c r="L66" i="27"/>
  <c r="L71" i="27"/>
  <c r="L81" i="27"/>
  <c r="L85" i="27"/>
  <c r="L98" i="27"/>
  <c r="L106" i="27"/>
  <c r="L128" i="27"/>
  <c r="L132" i="27"/>
  <c r="L136" i="27"/>
  <c r="L140" i="27"/>
  <c r="L144" i="27"/>
  <c r="L162" i="27"/>
  <c r="L173" i="27"/>
  <c r="L195" i="27"/>
  <c r="L233" i="27"/>
  <c r="L251" i="27"/>
  <c r="L54" i="27"/>
  <c r="D9" i="47"/>
  <c r="D12" i="47"/>
  <c r="L105" i="27" s="1"/>
  <c r="D8" i="47"/>
  <c r="D13" i="47"/>
  <c r="D11" i="47"/>
  <c r="T54" i="27"/>
  <c r="S54" i="27"/>
  <c r="S12" i="27"/>
  <c r="T12" i="27"/>
  <c r="T17" i="27"/>
  <c r="T23" i="27"/>
  <c r="T24" i="27"/>
  <c r="T27" i="27"/>
  <c r="T28" i="27"/>
  <c r="T32" i="27"/>
  <c r="T34" i="27"/>
  <c r="T38" i="27"/>
  <c r="T37" i="27"/>
  <c r="T39" i="27"/>
  <c r="T42" i="27"/>
  <c r="T58" i="27"/>
  <c r="T63" i="27"/>
  <c r="T74" i="27"/>
  <c r="T75" i="27"/>
  <c r="T78" i="27"/>
  <c r="T90" i="27"/>
  <c r="T91" i="27"/>
  <c r="T95" i="27"/>
  <c r="T126" i="27"/>
  <c r="T151" i="27"/>
  <c r="T153" i="27"/>
  <c r="T156" i="27"/>
  <c r="T164" i="27"/>
  <c r="T166" i="27"/>
  <c r="T168" i="27"/>
  <c r="T177" i="27"/>
  <c r="T180" i="27"/>
  <c r="T182" i="27"/>
  <c r="T185" i="27"/>
  <c r="T186" i="27"/>
  <c r="T188" i="27"/>
  <c r="T190" i="27"/>
  <c r="T192" i="27"/>
  <c r="T194" i="27"/>
  <c r="T199" i="27"/>
  <c r="T206" i="27"/>
  <c r="T209" i="27"/>
  <c r="T211" i="27"/>
  <c r="T214" i="27"/>
  <c r="T215" i="27"/>
  <c r="T218" i="27"/>
  <c r="T220" i="27"/>
  <c r="T221" i="27"/>
  <c r="T227" i="27"/>
  <c r="T224" i="27"/>
  <c r="T228" i="27"/>
  <c r="T232" i="27"/>
  <c r="T243" i="27"/>
  <c r="T244" i="27"/>
  <c r="T249" i="27"/>
  <c r="T247" i="27"/>
  <c r="T259" i="27"/>
  <c r="T261" i="27"/>
  <c r="T265" i="27"/>
  <c r="T267" i="27"/>
  <c r="T271" i="27"/>
  <c r="T272" i="27"/>
  <c r="T274" i="27"/>
  <c r="T73" i="27"/>
  <c r="T87" i="27"/>
  <c r="T97" i="27"/>
  <c r="T103" i="27"/>
  <c r="T105" i="27"/>
  <c r="T111" i="27"/>
  <c r="T113" i="27"/>
  <c r="T115" i="27"/>
  <c r="T118" i="27"/>
  <c r="T119" i="27"/>
  <c r="T121" i="27"/>
  <c r="T123" i="27"/>
  <c r="T125" i="27"/>
  <c r="T230" i="27"/>
  <c r="T256" i="27"/>
  <c r="T254" i="27"/>
  <c r="T4" i="27"/>
  <c r="T6" i="27"/>
  <c r="T8" i="27"/>
  <c r="T10" i="27"/>
  <c r="T19" i="27"/>
  <c r="S21" i="27"/>
  <c r="S22" i="27"/>
  <c r="S25" i="27"/>
  <c r="S26" i="27"/>
  <c r="S29" i="27"/>
  <c r="S33" i="27"/>
  <c r="S35" i="27"/>
  <c r="S36" i="27"/>
  <c r="S40" i="27"/>
  <c r="S41" i="27"/>
  <c r="S43" i="27"/>
  <c r="S60" i="27"/>
  <c r="S64" i="27"/>
  <c r="S76" i="27"/>
  <c r="S77" i="27"/>
  <c r="S89" i="27"/>
  <c r="S88" i="27"/>
  <c r="S92" i="27"/>
  <c r="S127" i="27"/>
  <c r="S150" i="27"/>
  <c r="S152" i="27"/>
  <c r="S154" i="27"/>
  <c r="S163" i="27"/>
  <c r="S165" i="27"/>
  <c r="S167" i="27"/>
  <c r="S169" i="27"/>
  <c r="S179" i="27"/>
  <c r="S181" i="27"/>
  <c r="S183" i="27"/>
  <c r="S184" i="27"/>
  <c r="S187" i="27"/>
  <c r="S189" i="27"/>
  <c r="S191" i="27"/>
  <c r="S193" i="27"/>
  <c r="S198" i="27"/>
  <c r="S202" i="27"/>
  <c r="S207" i="27"/>
  <c r="S205" i="27"/>
  <c r="S208" i="27"/>
  <c r="S210" i="27"/>
  <c r="S212" i="27"/>
  <c r="S216" i="27"/>
  <c r="S217" i="27"/>
  <c r="S219" i="27"/>
  <c r="S222" i="27"/>
  <c r="S226" i="27"/>
  <c r="S225" i="27"/>
  <c r="S229" i="27"/>
  <c r="S242" i="27"/>
  <c r="S245" i="27"/>
  <c r="S246" i="27"/>
  <c r="S248" i="27"/>
  <c r="S258" i="27"/>
  <c r="S260" i="27"/>
  <c r="S262" i="27"/>
  <c r="S266" i="27"/>
  <c r="S268" i="27"/>
  <c r="S270" i="27"/>
  <c r="S273" i="27"/>
  <c r="S20" i="27"/>
  <c r="S79" i="27"/>
  <c r="S96" i="27"/>
  <c r="S102" i="27"/>
  <c r="S104" i="27"/>
  <c r="S110" i="27"/>
  <c r="S112" i="27"/>
  <c r="S114" i="27"/>
  <c r="S116" i="27"/>
  <c r="S117" i="27"/>
  <c r="S120" i="27"/>
  <c r="S122" i="27"/>
  <c r="S124" i="27"/>
  <c r="S178" i="27"/>
  <c r="S253" i="27"/>
  <c r="S257" i="27"/>
  <c r="S255" i="27"/>
  <c r="S5" i="27"/>
  <c r="S7" i="27"/>
  <c r="S9" i="27"/>
  <c r="S18" i="27"/>
  <c r="S31" i="27"/>
  <c r="S13" i="27"/>
  <c r="T13" i="27"/>
  <c r="T21" i="27"/>
  <c r="T22" i="27"/>
  <c r="T25" i="27"/>
  <c r="T26" i="27"/>
  <c r="T29" i="27"/>
  <c r="T33" i="27"/>
  <c r="T35" i="27"/>
  <c r="T36" i="27"/>
  <c r="T40" i="27"/>
  <c r="T41" i="27"/>
  <c r="T43" i="27"/>
  <c r="T60" i="27"/>
  <c r="T64" i="27"/>
  <c r="T76" i="27"/>
  <c r="T77" i="27"/>
  <c r="T89" i="27"/>
  <c r="T88" i="27"/>
  <c r="T92" i="27"/>
  <c r="T127" i="27"/>
  <c r="T150" i="27"/>
  <c r="T152" i="27"/>
  <c r="T154" i="27"/>
  <c r="T163" i="27"/>
  <c r="T165" i="27"/>
  <c r="T167" i="27"/>
  <c r="T169" i="27"/>
  <c r="T179" i="27"/>
  <c r="T181" i="27"/>
  <c r="T183" i="27"/>
  <c r="T184" i="27"/>
  <c r="T187" i="27"/>
  <c r="T189" i="27"/>
  <c r="T191" i="27"/>
  <c r="T193" i="27"/>
  <c r="T198" i="27"/>
  <c r="T202" i="27"/>
  <c r="T207" i="27"/>
  <c r="T205" i="27"/>
  <c r="T208" i="27"/>
  <c r="T210" i="27"/>
  <c r="T212" i="27"/>
  <c r="T216" i="27"/>
  <c r="T217" i="27"/>
  <c r="T219" i="27"/>
  <c r="T222" i="27"/>
  <c r="T226" i="27"/>
  <c r="T225" i="27"/>
  <c r="T229" i="27"/>
  <c r="T242" i="27"/>
  <c r="T245" i="27"/>
  <c r="T246" i="27"/>
  <c r="T248" i="27"/>
  <c r="T258" i="27"/>
  <c r="T260" i="27"/>
  <c r="T262" i="27"/>
  <c r="T266" i="27"/>
  <c r="T268" i="27"/>
  <c r="T270" i="27"/>
  <c r="T273" i="27"/>
  <c r="T20" i="27"/>
  <c r="T79" i="27"/>
  <c r="T96" i="27"/>
  <c r="T102" i="27"/>
  <c r="T104" i="27"/>
  <c r="T110" i="27"/>
  <c r="T112" i="27"/>
  <c r="T114" i="27"/>
  <c r="T116" i="27"/>
  <c r="T117" i="27"/>
  <c r="T120" i="27"/>
  <c r="T122" i="27"/>
  <c r="T124" i="27"/>
  <c r="T178" i="27"/>
  <c r="T253" i="27"/>
  <c r="T257" i="27"/>
  <c r="T255" i="27"/>
  <c r="T5" i="27"/>
  <c r="T7" i="27"/>
  <c r="T9" i="27"/>
  <c r="T18" i="27"/>
  <c r="T31" i="27"/>
  <c r="S11" i="27"/>
  <c r="T11" i="27"/>
  <c r="S17" i="27"/>
  <c r="S23" i="27"/>
  <c r="S24" i="27"/>
  <c r="S27" i="27"/>
  <c r="S28" i="27"/>
  <c r="S32" i="27"/>
  <c r="S34" i="27"/>
  <c r="S38" i="27"/>
  <c r="S37" i="27"/>
  <c r="S39" i="27"/>
  <c r="S42" i="27"/>
  <c r="S58" i="27"/>
  <c r="S63" i="27"/>
  <c r="S74" i="27"/>
  <c r="S75" i="27"/>
  <c r="S78" i="27"/>
  <c r="S90" i="27"/>
  <c r="S91" i="27"/>
  <c r="S95" i="27"/>
  <c r="S126" i="27"/>
  <c r="S151" i="27"/>
  <c r="S153" i="27"/>
  <c r="S156" i="27"/>
  <c r="S164" i="27"/>
  <c r="S166" i="27"/>
  <c r="S168" i="27"/>
  <c r="S177" i="27"/>
  <c r="S180" i="27"/>
  <c r="S182" i="27"/>
  <c r="S185" i="27"/>
  <c r="S186" i="27"/>
  <c r="S188" i="27"/>
  <c r="S190" i="27"/>
  <c r="S192" i="27"/>
  <c r="S194" i="27"/>
  <c r="S199" i="27"/>
  <c r="S206" i="27"/>
  <c r="S209" i="27"/>
  <c r="S211" i="27"/>
  <c r="S214" i="27"/>
  <c r="S215" i="27"/>
  <c r="S218" i="27"/>
  <c r="S220" i="27"/>
  <c r="S221" i="27"/>
  <c r="S227" i="27"/>
  <c r="S224" i="27"/>
  <c r="S228" i="27"/>
  <c r="S232" i="27"/>
  <c r="S243" i="27"/>
  <c r="S244" i="27"/>
  <c r="S249" i="27"/>
  <c r="S247" i="27"/>
  <c r="S259" i="27"/>
  <c r="S261" i="27"/>
  <c r="S265" i="27"/>
  <c r="S267" i="27"/>
  <c r="S271" i="27"/>
  <c r="S272" i="27"/>
  <c r="S274" i="27"/>
  <c r="S73" i="27"/>
  <c r="S87" i="27"/>
  <c r="S97" i="27"/>
  <c r="S103" i="27"/>
  <c r="S105" i="27"/>
  <c r="S111" i="27"/>
  <c r="S113" i="27"/>
  <c r="S115" i="27"/>
  <c r="S118" i="27"/>
  <c r="S119" i="27"/>
  <c r="S121" i="27"/>
  <c r="S123" i="27"/>
  <c r="S125" i="27"/>
  <c r="S230" i="27"/>
  <c r="S256" i="27"/>
  <c r="S254" i="27"/>
  <c r="S4" i="27"/>
  <c r="S6" i="27"/>
  <c r="S8" i="27"/>
  <c r="S10" i="27"/>
  <c r="S19" i="27"/>
  <c r="T30" i="27"/>
  <c r="T45" i="27"/>
  <c r="T47" i="27"/>
  <c r="T49" i="27"/>
  <c r="T51" i="27"/>
  <c r="T53" i="27"/>
  <c r="T57" i="27"/>
  <c r="T61" i="27"/>
  <c r="T65" i="27"/>
  <c r="T67" i="27"/>
  <c r="T70" i="27"/>
  <c r="T80" i="27"/>
  <c r="T82" i="27"/>
  <c r="T84" i="27"/>
  <c r="T86" i="27"/>
  <c r="T94" i="27"/>
  <c r="T99" i="27"/>
  <c r="T101" i="27"/>
  <c r="T107" i="27"/>
  <c r="T109" i="27"/>
  <c r="T129" i="27"/>
  <c r="T131" i="27"/>
  <c r="T133" i="27"/>
  <c r="T135" i="27"/>
  <c r="T137" i="27"/>
  <c r="T139" i="27"/>
  <c r="T141" i="27"/>
  <c r="T143" i="27"/>
  <c r="T146" i="27"/>
  <c r="T149" i="27"/>
  <c r="T155" i="27"/>
  <c r="T158" i="27"/>
  <c r="T159" i="27"/>
  <c r="T161" i="27"/>
  <c r="T170" i="27"/>
  <c r="T172" i="27"/>
  <c r="T176" i="27"/>
  <c r="T196" i="27"/>
  <c r="T231" i="27"/>
  <c r="T234" i="27"/>
  <c r="T250" i="27"/>
  <c r="T252" i="27"/>
  <c r="T264" i="27"/>
  <c r="S44" i="27"/>
  <c r="S46" i="27"/>
  <c r="S48" i="27"/>
  <c r="S50" i="27"/>
  <c r="S52" i="27"/>
  <c r="S56" i="27"/>
  <c r="S59" i="27"/>
  <c r="S62" i="27"/>
  <c r="S66" i="27"/>
  <c r="S68" i="27"/>
  <c r="S71" i="27"/>
  <c r="S72" i="27"/>
  <c r="S81" i="27"/>
  <c r="S83" i="27"/>
  <c r="S85" i="27"/>
  <c r="S93" i="27"/>
  <c r="S98" i="27"/>
  <c r="S100" i="27"/>
  <c r="S106" i="27"/>
  <c r="S108" i="27"/>
  <c r="S128" i="27"/>
  <c r="S132" i="27"/>
  <c r="S134" i="27"/>
  <c r="S136" i="27"/>
  <c r="S138" i="27"/>
  <c r="S140" i="27"/>
  <c r="S142" i="27"/>
  <c r="S144" i="27"/>
  <c r="S147" i="27"/>
  <c r="S157" i="27"/>
  <c r="S160" i="27"/>
  <c r="S162" i="27"/>
  <c r="S171" i="27"/>
  <c r="S173" i="27"/>
  <c r="S175" i="27"/>
  <c r="S195" i="27"/>
  <c r="S197" i="27"/>
  <c r="S233" i="27"/>
  <c r="S235" i="27"/>
  <c r="S251" i="27"/>
  <c r="S263" i="27"/>
  <c r="T269" i="27"/>
  <c r="T44" i="27"/>
  <c r="T46" i="27"/>
  <c r="T48" i="27"/>
  <c r="T50" i="27"/>
  <c r="T52" i="27"/>
  <c r="T56" i="27"/>
  <c r="T59" i="27"/>
  <c r="T62" i="27"/>
  <c r="T66" i="27"/>
  <c r="T68" i="27"/>
  <c r="T71" i="27"/>
  <c r="T72" i="27"/>
  <c r="T81" i="27"/>
  <c r="T83" i="27"/>
  <c r="T85" i="27"/>
  <c r="T93" i="27"/>
  <c r="T98" i="27"/>
  <c r="T100" i="27"/>
  <c r="T106" i="27"/>
  <c r="T108" i="27"/>
  <c r="T128" i="27"/>
  <c r="T132" i="27"/>
  <c r="T134" i="27"/>
  <c r="T136" i="27"/>
  <c r="T138" i="27"/>
  <c r="T140" i="27"/>
  <c r="T142" i="27"/>
  <c r="T144" i="27"/>
  <c r="T147" i="27"/>
  <c r="T157" i="27"/>
  <c r="T160" i="27"/>
  <c r="T162" i="27"/>
  <c r="T171" i="27"/>
  <c r="T173" i="27"/>
  <c r="T175" i="27"/>
  <c r="T195" i="27"/>
  <c r="T197" i="27"/>
  <c r="T233" i="27"/>
  <c r="T235" i="27"/>
  <c r="T251" i="27"/>
  <c r="T263" i="27"/>
  <c r="S269" i="27"/>
  <c r="S30" i="27"/>
  <c r="S45" i="27"/>
  <c r="S47" i="27"/>
  <c r="S49" i="27"/>
  <c r="S51" i="27"/>
  <c r="S53" i="27"/>
  <c r="S57" i="27"/>
  <c r="S61" i="27"/>
  <c r="S65" i="27"/>
  <c r="S67" i="27"/>
  <c r="S70" i="27"/>
  <c r="S80" i="27"/>
  <c r="S82" i="27"/>
  <c r="S84" i="27"/>
  <c r="S86" i="27"/>
  <c r="S94" i="27"/>
  <c r="S99" i="27"/>
  <c r="S101" i="27"/>
  <c r="S107" i="27"/>
  <c r="S109" i="27"/>
  <c r="S129" i="27"/>
  <c r="S131" i="27"/>
  <c r="S133" i="27"/>
  <c r="S135" i="27"/>
  <c r="S137" i="27"/>
  <c r="S139" i="27"/>
  <c r="S141" i="27"/>
  <c r="S143" i="27"/>
  <c r="S146" i="27"/>
  <c r="S149" i="27"/>
  <c r="S155" i="27"/>
  <c r="S158" i="27"/>
  <c r="S159" i="27"/>
  <c r="S161" i="27"/>
  <c r="S170" i="27"/>
  <c r="S172" i="27"/>
  <c r="S176" i="27"/>
  <c r="S196" i="27"/>
  <c r="S231" i="27"/>
  <c r="S234" i="27"/>
  <c r="S250" i="27"/>
  <c r="S252" i="27"/>
  <c r="S264" i="27"/>
  <c r="D18" i="47"/>
  <c r="L255" i="27" l="1"/>
  <c r="L116" i="27"/>
  <c r="L20" i="27"/>
  <c r="L123" i="27"/>
  <c r="L103" i="27"/>
  <c r="L257" i="27"/>
  <c r="L114" i="27"/>
  <c r="L121" i="27"/>
  <c r="L97" i="27"/>
  <c r="L253" i="27"/>
  <c r="L112" i="27"/>
  <c r="L119" i="27"/>
  <c r="L87" i="27"/>
  <c r="L178" i="27"/>
  <c r="L110" i="27"/>
  <c r="L118" i="27"/>
  <c r="L73" i="27"/>
  <c r="L124" i="27"/>
  <c r="L104" i="27"/>
  <c r="L254" i="27"/>
  <c r="L115" i="27"/>
  <c r="L122" i="27"/>
  <c r="L102" i="27"/>
  <c r="L256" i="27"/>
  <c r="L113" i="27"/>
  <c r="L120" i="27"/>
  <c r="L96" i="27"/>
  <c r="L230" i="27"/>
  <c r="L111" i="27"/>
  <c r="L117" i="27"/>
  <c r="L79" i="27"/>
  <c r="L125" i="27"/>
  <c r="G17" i="33" l="1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V105" i="25"/>
  <c r="V106" i="25"/>
  <c r="V104" i="25"/>
  <c r="V38" i="25" l="1"/>
  <c r="V39" i="25"/>
  <c r="V40" i="25"/>
  <c r="V37" i="25"/>
  <c r="F7" i="33"/>
  <c r="F8" i="33"/>
  <c r="F11" i="33"/>
  <c r="F12" i="33"/>
  <c r="F16" i="33"/>
  <c r="E14" i="33"/>
  <c r="F14" i="33" s="1"/>
  <c r="E15" i="33"/>
  <c r="F15" i="33" s="1"/>
  <c r="E16" i="33"/>
  <c r="E17" i="33"/>
  <c r="F17" i="33" s="1"/>
  <c r="E13" i="33"/>
  <c r="F13" i="33" s="1"/>
  <c r="E5" i="33"/>
  <c r="F5" i="33" s="1"/>
  <c r="E6" i="33"/>
  <c r="F6" i="33" s="1"/>
  <c r="E7" i="33"/>
  <c r="E8" i="33"/>
  <c r="E9" i="33"/>
  <c r="F9" i="33" s="1"/>
  <c r="E10" i="33"/>
  <c r="F10" i="33" s="1"/>
  <c r="E11" i="33"/>
  <c r="E12" i="33"/>
  <c r="E4" i="33"/>
  <c r="F4" i="33" s="1"/>
  <c r="U28" i="25" l="1"/>
  <c r="V28" i="25" s="1"/>
  <c r="U27" i="25"/>
  <c r="V27" i="25" s="1"/>
  <c r="S28" i="25"/>
  <c r="T28" i="25" s="1"/>
  <c r="S27" i="25"/>
  <c r="T27" i="25" s="1"/>
  <c r="S103" i="25"/>
  <c r="T103" i="25" s="1"/>
  <c r="S18" i="25"/>
  <c r="T18" i="25" s="1"/>
  <c r="S19" i="25"/>
  <c r="T19" i="25" s="1"/>
  <c r="S102" i="25"/>
  <c r="T102" i="25" s="1"/>
  <c r="S16" i="25"/>
  <c r="T16" i="25" s="1"/>
  <c r="S89" i="25"/>
  <c r="T89" i="25" s="1"/>
  <c r="S80" i="25"/>
  <c r="T80" i="25" s="1"/>
  <c r="S81" i="25"/>
  <c r="T81" i="25" s="1"/>
  <c r="S82" i="25"/>
  <c r="T82" i="25" s="1"/>
  <c r="S83" i="25"/>
  <c r="T83" i="25" s="1"/>
  <c r="S84" i="25"/>
  <c r="T84" i="25" s="1"/>
  <c r="S85" i="25"/>
  <c r="T85" i="25" s="1"/>
  <c r="S86" i="25"/>
  <c r="T86" i="25" s="1"/>
  <c r="S87" i="25"/>
  <c r="T87" i="25" s="1"/>
  <c r="S88" i="25"/>
  <c r="T88" i="25" s="1"/>
  <c r="S55" i="25"/>
  <c r="T55" i="25" s="1"/>
  <c r="S56" i="25"/>
  <c r="T56" i="25" s="1"/>
  <c r="S57" i="25"/>
  <c r="T57" i="25" s="1"/>
  <c r="S58" i="25"/>
  <c r="T58" i="25" s="1"/>
  <c r="S59" i="25"/>
  <c r="T59" i="25" s="1"/>
  <c r="S60" i="25"/>
  <c r="T60" i="25" s="1"/>
  <c r="S20" i="25"/>
  <c r="T20" i="25" s="1"/>
  <c r="S21" i="25"/>
  <c r="T21" i="25" s="1"/>
  <c r="S22" i="25"/>
  <c r="T22" i="25" s="1"/>
  <c r="S23" i="25"/>
  <c r="T23" i="25" s="1"/>
  <c r="S24" i="25"/>
  <c r="T24" i="25" s="1"/>
  <c r="S25" i="25"/>
  <c r="T25" i="25" s="1"/>
  <c r="S26" i="25"/>
  <c r="T26" i="25" s="1"/>
  <c r="S61" i="25"/>
  <c r="T61" i="25" s="1"/>
  <c r="S62" i="25"/>
  <c r="T62" i="25" s="1"/>
  <c r="S63" i="25"/>
  <c r="T63" i="25" s="1"/>
  <c r="S64" i="25"/>
  <c r="T64" i="25" s="1"/>
  <c r="S65" i="25"/>
  <c r="T65" i="25" s="1"/>
  <c r="S66" i="25"/>
  <c r="T66" i="25" s="1"/>
  <c r="S67" i="25"/>
  <c r="T67" i="25" s="1"/>
  <c r="S68" i="25"/>
  <c r="T68" i="25" s="1"/>
  <c r="S69" i="25"/>
  <c r="T69" i="25" s="1"/>
  <c r="S70" i="25"/>
  <c r="T70" i="25" s="1"/>
  <c r="S43" i="25"/>
  <c r="T43" i="25" s="1"/>
  <c r="S44" i="25"/>
  <c r="T44" i="25" s="1"/>
  <c r="S45" i="25"/>
  <c r="T45" i="25" s="1"/>
  <c r="S46" i="25"/>
  <c r="T46" i="25" s="1"/>
  <c r="S47" i="25"/>
  <c r="T47" i="25" s="1"/>
  <c r="S48" i="25"/>
  <c r="T48" i="25" s="1"/>
  <c r="S49" i="25"/>
  <c r="T49" i="25" s="1"/>
  <c r="S50" i="25"/>
  <c r="T50" i="25" s="1"/>
  <c r="S51" i="25"/>
  <c r="T51" i="25" s="1"/>
  <c r="S52" i="25"/>
  <c r="T52" i="25" s="1"/>
  <c r="S53" i="25"/>
  <c r="T53" i="25" s="1"/>
  <c r="S54" i="25"/>
  <c r="T54" i="25" s="1"/>
  <c r="S79" i="25"/>
  <c r="T79" i="25" s="1"/>
  <c r="S38" i="25"/>
  <c r="T38" i="25" s="1"/>
  <c r="S39" i="25"/>
  <c r="T39" i="25" s="1"/>
  <c r="S40" i="25"/>
  <c r="T40" i="25" s="1"/>
  <c r="S31" i="25"/>
  <c r="T31" i="25" s="1"/>
  <c r="S32" i="25"/>
  <c r="T32" i="25" s="1"/>
  <c r="S33" i="25"/>
  <c r="T33" i="25" s="1"/>
  <c r="S34" i="25"/>
  <c r="T34" i="25" s="1"/>
  <c r="S35" i="25"/>
  <c r="T35" i="25" s="1"/>
  <c r="S36" i="25"/>
  <c r="T36" i="25" s="1"/>
  <c r="S107" i="25"/>
  <c r="T107" i="25" s="1"/>
  <c r="S108" i="25"/>
  <c r="T108" i="25" s="1"/>
  <c r="S109" i="25"/>
  <c r="T109" i="25" s="1"/>
  <c r="S110" i="25"/>
  <c r="T110" i="25" s="1"/>
  <c r="S111" i="25"/>
  <c r="T111" i="25" s="1"/>
  <c r="S112" i="25"/>
  <c r="T112" i="25" s="1"/>
  <c r="S113" i="25"/>
  <c r="T113" i="25" s="1"/>
  <c r="S5" i="25"/>
  <c r="T5" i="25" s="1"/>
  <c r="S6" i="25"/>
  <c r="T6" i="25" s="1"/>
  <c r="S7" i="25"/>
  <c r="T7" i="25" s="1"/>
  <c r="S8" i="25"/>
  <c r="T8" i="25" s="1"/>
  <c r="S9" i="25"/>
  <c r="T9" i="25" s="1"/>
  <c r="S10" i="25"/>
  <c r="T10" i="25" s="1"/>
  <c r="S11" i="25"/>
  <c r="T11" i="25" s="1"/>
  <c r="S12" i="25"/>
  <c r="T12" i="25" s="1"/>
  <c r="S90" i="25"/>
  <c r="T90" i="25" s="1"/>
  <c r="S91" i="25"/>
  <c r="T91" i="25" s="1"/>
  <c r="S92" i="25"/>
  <c r="T92" i="25" s="1"/>
  <c r="S93" i="25"/>
  <c r="T93" i="25" s="1"/>
  <c r="S94" i="25"/>
  <c r="T94" i="25" s="1"/>
  <c r="S95" i="25"/>
  <c r="T95" i="25" s="1"/>
  <c r="S30" i="25"/>
  <c r="T30" i="25" s="1"/>
  <c r="S96" i="25"/>
  <c r="T96" i="25" s="1"/>
  <c r="S97" i="25"/>
  <c r="T97" i="25" s="1"/>
  <c r="S98" i="25"/>
  <c r="T98" i="25" s="1"/>
  <c r="S99" i="25"/>
  <c r="T99" i="25" s="1"/>
  <c r="S100" i="25"/>
  <c r="T100" i="25" s="1"/>
  <c r="S101" i="25"/>
  <c r="T101" i="25" s="1"/>
  <c r="S71" i="25"/>
  <c r="T71" i="25" s="1"/>
  <c r="S72" i="25"/>
  <c r="T72" i="25" s="1"/>
  <c r="S73" i="25"/>
  <c r="T73" i="25" s="1"/>
  <c r="S74" i="25"/>
  <c r="T74" i="25" s="1"/>
  <c r="S75" i="25"/>
  <c r="T75" i="25" s="1"/>
  <c r="S76" i="25"/>
  <c r="T76" i="25" s="1"/>
  <c r="S77" i="25"/>
  <c r="T77" i="25" s="1"/>
  <c r="S78" i="25"/>
  <c r="T78" i="25" s="1"/>
  <c r="S17" i="25"/>
  <c r="T17" i="25" s="1"/>
  <c r="S29" i="25"/>
  <c r="T29" i="25" s="1"/>
  <c r="S4" i="25"/>
  <c r="T4" i="25" s="1"/>
  <c r="S42" i="25"/>
  <c r="T42" i="25" s="1"/>
  <c r="S41" i="25"/>
  <c r="T41" i="25" s="1"/>
  <c r="S15" i="25"/>
  <c r="T15" i="25" s="1"/>
  <c r="S13" i="25"/>
  <c r="T13" i="25" s="1"/>
  <c r="S14" i="25"/>
  <c r="T14" i="25" s="1"/>
  <c r="S104" i="25"/>
  <c r="T104" i="25" s="1"/>
  <c r="S105" i="25"/>
  <c r="T105" i="25" s="1"/>
  <c r="S106" i="25"/>
  <c r="T106" i="25" s="1"/>
  <c r="S37" i="25"/>
  <c r="T37" i="25" s="1"/>
  <c r="I3" i="39" l="1"/>
  <c r="I4" i="39" s="1"/>
  <c r="H3" i="39"/>
  <c r="H4" i="39" s="1"/>
  <c r="G3" i="39"/>
  <c r="G4" i="39" s="1"/>
  <c r="F3" i="39"/>
  <c r="F4" i="39" s="1"/>
  <c r="E3" i="39"/>
  <c r="E4" i="39" s="1"/>
  <c r="AL4" i="34" l="1"/>
  <c r="AK4" i="34"/>
  <c r="AM4" i="34" l="1"/>
  <c r="AH14" i="35"/>
  <c r="AJ14" i="35" s="1"/>
  <c r="AH13" i="35"/>
  <c r="AJ13" i="35" s="1"/>
  <c r="AH12" i="35"/>
  <c r="AJ12" i="35" s="1"/>
  <c r="AH11" i="35"/>
  <c r="AJ11" i="35" s="1"/>
  <c r="AH9" i="35"/>
  <c r="AJ9" i="35" s="1"/>
  <c r="AH8" i="35"/>
  <c r="AJ8" i="35" s="1"/>
  <c r="AH7" i="35"/>
  <c r="AJ7" i="35" s="1"/>
  <c r="AH6" i="35"/>
  <c r="AJ6" i="35" s="1"/>
  <c r="AH5" i="35"/>
  <c r="AJ5" i="35" s="1"/>
  <c r="AH4" i="35"/>
  <c r="AJ4" i="35" s="1"/>
  <c r="AH10" i="35"/>
  <c r="AJ10" i="35" s="1"/>
  <c r="AN4" i="34"/>
  <c r="AP4" i="34" s="1"/>
  <c r="AD4" i="34"/>
  <c r="AE4" i="34" s="1"/>
  <c r="V17" i="25"/>
  <c r="AF4" i="34" l="1"/>
  <c r="AG4" i="34" s="1"/>
  <c r="AH4" i="34" s="1"/>
  <c r="AI4" i="34" s="1"/>
  <c r="AJ4" i="34" s="1"/>
  <c r="U19" i="25" l="1"/>
  <c r="U18" i="25"/>
  <c r="U103" i="25"/>
  <c r="U102" i="25"/>
  <c r="U30" i="25"/>
  <c r="U16" i="25"/>
  <c r="U89" i="25"/>
  <c r="U70" i="25"/>
  <c r="U69" i="25"/>
  <c r="U68" i="25"/>
  <c r="U67" i="25"/>
  <c r="U66" i="25"/>
  <c r="U65" i="25"/>
  <c r="U64" i="25"/>
  <c r="U63" i="25"/>
  <c r="U62" i="25"/>
  <c r="U61" i="25"/>
  <c r="U88" i="25"/>
  <c r="U87" i="25"/>
  <c r="U86" i="25"/>
  <c r="U85" i="25"/>
  <c r="U84" i="25"/>
  <c r="U83" i="25"/>
  <c r="U82" i="25"/>
  <c r="U81" i="25"/>
  <c r="U80" i="25"/>
  <c r="U79" i="25"/>
  <c r="U54" i="25"/>
  <c r="U53" i="25"/>
  <c r="U52" i="25"/>
  <c r="U51" i="25"/>
  <c r="U50" i="25"/>
  <c r="U49" i="25"/>
  <c r="U48" i="25"/>
  <c r="U47" i="25"/>
  <c r="U46" i="25"/>
  <c r="U45" i="25"/>
  <c r="U44" i="25"/>
  <c r="U43" i="25"/>
  <c r="U26" i="25"/>
  <c r="U25" i="25"/>
  <c r="U24" i="25"/>
  <c r="U23" i="25"/>
  <c r="U22" i="25"/>
  <c r="U21" i="25"/>
  <c r="U20" i="25"/>
  <c r="U60" i="25"/>
  <c r="U59" i="25"/>
  <c r="U58" i="25"/>
  <c r="U57" i="25"/>
  <c r="U56" i="25"/>
  <c r="U55" i="25"/>
  <c r="U106" i="25"/>
  <c r="U105" i="25"/>
  <c r="U104" i="25"/>
  <c r="U78" i="25"/>
  <c r="U77" i="25"/>
  <c r="U76" i="25"/>
  <c r="U75" i="25"/>
  <c r="U74" i="25"/>
  <c r="U73" i="25"/>
  <c r="U72" i="25"/>
  <c r="U71" i="25"/>
  <c r="U101" i="25"/>
  <c r="U100" i="25"/>
  <c r="U99" i="25"/>
  <c r="U98" i="25"/>
  <c r="U97" i="25"/>
  <c r="U96" i="25"/>
  <c r="U95" i="25"/>
  <c r="U94" i="25"/>
  <c r="U93" i="25"/>
  <c r="U92" i="25"/>
  <c r="U91" i="25"/>
  <c r="U90" i="25"/>
  <c r="U12" i="25"/>
  <c r="U11" i="25"/>
  <c r="U10" i="25"/>
  <c r="U9" i="25"/>
  <c r="U8" i="25"/>
  <c r="U7" i="25"/>
  <c r="U6" i="25"/>
  <c r="U5" i="25"/>
  <c r="U113" i="25"/>
  <c r="U112" i="25"/>
  <c r="U111" i="25"/>
  <c r="U110" i="25"/>
  <c r="U109" i="25"/>
  <c r="U108" i="25"/>
  <c r="U107" i="25"/>
  <c r="U36" i="25"/>
  <c r="U35" i="25"/>
  <c r="U34" i="25"/>
  <c r="U33" i="25"/>
  <c r="U32" i="25"/>
  <c r="U31" i="25"/>
  <c r="U40" i="25"/>
  <c r="U39" i="25"/>
  <c r="U38" i="25"/>
  <c r="U37" i="25"/>
  <c r="U29" i="40" l="1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U18" i="40"/>
  <c r="T18" i="40"/>
  <c r="T19" i="40" s="1"/>
  <c r="S18" i="40"/>
  <c r="S19" i="40" s="1"/>
  <c r="R18" i="40"/>
  <c r="Q18" i="40"/>
  <c r="P18" i="40"/>
  <c r="P19" i="40" s="1"/>
  <c r="O18" i="40"/>
  <c r="N18" i="40"/>
  <c r="M18" i="40"/>
  <c r="L18" i="40"/>
  <c r="L19" i="40" s="1"/>
  <c r="K18" i="40"/>
  <c r="J18" i="40"/>
  <c r="I18" i="40"/>
  <c r="H18" i="40"/>
  <c r="H19" i="40" s="1"/>
  <c r="G18" i="40"/>
  <c r="G19" i="40" s="1"/>
  <c r="F18" i="40"/>
  <c r="E18" i="40"/>
  <c r="D18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U30" i="40"/>
  <c r="T30" i="40"/>
  <c r="S30" i="40"/>
  <c r="S31" i="40" s="1"/>
  <c r="R30" i="40"/>
  <c r="R31" i="40" s="1"/>
  <c r="Q30" i="40"/>
  <c r="P30" i="40"/>
  <c r="O30" i="40"/>
  <c r="O31" i="40" s="1"/>
  <c r="N30" i="40"/>
  <c r="N31" i="40" s="1"/>
  <c r="M30" i="40"/>
  <c r="L30" i="40"/>
  <c r="K30" i="40"/>
  <c r="K31" i="40" s="1"/>
  <c r="J30" i="40"/>
  <c r="J31" i="40" s="1"/>
  <c r="I30" i="40"/>
  <c r="H30" i="40"/>
  <c r="G30" i="40"/>
  <c r="G31" i="40" s="1"/>
  <c r="F30" i="40"/>
  <c r="F31" i="40" s="1"/>
  <c r="E30" i="40"/>
  <c r="D30" i="40"/>
  <c r="U24" i="40"/>
  <c r="T24" i="40"/>
  <c r="T25" i="40" s="1"/>
  <c r="S24" i="40"/>
  <c r="R24" i="40"/>
  <c r="Q24" i="40"/>
  <c r="Q25" i="40" s="1"/>
  <c r="P24" i="40"/>
  <c r="P25" i="40" s="1"/>
  <c r="O24" i="40"/>
  <c r="N24" i="40"/>
  <c r="M24" i="40"/>
  <c r="M25" i="40" s="1"/>
  <c r="L24" i="40"/>
  <c r="L25" i="40" s="1"/>
  <c r="K24" i="40"/>
  <c r="J24" i="40"/>
  <c r="I24" i="40"/>
  <c r="I25" i="40" s="1"/>
  <c r="H24" i="40"/>
  <c r="H25" i="40" s="1"/>
  <c r="G24" i="40"/>
  <c r="F24" i="40"/>
  <c r="E24" i="40"/>
  <c r="E25" i="40" s="1"/>
  <c r="D24" i="40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AI25" i="40" l="1"/>
  <c r="U25" i="40"/>
  <c r="F25" i="40"/>
  <c r="N25" i="40"/>
  <c r="L31" i="40"/>
  <c r="T31" i="40"/>
  <c r="I19" i="40"/>
  <c r="Q19" i="40"/>
  <c r="AI19" i="40"/>
  <c r="U19" i="40"/>
  <c r="G25" i="40"/>
  <c r="K25" i="40"/>
  <c r="O25" i="40"/>
  <c r="S25" i="40"/>
  <c r="E31" i="40"/>
  <c r="I31" i="40"/>
  <c r="M31" i="40"/>
  <c r="Q31" i="40"/>
  <c r="U31" i="40"/>
  <c r="AI31" i="40"/>
  <c r="F19" i="40"/>
  <c r="J19" i="40"/>
  <c r="N19" i="40"/>
  <c r="R19" i="40"/>
  <c r="J25" i="40"/>
  <c r="R25" i="40"/>
  <c r="H31" i="40"/>
  <c r="P31" i="40"/>
  <c r="E19" i="40"/>
  <c r="M19" i="40"/>
  <c r="K19" i="40"/>
  <c r="O19" i="40"/>
  <c r="AI25" i="28"/>
  <c r="AI31" i="28"/>
  <c r="J31" i="28"/>
  <c r="F31" i="28"/>
  <c r="E25" i="28"/>
  <c r="I25" i="28"/>
  <c r="M25" i="28"/>
  <c r="Q25" i="28"/>
  <c r="U25" i="28"/>
  <c r="E31" i="28"/>
  <c r="I31" i="28"/>
  <c r="M31" i="28"/>
  <c r="R31" i="28"/>
  <c r="U31" i="28"/>
  <c r="G25" i="28"/>
  <c r="K25" i="28"/>
  <c r="O25" i="28"/>
  <c r="S25" i="28"/>
  <c r="F25" i="28"/>
  <c r="J25" i="28"/>
  <c r="N25" i="28"/>
  <c r="R25" i="28"/>
  <c r="H25" i="28"/>
  <c r="L25" i="28"/>
  <c r="T25" i="28"/>
  <c r="P25" i="28"/>
  <c r="G31" i="28"/>
  <c r="K31" i="28"/>
  <c r="O31" i="28"/>
  <c r="S31" i="28"/>
  <c r="Q31" i="28"/>
  <c r="L31" i="28"/>
  <c r="P31" i="28"/>
  <c r="N31" i="28"/>
  <c r="H31" i="28"/>
  <c r="T31" i="28"/>
  <c r="AE31" i="40" l="1"/>
  <c r="AA31" i="40"/>
  <c r="W31" i="40"/>
  <c r="AH31" i="40"/>
  <c r="AD31" i="40"/>
  <c r="Z31" i="40"/>
  <c r="V31" i="40"/>
  <c r="V30" i="40" s="1"/>
  <c r="W30" i="40" s="1"/>
  <c r="X30" i="40" s="1"/>
  <c r="Y30" i="40" s="1"/>
  <c r="Z30" i="40" s="1"/>
  <c r="AA30" i="40" s="1"/>
  <c r="AG31" i="40"/>
  <c r="AC31" i="40"/>
  <c r="Y31" i="40"/>
  <c r="AF31" i="40"/>
  <c r="AB31" i="40"/>
  <c r="X31" i="40"/>
  <c r="X19" i="40"/>
  <c r="AB19" i="40"/>
  <c r="AF19" i="40"/>
  <c r="Y19" i="40"/>
  <c r="AC19" i="40"/>
  <c r="AG19" i="40"/>
  <c r="Z19" i="40"/>
  <c r="AD19" i="40"/>
  <c r="AH19" i="40"/>
  <c r="W19" i="40"/>
  <c r="AA19" i="40"/>
  <c r="AE19" i="40"/>
  <c r="V19" i="40"/>
  <c r="V18" i="40" s="1"/>
  <c r="AF25" i="40"/>
  <c r="AB25" i="40"/>
  <c r="X25" i="40"/>
  <c r="AE25" i="40"/>
  <c r="AA25" i="40"/>
  <c r="W25" i="40"/>
  <c r="AH25" i="40"/>
  <c r="AD25" i="40"/>
  <c r="Z25" i="40"/>
  <c r="V25" i="40"/>
  <c r="V24" i="40" s="1"/>
  <c r="W24" i="40" s="1"/>
  <c r="X24" i="40" s="1"/>
  <c r="Y24" i="40" s="1"/>
  <c r="Z24" i="40" s="1"/>
  <c r="AA24" i="40" s="1"/>
  <c r="AB24" i="40" s="1"/>
  <c r="AC24" i="40" s="1"/>
  <c r="AD24" i="40" s="1"/>
  <c r="AE24" i="40" s="1"/>
  <c r="AF24" i="40" s="1"/>
  <c r="AG24" i="40" s="1"/>
  <c r="AH24" i="40" s="1"/>
  <c r="AG25" i="40"/>
  <c r="AC25" i="40"/>
  <c r="Y25" i="40"/>
  <c r="AF31" i="28"/>
  <c r="AB31" i="28"/>
  <c r="X31" i="28"/>
  <c r="Y31" i="28"/>
  <c r="AE31" i="28"/>
  <c r="AA31" i="28"/>
  <c r="W31" i="28"/>
  <c r="AC31" i="28"/>
  <c r="AH31" i="28"/>
  <c r="AD31" i="28"/>
  <c r="Z31" i="28"/>
  <c r="V31" i="28"/>
  <c r="V30" i="28" s="1"/>
  <c r="AG31" i="28"/>
  <c r="AE25" i="28"/>
  <c r="AB25" i="28"/>
  <c r="V25" i="28"/>
  <c r="V24" i="28" s="1"/>
  <c r="W24" i="28" s="1"/>
  <c r="X24" i="28" s="1"/>
  <c r="Y24" i="28" s="1"/>
  <c r="AC25" i="28"/>
  <c r="Y25" i="28"/>
  <c r="X25" i="28"/>
  <c r="AF25" i="28"/>
  <c r="Z25" i="28"/>
  <c r="W25" i="28"/>
  <c r="AD25" i="28"/>
  <c r="AA25" i="28"/>
  <c r="AG25" i="28"/>
  <c r="AH25" i="28"/>
  <c r="M3" i="39"/>
  <c r="M4" i="39" s="1"/>
  <c r="L3" i="39"/>
  <c r="L4" i="39" s="1"/>
  <c r="K3" i="39"/>
  <c r="K4" i="39" s="1"/>
  <c r="J3" i="39"/>
  <c r="J4" i="39" s="1"/>
  <c r="M3" i="38"/>
  <c r="M4" i="38" s="1"/>
  <c r="L3" i="38"/>
  <c r="L4" i="38" s="1"/>
  <c r="K3" i="38"/>
  <c r="K4" i="38" s="1"/>
  <c r="J3" i="38"/>
  <c r="J4" i="38" s="1"/>
  <c r="I3" i="38"/>
  <c r="I4" i="38" s="1"/>
  <c r="H3" i="38"/>
  <c r="H4" i="38" s="1"/>
  <c r="G3" i="38"/>
  <c r="G4" i="38" s="1"/>
  <c r="F3" i="38"/>
  <c r="F4" i="38" s="1"/>
  <c r="E3" i="38"/>
  <c r="E4" i="38" s="1"/>
  <c r="Z24" i="28" l="1"/>
  <c r="AA24" i="28" s="1"/>
  <c r="AB24" i="28" s="1"/>
  <c r="AC24" i="28" s="1"/>
  <c r="AD24" i="28" s="1"/>
  <c r="AE24" i="28" s="1"/>
  <c r="AF24" i="28" s="1"/>
  <c r="AG24" i="28" s="1"/>
  <c r="AH24" i="28" s="1"/>
  <c r="AB30" i="40"/>
  <c r="AC30" i="40" s="1"/>
  <c r="AD30" i="40" s="1"/>
  <c r="AE30" i="40" s="1"/>
  <c r="AF30" i="40" s="1"/>
  <c r="AG30" i="40" s="1"/>
  <c r="AH30" i="40" s="1"/>
  <c r="W18" i="40"/>
  <c r="X18" i="40" s="1"/>
  <c r="Y18" i="40" s="1"/>
  <c r="Z18" i="40" s="1"/>
  <c r="AA18" i="40" s="1"/>
  <c r="AB18" i="40" s="1"/>
  <c r="AC18" i="40" s="1"/>
  <c r="AD18" i="40" s="1"/>
  <c r="AE18" i="40" s="1"/>
  <c r="AF18" i="40" s="1"/>
  <c r="AG18" i="40" s="1"/>
  <c r="AH18" i="40" s="1"/>
  <c r="W30" i="28"/>
  <c r="X30" i="28" s="1"/>
  <c r="Y30" i="28" s="1"/>
  <c r="Z30" i="28" s="1"/>
  <c r="AA30" i="28" s="1"/>
  <c r="AB30" i="28" s="1"/>
  <c r="AC30" i="28" s="1"/>
  <c r="AD30" i="28" s="1"/>
  <c r="AE30" i="28" s="1"/>
  <c r="AF30" i="28" s="1"/>
  <c r="AG30" i="28" s="1"/>
  <c r="AH30" i="28" s="1"/>
  <c r="AE4" i="35"/>
  <c r="AF4" i="35" s="1"/>
  <c r="AG4" i="35" s="1"/>
  <c r="AE5" i="35"/>
  <c r="AF5" i="35" s="1"/>
  <c r="AG5" i="35" s="1"/>
  <c r="W5" i="35"/>
  <c r="X5" i="35" s="1"/>
  <c r="Y5" i="35" s="1"/>
  <c r="Z5" i="35" s="1"/>
  <c r="AA5" i="35" s="1"/>
  <c r="AE7" i="35"/>
  <c r="AF7" i="35" s="1"/>
  <c r="AG7" i="35" s="1"/>
  <c r="W7" i="35"/>
  <c r="X7" i="35" s="1"/>
  <c r="Y7" i="35" s="1"/>
  <c r="Z7" i="35" s="1"/>
  <c r="AA7" i="35" s="1"/>
  <c r="AE6" i="35"/>
  <c r="AF6" i="35" s="1"/>
  <c r="AG6" i="35" s="1"/>
  <c r="W6" i="35"/>
  <c r="AE8" i="35"/>
  <c r="AF8" i="35" s="1"/>
  <c r="AG8" i="35" s="1"/>
  <c r="W4" i="35"/>
  <c r="X4" i="35" s="1"/>
  <c r="AE10" i="35"/>
  <c r="AF10" i="35" s="1"/>
  <c r="AG10" i="35" s="1"/>
  <c r="W10" i="35"/>
  <c r="W8" i="35"/>
  <c r="AE11" i="35"/>
  <c r="AF11" i="35" s="1"/>
  <c r="AG11" i="35" s="1"/>
  <c r="W11" i="35"/>
  <c r="X11" i="35" s="1"/>
  <c r="AE9" i="35"/>
  <c r="AF9" i="35" s="1"/>
  <c r="AG9" i="35" s="1"/>
  <c r="W9" i="35"/>
  <c r="AE12" i="35"/>
  <c r="AF12" i="35" s="1"/>
  <c r="AG12" i="35" s="1"/>
  <c r="W12" i="35"/>
  <c r="AE13" i="35"/>
  <c r="AF13" i="35" s="1"/>
  <c r="AG13" i="35" s="1"/>
  <c r="W13" i="35"/>
  <c r="X13" i="35" s="1"/>
  <c r="AE14" i="35"/>
  <c r="AF14" i="35" s="1"/>
  <c r="AG14" i="35" s="1"/>
  <c r="W14" i="35"/>
  <c r="X8" i="35" l="1"/>
  <c r="Y8" i="35" s="1"/>
  <c r="Z8" i="35" s="1"/>
  <c r="Y11" i="35"/>
  <c r="Z11" i="35" s="1"/>
  <c r="AA11" i="35" s="1"/>
  <c r="AB7" i="35"/>
  <c r="AC7" i="35" s="1"/>
  <c r="AD7" i="35" s="1"/>
  <c r="Y4" i="35"/>
  <c r="Z4" i="35" s="1"/>
  <c r="AA4" i="35" s="1"/>
  <c r="X10" i="35"/>
  <c r="Y10" i="35" s="1"/>
  <c r="Y13" i="35"/>
  <c r="Z13" i="35" s="1"/>
  <c r="AB5" i="35"/>
  <c r="AC5" i="35" s="1"/>
  <c r="AD5" i="35" s="1"/>
  <c r="AA13" i="35" l="1"/>
  <c r="AB13" i="35" s="1"/>
  <c r="AC13" i="35" s="1"/>
  <c r="AD13" i="35" s="1"/>
  <c r="AA8" i="35"/>
  <c r="AB8" i="35" s="1"/>
  <c r="AC8" i="35" s="1"/>
  <c r="AD8" i="35" s="1"/>
  <c r="AB4" i="35"/>
  <c r="AC4" i="35" s="1"/>
  <c r="AD4" i="35" s="1"/>
  <c r="Z10" i="35"/>
  <c r="AB11" i="35"/>
  <c r="AC11" i="35" s="1"/>
  <c r="AD11" i="35" s="1"/>
  <c r="AA10" i="35" l="1"/>
  <c r="AB10" i="35" s="1"/>
  <c r="AC10" i="35" s="1"/>
  <c r="AD10" i="35" s="1"/>
  <c r="X9" i="35"/>
  <c r="X6" i="35"/>
  <c r="Y6" i="35" s="1"/>
  <c r="X14" i="35"/>
  <c r="X12" i="35"/>
  <c r="Y12" i="35" l="1"/>
  <c r="Z12" i="35" s="1"/>
  <c r="Y14" i="35"/>
  <c r="Z14" i="35" s="1"/>
  <c r="Y9" i="35"/>
  <c r="Z9" i="35" s="1"/>
  <c r="Z6" i="35"/>
  <c r="AA6" i="35" l="1"/>
  <c r="AB6" i="35" s="1"/>
  <c r="AC6" i="35" s="1"/>
  <c r="AD6" i="35" s="1"/>
  <c r="AA9" i="35"/>
  <c r="AB9" i="35" s="1"/>
  <c r="AC9" i="35" s="1"/>
  <c r="AD9" i="35" s="1"/>
  <c r="AA14" i="35"/>
  <c r="AB14" i="35" s="1"/>
  <c r="AC14" i="35" s="1"/>
  <c r="AD14" i="35" s="1"/>
  <c r="AA12" i="35"/>
  <c r="AB12" i="35" s="1"/>
  <c r="AC12" i="35" s="1"/>
  <c r="AD12" i="35" s="1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AI15" i="28" l="1"/>
  <c r="D18" i="28"/>
  <c r="D35" i="28" s="1"/>
  <c r="L18" i="28"/>
  <c r="L35" i="28" s="1"/>
  <c r="T18" i="28"/>
  <c r="T35" i="28" s="1"/>
  <c r="G18" i="28"/>
  <c r="G35" i="28" s="1"/>
  <c r="K18" i="28"/>
  <c r="K35" i="28" s="1"/>
  <c r="O18" i="28"/>
  <c r="O35" i="28" s="1"/>
  <c r="S18" i="28"/>
  <c r="S35" i="28" s="1"/>
  <c r="E18" i="28"/>
  <c r="E35" i="28" s="1"/>
  <c r="I18" i="28"/>
  <c r="I35" i="28" s="1"/>
  <c r="M18" i="28"/>
  <c r="M35" i="28" s="1"/>
  <c r="Q18" i="28"/>
  <c r="Q35" i="28" s="1"/>
  <c r="U18" i="28"/>
  <c r="H18" i="28"/>
  <c r="H35" i="28" s="1"/>
  <c r="P18" i="28"/>
  <c r="F18" i="28"/>
  <c r="J18" i="28"/>
  <c r="N18" i="28"/>
  <c r="R18" i="28"/>
  <c r="E19" i="28"/>
  <c r="S19" i="28" l="1"/>
  <c r="R35" i="28"/>
  <c r="J19" i="28"/>
  <c r="J35" i="28"/>
  <c r="AI19" i="28"/>
  <c r="X19" i="28" s="1"/>
  <c r="U35" i="28"/>
  <c r="F19" i="28"/>
  <c r="F35" i="28"/>
  <c r="P19" i="28"/>
  <c r="P35" i="28"/>
  <c r="N19" i="28"/>
  <c r="N35" i="28"/>
  <c r="M19" i="28"/>
  <c r="Q19" i="28"/>
  <c r="U19" i="28"/>
  <c r="H19" i="28"/>
  <c r="R19" i="28"/>
  <c r="I19" i="28"/>
  <c r="L19" i="28"/>
  <c r="T19" i="28"/>
  <c r="O19" i="28"/>
  <c r="K19" i="28"/>
  <c r="G19" i="28"/>
  <c r="W19" i="28" l="1"/>
  <c r="Y19" i="28"/>
  <c r="AF19" i="28"/>
  <c r="AD19" i="28"/>
  <c r="AB19" i="28"/>
  <c r="V19" i="28"/>
  <c r="V18" i="28" s="1"/>
  <c r="AH19" i="28"/>
  <c r="AA19" i="28"/>
  <c r="AG19" i="28"/>
  <c r="AE19" i="28"/>
  <c r="Z19" i="28"/>
  <c r="AC19" i="28"/>
  <c r="V4" i="25"/>
  <c r="V41" i="25"/>
  <c r="V42" i="25"/>
  <c r="V13" i="25"/>
  <c r="V14" i="25"/>
  <c r="V29" i="25"/>
  <c r="V15" i="25"/>
  <c r="V35" i="28" l="1"/>
  <c r="W18" i="28"/>
  <c r="J148" i="27"/>
  <c r="M148" i="27" s="1"/>
  <c r="L148" i="27"/>
  <c r="X18" i="28" l="1"/>
  <c r="W35" i="28"/>
  <c r="S148" i="27"/>
  <c r="T148" i="27"/>
  <c r="Y18" i="28" l="1"/>
  <c r="X35" i="28"/>
  <c r="Z18" i="28" l="1"/>
  <c r="Y35" i="28"/>
  <c r="AA18" i="28" l="1"/>
  <c r="Z35" i="28"/>
  <c r="AB18" i="28" l="1"/>
  <c r="AA35" i="28"/>
  <c r="AC18" i="28" l="1"/>
  <c r="AB35" i="28"/>
  <c r="AD18" i="28" l="1"/>
  <c r="AC35" i="28"/>
  <c r="AE18" i="28" l="1"/>
  <c r="AD35" i="28"/>
  <c r="AF18" i="28" l="1"/>
  <c r="AE35" i="28"/>
  <c r="AG18" i="28" l="1"/>
  <c r="AF35" i="28"/>
  <c r="AH18" i="28" l="1"/>
  <c r="AH35" i="28" s="1"/>
  <c r="AG35" i="28"/>
</calcChain>
</file>

<file path=xl/sharedStrings.xml><?xml version="1.0" encoding="utf-8"?>
<sst xmlns="http://schemas.openxmlformats.org/spreadsheetml/2006/main" count="5603" uniqueCount="1342">
  <si>
    <t>Initial Level</t>
  </si>
  <si>
    <t>M10</t>
  </si>
  <si>
    <t>M11</t>
  </si>
  <si>
    <t>M12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</si>
  <si>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</si>
  <si>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</si>
  <si>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</si>
  <si>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</si>
  <si>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</si>
  <si>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</si>
  <si>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</si>
  <si>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</si>
  <si>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</si>
  <si>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Owner</t>
  </si>
  <si>
    <t>Latitude</t>
  </si>
  <si>
    <t>Longitude</t>
  </si>
  <si>
    <t>Installed Capacity</t>
  </si>
  <si>
    <t>Start Year</t>
  </si>
  <si>
    <t>Project Name</t>
  </si>
  <si>
    <t>(MW)</t>
  </si>
  <si>
    <t>(GWh/year)</t>
  </si>
  <si>
    <t>Location</t>
  </si>
  <si>
    <t>Transmission</t>
  </si>
  <si>
    <t>($/MWh)</t>
  </si>
  <si>
    <t>(hours)</t>
  </si>
  <si>
    <t>(%)</t>
  </si>
  <si>
    <t>Characteristics of existing system transmission</t>
  </si>
  <si>
    <t>LEGEND</t>
  </si>
  <si>
    <t>DESIGN</t>
  </si>
  <si>
    <t>Voltage</t>
  </si>
  <si>
    <t>Notes</t>
  </si>
  <si>
    <t>Low Volume</t>
  </si>
  <si>
    <t>High Volume</t>
  </si>
  <si>
    <t>(m)</t>
  </si>
  <si>
    <t>Live Storage</t>
  </si>
  <si>
    <t>Notes:</t>
  </si>
  <si>
    <t>Station Flow</t>
  </si>
  <si>
    <t>(WSC#)</t>
  </si>
  <si>
    <t>ANNUAL ENERGY LOAD FORECAST</t>
  </si>
  <si>
    <t>System</t>
  </si>
  <si>
    <t>Miscellaneous provincial system characteristics</t>
  </si>
  <si>
    <t>GWh/year</t>
  </si>
  <si>
    <t>%</t>
  </si>
  <si>
    <t>MW</t>
  </si>
  <si>
    <t>Reserve Requirements</t>
  </si>
  <si>
    <t>(% installed MW)</t>
  </si>
  <si>
    <t>Number of Circuits</t>
  </si>
  <si>
    <t>Circuit ID</t>
  </si>
  <si>
    <t>(ad/dc)</t>
  </si>
  <si>
    <t>(kV)</t>
  </si>
  <si>
    <t>(A)</t>
  </si>
  <si>
    <t>(km)</t>
  </si>
  <si>
    <t>(% across system)</t>
  </si>
  <si>
    <t>Line Losses</t>
  </si>
  <si>
    <t>Upper Storage Level</t>
  </si>
  <si>
    <t>Lower Storage Level</t>
  </si>
  <si>
    <t>January</t>
  </si>
  <si>
    <t>GWh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</si>
  <si>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</si>
  <si>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</si>
  <si>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</si>
  <si>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</si>
  <si>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</si>
  <si>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</si>
  <si>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</si>
  <si>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</si>
  <si>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</si>
  <si>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</si>
  <si>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</si>
  <si>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End Year</t>
  </si>
  <si>
    <t>Maximum Level</t>
  </si>
  <si>
    <t>Minimum Level</t>
  </si>
  <si>
    <t>(m3)</t>
  </si>
  <si>
    <t>(m3/s)</t>
  </si>
  <si>
    <t>MB</t>
  </si>
  <si>
    <t>Manitoba Hydro</t>
  </si>
  <si>
    <t>Brandon</t>
  </si>
  <si>
    <t>Brandon also has a synchronous condenser</t>
  </si>
  <si>
    <t>Grand Rapids</t>
  </si>
  <si>
    <t>Saskatchewan River</t>
  </si>
  <si>
    <t>Great Falls</t>
  </si>
  <si>
    <t>Winnipeg River</t>
  </si>
  <si>
    <t>Jenpeg</t>
  </si>
  <si>
    <t>Nelson River</t>
  </si>
  <si>
    <t>Keeyask</t>
  </si>
  <si>
    <t>Manitoba Hydro JV</t>
  </si>
  <si>
    <t>Kelsey</t>
  </si>
  <si>
    <t>Kettle</t>
  </si>
  <si>
    <t>Laurie River 1</t>
  </si>
  <si>
    <t>Laurie River 2</t>
  </si>
  <si>
    <t>Limestone</t>
  </si>
  <si>
    <t>Long Spruce</t>
  </si>
  <si>
    <t>McArthur Falls</t>
  </si>
  <si>
    <t>Pine Falls</t>
  </si>
  <si>
    <t>Pointe du Bois</t>
  </si>
  <si>
    <t>Capacity and energy values as of 2021 onwards</t>
  </si>
  <si>
    <t>Selkirk</t>
  </si>
  <si>
    <t>Seven Sisters</t>
  </si>
  <si>
    <t>Slave Falls</t>
  </si>
  <si>
    <t>Southern Manitoba</t>
  </si>
  <si>
    <t>Wuskwatim</t>
  </si>
  <si>
    <t>Burntwood River</t>
  </si>
  <si>
    <t>RH Additions, Comments and TODOs</t>
  </si>
  <si>
    <t>Remote projects are not included in this list.</t>
  </si>
  <si>
    <t>See calculations sheets for sources of values.</t>
  </si>
  <si>
    <t>Sources</t>
  </si>
  <si>
    <t>05KL001</t>
  </si>
  <si>
    <t>Cedar Lake</t>
  </si>
  <si>
    <t>05KL005</t>
  </si>
  <si>
    <t>Lake Winnipeg (West)</t>
  </si>
  <si>
    <t>05SG001</t>
  </si>
  <si>
    <t>Wuskwatim Lake</t>
  </si>
  <si>
    <t>05TF006</t>
  </si>
  <si>
    <t>05UB009</t>
  </si>
  <si>
    <t>Lake Winnipeg (North)</t>
  </si>
  <si>
    <t>05RF001</t>
  </si>
  <si>
    <t>Cross Lake</t>
  </si>
  <si>
    <t>05UD001</t>
  </si>
  <si>
    <t>05UE005</t>
  </si>
  <si>
    <t>Split Lake</t>
  </si>
  <si>
    <t>05UF003</t>
  </si>
  <si>
    <t>Gull Lake</t>
  </si>
  <si>
    <t>05UF006</t>
  </si>
  <si>
    <t>Stephens Lake</t>
  </si>
  <si>
    <t>05UF007</t>
  </si>
  <si>
    <t>Hudson Bay</t>
  </si>
  <si>
    <t>05PF063</t>
  </si>
  <si>
    <t>05PF057</t>
  </si>
  <si>
    <t>05PF057 not directly below Slave Falls GS</t>
  </si>
  <si>
    <t>05PF068</t>
  </si>
  <si>
    <t>05PF048</t>
  </si>
  <si>
    <t>05PF069</t>
  </si>
  <si>
    <t>Lake Winnipeg (South)</t>
  </si>
  <si>
    <t>05SA003</t>
  </si>
  <si>
    <t>05SA003 not directly below Pine Falls GS</t>
  </si>
  <si>
    <t>Cumulative DSM (Program based)</t>
  </si>
  <si>
    <t>Annual DSM (Program based)</t>
  </si>
  <si>
    <t>Hourly Gross Total Peak = Hourly Total Generation - Hourly Metered Exports + Hourly Metered Imports - Losses Associated with Exports + Gains Associated with Imports + Curtailments</t>
  </si>
  <si>
    <t>UNITS</t>
  </si>
  <si>
    <t>EXISTING GENERATION</t>
  </si>
  <si>
    <t>EXISTING TRANSMISSION</t>
  </si>
  <si>
    <t>SYSTEM CHARACTERISTICS</t>
  </si>
  <si>
    <t>Substation Voltage</t>
  </si>
  <si>
    <t>Generator Type</t>
  </si>
  <si>
    <t>($/year)</t>
  </si>
  <si>
    <t>St. Joseph</t>
  </si>
  <si>
    <t>St. Leon</t>
  </si>
  <si>
    <t>Pattern Energy Group LP</t>
  </si>
  <si>
    <t>Algonquin Power</t>
  </si>
  <si>
    <t>NG_CT</t>
  </si>
  <si>
    <t>Hydro_run</t>
  </si>
  <si>
    <t>Wind_Onshore</t>
  </si>
  <si>
    <t>Hydro_monthly</t>
  </si>
  <si>
    <t>RESERVOIR</t>
  </si>
  <si>
    <t>Dam Type</t>
  </si>
  <si>
    <t>Penstock</t>
  </si>
  <si>
    <t>Rated Head</t>
  </si>
  <si>
    <t>Maximum Head</t>
  </si>
  <si>
    <t>Minimum Head</t>
  </si>
  <si>
    <t>Operating Flow (Facility)</t>
  </si>
  <si>
    <t>Rated Discharge (Unit)</t>
  </si>
  <si>
    <t>Rated Discharge (Facility)</t>
  </si>
  <si>
    <t>Upstream Reservoir Area</t>
  </si>
  <si>
    <t>Upstream Reservoir Storage</t>
  </si>
  <si>
    <t>Turbine Type</t>
  </si>
  <si>
    <t>Upper Storage Name</t>
  </si>
  <si>
    <t>Lower Storage Name</t>
  </si>
  <si>
    <t>Low Reference Level</t>
  </si>
  <si>
    <t>High Reference Level</t>
  </si>
  <si>
    <t>(km2)</t>
  </si>
  <si>
    <t>HYDROELECTRIC RENEWAL</t>
  </si>
  <si>
    <t>COSTS</t>
  </si>
  <si>
    <t>Existing Project Name</t>
  </si>
  <si>
    <t>Existing #units</t>
  </si>
  <si>
    <t>Renewal Project Name</t>
  </si>
  <si>
    <t>Additional Installed Capacity</t>
  </si>
  <si>
    <t>Additional Dependable Capacity</t>
  </si>
  <si>
    <t>Additional Annual Energy</t>
  </si>
  <si>
    <t>Capital Overhead</t>
  </si>
  <si>
    <t>Interest During Construction</t>
  </si>
  <si>
    <t>Implementation Costs</t>
  </si>
  <si>
    <t>Project Definition Costs</t>
  </si>
  <si>
    <t>Fixed O&amp;M</t>
  </si>
  <si>
    <t>Variable O&amp;M</t>
  </si>
  <si>
    <t>Unit Capacity Cost</t>
  </si>
  <si>
    <t>Construction Time</t>
  </si>
  <si>
    <t>Development Time</t>
  </si>
  <si>
    <t>($M)</t>
  </si>
  <si>
    <t>($/kW-year)</t>
  </si>
  <si>
    <t>(years)</t>
  </si>
  <si>
    <t>Assume IDC rate of 5% each year</t>
  </si>
  <si>
    <t>HYDROELECTRIC GREENFIELD</t>
  </si>
  <si>
    <t>Implentation Costs</t>
  </si>
  <si>
    <t>($2018M)</t>
  </si>
  <si>
    <t>Salt/Fresh</t>
  </si>
  <si>
    <t>Reservoir Types</t>
  </si>
  <si>
    <t>Storage Requirement</t>
  </si>
  <si>
    <t>Gross Head</t>
  </si>
  <si>
    <t>H/L Ratio</t>
  </si>
  <si>
    <t>Design Flow (Generation)</t>
  </si>
  <si>
    <t xml:space="preserve">Generation Duration at Peak Output </t>
  </si>
  <si>
    <t>Total Footprint</t>
  </si>
  <si>
    <t>Unit Cost of Capacity</t>
  </si>
  <si>
    <t>Unit Cost of Stored Energy</t>
  </si>
  <si>
    <t>Levelized Cost</t>
  </si>
  <si>
    <t>dd.dddd</t>
  </si>
  <si>
    <t>(MWh)</t>
  </si>
  <si>
    <t>(h)</t>
  </si>
  <si>
    <t>(ha)</t>
  </si>
  <si>
    <t>($2018/MW)</t>
  </si>
  <si>
    <t>($2018/MWh)</t>
  </si>
  <si>
    <t>($2018/kW-year)</t>
  </si>
  <si>
    <t>($2018M/year)</t>
  </si>
  <si>
    <t>D603M</t>
  </si>
  <si>
    <t>M602F</t>
  </si>
  <si>
    <t>A4D</t>
  </si>
  <si>
    <t>A6V</t>
  </si>
  <si>
    <t>BK51</t>
  </si>
  <si>
    <t>BK52</t>
  </si>
  <si>
    <t>B69R</t>
  </si>
  <si>
    <t>B70H</t>
  </si>
  <si>
    <t>B77W</t>
  </si>
  <si>
    <t>C28R</t>
  </si>
  <si>
    <t>D11Y</t>
  </si>
  <si>
    <t>D12P</t>
  </si>
  <si>
    <t>D13R</t>
  </si>
  <si>
    <t>D14S</t>
  </si>
  <si>
    <t>D15Y</t>
  </si>
  <si>
    <t>D16R</t>
  </si>
  <si>
    <t>D36R</t>
  </si>
  <si>
    <t>D54N</t>
  </si>
  <si>
    <t>D55Y</t>
  </si>
  <si>
    <t>D5R</t>
  </si>
  <si>
    <t>D72V</t>
  </si>
  <si>
    <t>E93L</t>
  </si>
  <si>
    <t>F10M</t>
  </si>
  <si>
    <t>F27P</t>
  </si>
  <si>
    <t>G1A</t>
  </si>
  <si>
    <t>G2A</t>
  </si>
  <si>
    <t>G31V</t>
  </si>
  <si>
    <t>G37C</t>
  </si>
  <si>
    <t>G82P</t>
  </si>
  <si>
    <t>G8P</t>
  </si>
  <si>
    <t xml:space="preserve">G9F </t>
  </si>
  <si>
    <t>H59C</t>
  </si>
  <si>
    <t>H75P</t>
  </si>
  <si>
    <t>J30P</t>
  </si>
  <si>
    <t>K21W</t>
  </si>
  <si>
    <t>K22W</t>
  </si>
  <si>
    <t>K24B</t>
  </si>
  <si>
    <t>L20D</t>
  </si>
  <si>
    <t>M32R</t>
  </si>
  <si>
    <t>M33R</t>
  </si>
  <si>
    <t>M39V</t>
  </si>
  <si>
    <t xml:space="preserve">M49R </t>
  </si>
  <si>
    <t>M86V</t>
  </si>
  <si>
    <t>M87V</t>
  </si>
  <si>
    <t>M88R</t>
  </si>
  <si>
    <t>N56C</t>
  </si>
  <si>
    <t>P18H</t>
  </si>
  <si>
    <t>P19W</t>
  </si>
  <si>
    <t>P52E</t>
  </si>
  <si>
    <t>P58C</t>
  </si>
  <si>
    <t>P81C</t>
  </si>
  <si>
    <t>R23R</t>
  </si>
  <si>
    <t>R25Y</t>
  </si>
  <si>
    <t>R26K</t>
  </si>
  <si>
    <t>R29H</t>
  </si>
  <si>
    <t>R50M</t>
  </si>
  <si>
    <t>R7B</t>
  </si>
  <si>
    <t>R92U</t>
  </si>
  <si>
    <t>S53G</t>
  </si>
  <si>
    <t>S94E</t>
  </si>
  <si>
    <t>S65R</t>
  </si>
  <si>
    <t>U91A</t>
  </si>
  <si>
    <t>V38R</t>
  </si>
  <si>
    <t xml:space="preserve">V57R </t>
  </si>
  <si>
    <t>W73H</t>
  </si>
  <si>
    <t>W74H</t>
  </si>
  <si>
    <t>W76B</t>
  </si>
  <si>
    <t>Y51L</t>
  </si>
  <si>
    <t>BK9</t>
  </si>
  <si>
    <t>GG64</t>
  </si>
  <si>
    <t>GW62</t>
  </si>
  <si>
    <t>HG61</t>
  </si>
  <si>
    <t>KH38</t>
  </si>
  <si>
    <t>KK35</t>
  </si>
  <si>
    <t>KN36</t>
  </si>
  <si>
    <t>KR1</t>
  </si>
  <si>
    <t>KS37</t>
  </si>
  <si>
    <t>KT1</t>
  </si>
  <si>
    <t>KT2</t>
  </si>
  <si>
    <t>RC60</t>
  </si>
  <si>
    <t>TW40</t>
  </si>
  <si>
    <t>WB45</t>
  </si>
  <si>
    <t>WL43</t>
  </si>
  <si>
    <t>BD52</t>
  </si>
  <si>
    <t>BE1</t>
  </si>
  <si>
    <t>BE2</t>
  </si>
  <si>
    <t>BE3</t>
  </si>
  <si>
    <t>BN5</t>
  </si>
  <si>
    <t>BP6</t>
  </si>
  <si>
    <t>BP7</t>
  </si>
  <si>
    <t>CB1</t>
  </si>
  <si>
    <t>CB3</t>
  </si>
  <si>
    <t>CB4</t>
  </si>
  <si>
    <t>CB42</t>
  </si>
  <si>
    <t>CN9</t>
  </si>
  <si>
    <t>CR2</t>
  </si>
  <si>
    <t>CR4</t>
  </si>
  <si>
    <t>CU81</t>
  </si>
  <si>
    <t>DF54</t>
  </si>
  <si>
    <t>EH13</t>
  </si>
  <si>
    <t>FC56</t>
  </si>
  <si>
    <t>FH53</t>
  </si>
  <si>
    <t>GP1</t>
  </si>
  <si>
    <t>GS21</t>
  </si>
  <si>
    <t>GS22</t>
  </si>
  <si>
    <t>I1F</t>
  </si>
  <si>
    <t>I2F</t>
  </si>
  <si>
    <t>JB14</t>
  </si>
  <si>
    <t>KY32</t>
  </si>
  <si>
    <t>MC28</t>
  </si>
  <si>
    <t>MR11</t>
  </si>
  <si>
    <t>NM10</t>
  </si>
  <si>
    <t>PC3</t>
  </si>
  <si>
    <t>PC4</t>
  </si>
  <si>
    <t>PQ95</t>
  </si>
  <si>
    <t>PR2</t>
  </si>
  <si>
    <t>RC57</t>
  </si>
  <si>
    <t>RF58</t>
  </si>
  <si>
    <t>RK6</t>
  </si>
  <si>
    <t>RL1</t>
  </si>
  <si>
    <t>RL2</t>
  </si>
  <si>
    <t>RL3</t>
  </si>
  <si>
    <t>RL4</t>
  </si>
  <si>
    <t>RP16</t>
  </si>
  <si>
    <t>RJ51</t>
  </si>
  <si>
    <t>RS52</t>
  </si>
  <si>
    <t>RY7</t>
  </si>
  <si>
    <t>S1</t>
  </si>
  <si>
    <t>S2</t>
  </si>
  <si>
    <t>SC25</t>
  </si>
  <si>
    <t xml:space="preserve">SG12 </t>
  </si>
  <si>
    <t>SM26</t>
  </si>
  <si>
    <t>SR3</t>
  </si>
  <si>
    <t>ST5</t>
  </si>
  <si>
    <t>ST6</t>
  </si>
  <si>
    <t>SV24</t>
  </si>
  <si>
    <t>SW1</t>
  </si>
  <si>
    <t>SW2</t>
  </si>
  <si>
    <t>SW3</t>
  </si>
  <si>
    <t>SW4</t>
  </si>
  <si>
    <t>TP65</t>
  </si>
  <si>
    <t>TR5</t>
  </si>
  <si>
    <t>TS44</t>
  </si>
  <si>
    <t>TV1</t>
  </si>
  <si>
    <t>TV2</t>
  </si>
  <si>
    <t>UP80</t>
  </si>
  <si>
    <t>VH1</t>
  </si>
  <si>
    <t>VP35</t>
  </si>
  <si>
    <t>VS27</t>
  </si>
  <si>
    <t>WT34</t>
  </si>
  <si>
    <t>XH46</t>
  </si>
  <si>
    <t>XV39</t>
  </si>
  <si>
    <t>YF11</t>
  </si>
  <si>
    <t>YS33</t>
  </si>
  <si>
    <t>YM31</t>
  </si>
  <si>
    <t>YV5</t>
  </si>
  <si>
    <t>YX47</t>
  </si>
  <si>
    <t>YX48</t>
  </si>
  <si>
    <t>ac</t>
  </si>
  <si>
    <t>SK1</t>
  </si>
  <si>
    <t>TBD</t>
  </si>
  <si>
    <t>KR2</t>
  </si>
  <si>
    <t>KR3</t>
  </si>
  <si>
    <t>L8K</t>
  </si>
  <si>
    <t>Capacity Factor</t>
  </si>
  <si>
    <t>($2012M)</t>
  </si>
  <si>
    <t># units</t>
  </si>
  <si>
    <t>($2012M/year)</t>
  </si>
  <si>
    <t>Lower Nelson River</t>
  </si>
  <si>
    <t>Upper Nelson River</t>
  </si>
  <si>
    <t>Churchill River</t>
  </si>
  <si>
    <t>Great Falls_04</t>
  </si>
  <si>
    <t>Average Annual Energy - Plant</t>
  </si>
  <si>
    <t>Annual Average Energy - Unit</t>
  </si>
  <si>
    <t>Grand Rapids_01</t>
  </si>
  <si>
    <t>Grand Rapids_02</t>
  </si>
  <si>
    <t>Grand Rapids_03</t>
  </si>
  <si>
    <t>Grand Rapids_04</t>
  </si>
  <si>
    <t>Great Falls_01</t>
  </si>
  <si>
    <t>Great Falls_02</t>
  </si>
  <si>
    <t>Great Falls_03</t>
  </si>
  <si>
    <t>Great Falls_05</t>
  </si>
  <si>
    <t>Great Falls_06</t>
  </si>
  <si>
    <t>Jenpeg_01</t>
  </si>
  <si>
    <t>Jenpeg_02</t>
  </si>
  <si>
    <t>Jenpeg_03</t>
  </si>
  <si>
    <t>Jenpeg_04</t>
  </si>
  <si>
    <t>Jenpeg_05</t>
  </si>
  <si>
    <t>Jenpeg_06</t>
  </si>
  <si>
    <t>Keeyask_01</t>
  </si>
  <si>
    <t>Keeyask_02</t>
  </si>
  <si>
    <t>Keeyask_03</t>
  </si>
  <si>
    <t>Keeyask_04</t>
  </si>
  <si>
    <t>Keeyask_05</t>
  </si>
  <si>
    <t>Keeyask_06</t>
  </si>
  <si>
    <t>Keeyask_07</t>
  </si>
  <si>
    <t>Kelsey_01</t>
  </si>
  <si>
    <t>Kelsey_02</t>
  </si>
  <si>
    <t>Kelsey_03</t>
  </si>
  <si>
    <t>Kelsey_04</t>
  </si>
  <si>
    <t>Kelsey_05</t>
  </si>
  <si>
    <t>Kelsey_06</t>
  </si>
  <si>
    <t>Kelsey_07</t>
  </si>
  <si>
    <t>Kettle_01</t>
  </si>
  <si>
    <t>Kettle_02</t>
  </si>
  <si>
    <t>Kettle_03</t>
  </si>
  <si>
    <t>Kettle_04</t>
  </si>
  <si>
    <t>Kettle_05</t>
  </si>
  <si>
    <t>Kettle_06</t>
  </si>
  <si>
    <t>Kettle_07</t>
  </si>
  <si>
    <t>Kettle_08</t>
  </si>
  <si>
    <t>Kettle_09</t>
  </si>
  <si>
    <t>Kettle_10</t>
  </si>
  <si>
    <t>Kettle_11</t>
  </si>
  <si>
    <t>Kettle_12</t>
  </si>
  <si>
    <t>Brandon_06</t>
  </si>
  <si>
    <t>Brandon_07</t>
  </si>
  <si>
    <t>Laurie River</t>
  </si>
  <si>
    <t>Limestone_01</t>
  </si>
  <si>
    <t>Limestone_02</t>
  </si>
  <si>
    <t>Limestone_03</t>
  </si>
  <si>
    <t>Limestone_04</t>
  </si>
  <si>
    <t>Limestone_05</t>
  </si>
  <si>
    <t>Limestone_06</t>
  </si>
  <si>
    <t>Limestone_07</t>
  </si>
  <si>
    <t>Limestone_08</t>
  </si>
  <si>
    <t>Limestone_09</t>
  </si>
  <si>
    <t>Limestone_10</t>
  </si>
  <si>
    <t>EXISTING STORAGE HYDROELECTRIC</t>
  </si>
  <si>
    <t>Long Spruce_01</t>
  </si>
  <si>
    <t>Long Spruce_02</t>
  </si>
  <si>
    <t>Long Spruce_03</t>
  </si>
  <si>
    <t>Long Spruce_04</t>
  </si>
  <si>
    <t>Long Spruce_05</t>
  </si>
  <si>
    <t>Long Spruce_06</t>
  </si>
  <si>
    <t>Long Spruce_07</t>
  </si>
  <si>
    <t>Long Spruce_08</t>
  </si>
  <si>
    <t>Long Spruce_09</t>
  </si>
  <si>
    <t>Long Spruce_10</t>
  </si>
  <si>
    <t>McArthur Falls_01</t>
  </si>
  <si>
    <t>McArthur Falls_02</t>
  </si>
  <si>
    <t>McArthur Falls_03</t>
  </si>
  <si>
    <t>McArthur Falls_04</t>
  </si>
  <si>
    <t>McArthur Falls_05</t>
  </si>
  <si>
    <t>McArthur Falls_06</t>
  </si>
  <si>
    <t>McArthur Falls_07</t>
  </si>
  <si>
    <t>McArthur Falls_08</t>
  </si>
  <si>
    <t>Pine Falls_01</t>
  </si>
  <si>
    <t>Pine Falls_02</t>
  </si>
  <si>
    <t>Pine Falls_03</t>
  </si>
  <si>
    <t>Pine Falls_04</t>
  </si>
  <si>
    <t>Pine Falls_05</t>
  </si>
  <si>
    <t>Pine Falls_06</t>
  </si>
  <si>
    <t>Selkirk_01</t>
  </si>
  <si>
    <t>Selkirk_02</t>
  </si>
  <si>
    <t>Seven Sisters_01</t>
  </si>
  <si>
    <t>Seven Sisters_02</t>
  </si>
  <si>
    <t>Seven Sisters_03</t>
  </si>
  <si>
    <t>Seven Sisters_04</t>
  </si>
  <si>
    <t>Seven Sisters_05</t>
  </si>
  <si>
    <t>Seven Sisters_06</t>
  </si>
  <si>
    <t>Slave Falls_01</t>
  </si>
  <si>
    <t>Slave Falls_02</t>
  </si>
  <si>
    <t>Slave Falls_03</t>
  </si>
  <si>
    <t>Slave Falls_04</t>
  </si>
  <si>
    <t>Slave Falls_05</t>
  </si>
  <si>
    <t>Slave Falls_06</t>
  </si>
  <si>
    <t>Slave Falls_07</t>
  </si>
  <si>
    <t>Slave Falls_08</t>
  </si>
  <si>
    <t>Wuskwatim_01</t>
  </si>
  <si>
    <t>Wuskwatim_02</t>
  </si>
  <si>
    <t>Wuskwatim_03</t>
  </si>
  <si>
    <t>HISTORICAL ANNUAL ENERGY DEMAND</t>
  </si>
  <si>
    <t>UNIT</t>
  </si>
  <si>
    <t>Annual Energy Demand (after DSM)</t>
  </si>
  <si>
    <t>Annual Change in Energy Demand</t>
  </si>
  <si>
    <t>Percentage Change in Energy Demand</t>
  </si>
  <si>
    <t>HISTORICAL PEAK CAPACITY</t>
  </si>
  <si>
    <t>Annual Capacity Demand (after DSM)</t>
  </si>
  <si>
    <t>Annual Change in Capacity Demand</t>
  </si>
  <si>
    <t>Percentage Change in Capacity Demand</t>
  </si>
  <si>
    <t>Gross Firm Energy is the energy required to serve Manitoba Hydro’s customers on the Integrated System. It excludes exports, interruptible (non-firm) loads, Diesel Sales and Station Service for Keeyask and non-committed plants.</t>
  </si>
  <si>
    <t>Water Power Regulation, Man Reg 25/88 R, s.6(5).</t>
  </si>
  <si>
    <t>Total Project Cost</t>
  </si>
  <si>
    <t>Annualized Project Cost</t>
  </si>
  <si>
    <t>($M/year)</t>
  </si>
  <si>
    <t>Transmission costs are included in Total Project cost, so distance to grid is taken as 0 km</t>
  </si>
  <si>
    <t>HGWh</t>
  </si>
  <si>
    <t>HMW</t>
  </si>
  <si>
    <t>FGWh</t>
  </si>
  <si>
    <t>FMW</t>
  </si>
  <si>
    <t>HydroExisting</t>
  </si>
  <si>
    <t>HydroRenewals</t>
  </si>
  <si>
    <t>Characteristics specific to potential future capacity upgrades and pumped storage additions at existing facilities</t>
  </si>
  <si>
    <t>HydroGreenfield</t>
  </si>
  <si>
    <t>Characteristics specific to potential future greenfield hydroelectric projects</t>
  </si>
  <si>
    <t>HydroPS</t>
  </si>
  <si>
    <t>Characteristics specific to potential future pumped storage hydroelectric projects</t>
  </si>
  <si>
    <t>Data not yet obtained</t>
  </si>
  <si>
    <t>Data obtained and calculated</t>
  </si>
  <si>
    <t>Gillam Island</t>
  </si>
  <si>
    <t>Manasan</t>
  </si>
  <si>
    <t>Notigi</t>
  </si>
  <si>
    <t>Granville</t>
  </si>
  <si>
    <t>Bonald</t>
  </si>
  <si>
    <t>Red Rock</t>
  </si>
  <si>
    <t>Whitemud</t>
  </si>
  <si>
    <t>Birthday Rapids</t>
  </si>
  <si>
    <t>Early Morning</t>
  </si>
  <si>
    <t>First Rapids</t>
  </si>
  <si>
    <t>Incremental annual load growth (after DSM)</t>
  </si>
  <si>
    <t>Mid-load Forecast (before DSM)</t>
  </si>
  <si>
    <t>Mid-load Forecast (after DSM)</t>
  </si>
  <si>
    <t>Low-load Forecast (after DSM)</t>
  </si>
  <si>
    <t>Low-load Forecast (before DSM)</t>
  </si>
  <si>
    <t>Assume same DSM program as under mid-load forecast</t>
  </si>
  <si>
    <t>High-load Forecast (before DSM)</t>
  </si>
  <si>
    <t>High-load Forecast (after DSM)</t>
  </si>
  <si>
    <t>ANNUAL PEAK LOAD FORECAST</t>
  </si>
  <si>
    <t>Conawapa</t>
  </si>
  <si>
    <t>Distance to Market Grid</t>
  </si>
  <si>
    <t>Total Capital Cost</t>
  </si>
  <si>
    <t>Total Capital Costs include contingency and project management costs, but exclude IDC, corporate overhead, future inflation and transmission costs</t>
  </si>
  <si>
    <t>Provincial historical energy demand, after DSM</t>
  </si>
  <si>
    <t>Provincial historical capacity demand, after DSM</t>
  </si>
  <si>
    <t>Provincial mid-load energy forecast, before and after DSM</t>
  </si>
  <si>
    <t>Provincial mid-load capacity forecast, before and after DSM</t>
  </si>
  <si>
    <t>Hourly</t>
  </si>
  <si>
    <t>Provincial hourly generation data</t>
  </si>
  <si>
    <t># of units</t>
  </si>
  <si>
    <t>PW75</t>
  </si>
  <si>
    <t>D83P</t>
  </si>
  <si>
    <t>B71T</t>
  </si>
  <si>
    <t>dc</t>
  </si>
  <si>
    <t>VG11-12-13</t>
  </si>
  <si>
    <t>VG21-22-23</t>
  </si>
  <si>
    <t>D604</t>
  </si>
  <si>
    <t>General Notes:</t>
  </si>
  <si>
    <t>See calculations sheets for sources of values</t>
  </si>
  <si>
    <t>Start year indicates the year at which the facilitated was commissioned or refurbished to its current type</t>
  </si>
  <si>
    <t>Fixed O&amp;M and variable costs estimated using regression curves found in the CA-Inventory dataset</t>
  </si>
  <si>
    <t>Specific Notes:</t>
  </si>
  <si>
    <t>Y36V</t>
  </si>
  <si>
    <t>V95L</t>
  </si>
  <si>
    <t>VG41-42</t>
  </si>
  <si>
    <t>VG31-32</t>
  </si>
  <si>
    <t>K1</t>
  </si>
  <si>
    <t>K3</t>
  </si>
  <si>
    <t>K4</t>
  </si>
  <si>
    <t>K5</t>
  </si>
  <si>
    <t>K2</t>
  </si>
  <si>
    <t>K6</t>
  </si>
  <si>
    <t>K7</t>
  </si>
  <si>
    <t>VG61-62</t>
  </si>
  <si>
    <t>VG51-52</t>
  </si>
  <si>
    <t>KE1</t>
  </si>
  <si>
    <t>KE2</t>
  </si>
  <si>
    <t>KE3</t>
  </si>
  <si>
    <t>KE4</t>
  </si>
  <si>
    <t>H1</t>
  </si>
  <si>
    <t>H2</t>
  </si>
  <si>
    <t>H3</t>
  </si>
  <si>
    <t>H4</t>
  </si>
  <si>
    <t>H5</t>
  </si>
  <si>
    <t>L46H</t>
  </si>
  <si>
    <t>L47H</t>
  </si>
  <si>
    <t>L48H</t>
  </si>
  <si>
    <t>L1</t>
  </si>
  <si>
    <t>L2</t>
  </si>
  <si>
    <t>L3</t>
  </si>
  <si>
    <t>L4</t>
  </si>
  <si>
    <t>L5</t>
  </si>
  <si>
    <t>K61H</t>
  </si>
  <si>
    <t>K62H</t>
  </si>
  <si>
    <t>K63H</t>
  </si>
  <si>
    <t>K64H</t>
  </si>
  <si>
    <t>J89L</t>
  </si>
  <si>
    <t>Hydro_daily</t>
  </si>
  <si>
    <t>hydro_monthly</t>
  </si>
  <si>
    <t>hydro_daily</t>
  </si>
  <si>
    <t>Kelsey Additional Units</t>
  </si>
  <si>
    <t>Annualized Project Cost per KW</t>
  </si>
  <si>
    <t>Variable Costs</t>
  </si>
  <si>
    <t>Water Rentals</t>
  </si>
  <si>
    <t>Kelsey GS</t>
  </si>
  <si>
    <t>Assume a Capital Overhead rate of 1.77% of total capital costs (inclusive of contingencies, as they are above) based on BC Hydro rate</t>
  </si>
  <si>
    <t>Assume Project Definition costs using regression curve found in the CA-Inventory dataset</t>
  </si>
  <si>
    <t>Assume installed capacity of hydroelectric renewals is all dependable capacity, though this should be verified with new studies.</t>
  </si>
  <si>
    <t>Assume hydroelectric, greenfield and pumped storage facilities have an economic life of 70 years</t>
  </si>
  <si>
    <t>Assume a discount rate of 7% each year</t>
  </si>
  <si>
    <t>RN_KEL</t>
  </si>
  <si>
    <t>Manitoba.a</t>
  </si>
  <si>
    <t>Fixed Cost Existing Project</t>
  </si>
  <si>
    <t>Fixed Cost Renewed Project</t>
  </si>
  <si>
    <t>Assume hydro_daily and hydro_monthly generation has dependable capacity equal to installed capacity</t>
  </si>
  <si>
    <t>Generation Type</t>
  </si>
  <si>
    <t>Fixed Cost</t>
  </si>
  <si>
    <t>($/MW-year)</t>
  </si>
  <si>
    <t>Other References</t>
  </si>
  <si>
    <t>GF_EMG</t>
  </si>
  <si>
    <t>GF_BON</t>
  </si>
  <si>
    <t>GF_NOT</t>
  </si>
  <si>
    <t>GF_GRV</t>
  </si>
  <si>
    <t>GF_FRP</t>
  </si>
  <si>
    <t>GF_RRK</t>
  </si>
  <si>
    <t>GF_MSN</t>
  </si>
  <si>
    <t>GF_WMD</t>
  </si>
  <si>
    <t>GF_BRP</t>
  </si>
  <si>
    <t>GF_GIS</t>
  </si>
  <si>
    <t>GF_CON</t>
  </si>
  <si>
    <t>https://www.gov.mb.ca/sd/eal/registries/5716mbhydropointedubois/</t>
  </si>
  <si>
    <t>Not yet available</t>
  </si>
  <si>
    <t>Primary sources for the provincial data</t>
  </si>
  <si>
    <t>Generation</t>
  </si>
  <si>
    <t>Characteristics of existing interconnected generators</t>
  </si>
  <si>
    <t>MB-Sources</t>
  </si>
  <si>
    <t>Source</t>
  </si>
  <si>
    <t>Year</t>
  </si>
  <si>
    <t>Name</t>
  </si>
  <si>
    <t>Link</t>
  </si>
  <si>
    <t>Publication</t>
  </si>
  <si>
    <t>Region</t>
  </si>
  <si>
    <t>Environment Canada</t>
  </si>
  <si>
    <t>Historical Hydrometric Data Search</t>
  </si>
  <si>
    <t>https://wateroffice.ec.gc.ca/search/historical_e.html</t>
  </si>
  <si>
    <t>National</t>
  </si>
  <si>
    <t>World Resources Institute</t>
  </si>
  <si>
    <t>Global Power Plant Database</t>
  </si>
  <si>
    <t>http://datasets.wri.org/dataset/globalpowerplantdatabase</t>
  </si>
  <si>
    <t>Google Maps / Google Earth</t>
  </si>
  <si>
    <t>See "Other References" Column of the relevant tab</t>
  </si>
  <si>
    <t>Portage South</t>
  </si>
  <si>
    <t>Whiteshell</t>
  </si>
  <si>
    <t>St Vital</t>
  </si>
  <si>
    <t>Dorsey</t>
  </si>
  <si>
    <t>Vermillion</t>
  </si>
  <si>
    <t>Raven Lake</t>
  </si>
  <si>
    <t>Virden West</t>
  </si>
  <si>
    <t>Mystery Lake</t>
  </si>
  <si>
    <t xml:space="preserve">Crocus Plains </t>
  </si>
  <si>
    <t xml:space="preserve">Victoria Ave </t>
  </si>
  <si>
    <t>Inco</t>
  </si>
  <si>
    <t>Neepawa South</t>
  </si>
  <si>
    <t xml:space="preserve">Sask Ave </t>
  </si>
  <si>
    <t>Reston</t>
  </si>
  <si>
    <t>Rosser</t>
  </si>
  <si>
    <t>Rockwood</t>
  </si>
  <si>
    <t>Laverendrye</t>
  </si>
  <si>
    <t>Ridgeway</t>
  </si>
  <si>
    <t>Neepawa</t>
  </si>
  <si>
    <t>Riel</t>
  </si>
  <si>
    <t>Fortier</t>
  </si>
  <si>
    <t>Letellier</t>
  </si>
  <si>
    <t>Highland Park</t>
  </si>
  <si>
    <t>Minitonas</t>
  </si>
  <si>
    <t>Ralls Island</t>
  </si>
  <si>
    <t>Cliff Lake</t>
  </si>
  <si>
    <t>Ashern</t>
  </si>
  <si>
    <t>Cornwallis</t>
  </si>
  <si>
    <t>Ponton</t>
  </si>
  <si>
    <t>Overflowing River</t>
  </si>
  <si>
    <t>Garden Hill</t>
  </si>
  <si>
    <t>Wasagamack</t>
  </si>
  <si>
    <t xml:space="preserve">Cliff Lake </t>
  </si>
  <si>
    <t>Gods Lake Narrows</t>
  </si>
  <si>
    <t>Sherbrook</t>
  </si>
  <si>
    <t>Birchtree</t>
  </si>
  <si>
    <t>Oxford House</t>
  </si>
  <si>
    <t>Richer South</t>
  </si>
  <si>
    <t>Parkdale</t>
  </si>
  <si>
    <t xml:space="preserve">Raven Lake </t>
  </si>
  <si>
    <t>Minnedosa South</t>
  </si>
  <si>
    <t>Herblet Lake</t>
  </si>
  <si>
    <t>Manigotagan Corner</t>
  </si>
  <si>
    <t>Churchill South</t>
  </si>
  <si>
    <t>Madison</t>
  </si>
  <si>
    <t>Kirkfield Park</t>
  </si>
  <si>
    <t>Inkster</t>
  </si>
  <si>
    <t>Stafford</t>
  </si>
  <si>
    <t>Glenboro South</t>
  </si>
  <si>
    <t>Stanley</t>
  </si>
  <si>
    <t xml:space="preserve">Mercy Street </t>
  </si>
  <si>
    <t>Transcona</t>
  </si>
  <si>
    <t xml:space="preserve">Plessis </t>
  </si>
  <si>
    <t>Roblin South</t>
  </si>
  <si>
    <t>Harrow</t>
  </si>
  <si>
    <t>Scotland</t>
  </si>
  <si>
    <t>Burntwood</t>
  </si>
  <si>
    <t>Rosenfeld</t>
  </si>
  <si>
    <t>Morden Corner</t>
  </si>
  <si>
    <t xml:space="preserve">Mohawk </t>
  </si>
  <si>
    <t>Birtle South</t>
  </si>
  <si>
    <t xml:space="preserve">Ralls Island </t>
  </si>
  <si>
    <t xml:space="preserve">Roblin South </t>
  </si>
  <si>
    <t xml:space="preserve">Reston </t>
  </si>
  <si>
    <t xml:space="preserve">Glenboro South </t>
  </si>
  <si>
    <t xml:space="preserve">Letellier </t>
  </si>
  <si>
    <t xml:space="preserve">Richer South </t>
  </si>
  <si>
    <t xml:space="preserve">Laverendrye </t>
  </si>
  <si>
    <t xml:space="preserve">Ashern </t>
  </si>
  <si>
    <t xml:space="preserve">Birtle South </t>
  </si>
  <si>
    <t xml:space="preserve">Birchtree </t>
  </si>
  <si>
    <t xml:space="preserve">Cornwallis </t>
  </si>
  <si>
    <t xml:space="preserve">Parkdale </t>
  </si>
  <si>
    <t xml:space="preserve">Stanley </t>
  </si>
  <si>
    <t xml:space="preserve">Overflowing River </t>
  </si>
  <si>
    <t xml:space="preserve">Fortier </t>
  </si>
  <si>
    <t xml:space="preserve">Gods Lake Narrows </t>
  </si>
  <si>
    <t xml:space="preserve">Garden Hill </t>
  </si>
  <si>
    <t xml:space="preserve">Herblet Lake </t>
  </si>
  <si>
    <t xml:space="preserve">Oxford House </t>
  </si>
  <si>
    <t xml:space="preserve">Madison </t>
  </si>
  <si>
    <t xml:space="preserve">Kirkfield Park </t>
  </si>
  <si>
    <t xml:space="preserve">Minitonas </t>
  </si>
  <si>
    <t xml:space="preserve">Minnedosa South </t>
  </si>
  <si>
    <t xml:space="preserve">Neepawa South </t>
  </si>
  <si>
    <t xml:space="preserve">Ponton </t>
  </si>
  <si>
    <t xml:space="preserve">Portage South </t>
  </si>
  <si>
    <t xml:space="preserve">Ross Lake </t>
  </si>
  <si>
    <t xml:space="preserve">Silver </t>
  </si>
  <si>
    <t xml:space="preserve">Transcona </t>
  </si>
  <si>
    <t>Long Spruce SS</t>
  </si>
  <si>
    <t>Keeyask SS</t>
  </si>
  <si>
    <t>Keewatinohk CS</t>
  </si>
  <si>
    <t>Dorsey CS</t>
  </si>
  <si>
    <t>Henday CS</t>
  </si>
  <si>
    <t>Riel CS</t>
  </si>
  <si>
    <t>Pointe Du Bois GS</t>
  </si>
  <si>
    <t>Keeyask GS</t>
  </si>
  <si>
    <t>Kettle GS</t>
  </si>
  <si>
    <t>Limestone GS</t>
  </si>
  <si>
    <t>Long Spruce GS</t>
  </si>
  <si>
    <t xml:space="preserve">Brandon GS </t>
  </si>
  <si>
    <t>Brandon GS</t>
  </si>
  <si>
    <t>St Leon GS</t>
  </si>
  <si>
    <t xml:space="preserve">Grand Rapids GS </t>
  </si>
  <si>
    <t xml:space="preserve">Great Falls GS </t>
  </si>
  <si>
    <t>Pine Falls GS</t>
  </si>
  <si>
    <t>Selkirk GS</t>
  </si>
  <si>
    <t xml:space="preserve">Jenpeg GS </t>
  </si>
  <si>
    <t>St Joseph GS</t>
  </si>
  <si>
    <t xml:space="preserve">Kelsey GS </t>
  </si>
  <si>
    <t xml:space="preserve">Pine Falls GS </t>
  </si>
  <si>
    <t xml:space="preserve">Slave Falls GS </t>
  </si>
  <si>
    <t xml:space="preserve">Seven Sisters GS </t>
  </si>
  <si>
    <t>Great Falls GS</t>
  </si>
  <si>
    <t xml:space="preserve">Wuskwatim GS </t>
  </si>
  <si>
    <t>Manitoba Hydro Generating Stations</t>
  </si>
  <si>
    <t>https://www.hydro.mb.ca/corporate/facilities/generating_stations/</t>
  </si>
  <si>
    <t>Manitoba</t>
  </si>
  <si>
    <t>Need for an Alternatives To (NFAT). Appendix 7.2 Range of Resource Options</t>
  </si>
  <si>
    <t>https://www.hydro.mb.ca/corporate/ar/</t>
  </si>
  <si>
    <t>Annual Reports [2013 through 2018 - See calculations]</t>
  </si>
  <si>
    <t>2016/17 Resource Planning Assumptions &amp; Analysis</t>
  </si>
  <si>
    <t>https://www.hydro.mb.ca/regulatory_affairs/pdf/electric/general_rate_application_2017/07.3_appendix_7.3_mh_resource_planning_assumptions_and_analysis.pdf</t>
  </si>
  <si>
    <t>2018 Electric Load Forecast. Market Forecast &amp; Load Research.</t>
  </si>
  <si>
    <t>http://www.pubmanitoba.ca/v1/proceedings-decisions/appl-current/pubs/2019-mh-gra/2019-mh-application/appendix-15-2018-load-forecast.pdf</t>
  </si>
  <si>
    <t>MISO</t>
  </si>
  <si>
    <t>Manitoba Hydro Available Transfer Capability Implementation Document (ATCID)</t>
  </si>
  <si>
    <t>Pointe du Bois Transmission Project Environmental Assessment Report. Chapter 2</t>
  </si>
  <si>
    <t>Dorsey to Portage South 230 kV Transmission Line Environmental Assessment Report</t>
  </si>
  <si>
    <t>https://www.manitoba.ca/sd/eal/registries/5611dorsey/index.html</t>
  </si>
  <si>
    <t>Birtle Transmission Project Environmental Assessment Report</t>
  </si>
  <si>
    <t>https://www.gov.mb.ca/sd/eal/registries/5950birtle/index.html</t>
  </si>
  <si>
    <t>Interconnection Facilities Study for Keeyask Generating Station</t>
  </si>
  <si>
    <t>https://www.oasis.oati.com/MHEB/index.html</t>
  </si>
  <si>
    <t>https://www.gov.mb.ca/sd/eal/registries/5750mbhydrombminnesota/index.html</t>
  </si>
  <si>
    <t>Manitoba - Minnesota Transmission Project EIS. Chapter 2 - Project Description</t>
  </si>
  <si>
    <t>St. Vital Complex Environmental Assessment Report. Chapter 3 Project Description</t>
  </si>
  <si>
    <t>Manitoba Hydro Power Sale Arrangements</t>
  </si>
  <si>
    <t>https://www.hydro.mb.ca/corporate/electricity_exports/power_sale_arrangements/</t>
  </si>
  <si>
    <t>Bipole III Environmental Impact Statement - Chapter 7 Maps</t>
  </si>
  <si>
    <t>https://www.hydro.mb.ca/projects/bipoleIII/</t>
  </si>
  <si>
    <t>Radisson CS</t>
  </si>
  <si>
    <t>Kelsey Generating Station</t>
  </si>
  <si>
    <t>Souris Enbridge East</t>
  </si>
  <si>
    <t>William River</t>
  </si>
  <si>
    <t>Gillam</t>
  </si>
  <si>
    <t>Ilford</t>
  </si>
  <si>
    <t>Leaf Rapids</t>
  </si>
  <si>
    <t>Nelson House</t>
  </si>
  <si>
    <t xml:space="preserve">Hanover </t>
  </si>
  <si>
    <t xml:space="preserve">Randolph </t>
  </si>
  <si>
    <t xml:space="preserve">Snow Lake </t>
  </si>
  <si>
    <t>Stony Mountain West</t>
  </si>
  <si>
    <t>Tyndall DSC</t>
  </si>
  <si>
    <t>Anola DSC</t>
  </si>
  <si>
    <t>Transformers</t>
  </si>
  <si>
    <t>Winter Rating</t>
  </si>
  <si>
    <t>Summer Rating</t>
  </si>
  <si>
    <t>(MVA)</t>
  </si>
  <si>
    <t>Winter Capacity</t>
  </si>
  <si>
    <t>Summer Capacity</t>
  </si>
  <si>
    <t>Reactance</t>
  </si>
  <si>
    <t>Current</t>
  </si>
  <si>
    <t>Starting Node Code</t>
  </si>
  <si>
    <t>Starting Node Name</t>
  </si>
  <si>
    <t>Ending Node Code</t>
  </si>
  <si>
    <t>Ending Node Name</t>
  </si>
  <si>
    <t>IPB Island Falls</t>
  </si>
  <si>
    <t>https://cdn.misoenergy.org/Manitoba%20Hydro%20Transmission%20Facilities%20Reliability%20Coordination%20MISO%202019390631.xlsx</t>
  </si>
  <si>
    <t>https://web2.gov.mb.ca/laws/regs/current/_pdf-regs.php?reg=25/88%20R</t>
  </si>
  <si>
    <t>http://www.pubmanitoba.ca/v1/proceedings-decisions/mh-nfat/application.html</t>
  </si>
  <si>
    <t>Manitoba Hydro Transmission Facilities Subject to MISO RC Responsibility</t>
  </si>
  <si>
    <t>Flin Flon Border</t>
  </si>
  <si>
    <t>Count</t>
  </si>
  <si>
    <t>MB_KLS_GEN</t>
  </si>
  <si>
    <t>McArthur Falls GS</t>
  </si>
  <si>
    <t>McPhillips</t>
  </si>
  <si>
    <t>PP_MBSK1_IPT</t>
  </si>
  <si>
    <t>PP_MBSK2_IPT</t>
  </si>
  <si>
    <t>PP_MBSK3_IPT</t>
  </si>
  <si>
    <t>PP_MBSK4_IPT</t>
  </si>
  <si>
    <t>XX_MBUS1_INT</t>
  </si>
  <si>
    <t>XX_MBUS2_INT</t>
  </si>
  <si>
    <t>XX_MBUS3_INT</t>
  </si>
  <si>
    <t>XX_MBUS4_INT</t>
  </si>
  <si>
    <t>XX_MBUS5_INT</t>
  </si>
  <si>
    <t>PP_MBSK5_IPT</t>
  </si>
  <si>
    <t>Primary Voltage</t>
  </si>
  <si>
    <t>WT34A</t>
  </si>
  <si>
    <t>Manitoba Hydro 2017/18 &amp; 2018/19 General Rate Application COALITION/MH I-158a-Attachment</t>
  </si>
  <si>
    <t>http://www.pubmanitoba.ca/v1/proceedings-decisions/appl-current/mh2017gra-irs.html</t>
  </si>
  <si>
    <t>A3R</t>
  </si>
  <si>
    <t>Bipole III Transmission Project - Index of Map Series</t>
  </si>
  <si>
    <t>http://manitobawildlands.org/pdfs/bp3cec/HY-BP3-MBHY-ResponsetoCECIRsPackage4-Attach2-31Jul12.pdf</t>
  </si>
  <si>
    <t>K24W</t>
  </si>
  <si>
    <t>YT10</t>
  </si>
  <si>
    <t>VJ50</t>
  </si>
  <si>
    <t>VT63</t>
  </si>
  <si>
    <t>L41R</t>
  </si>
  <si>
    <t>L42R</t>
  </si>
  <si>
    <t>L43R</t>
  </si>
  <si>
    <t>Treherne</t>
  </si>
  <si>
    <t>Hanover</t>
  </si>
  <si>
    <t>PP_ONMB2_IPT</t>
  </si>
  <si>
    <t>PP_ONMB1_IPT</t>
  </si>
  <si>
    <t>Star Lake</t>
  </si>
  <si>
    <t>Brereton Lake</t>
  </si>
  <si>
    <t>GT1</t>
  </si>
  <si>
    <t>ST2</t>
  </si>
  <si>
    <t>Beausejour East</t>
  </si>
  <si>
    <t>Brokenhead</t>
  </si>
  <si>
    <t>Austin</t>
  </si>
  <si>
    <t>Macgregor</t>
  </si>
  <si>
    <t>Carberry North</t>
  </si>
  <si>
    <t>Cranberry Portage</t>
  </si>
  <si>
    <t>Dakota</t>
  </si>
  <si>
    <t>East Selkirk</t>
  </si>
  <si>
    <t>Griffin Steel</t>
  </si>
  <si>
    <t>HS15</t>
  </si>
  <si>
    <t>Sherridon</t>
  </si>
  <si>
    <t>HBMS Lalor</t>
  </si>
  <si>
    <t>Libau</t>
  </si>
  <si>
    <t>Lowe Farm</t>
  </si>
  <si>
    <t>Manitoba Rolling Mills</t>
  </si>
  <si>
    <t>Melrose DSC</t>
  </si>
  <si>
    <t>Augier</t>
  </si>
  <si>
    <t>Court</t>
  </si>
  <si>
    <t>Oakbank</t>
  </si>
  <si>
    <t>Randolph</t>
  </si>
  <si>
    <t>Snow Lake</t>
  </si>
  <si>
    <t>Stonewall</t>
  </si>
  <si>
    <t>Warren</t>
  </si>
  <si>
    <t>CP17</t>
  </si>
  <si>
    <t>Vivian</t>
  </si>
  <si>
    <t>Prior line R49R was divided into M49R and M88R</t>
  </si>
  <si>
    <t>Wilkes</t>
  </si>
  <si>
    <t>RS51</t>
  </si>
  <si>
    <t>RI8</t>
  </si>
  <si>
    <t>See 2016 MH LTT Plan</t>
  </si>
  <si>
    <t>St James</t>
  </si>
  <si>
    <t>SB14</t>
  </si>
  <si>
    <t>Brandon 65th St East</t>
  </si>
  <si>
    <t>Rapid City</t>
  </si>
  <si>
    <t>Secondary Voltage</t>
  </si>
  <si>
    <t>Node Name</t>
  </si>
  <si>
    <t>Node Code</t>
  </si>
  <si>
    <t>Connecting Voltage</t>
  </si>
  <si>
    <t>Connecting Node Name</t>
  </si>
  <si>
    <t>Connecting Node Code</t>
  </si>
  <si>
    <t>EXISTING SUBSTATIONS</t>
  </si>
  <si>
    <t>INT Drayton</t>
  </si>
  <si>
    <t>INT Forbes</t>
  </si>
  <si>
    <t>INT Iron Range</t>
  </si>
  <si>
    <t>INT Moranville</t>
  </si>
  <si>
    <t>INT Peace Gardens</t>
  </si>
  <si>
    <t>IPB EB Campbell</t>
  </si>
  <si>
    <t>IPB Tantallon</t>
  </si>
  <si>
    <t>Effective Capacity</t>
  </si>
  <si>
    <t>Capacity Adjustment</t>
  </si>
  <si>
    <t>by facility</t>
  </si>
  <si>
    <t>Natural Gas CT</t>
  </si>
  <si>
    <t>Wind</t>
  </si>
  <si>
    <t>Capacity Adjustment (Winter)</t>
  </si>
  <si>
    <t>Capacity Adjustment (Summer)</t>
  </si>
  <si>
    <t>Capacity Adjustment (Average)</t>
  </si>
  <si>
    <t>NERC</t>
  </si>
  <si>
    <t>2020 Summer Reliability Assessment</t>
  </si>
  <si>
    <t>https://www.nerc.com/pa/RAPA/ra/Reliability%20Assessments%20DL/NERC_SRA_2020.pdf</t>
  </si>
  <si>
    <t>NPCC</t>
  </si>
  <si>
    <t>2017 Québec Balancing Authority Area Comprehensive Review of Resource Adequacy</t>
  </si>
  <si>
    <t>https://www.npcc.org/Library/Resource%20Adequacy/Forms/Public%20List.aspx</t>
  </si>
  <si>
    <t>Québec</t>
  </si>
  <si>
    <t>Capacity adjustment numbers for Natural Gas and Hydro resources are for Quebec, and should be replaced with values for Manitoba</t>
  </si>
  <si>
    <t>The winter wind capacity adjustment was derived based on reported values for the summer and average annual capacity adjustments</t>
  </si>
  <si>
    <t>Manitoba Hydro 2010-2012 General Rate Application RCM/TREE/MH I-7</t>
  </si>
  <si>
    <t>High-load forecast for use in COPPER</t>
  </si>
  <si>
    <t>Low-load forecast for use in COPPER</t>
  </si>
  <si>
    <t>Mid-load forecast for use in COPPER</t>
  </si>
  <si>
    <t>http://www.pubmanitoba.ca/v1/proceedings-decisions/appl-previous/mhgra-index.html</t>
  </si>
  <si>
    <t>Generation Type - COPPER</t>
  </si>
  <si>
    <t>PRIMARY SOURCES</t>
  </si>
  <si>
    <t>Legend:</t>
  </si>
  <si>
    <t>JCT = Junction</t>
  </si>
  <si>
    <t>COPPER Balancing Area</t>
  </si>
  <si>
    <t>Planning Region</t>
  </si>
  <si>
    <t>hydro_run</t>
  </si>
  <si>
    <t>wind</t>
  </si>
  <si>
    <t>Renewal Year</t>
  </si>
  <si>
    <t>https://www.hydro.mb.ca/regulatory_affairs/electric/gra_2010_2012/#rd1</t>
  </si>
  <si>
    <t>2010/11 &amp; 2011/12 General Rate Application Filing - Information Requests Round 1 RCM/TREE</t>
  </si>
  <si>
    <t>Annual Average Energy Plant</t>
  </si>
  <si>
    <t>Renewal Project Code</t>
  </si>
  <si>
    <t>Unit Energy Cost</t>
  </si>
  <si>
    <t>Project Code</t>
  </si>
  <si>
    <t>Summer Ampacity</t>
  </si>
  <si>
    <t>Winter Ampacity</t>
  </si>
  <si>
    <t>Power Factor</t>
  </si>
  <si>
    <t>Actual voltage is 110 kV</t>
  </si>
  <si>
    <t>Reactance as function of voltage</t>
  </si>
  <si>
    <t>Surge Impedance Loading</t>
  </si>
  <si>
    <t>CPI - Canada (all items)</t>
  </si>
  <si>
    <t>Zc (High)</t>
  </si>
  <si>
    <t>Zc 
(Low)</t>
  </si>
  <si>
    <t>SIL (Low)</t>
  </si>
  <si>
    <t>SIL
(High)</t>
  </si>
  <si>
    <t>(V)</t>
  </si>
  <si>
    <t>(ohm/km)</t>
  </si>
  <si>
    <t>(ohms)</t>
  </si>
  <si>
    <t>SIL (Low) assumed for summer and SIL (High) for winter</t>
  </si>
  <si>
    <t>Values estimated between known values</t>
  </si>
  <si>
    <t>Surge impedance loading (SIL) is the power delivered by a lossless line to a load resistance equal to the surge impedance Zc = (L/C)^0.5</t>
  </si>
  <si>
    <t>L = inductance</t>
  </si>
  <si>
    <t>C = capacitance</t>
  </si>
  <si>
    <t>(miles)</t>
  </si>
  <si>
    <t>Smax</t>
  </si>
  <si>
    <t>(ohm)</t>
  </si>
  <si>
    <t>Inputs</t>
  </si>
  <si>
    <t>Inputs to the data calculations</t>
  </si>
  <si>
    <t>Overbye et al.</t>
  </si>
  <si>
    <t>Power System Analysis and Design (Sixth Edition). Table 5.2</t>
  </si>
  <si>
    <t xml:space="preserve">Athari, MH and Zhifang, W. </t>
  </si>
  <si>
    <t xml:space="preserve">Interdependence of Transmission Branch Parameters on the Voltage Levels. Electrical Engineering and Systems Science. </t>
  </si>
  <si>
    <t>https://arxiv.org/abs/1709.06930</t>
  </si>
  <si>
    <t>Gutman, R., Marchenko, P.P., and Dunlop, R.D.</t>
  </si>
  <si>
    <t>Analytical Development of Loadability Characteristics for EHV and UHV Transmission Lines</t>
  </si>
  <si>
    <t>http://home.eng.iastate.edu/~jdm/ee552/StClairAEP.pdf</t>
  </si>
  <si>
    <t>When a substation contains two voltage levels, the generator connects at the more appropriate voltage based on generator capacity</t>
  </si>
  <si>
    <t>Effective capacities estimated using the ELCC values in the "System" tab</t>
  </si>
  <si>
    <t>Hydroelectric generation type has been estimated based on available information concerning operations, reservoir size and operations, facility location and design flows.</t>
  </si>
  <si>
    <t>The WSC# refers to the Water Survey of Canada Hydrometric station</t>
  </si>
  <si>
    <t>Unless already included in total capital costs, a distance of 25 km is added to distance to market grid to account for potential grid interconnection costs</t>
  </si>
  <si>
    <t>Smax = Loadability in multiples of SIL = 42.40 (Length in Miles)^(−0.6595) (this is a power function interpolation of Figure 7 in Gutman et al.)</t>
  </si>
  <si>
    <t>Average</t>
  </si>
  <si>
    <t>2009-2018</t>
  </si>
  <si>
    <t>Transmission line flow ratings</t>
  </si>
  <si>
    <t>Conversions</t>
  </si>
  <si>
    <t>MH Values</t>
  </si>
  <si>
    <t>Winter/Summer Tranmission Flow Conversion</t>
  </si>
  <si>
    <t>Winter/Summer Transformer Flow Conversion</t>
  </si>
  <si>
    <t>Index</t>
  </si>
  <si>
    <t>Same values used for 63-72 kV</t>
  </si>
  <si>
    <t>Statistics Canada – TABLE 18-10-0005-01,  annual average, not seasonally adjusted</t>
  </si>
  <si>
    <t>Ampacity estimates made from known ratings on existing lines</t>
  </si>
  <si>
    <t>MH estimates provided by David Jacobson in an email of July 30, 2019</t>
  </si>
  <si>
    <t>Storage</t>
  </si>
  <si>
    <t>Characteristics of existing grid-scale storage facilities</t>
  </si>
  <si>
    <t>Characteristics specific to existing interconnected hydroelectric generators with hourly or monthly storage</t>
  </si>
  <si>
    <t>Calculated values (may be overlain by reference shading)</t>
  </si>
  <si>
    <t>EXISTING STORAGE</t>
  </si>
  <si>
    <t xml:space="preserve">Technology </t>
  </si>
  <si>
    <t>Storage Capacity</t>
  </si>
  <si>
    <t>Storage Energy</t>
  </si>
  <si>
    <t>Duration</t>
  </si>
  <si>
    <t>Associated Generation</t>
  </si>
  <si>
    <t>Cost</t>
  </si>
  <si>
    <t>kV</t>
  </si>
  <si>
    <t>(Hours)</t>
  </si>
  <si>
    <t>Actual primary voltage is 110 kV</t>
  </si>
  <si>
    <t>INPUT DATA AND ASSUMPTIONS</t>
  </si>
  <si>
    <t>Existing Design</t>
  </si>
  <si>
    <t>Renewal Design</t>
  </si>
  <si>
    <t>Costs</t>
  </si>
  <si>
    <t>Gen Code</t>
  </si>
  <si>
    <t>MB_KTL10_GEN</t>
  </si>
  <si>
    <t>MB_KTL11_GEN</t>
  </si>
  <si>
    <t>MB_KTL12_GEN</t>
  </si>
  <si>
    <t>MB_LMS10_GEN</t>
  </si>
  <si>
    <t>MB_LSP10_GEN</t>
  </si>
  <si>
    <t>MB-USA Border</t>
  </si>
  <si>
    <t>MB-SK Border</t>
  </si>
  <si>
    <t>EXISTING TRANSFORMERS</t>
  </si>
  <si>
    <t>Transcona East</t>
  </si>
  <si>
    <t>Laurie River #1 TS</t>
  </si>
  <si>
    <t>Kelsey TS</t>
  </si>
  <si>
    <t>Storage Code</t>
  </si>
  <si>
    <t>MB_BDN_GSS</t>
  </si>
  <si>
    <t>MB_GRF_GSS</t>
  </si>
  <si>
    <t>MB_GRP_GSS</t>
  </si>
  <si>
    <t>MB_JPG_GSS</t>
  </si>
  <si>
    <t>MB_KLS_GSS</t>
  </si>
  <si>
    <t>MB_KSK_GSS</t>
  </si>
  <si>
    <t>MB_LMS_GSS</t>
  </si>
  <si>
    <t>MB_LRV_TSS</t>
  </si>
  <si>
    <t>MB_LSP_GSS</t>
  </si>
  <si>
    <t>MB_MCF_GSS</t>
  </si>
  <si>
    <t>MB_PDB_GSS</t>
  </si>
  <si>
    <t>MB_PNF_GSS</t>
  </si>
  <si>
    <t>MB_RDS_CSS</t>
  </si>
  <si>
    <t>MB_SKK_GSS</t>
  </si>
  <si>
    <t>MB_SLF_GSS</t>
  </si>
  <si>
    <t>MB_STJ_GSS</t>
  </si>
  <si>
    <t>MB_STL_GSS</t>
  </si>
  <si>
    <t>MB_SVS_GSS</t>
  </si>
  <si>
    <t>MB_WSK_GSS</t>
  </si>
  <si>
    <t>MB_ANO_DSS</t>
  </si>
  <si>
    <t>MB_ASH_DSS</t>
  </si>
  <si>
    <t>MB_AUG_DSS</t>
  </si>
  <si>
    <t>MB_AUS_DSS</t>
  </si>
  <si>
    <t>MB_BSJ_DSS</t>
  </si>
  <si>
    <t>MB_BCT_DSS</t>
  </si>
  <si>
    <t>MB_BTS_DSS</t>
  </si>
  <si>
    <t>MB_BRT_DSS</t>
  </si>
  <si>
    <t>MB_BKH_DSS</t>
  </si>
  <si>
    <t>MB_CBY_DSS</t>
  </si>
  <si>
    <t>MB_CNW_DSS</t>
  </si>
  <si>
    <t>MB_CRT_DSS</t>
  </si>
  <si>
    <t>MB_CBP_DSS</t>
  </si>
  <si>
    <t>MB_CRP_DSS</t>
  </si>
  <si>
    <t>MB_DAK_DSS</t>
  </si>
  <si>
    <t>MB_DSY_DSS</t>
  </si>
  <si>
    <t>MB_ESK_DSS</t>
  </si>
  <si>
    <t>MB_BDR_DSS</t>
  </si>
  <si>
    <t>MB_FRT_DSS</t>
  </si>
  <si>
    <t>MB_GDH_DSS</t>
  </si>
  <si>
    <t>MB_GLM_DSS</t>
  </si>
  <si>
    <t>MB_GBS_DSS</t>
  </si>
  <si>
    <t>MB_GLN_DSS</t>
  </si>
  <si>
    <t>MB_GLL_DSS</t>
  </si>
  <si>
    <t>MB_LAL_ISS</t>
  </si>
  <si>
    <t>MB_HDY_CSS</t>
  </si>
  <si>
    <t>MB_HBL_DSS</t>
  </si>
  <si>
    <t>MB_ILF_DSS</t>
  </si>
  <si>
    <t>MB_INC_ISS</t>
  </si>
  <si>
    <t>MB_INK_DSS</t>
  </si>
  <si>
    <t>MB_KWT_CSS</t>
  </si>
  <si>
    <t>MB_KTL_GSS</t>
  </si>
  <si>
    <t>MB_LAV_DSS</t>
  </si>
  <si>
    <t>MB_LFR_DSS</t>
  </si>
  <si>
    <t>MB_LTL_DSS</t>
  </si>
  <si>
    <t>MB_LIB_DSS</t>
  </si>
  <si>
    <t>MB_LFM_DSS</t>
  </si>
  <si>
    <t>MB_MCG_DSS</t>
  </si>
  <si>
    <t>MB_MAD_DSS</t>
  </si>
  <si>
    <t>MB_MRM_DSS</t>
  </si>
  <si>
    <t>MB_MLR_DSS</t>
  </si>
  <si>
    <t>MB_MIN_DSS</t>
  </si>
  <si>
    <t>MB_MDS_DSS</t>
  </si>
  <si>
    <t>MB_MOH_DSS</t>
  </si>
  <si>
    <t>MB_MYS_DSS</t>
  </si>
  <si>
    <t>MB_NPW_DSS</t>
  </si>
  <si>
    <t>MB_NPS_DSS</t>
  </si>
  <si>
    <t>MB_NLH_DSS</t>
  </si>
  <si>
    <t>MB_NTG_DSS</t>
  </si>
  <si>
    <t>MB_OKB_DSS</t>
  </si>
  <si>
    <t>MB_OVL_DSS</t>
  </si>
  <si>
    <t>MB_OXF_DSS</t>
  </si>
  <si>
    <t>MB_PKD_DSS</t>
  </si>
  <si>
    <t>MB_PTN_DSS</t>
  </si>
  <si>
    <t>MB_PGS_DSS</t>
  </si>
  <si>
    <t>MB_RLI_DSS</t>
  </si>
  <si>
    <t>MB_RDP_DSS</t>
  </si>
  <si>
    <t>MB_RPD_DSS</t>
  </si>
  <si>
    <t>MB_RST_DSS</t>
  </si>
  <si>
    <t>MB_RCH_DSS</t>
  </si>
  <si>
    <t>MB_RIL_DSS</t>
  </si>
  <si>
    <t>MB_RBL_DSS</t>
  </si>
  <si>
    <t>MB_RKW_DSS</t>
  </si>
  <si>
    <t>MB_RSL_DSS</t>
  </si>
  <si>
    <t>MB_RSR_DSS</t>
  </si>
  <si>
    <t>MB_SLV_DSS</t>
  </si>
  <si>
    <t>MB_SNL_DSS</t>
  </si>
  <si>
    <t>MB_SEE_DSS</t>
  </si>
  <si>
    <t>MB_SJM_DSS</t>
  </si>
  <si>
    <t>MB_STV_DSS</t>
  </si>
  <si>
    <t>MB_STY_DSS</t>
  </si>
  <si>
    <t>MB_SLK_DSS</t>
  </si>
  <si>
    <t>MB_STW_DSS</t>
  </si>
  <si>
    <t>MB_STM_DSS</t>
  </si>
  <si>
    <t>MB_TCA_DSS</t>
  </si>
  <si>
    <t>MB_TYN_DSS</t>
  </si>
  <si>
    <t>MB_VML_DSS</t>
  </si>
  <si>
    <t>MB_VCT_DSS</t>
  </si>
  <si>
    <t>MB_VIV_DSS</t>
  </si>
  <si>
    <t>MB_WRN_DSS</t>
  </si>
  <si>
    <t>MB_WSL_DSS</t>
  </si>
  <si>
    <t>MB_WLK_DSS</t>
  </si>
  <si>
    <t>MB_WLR_DSS</t>
  </si>
  <si>
    <t>MB_KSS_SWS</t>
  </si>
  <si>
    <t>MB_B65_DSS</t>
  </si>
  <si>
    <t>MB_BWD_DSS</t>
  </si>
  <si>
    <t>MB_CHS_DSS</t>
  </si>
  <si>
    <t>MB_CFL_DSS</t>
  </si>
  <si>
    <t>MB_DSY_CSS</t>
  </si>
  <si>
    <t>MB_HNV_DSS</t>
  </si>
  <si>
    <t>MB_HRW_DSS</t>
  </si>
  <si>
    <t>MB_HLP_DSS</t>
  </si>
  <si>
    <t>MB_KLT_TSS</t>
  </si>
  <si>
    <t>MB_KFP_DSS</t>
  </si>
  <si>
    <t>MB_LSP_SWS</t>
  </si>
  <si>
    <t>MB_MGT_DSS</t>
  </si>
  <si>
    <t>MB_MCP_DSS</t>
  </si>
  <si>
    <t>MB_MCY_DSS</t>
  </si>
  <si>
    <t>MB_MDC_DSS</t>
  </si>
  <si>
    <t>MB_PLS_DSS</t>
  </si>
  <si>
    <t>MB_RVL_DSS</t>
  </si>
  <si>
    <t>MB_RGW_DSS</t>
  </si>
  <si>
    <t>MB_RIL_CSS</t>
  </si>
  <si>
    <t>MB_RSF_DSS</t>
  </si>
  <si>
    <t>MB_SKA_DSS</t>
  </si>
  <si>
    <t>MB_SCT_DSS</t>
  </si>
  <si>
    <t>MB_SBK_DSS</t>
  </si>
  <si>
    <t>MB_SHD_DSS</t>
  </si>
  <si>
    <t>MB_SPL_DSS</t>
  </si>
  <si>
    <t>MB_STF_DSS</t>
  </si>
  <si>
    <t>MB_TRH_DSS</t>
  </si>
  <si>
    <t>MB_VDW_DSS</t>
  </si>
  <si>
    <t>MB_WSM_DSS</t>
  </si>
  <si>
    <t>MB_GFS_ISS</t>
  </si>
  <si>
    <t>MB_TCE_DSS</t>
  </si>
  <si>
    <t>ON-MB Border</t>
  </si>
  <si>
    <t>The Water Power Act</t>
  </si>
  <si>
    <t>Nodes</t>
  </si>
  <si>
    <t>Characteristics of existing transmission system nodes</t>
  </si>
  <si>
    <t>Distribution</t>
  </si>
  <si>
    <t>Characteristics of existing distribution substations</t>
  </si>
  <si>
    <t>PP_MBSK01_GEN</t>
  </si>
  <si>
    <t>PP_MBSK02_GEN</t>
  </si>
  <si>
    <t>PP_MBSK03_GEN</t>
  </si>
  <si>
    <t>XX_MBUS01_GEN</t>
  </si>
  <si>
    <t>XX_MBUS02_GEN</t>
  </si>
  <si>
    <t>XX_MBUS03_GEN</t>
  </si>
  <si>
    <t>XX_MBUS04_GEN</t>
  </si>
  <si>
    <t>XX_MBUS05_GEN</t>
  </si>
  <si>
    <t>Manitoba Hydro. 2020. Transmission Long-term Plan</t>
  </si>
  <si>
    <t>MM30</t>
  </si>
  <si>
    <t>Lac Du Bonnet</t>
  </si>
  <si>
    <t>MB_LDB_SUB</t>
  </si>
  <si>
    <t>Seddons Corner DSC</t>
  </si>
  <si>
    <t>Rutherford JCT</t>
  </si>
  <si>
    <t>MB_RTH_JCT</t>
  </si>
  <si>
    <t>Rutherford Junction is an assumed name</t>
  </si>
  <si>
    <t>SG12N</t>
  </si>
  <si>
    <t>SG12S</t>
  </si>
  <si>
    <t>SG12</t>
  </si>
  <si>
    <t>SG13</t>
  </si>
  <si>
    <t>DFS = Dual Function Distribution and Generation Substation</t>
  </si>
  <si>
    <t>DSS = Distribution Substation</t>
  </si>
  <si>
    <t>GEN = Generating Unit</t>
  </si>
  <si>
    <t>GSS = Generating Substation</t>
  </si>
  <si>
    <t>ISS = Industrial Customer Substation</t>
  </si>
  <si>
    <t>SWS = Switching Station</t>
  </si>
  <si>
    <t>TSS = Terminal Station</t>
  </si>
  <si>
    <t>MB_LDB_DSS</t>
  </si>
  <si>
    <t>MB_SDC_DSS</t>
  </si>
  <si>
    <t>MB_GRF01_GEN</t>
  </si>
  <si>
    <t>MB_GRP01_GEN</t>
  </si>
  <si>
    <t>MB_JPG01_GEN</t>
  </si>
  <si>
    <t>MB_KLS01_GEN</t>
  </si>
  <si>
    <t>MB_KSK01_GEN</t>
  </si>
  <si>
    <t>MB_KTL01_GEN</t>
  </si>
  <si>
    <t>MB_LMS01_GEN</t>
  </si>
  <si>
    <t>MB_LRV01_GEN</t>
  </si>
  <si>
    <t>MB_LSP01_GEN</t>
  </si>
  <si>
    <t>MB_MCF01_GEN</t>
  </si>
  <si>
    <t>MB_PNF01_GEN</t>
  </si>
  <si>
    <t>MB_SKK01_GEN</t>
  </si>
  <si>
    <t>MB_SLF01_GEN</t>
  </si>
  <si>
    <t>MB_SVS01_GEN</t>
  </si>
  <si>
    <t>MB_WSK01_GEN</t>
  </si>
  <si>
    <t>MB_GRF02_GEN</t>
  </si>
  <si>
    <t>MB_GRP02_GEN</t>
  </si>
  <si>
    <t>MB_JPG02_GEN</t>
  </si>
  <si>
    <t>MB_KLS02_GEN</t>
  </si>
  <si>
    <t>MB_KSK02_GEN</t>
  </si>
  <si>
    <t>MB_KTL02_GEN</t>
  </si>
  <si>
    <t>MB_LMS02_GEN</t>
  </si>
  <si>
    <t>MB_LRV02_GEN</t>
  </si>
  <si>
    <t>MB_LSP02_GEN</t>
  </si>
  <si>
    <t>MB_MCF02_GEN</t>
  </si>
  <si>
    <t>MB_PNF02_GEN</t>
  </si>
  <si>
    <t>MB_SKK02_GEN</t>
  </si>
  <si>
    <t>MB_SLF02_GEN</t>
  </si>
  <si>
    <t>MB_SVS02_GEN</t>
  </si>
  <si>
    <t>MB_WSK02_GEN</t>
  </si>
  <si>
    <t>MB_GRF03_GEN</t>
  </si>
  <si>
    <t>MB_GRP03_GEN</t>
  </si>
  <si>
    <t>MB_JPG03_GEN</t>
  </si>
  <si>
    <t>MB_KLS03_GEN</t>
  </si>
  <si>
    <t>MB_KSK03_GEN</t>
  </si>
  <si>
    <t>MB_KTL03_GEN</t>
  </si>
  <si>
    <t>MB_LMS03_GEN</t>
  </si>
  <si>
    <t>MB_LSP03_GEN</t>
  </si>
  <si>
    <t>MB_MCF03_GEN</t>
  </si>
  <si>
    <t>MB_PNF03_GEN</t>
  </si>
  <si>
    <t>MB_SLF03_GEN</t>
  </si>
  <si>
    <t>MB_SVS03_GEN</t>
  </si>
  <si>
    <t>MB_WSK03_GEN</t>
  </si>
  <si>
    <t>MB_GRF04_GEN</t>
  </si>
  <si>
    <t>MB_GRP04_GEN</t>
  </si>
  <si>
    <t>MB_JPG04_GEN</t>
  </si>
  <si>
    <t>MB_KLS04_GEN</t>
  </si>
  <si>
    <t>MB_KSK04_GEN</t>
  </si>
  <si>
    <t>MB_KTL04_GEN</t>
  </si>
  <si>
    <t>MB_LMS04_GEN</t>
  </si>
  <si>
    <t>MB_LSP04_GEN</t>
  </si>
  <si>
    <t>MB_MCF04_GEN</t>
  </si>
  <si>
    <t>MB_PNF04_GEN</t>
  </si>
  <si>
    <t>MB_SLF04_GEN</t>
  </si>
  <si>
    <t>MB_SVS04_GEN</t>
  </si>
  <si>
    <t>MB_GRF05_GEN</t>
  </si>
  <si>
    <t>MB_JPG05_GEN</t>
  </si>
  <si>
    <t>MB_KLS05_GEN</t>
  </si>
  <si>
    <t>MB_KSK05_GEN</t>
  </si>
  <si>
    <t>MB_KTL05_GEN</t>
  </si>
  <si>
    <t>MB_LMS05_GEN</t>
  </si>
  <si>
    <t>MB_LSP05_GEN</t>
  </si>
  <si>
    <t>MB_MCF05_GEN</t>
  </si>
  <si>
    <t>MB_PNF05_GEN</t>
  </si>
  <si>
    <t>MB_SLF05_GEN</t>
  </si>
  <si>
    <t>MB_SVS05_GEN</t>
  </si>
  <si>
    <t>MB_BDN06_GEN</t>
  </si>
  <si>
    <t>MB_GRF06_GEN</t>
  </si>
  <si>
    <t>MB_JPG06_GEN</t>
  </si>
  <si>
    <t>MB_KLS06_GEN</t>
  </si>
  <si>
    <t>MB_KSK06_GEN</t>
  </si>
  <si>
    <t>MB_KTL06_GEN</t>
  </si>
  <si>
    <t>MB_LMS06_GEN</t>
  </si>
  <si>
    <t>MB_LSP06_GEN</t>
  </si>
  <si>
    <t>MB_MCF06_GEN</t>
  </si>
  <si>
    <t>MB_PNF06_GEN</t>
  </si>
  <si>
    <t>MB_SLF06_GEN</t>
  </si>
  <si>
    <t>MB_SVS06_GEN</t>
  </si>
  <si>
    <t>MB_BDN07_GEN</t>
  </si>
  <si>
    <t>MB_KLS07_GEN</t>
  </si>
  <si>
    <t>MB_KSK07_GEN</t>
  </si>
  <si>
    <t>MB_KTL07_GEN</t>
  </si>
  <si>
    <t>MB_LMS07_GEN</t>
  </si>
  <si>
    <t>MB_LSP07_GEN</t>
  </si>
  <si>
    <t>MB_MCF07_GEN</t>
  </si>
  <si>
    <t>MB_SLF07_GEN</t>
  </si>
  <si>
    <t>MB_KTL08_GEN</t>
  </si>
  <si>
    <t>MB_LMS08_GEN</t>
  </si>
  <si>
    <t>MB_LSP08_GEN</t>
  </si>
  <si>
    <t>MB_MCF08_GEN</t>
  </si>
  <si>
    <t>MB_SLF08_GEN</t>
  </si>
  <si>
    <t>MB_KTL09_GEN</t>
  </si>
  <si>
    <t>MB_LMS09_GEN</t>
  </si>
  <si>
    <t>MB_LSP09_GEN</t>
  </si>
  <si>
    <t>Operating Region</t>
  </si>
  <si>
    <t>IPT Boundary Dam</t>
  </si>
  <si>
    <t>IPT EB Campbell</t>
  </si>
  <si>
    <t>IPT Island Falls</t>
  </si>
  <si>
    <t>IPT Seven Sisters</t>
  </si>
  <si>
    <t>IPT Tantallon</t>
  </si>
  <si>
    <t>IPT Whiteshell</t>
  </si>
  <si>
    <t>IPT Yorkton</t>
  </si>
  <si>
    <t>CSS = AC/DC Converter Station</t>
  </si>
  <si>
    <t>INT = International Intertie</t>
  </si>
  <si>
    <t>IPT = Interprovincial Intertie</t>
  </si>
  <si>
    <t>MTS = Municipal Transformer Station</t>
  </si>
  <si>
    <t>TS = Transformer Station</t>
  </si>
  <si>
    <t>Canada Energy Regulator</t>
  </si>
  <si>
    <t>International Power Lines Dashboard</t>
  </si>
  <si>
    <t>https://www.cer-rec.gc.ca/en/data-analysis/facilities-we-regulate/international-power-lines-dashboard/index.html</t>
  </si>
  <si>
    <t>Canada</t>
  </si>
  <si>
    <t>MB_PDB00_GEN</t>
  </si>
  <si>
    <t>MB_STJ00_GEN</t>
  </si>
  <si>
    <t>MB_STL00_GEN</t>
  </si>
  <si>
    <t>CONTRACT - Basin Electric Power Cooperative</t>
  </si>
  <si>
    <t>CONTRACT - MB-SK (PPA_01)</t>
  </si>
  <si>
    <t>CONTRACT - Minnesota Power</t>
  </si>
  <si>
    <t>CONTRACT - Wisconsin Public Service</t>
  </si>
  <si>
    <t>CONTRACT - Xcel Energy_01</t>
  </si>
  <si>
    <t>CONTRACT - Xcel Energy_02</t>
  </si>
  <si>
    <t>gasSC</t>
  </si>
  <si>
    <t>HYDROELECTRIC PUIMPED STORAGE</t>
  </si>
  <si>
    <t>Reservoir Design</t>
  </si>
  <si>
    <t>Pumped Storage Project</t>
  </si>
  <si>
    <t>Estimated Round Trip Efficiency</t>
  </si>
  <si>
    <t>Annual Average Energy - Plant</t>
  </si>
  <si>
    <t>Reservoir Storage</t>
  </si>
  <si>
    <t>Design Flow (Pumping)</t>
  </si>
  <si>
    <t>Pump Type</t>
  </si>
  <si>
    <t>Efficient Pumping Capacity Duration</t>
  </si>
  <si>
    <t>Annualized Project Cost per kW</t>
  </si>
  <si>
    <t>Variable Cost</t>
  </si>
  <si>
    <t>2018-2050 Rate</t>
  </si>
  <si>
    <t>Assume extended to 2050</t>
  </si>
  <si>
    <t>BK41</t>
  </si>
  <si>
    <t>Canexus</t>
  </si>
  <si>
    <t>MB_CNX_ISS</t>
  </si>
  <si>
    <t>Revisions</t>
  </si>
  <si>
    <t>NEW Line</t>
  </si>
  <si>
    <t>DELETED line portion</t>
  </si>
  <si>
    <t>NEW Substation</t>
  </si>
  <si>
    <t>Line Segment Length</t>
  </si>
  <si>
    <t>Line Length</t>
  </si>
  <si>
    <t>2027-2037</t>
  </si>
  <si>
    <t>2027-2037 Rate</t>
  </si>
  <si>
    <t>GWh/y</t>
  </si>
  <si>
    <t>IPP contract durations presumed to be: all fossil fuel - 30 years; hydroelectric run-of-river - 40 years; wind - 20 years; solar 20 years; storage - 20 years; biomass - 30 years; biogas - 15 years; all renewals same duration as initial contract</t>
  </si>
  <si>
    <t>Non-IPP project economic lives presumed to be: all fossil fuel - 30 years; nuclear - 50 years + 40 years per renewal; storage (including pumped) hydroelectric - 70 years + 40 years per renewal; hydroelectric run-of-river - 40 years; wind - 20 years; solar 20 years; storage - 20 years; biomass - 30 years; biogas - 15 years; all renewals same as initial project, unless indicated</t>
  </si>
  <si>
    <t>Multi-unit hydro_run facilities treated as single-unit facilities</t>
  </si>
  <si>
    <t>BLANK</t>
  </si>
  <si>
    <t>Separates included from excluded tabs in CODERS</t>
  </si>
  <si>
    <t>Data under review</t>
  </si>
  <si>
    <t>all other colours are linked to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</si>
</sst>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00000"/>
    <numFmt numFmtId="166" formatCode="#,##0.0000"/>
    <numFmt numFmtId="167" formatCode="#,##0.0"/>
    <numFmt numFmtId="168" formatCode="#,##0.0000000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Arial"/>
      <family val="2"/>
    </font>
    <font>
      <sz val="14"/>
      <name val="Calibri"/>
      <family val="2"/>
    </font>
    <font>
      <sz val="14"/>
      <color theme="1"/>
      <name val="Calibri (Body)"/>
    </font>
    <font>
      <b/>
      <sz val="14"/>
      <color rgb="FFFF0000"/>
      <name val="Calibri"/>
      <family val="2"/>
      <scheme val="minor"/>
    </font>
    <font>
      <sz val="14"/>
      <color theme="1"/>
      <name val="Helvetic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Times New Roman"/>
      <family val="1"/>
    </font>
  </fonts>
  <fills count="7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gray125">
        <fgColor theme="0" tint="-0.149967955565050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gray125">
        <fgColor theme="0" tint="-0.14996795556505021"/>
        <bgColor theme="4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3">
    <xf numFmtId="3" fontId="0" fillId="0" borderId="0">
      <alignment horizontal="right" vertical="center"/>
    </xf>
    <xf numFmtId="0" fontId="8" fillId="0" borderId="0"/>
    <xf numFmtId="0" fontId="5" fillId="0" borderId="0" applyNumberFormat="0" applyFill="0" applyBorder="0" applyAlignment="0" applyProtection="0"/>
    <xf numFmtId="1" fontId="28" fillId="0" borderId="9">
      <alignment horizontal="center" vertical="center" wrapText="1"/>
    </xf>
    <xf numFmtId="1" fontId="13" fillId="10" borderId="9">
      <alignment horizontal="center" vertical="center"/>
    </xf>
    <xf numFmtId="0" fontId="13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12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4" applyNumberFormat="0" applyAlignment="0" applyProtection="0"/>
    <xf numFmtId="0" fontId="24" fillId="16" borderId="5" applyNumberFormat="0" applyAlignment="0" applyProtection="0"/>
    <xf numFmtId="0" fontId="25" fillId="0" borderId="6" applyNumberFormat="0" applyFill="0" applyAlignment="0" applyProtection="0"/>
    <xf numFmtId="0" fontId="2" fillId="42" borderId="9" applyNumberFormat="0" applyAlignment="0" applyProtection="0"/>
    <xf numFmtId="0" fontId="15" fillId="17" borderId="7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8" applyNumberFormat="0" applyFill="0" applyAlignment="0" applyProtection="0"/>
    <xf numFmtId="0" fontId="2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7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10" fontId="29" fillId="0" borderId="9">
      <alignment horizontal="right" vertical="center"/>
    </xf>
    <xf numFmtId="0" fontId="11" fillId="0" borderId="9">
      <alignment horizontal="left" vertical="center" wrapText="1"/>
    </xf>
    <xf numFmtId="0" fontId="11" fillId="0" borderId="9">
      <alignment horizontal="center" vertical="center" wrapText="1"/>
    </xf>
    <xf numFmtId="3" fontId="3" fillId="0" borderId="0">
      <alignment horizontal="left" vertical="center"/>
    </xf>
    <xf numFmtId="0" fontId="5" fillId="0" borderId="0" applyNumberFormat="0" applyFill="0" applyBorder="0" applyAlignment="0" applyProtection="0"/>
    <xf numFmtId="3" fontId="8" fillId="0" borderId="9">
      <alignment horizontal="right" vertical="center"/>
    </xf>
    <xf numFmtId="0" fontId="4" fillId="0" borderId="0">
      <alignment vertical="center"/>
    </xf>
    <xf numFmtId="0" fontId="11" fillId="0" borderId="9">
      <alignment horizontal="right" vertical="center" wrapText="1"/>
    </xf>
    <xf numFmtId="4" fontId="8" fillId="0" borderId="9">
      <alignment horizontal="right" vertical="center"/>
    </xf>
    <xf numFmtId="165" fontId="8" fillId="0" borderId="9">
      <alignment horizontal="right" vertical="center"/>
    </xf>
    <xf numFmtId="10" fontId="8" fillId="0" borderId="9" applyFill="0" applyAlignment="0" applyProtection="0"/>
    <xf numFmtId="3" fontId="3" fillId="0" borderId="9">
      <alignment horizontal="left" vertical="center"/>
    </xf>
    <xf numFmtId="2" fontId="13" fillId="10" borderId="9">
      <alignment vertical="center"/>
    </xf>
    <xf numFmtId="0" fontId="4" fillId="0" borderId="0">
      <alignment vertical="center"/>
    </xf>
    <xf numFmtId="0" fontId="4" fillId="0" borderId="0">
      <alignment vertical="center"/>
    </xf>
    <xf numFmtId="3" fontId="8" fillId="0" borderId="9">
      <alignment horizontal="right" vertical="center"/>
    </xf>
    <xf numFmtId="166" fontId="8" fillId="0" borderId="9">
      <alignment horizontal="right" vertical="center"/>
    </xf>
    <xf numFmtId="1" fontId="13" fillId="10" borderId="9">
      <alignment vertical="center"/>
    </xf>
    <xf numFmtId="167" fontId="8" fillId="0" borderId="9">
      <alignment horizontal="right" vertical="center"/>
    </xf>
    <xf numFmtId="168" fontId="8" fillId="0" borderId="9">
      <alignment horizontal="right" vertical="center"/>
    </xf>
    <xf numFmtId="10" fontId="8" fillId="0" borderId="9" applyFill="0" applyAlignment="0" applyProtection="0"/>
    <xf numFmtId="0" fontId="11" fillId="0" borderId="9">
      <alignment horizontal="left" vertical="center" wrapText="1"/>
    </xf>
    <xf numFmtId="0" fontId="11" fillId="0" borderId="9">
      <alignment horizontal="center" vertical="center" wrapText="1"/>
    </xf>
  </cellStyleXfs>
  <cellXfs count="280">
    <xf numFmtId="3" fontId="0" fillId="0" borderId="0" xfId="0">
      <alignment horizontal="right" vertical="center"/>
    </xf>
    <xf numFmtId="0" fontId="11" fillId="56" borderId="9" xfId="51" applyFill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8" fillId="0" borderId="0" xfId="1"/>
    <xf numFmtId="0" fontId="2" fillId="0" borderId="0" xfId="1" applyFont="1" applyAlignment="1">
      <alignment horizontal="center"/>
    </xf>
    <xf numFmtId="0" fontId="8" fillId="0" borderId="0" xfId="1" applyAlignment="1">
      <alignment horizontal="center"/>
    </xf>
    <xf numFmtId="0" fontId="2" fillId="0" borderId="0" xfId="1" applyFont="1" applyAlignment="1">
      <alignment horizontal="center" wrapText="1"/>
    </xf>
    <xf numFmtId="3" fontId="0" fillId="0" borderId="0" xfId="0" applyAlignment="1"/>
    <xf numFmtId="3" fontId="8" fillId="0" borderId="0" xfId="0" applyFont="1" applyAlignment="1"/>
    <xf numFmtId="0" fontId="1" fillId="0" borderId="0" xfId="1" applyFont="1"/>
    <xf numFmtId="1" fontId="28" fillId="0" borderId="9" xfId="3">
      <alignment horizontal="center" vertical="center" wrapText="1"/>
    </xf>
    <xf numFmtId="0" fontId="11" fillId="0" borderId="9" xfId="51">
      <alignment horizontal="left" vertical="center" wrapText="1"/>
    </xf>
    <xf numFmtId="3" fontId="3" fillId="0" borderId="0" xfId="53">
      <alignment horizontal="left" vertical="center"/>
    </xf>
    <xf numFmtId="1" fontId="28" fillId="4" borderId="9" xfId="3" applyFill="1">
      <alignment horizontal="center" vertical="center" wrapText="1"/>
    </xf>
    <xf numFmtId="3" fontId="3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/>
    <xf numFmtId="3" fontId="0" fillId="0" borderId="0" xfId="0" applyAlignment="1">
      <alignment horizont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3" fontId="2" fillId="0" borderId="0" xfId="0" applyFont="1" applyAlignment="1">
      <alignment horizontal="center"/>
    </xf>
    <xf numFmtId="3" fontId="6" fillId="0" borderId="0" xfId="0" applyFont="1" applyAlignment="1">
      <alignment horizontal="left" vertical="top" wrapText="1"/>
    </xf>
    <xf numFmtId="3" fontId="6" fillId="0" borderId="0" xfId="0" applyFont="1" applyAlignment="1">
      <alignment horizontal="center" vertical="top" wrapText="1"/>
    </xf>
    <xf numFmtId="3" fontId="0" fillId="0" borderId="0" xfId="0">
      <alignment horizontal="right" vertical="center"/>
    </xf>
    <xf numFmtId="1" fontId="7" fillId="0" borderId="0" xfId="0" applyNumberFormat="1" applyFont="1" applyAlignment="1">
      <alignment horizontal="right" vertical="top" shrinkToFit="1"/>
    </xf>
    <xf numFmtId="3" fontId="6" fillId="0" borderId="0" xfId="0" applyFont="1" applyAlignment="1">
      <alignment horizontal="right" vertical="top" wrapText="1"/>
    </xf>
    <xf numFmtId="0" fontId="8" fillId="0" borderId="0" xfId="1" applyAlignment="1">
      <alignment horizontal="right" vertical="center"/>
    </xf>
    <xf numFmtId="3" fontId="8" fillId="0" borderId="0" xfId="0" applyFont="1">
      <alignment horizontal="right" vertical="center"/>
    </xf>
    <xf numFmtId="0" fontId="8" fillId="0" borderId="0" xfId="1" applyAlignment="1">
      <alignment horizontal="center" vertical="center"/>
    </xf>
    <xf numFmtId="3" fontId="8" fillId="0" borderId="0" xfId="0" applyFont="1" applyAlignment="1">
      <alignment horizontal="center"/>
    </xf>
    <xf numFmtId="3" fontId="11" fillId="0" borderId="0" xfId="0" applyFont="1" applyAlignment="1">
      <alignment horizontal="center" vertical="top" wrapText="1"/>
    </xf>
    <xf numFmtId="3" fontId="6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right" vertical="top" shrinkToFit="1"/>
    </xf>
    <xf numFmtId="164" fontId="7" fillId="0" borderId="0" xfId="0" applyNumberFormat="1" applyFont="1" applyAlignment="1">
      <alignment horizontal="right" vertical="top" shrinkToFit="1"/>
    </xf>
    <xf numFmtId="0" fontId="1" fillId="0" borderId="0" xfId="1" applyFont="1" applyAlignment="1">
      <alignment horizontal="right"/>
    </xf>
    <xf numFmtId="0" fontId="11" fillId="0" borderId="9" xfId="52">
      <alignment horizontal="center" vertical="center" wrapText="1"/>
    </xf>
    <xf numFmtId="3" fontId="4" fillId="0" borderId="0" xfId="0" applyFont="1">
      <alignment horizontal="right" vertical="center"/>
    </xf>
    <xf numFmtId="3" fontId="0" fillId="0" borderId="0" xfId="0">
      <alignment horizontal="right" vertical="center"/>
    </xf>
    <xf numFmtId="3" fontId="0" fillId="0" borderId="0" xfId="0" applyAlignment="1">
      <alignment horizontal="center"/>
    </xf>
    <xf numFmtId="3" fontId="0" fillId="0" borderId="0" xfId="0" applyAlignment="1">
      <alignment horizontal="right"/>
    </xf>
    <xf numFmtId="3" fontId="8" fillId="0" borderId="0" xfId="0" applyFont="1">
      <alignment horizontal="right" vertical="center"/>
    </xf>
    <xf numFmtId="3" fontId="8" fillId="3" borderId="0" xfId="0" applyFont="1" applyFill="1">
      <alignment horizontal="right" vertical="center"/>
    </xf>
    <xf numFmtId="3" fontId="0" fillId="0" borderId="0" xfId="0">
      <alignment horizontal="right" vertical="center"/>
    </xf>
    <xf numFmtId="3" fontId="9" fillId="0" borderId="0" xfId="0" applyFont="1">
      <alignment horizontal="right" vertical="center"/>
    </xf>
    <xf numFmtId="3" fontId="9" fillId="0" borderId="0" xfId="0" applyFont="1" applyAlignment="1">
      <alignment horizontal="center"/>
    </xf>
    <xf numFmtId="4" fontId="9" fillId="0" borderId="0" xfId="0" applyNumberFormat="1" applyFont="1">
      <alignment horizontal="right" vertical="center"/>
    </xf>
    <xf numFmtId="3" fontId="9" fillId="0" borderId="0" xfId="0" applyFont="1">
      <alignment horizontal="right" vertical="center"/>
    </xf>
    <xf numFmtId="3" fontId="9" fillId="0" borderId="0" xfId="0" applyFont="1">
      <alignment horizontal="right" vertical="center"/>
    </xf>
    <xf numFmtId="4" fontId="9" fillId="0" borderId="0" xfId="0" applyNumberFormat="1" applyFont="1">
      <alignment horizontal="right" vertical="center"/>
    </xf>
    <xf numFmtId="0" fontId="8" fillId="5" borderId="0" xfId="1" applyFill="1"/>
    <xf numFmtId="3" fontId="0" fillId="5" borderId="0" xfId="0" applyFill="1" applyAlignment="1">
      <alignment horizontal="center"/>
    </xf>
    <xf numFmtId="10" fontId="0" fillId="0" borderId="0" xfId="0" applyNumberFormat="1">
      <alignment horizontal="right" vertical="center"/>
    </xf>
    <xf numFmtId="164" fontId="14" fillId="0" borderId="0" xfId="0" applyNumberFormat="1" applyFont="1">
      <alignment horizontal="right" vertical="center"/>
    </xf>
    <xf numFmtId="3" fontId="0" fillId="0" borderId="0" xfId="0" applyAlignment="1">
      <alignment horizontal="right"/>
    </xf>
    <xf numFmtId="1" fontId="8" fillId="0" borderId="0" xfId="0" applyNumberFormat="1" applyFont="1">
      <alignment horizontal="right" vertical="center"/>
    </xf>
    <xf numFmtId="3" fontId="3" fillId="0" borderId="0" xfId="0" applyFont="1" applyAlignment="1">
      <alignment horizontal="center"/>
    </xf>
    <xf numFmtId="3" fontId="8" fillId="2" borderId="0" xfId="0" applyFont="1" applyFill="1" applyAlignment="1"/>
    <xf numFmtId="3" fontId="8" fillId="4" borderId="0" xfId="0" applyFont="1" applyFill="1" applyAlignment="1"/>
    <xf numFmtId="3" fontId="8" fillId="3" borderId="0" xfId="0" applyFont="1" applyFill="1" applyAlignment="1"/>
    <xf numFmtId="3" fontId="8" fillId="0" borderId="9" xfId="55">
      <alignment horizontal="right" vertical="center"/>
    </xf>
    <xf numFmtId="0" fontId="4" fillId="0" borderId="0" xfId="56">
      <alignment vertical="center"/>
    </xf>
    <xf numFmtId="3" fontId="8" fillId="8" borderId="9" xfId="55" applyFill="1">
      <alignment horizontal="right" vertical="center"/>
    </xf>
    <xf numFmtId="3" fontId="8" fillId="5" borderId="9" xfId="55" applyFill="1">
      <alignment horizontal="right" vertical="center"/>
    </xf>
    <xf numFmtId="3" fontId="8" fillId="7" borderId="9" xfId="55" applyFill="1">
      <alignment horizontal="right" vertical="center"/>
    </xf>
    <xf numFmtId="3" fontId="8" fillId="9" borderId="9" xfId="55" applyFill="1">
      <alignment horizontal="right" vertical="center"/>
    </xf>
    <xf numFmtId="3" fontId="8" fillId="0" borderId="9" xfId="55" applyFill="1">
      <alignment horizontal="right" vertical="center"/>
    </xf>
    <xf numFmtId="1" fontId="28" fillId="0" borderId="9" xfId="3" quotePrefix="1">
      <alignment horizontal="center" vertical="center" wrapText="1"/>
    </xf>
    <xf numFmtId="0" fontId="11" fillId="8" borderId="9" xfId="51" applyFill="1">
      <alignment horizontal="left" vertical="center" wrapText="1"/>
    </xf>
    <xf numFmtId="3" fontId="8" fillId="6" borderId="9" xfId="55" applyFill="1" applyAlignment="1">
      <alignment horizontal="right"/>
    </xf>
    <xf numFmtId="3" fontId="8" fillId="6" borderId="9" xfId="55" applyFill="1">
      <alignment horizontal="right" vertical="center"/>
    </xf>
    <xf numFmtId="3" fontId="8" fillId="0" borderId="9" xfId="55" applyFill="1" applyAlignment="1">
      <alignment horizontal="right"/>
    </xf>
    <xf numFmtId="0" fontId="11" fillId="0" borderId="9" xfId="57">
      <alignment horizontal="right" vertical="center" wrapText="1"/>
    </xf>
    <xf numFmtId="0" fontId="11" fillId="0" borderId="11" xfId="57" applyBorder="1">
      <alignment horizontal="right" vertical="center" wrapText="1"/>
    </xf>
    <xf numFmtId="0" fontId="11" fillId="0" borderId="11" xfId="52" applyBorder="1">
      <alignment horizontal="center" vertical="center" wrapText="1"/>
    </xf>
    <xf numFmtId="3" fontId="8" fillId="5" borderId="11" xfId="55" applyFill="1" applyBorder="1">
      <alignment horizontal="right" vertical="center"/>
    </xf>
    <xf numFmtId="0" fontId="11" fillId="0" borderId="10" xfId="52" applyBorder="1">
      <alignment horizontal="center" vertical="center" wrapText="1"/>
    </xf>
    <xf numFmtId="3" fontId="8" fillId="5" borderId="10" xfId="55" applyFill="1" applyBorder="1">
      <alignment horizontal="right" vertical="center"/>
    </xf>
    <xf numFmtId="10" fontId="29" fillId="0" borderId="9" xfId="50">
      <alignment horizontal="right" vertical="center"/>
    </xf>
    <xf numFmtId="0" fontId="11" fillId="7" borderId="9" xfId="52" applyFill="1">
      <alignment horizontal="center" vertical="center" wrapText="1"/>
    </xf>
    <xf numFmtId="0" fontId="11" fillId="9" borderId="9" xfId="52" applyFill="1">
      <alignment horizontal="center" vertical="center" wrapText="1"/>
    </xf>
    <xf numFmtId="1" fontId="28" fillId="0" borderId="9" xfId="3" applyFill="1">
      <alignment horizontal="center" vertical="center" wrapText="1"/>
    </xf>
    <xf numFmtId="0" fontId="1" fillId="0" borderId="0" xfId="1" applyFont="1" applyFill="1" applyAlignment="1">
      <alignment horizontal="center" vertical="center"/>
    </xf>
    <xf numFmtId="3" fontId="0" fillId="0" borderId="0" xfId="0" applyFill="1">
      <alignment horizontal="right" vertical="center"/>
    </xf>
    <xf numFmtId="0" fontId="8" fillId="0" borderId="0" xfId="1" applyFill="1"/>
    <xf numFmtId="0" fontId="1" fillId="0" borderId="0" xfId="1" applyFont="1" applyFill="1"/>
    <xf numFmtId="165" fontId="8" fillId="43" borderId="9" xfId="59" applyFill="1">
      <alignment horizontal="right" vertical="center"/>
    </xf>
    <xf numFmtId="3" fontId="10" fillId="0" borderId="0" xfId="0" applyFont="1">
      <alignment horizontal="right" vertical="center"/>
    </xf>
    <xf numFmtId="165" fontId="8" fillId="44" borderId="9" xfId="59" applyFill="1">
      <alignment horizontal="right" vertical="center"/>
    </xf>
    <xf numFmtId="3" fontId="1" fillId="0" borderId="0" xfId="0" applyFont="1" applyAlignment="1"/>
    <xf numFmtId="1" fontId="13" fillId="10" borderId="9" xfId="4">
      <alignment horizontal="center" vertical="center"/>
    </xf>
    <xf numFmtId="3" fontId="0" fillId="0" borderId="0" xfId="0" applyAlignment="1">
      <alignment horizontal="right" vertical="center" wrapText="1"/>
    </xf>
    <xf numFmtId="1" fontId="28" fillId="3" borderId="9" xfId="3" applyFill="1">
      <alignment horizontal="center" vertical="center" wrapText="1"/>
    </xf>
    <xf numFmtId="0" fontId="3" fillId="0" borderId="0" xfId="1" applyFont="1" applyAlignment="1">
      <alignment horizontal="center" vertical="center"/>
    </xf>
    <xf numFmtId="10" fontId="8" fillId="0" borderId="9" xfId="60" applyAlignment="1">
      <alignment horizontal="right" vertical="center"/>
    </xf>
    <xf numFmtId="4" fontId="8" fillId="0" borderId="9" xfId="58">
      <alignment horizontal="right" vertical="center"/>
    </xf>
    <xf numFmtId="0" fontId="2" fillId="0" borderId="0" xfId="1" applyFont="1" applyAlignment="1">
      <alignment horizontal="center" vertical="center"/>
    </xf>
    <xf numFmtId="4" fontId="8" fillId="9" borderId="9" xfId="58" applyFill="1">
      <alignment horizontal="right" vertical="center"/>
    </xf>
    <xf numFmtId="1" fontId="6" fillId="0" borderId="0" xfId="3" applyFont="1" applyBorder="1" applyAlignment="1">
      <alignment horizontal="left" vertical="top" wrapText="1"/>
    </xf>
    <xf numFmtId="1" fontId="6" fillId="0" borderId="0" xfId="3" applyFont="1" applyBorder="1" applyAlignment="1">
      <alignment horizontal="center" vertical="top" wrapText="1"/>
    </xf>
    <xf numFmtId="0" fontId="11" fillId="0" borderId="9" xfId="51" applyFill="1">
      <alignment horizontal="left" vertical="center" wrapText="1"/>
    </xf>
    <xf numFmtId="4" fontId="8" fillId="0" borderId="9" xfId="58" applyFill="1">
      <alignment horizontal="right" vertical="center"/>
    </xf>
    <xf numFmtId="0" fontId="11" fillId="0" borderId="9" xfId="52" applyFill="1">
      <alignment horizontal="center" vertical="center" wrapText="1"/>
    </xf>
    <xf numFmtId="1" fontId="13" fillId="0" borderId="9" xfId="4" applyFill="1">
      <alignment horizontal="center" vertical="center"/>
    </xf>
    <xf numFmtId="165" fontId="8" fillId="0" borderId="9" xfId="59">
      <alignment horizontal="right" vertical="center"/>
    </xf>
    <xf numFmtId="0" fontId="11" fillId="0" borderId="9" xfId="51" applyBorder="1">
      <alignment horizontal="left" vertical="center" wrapText="1"/>
    </xf>
    <xf numFmtId="0" fontId="2" fillId="0" borderId="0" xfId="1" applyFont="1" applyFill="1" applyAlignment="1">
      <alignment horizontal="center" vertical="center" wrapText="1"/>
    </xf>
    <xf numFmtId="0" fontId="11" fillId="0" borderId="9" xfId="51" applyFill="1" applyBorder="1">
      <alignment horizontal="left" vertical="center" wrapText="1"/>
    </xf>
    <xf numFmtId="0" fontId="11" fillId="0" borderId="9" xfId="52" applyFill="1" applyBorder="1">
      <alignment horizontal="center" vertical="center" wrapText="1"/>
    </xf>
    <xf numFmtId="0" fontId="11" fillId="45" borderId="9" xfId="52" applyFill="1">
      <alignment horizontal="center" vertical="center" wrapText="1"/>
    </xf>
    <xf numFmtId="3" fontId="8" fillId="45" borderId="9" xfId="55" applyFill="1">
      <alignment horizontal="right" vertical="center"/>
    </xf>
    <xf numFmtId="4" fontId="8" fillId="45" borderId="9" xfId="58" applyFill="1">
      <alignment horizontal="right" vertical="center"/>
    </xf>
    <xf numFmtId="0" fontId="11" fillId="45" borderId="9" xfId="52" applyFill="1" applyBorder="1">
      <alignment horizontal="center" vertical="center" wrapText="1"/>
    </xf>
    <xf numFmtId="0" fontId="8" fillId="45" borderId="9" xfId="1" applyFill="1" applyBorder="1" applyAlignment="1">
      <alignment horizontal="center" vertical="center" wrapText="1"/>
    </xf>
    <xf numFmtId="3" fontId="0" fillId="0" borderId="9" xfId="0" applyBorder="1" applyAlignment="1">
      <alignment horizontal="left" vertical="center" wrapText="1"/>
    </xf>
    <xf numFmtId="0" fontId="11" fillId="0" borderId="0" xfId="51" applyBorder="1">
      <alignment horizontal="left" vertical="center" wrapText="1"/>
    </xf>
    <xf numFmtId="10" fontId="8" fillId="0" borderId="9" xfId="60" applyFill="1" applyAlignment="1">
      <alignment horizontal="right" vertical="center"/>
    </xf>
    <xf numFmtId="0" fontId="11" fillId="9" borderId="9" xfId="51" applyFill="1">
      <alignment horizontal="left" vertical="center" wrapText="1"/>
    </xf>
    <xf numFmtId="10" fontId="29" fillId="9" borderId="9" xfId="50" applyFill="1">
      <alignment horizontal="right" vertical="center"/>
    </xf>
    <xf numFmtId="10" fontId="8" fillId="9" borderId="9" xfId="60" applyFill="1" applyAlignment="1">
      <alignment horizontal="right" vertical="center"/>
    </xf>
    <xf numFmtId="4" fontId="8" fillId="47" borderId="9" xfId="58" applyFill="1">
      <alignment horizontal="right" vertical="center"/>
    </xf>
    <xf numFmtId="3" fontId="3" fillId="4" borderId="0" xfId="53" applyFill="1">
      <alignment horizontal="left" vertical="center"/>
    </xf>
    <xf numFmtId="3" fontId="3" fillId="0" borderId="9" xfId="61">
      <alignment horizontal="left" vertical="center"/>
    </xf>
    <xf numFmtId="3" fontId="3" fillId="2" borderId="9" xfId="61" applyFill="1">
      <alignment horizontal="left" vertical="center"/>
    </xf>
    <xf numFmtId="3" fontId="13" fillId="0" borderId="9" xfId="4" applyNumberFormat="1" applyFill="1">
      <alignment horizontal="center" vertical="center"/>
    </xf>
    <xf numFmtId="3" fontId="13" fillId="0" borderId="9" xfId="4" applyNumberFormat="1" applyFill="1" applyBorder="1">
      <alignment horizontal="center" vertical="center"/>
    </xf>
    <xf numFmtId="3" fontId="8" fillId="0" borderId="9" xfId="55" applyFill="1" applyBorder="1">
      <alignment horizontal="right" vertical="center"/>
    </xf>
    <xf numFmtId="4" fontId="8" fillId="7" borderId="9" xfId="58" applyFill="1">
      <alignment horizontal="right" vertical="center"/>
    </xf>
    <xf numFmtId="4" fontId="8" fillId="8" borderId="9" xfId="58" applyFill="1">
      <alignment horizontal="right" vertical="center"/>
    </xf>
    <xf numFmtId="4" fontId="8" fillId="43" borderId="9" xfId="58" applyFill="1">
      <alignment horizontal="right" vertical="center"/>
    </xf>
    <xf numFmtId="165" fontId="8" fillId="0" borderId="9" xfId="59" applyFill="1">
      <alignment horizontal="right" vertical="center"/>
    </xf>
    <xf numFmtId="0" fontId="11" fillId="48" borderId="9" xfId="52" applyFill="1">
      <alignment horizontal="center" vertical="center" wrapText="1"/>
    </xf>
    <xf numFmtId="3" fontId="8" fillId="48" borderId="9" xfId="55" applyFill="1">
      <alignment horizontal="right" vertical="center"/>
    </xf>
    <xf numFmtId="4" fontId="8" fillId="48" borderId="9" xfId="58" applyFill="1">
      <alignment horizontal="right" vertical="center"/>
    </xf>
    <xf numFmtId="0" fontId="11" fillId="49" borderId="9" xfId="52" applyFill="1">
      <alignment horizontal="center" vertical="center" wrapText="1"/>
    </xf>
    <xf numFmtId="3" fontId="8" fillId="49" borderId="9" xfId="55" applyFill="1">
      <alignment horizontal="right" vertical="center"/>
    </xf>
    <xf numFmtId="4" fontId="8" fillId="49" borderId="9" xfId="58" applyFill="1">
      <alignment horizontal="right" vertical="center"/>
    </xf>
    <xf numFmtId="0" fontId="11" fillId="50" borderId="9" xfId="52" applyFill="1">
      <alignment horizontal="center" vertical="center" wrapText="1"/>
    </xf>
    <xf numFmtId="3" fontId="8" fillId="50" borderId="9" xfId="55" applyFill="1">
      <alignment horizontal="right" vertical="center"/>
    </xf>
    <xf numFmtId="4" fontId="8" fillId="50" borderId="9" xfId="58" applyFill="1">
      <alignment horizontal="right" vertical="center"/>
    </xf>
    <xf numFmtId="0" fontId="11" fillId="51" borderId="9" xfId="52" applyFill="1">
      <alignment horizontal="center" vertical="center" wrapText="1"/>
    </xf>
    <xf numFmtId="3" fontId="8" fillId="51" borderId="9" xfId="55" applyFill="1">
      <alignment horizontal="right" vertical="center"/>
    </xf>
    <xf numFmtId="0" fontId="2" fillId="0" borderId="9" xfId="22" applyFill="1" applyAlignment="1">
      <alignment horizontal="left" vertical="center" wrapText="1"/>
    </xf>
    <xf numFmtId="1" fontId="11" fillId="0" borderId="0" xfId="3" applyFont="1" applyBorder="1" applyAlignment="1">
      <alignment horizontal="left" vertical="top" wrapText="1"/>
    </xf>
    <xf numFmtId="1" fontId="11" fillId="0" borderId="0" xfId="3" applyFont="1" applyBorder="1" applyAlignment="1">
      <alignment horizontal="left" vertical="top"/>
    </xf>
    <xf numFmtId="1" fontId="11" fillId="0" borderId="0" xfId="3" applyFont="1" applyBorder="1" applyAlignment="1">
      <alignment horizontal="center" vertical="top" wrapText="1"/>
    </xf>
    <xf numFmtId="0" fontId="11" fillId="52" borderId="9" xfId="52" applyFill="1">
      <alignment horizontal="center" vertical="center" wrapText="1"/>
    </xf>
    <xf numFmtId="3" fontId="8" fillId="52" borderId="9" xfId="55" applyFill="1">
      <alignment horizontal="right" vertical="center"/>
    </xf>
    <xf numFmtId="4" fontId="8" fillId="52" borderId="9" xfId="58" applyFill="1">
      <alignment horizontal="right" vertical="center"/>
    </xf>
    <xf numFmtId="0" fontId="11" fillId="53" borderId="9" xfId="52" applyFill="1">
      <alignment horizontal="center" vertical="center" wrapText="1"/>
    </xf>
    <xf numFmtId="3" fontId="8" fillId="53" borderId="9" xfId="55" applyFill="1">
      <alignment horizontal="right" vertical="center"/>
    </xf>
    <xf numFmtId="2" fontId="13" fillId="10" borderId="9" xfId="62">
      <alignment vertical="center"/>
    </xf>
    <xf numFmtId="4" fontId="8" fillId="54" borderId="9" xfId="58" applyFill="1">
      <alignment horizontal="right" vertical="center"/>
    </xf>
    <xf numFmtId="0" fontId="11" fillId="55" borderId="9" xfId="52" applyFill="1">
      <alignment horizontal="center" vertical="center" wrapText="1"/>
    </xf>
    <xf numFmtId="3" fontId="8" fillId="55" borderId="9" xfId="55" applyFill="1">
      <alignment horizontal="right" vertical="center"/>
    </xf>
    <xf numFmtId="4" fontId="8" fillId="55" borderId="9" xfId="58" applyFill="1">
      <alignment horizontal="right" vertical="center"/>
    </xf>
    <xf numFmtId="0" fontId="11" fillId="56" borderId="9" xfId="52" applyFill="1">
      <alignment horizontal="center" vertical="center" wrapText="1"/>
    </xf>
    <xf numFmtId="3" fontId="8" fillId="56" borderId="9" xfId="55" applyFill="1">
      <alignment horizontal="right" vertical="center"/>
    </xf>
    <xf numFmtId="2" fontId="13" fillId="57" borderId="9" xfId="62" applyFill="1">
      <alignment vertical="center"/>
    </xf>
    <xf numFmtId="0" fontId="11" fillId="0" borderId="9" xfId="52" applyBorder="1">
      <alignment horizontal="center" vertical="center" wrapText="1"/>
    </xf>
    <xf numFmtId="4" fontId="8" fillId="58" borderId="9" xfId="58" applyFill="1">
      <alignment horizontal="right" vertical="center"/>
    </xf>
    <xf numFmtId="10" fontId="8" fillId="56" borderId="9" xfId="60" applyFill="1" applyAlignment="1">
      <alignment horizontal="right" vertical="center"/>
    </xf>
    <xf numFmtId="0" fontId="11" fillId="0" borderId="0" xfId="52" applyBorder="1">
      <alignment horizontal="center" vertical="center" wrapText="1"/>
    </xf>
    <xf numFmtId="0" fontId="8" fillId="0" borderId="9" xfId="1" applyBorder="1"/>
    <xf numFmtId="1" fontId="8" fillId="0" borderId="0" xfId="1" applyNumberFormat="1" applyAlignment="1">
      <alignment horizontal="center"/>
    </xf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horizontal="left"/>
    </xf>
    <xf numFmtId="0" fontId="3" fillId="0" borderId="0" xfId="1" applyFont="1"/>
    <xf numFmtId="3" fontId="30" fillId="0" borderId="0" xfId="0" applyFont="1">
      <alignment horizontal="right" vertical="center"/>
    </xf>
    <xf numFmtId="0" fontId="11" fillId="7" borderId="9" xfId="51" applyFill="1">
      <alignment horizontal="left" vertical="center" wrapText="1"/>
    </xf>
    <xf numFmtId="0" fontId="11" fillId="6" borderId="9" xfId="51" applyFill="1">
      <alignment horizontal="left" vertical="center" wrapText="1"/>
    </xf>
    <xf numFmtId="0" fontId="11" fillId="11" borderId="9" xfId="51" applyFill="1">
      <alignment horizontal="left" vertical="center" wrapText="1"/>
    </xf>
    <xf numFmtId="0" fontId="11" fillId="48" borderId="9" xfId="51" applyFill="1">
      <alignment horizontal="left" vertical="center" wrapText="1"/>
    </xf>
    <xf numFmtId="0" fontId="11" fillId="49" borderId="9" xfId="51" applyFill="1">
      <alignment horizontal="left" vertical="center" wrapText="1"/>
    </xf>
    <xf numFmtId="0" fontId="11" fillId="51" borderId="9" xfId="51" applyFill="1">
      <alignment horizontal="left" vertical="center" wrapText="1"/>
    </xf>
    <xf numFmtId="0" fontId="11" fillId="52" borderId="9" xfId="51" applyFill="1">
      <alignment horizontal="left" vertical="center" wrapText="1"/>
    </xf>
    <xf numFmtId="0" fontId="11" fillId="53" borderId="9" xfId="51" applyFill="1">
      <alignment horizontal="left" vertical="center" wrapText="1"/>
    </xf>
    <xf numFmtId="0" fontId="11" fillId="43" borderId="9" xfId="51" applyFill="1">
      <alignment horizontal="left" vertical="center" wrapText="1"/>
    </xf>
    <xf numFmtId="0" fontId="11" fillId="44" borderId="9" xfId="51" applyFill="1">
      <alignment horizontal="left" vertical="center" wrapText="1"/>
    </xf>
    <xf numFmtId="0" fontId="11" fillId="54" borderId="9" xfId="51" applyFill="1">
      <alignment horizontal="left" vertical="center" wrapText="1"/>
    </xf>
    <xf numFmtId="0" fontId="11" fillId="50" borderId="9" xfId="51" applyFill="1">
      <alignment horizontal="left" vertical="center" wrapText="1"/>
    </xf>
    <xf numFmtId="0" fontId="11" fillId="55" borderId="9" xfId="51" applyFill="1">
      <alignment horizontal="left" vertical="center" wrapText="1"/>
    </xf>
    <xf numFmtId="0" fontId="11" fillId="58" borderId="9" xfId="51" applyFill="1">
      <alignment horizontal="left" vertical="center" wrapText="1"/>
    </xf>
    <xf numFmtId="4" fontId="8" fillId="59" borderId="9" xfId="58" applyFill="1">
      <alignment horizontal="right" vertical="center"/>
    </xf>
    <xf numFmtId="0" fontId="11" fillId="59" borderId="9" xfId="51" applyFill="1">
      <alignment horizontal="left" vertical="center" wrapText="1"/>
    </xf>
    <xf numFmtId="0" fontId="11" fillId="60" borderId="9" xfId="51" applyFill="1">
      <alignment horizontal="left" vertical="center" wrapText="1"/>
    </xf>
    <xf numFmtId="3" fontId="9" fillId="0" borderId="0" xfId="0" applyFont="1" applyFill="1">
      <alignment horizontal="right" vertical="center"/>
    </xf>
    <xf numFmtId="4" fontId="9" fillId="0" borderId="0" xfId="0" applyNumberFormat="1" applyFont="1" applyFill="1">
      <alignment horizontal="right" vertical="center"/>
    </xf>
    <xf numFmtId="0" fontId="4" fillId="0" borderId="0" xfId="63">
      <alignment vertical="center"/>
    </xf>
    <xf numFmtId="4" fontId="8" fillId="44" borderId="9" xfId="58" applyFill="1">
      <alignment horizontal="right" vertical="center"/>
    </xf>
    <xf numFmtId="0" fontId="11" fillId="60" borderId="9" xfId="52" applyFill="1">
      <alignment horizontal="center" vertical="center" wrapText="1"/>
    </xf>
    <xf numFmtId="0" fontId="11" fillId="60" borderId="9" xfId="52" applyFill="1" applyBorder="1">
      <alignment horizontal="center" vertical="center" wrapText="1"/>
    </xf>
    <xf numFmtId="0" fontId="11" fillId="61" borderId="9" xfId="51" applyFill="1">
      <alignment horizontal="left" vertical="center" wrapText="1"/>
    </xf>
    <xf numFmtId="0" fontId="11" fillId="61" borderId="9" xfId="52" applyFill="1">
      <alignment horizontal="center" vertical="center" wrapText="1"/>
    </xf>
    <xf numFmtId="4" fontId="8" fillId="61" borderId="9" xfId="58" applyFill="1">
      <alignment horizontal="right" vertical="center"/>
    </xf>
    <xf numFmtId="3" fontId="8" fillId="61" borderId="9" xfId="55" applyFill="1">
      <alignment horizontal="right" vertical="center"/>
    </xf>
    <xf numFmtId="4" fontId="8" fillId="60" borderId="9" xfId="58" applyFill="1">
      <alignment horizontal="right" vertical="center"/>
    </xf>
    <xf numFmtId="3" fontId="8" fillId="60" borderId="9" xfId="55" applyFill="1">
      <alignment horizontal="right" vertical="center"/>
    </xf>
    <xf numFmtId="0" fontId="8" fillId="60" borderId="9" xfId="1" applyFill="1" applyBorder="1" applyAlignment="1">
      <alignment horizontal="center" vertical="center" wrapText="1"/>
    </xf>
    <xf numFmtId="0" fontId="11" fillId="54" borderId="9" xfId="52" applyFill="1">
      <alignment horizontal="center" vertical="center" wrapText="1"/>
    </xf>
    <xf numFmtId="3" fontId="8" fillId="54" borderId="9" xfId="55" applyFill="1">
      <alignment horizontal="right" vertical="center"/>
    </xf>
    <xf numFmtId="3" fontId="8" fillId="44" borderId="9" xfId="55" applyFill="1">
      <alignment horizontal="right" vertical="center"/>
    </xf>
    <xf numFmtId="0" fontId="11" fillId="0" borderId="9" xfId="51" applyAlignment="1">
      <alignment horizontal="left" vertical="top" wrapText="1"/>
    </xf>
    <xf numFmtId="10" fontId="29" fillId="8" borderId="9" xfId="50" applyFill="1">
      <alignment horizontal="right" vertical="center"/>
    </xf>
    <xf numFmtId="0" fontId="11" fillId="63" borderId="9" xfId="51" applyFill="1">
      <alignment horizontal="left" vertical="center" wrapText="1"/>
    </xf>
    <xf numFmtId="0" fontId="11" fillId="62" borderId="9" xfId="51" applyFill="1">
      <alignment horizontal="left" vertical="center" wrapText="1"/>
    </xf>
    <xf numFmtId="10" fontId="29" fillId="63" borderId="9" xfId="50" applyFill="1">
      <alignment horizontal="right" vertical="center"/>
    </xf>
    <xf numFmtId="0" fontId="11" fillId="64" borderId="9" xfId="51" applyFill="1">
      <alignment horizontal="left" vertical="center" wrapText="1"/>
    </xf>
    <xf numFmtId="10" fontId="29" fillId="64" borderId="9" xfId="50" applyFill="1">
      <alignment horizontal="right" vertical="center"/>
    </xf>
    <xf numFmtId="10" fontId="8" fillId="64" borderId="9" xfId="60" applyFill="1" applyAlignment="1">
      <alignment horizontal="right" vertical="center"/>
    </xf>
    <xf numFmtId="4" fontId="8" fillId="64" borderId="9" xfId="58" applyFill="1">
      <alignment horizontal="right" vertical="center"/>
    </xf>
    <xf numFmtId="3" fontId="0" fillId="0" borderId="0" xfId="0">
      <alignment horizontal="right" vertical="center"/>
    </xf>
    <xf numFmtId="4" fontId="8" fillId="62" borderId="9" xfId="58" applyFill="1">
      <alignment horizontal="right" vertical="center"/>
    </xf>
    <xf numFmtId="3" fontId="0" fillId="0" borderId="0" xfId="0" applyFill="1" applyAlignment="1">
      <alignment horizontal="center"/>
    </xf>
    <xf numFmtId="3" fontId="8" fillId="0" borderId="0" xfId="0" applyFont="1" applyFill="1" applyAlignment="1"/>
    <xf numFmtId="3" fontId="8" fillId="0" borderId="0" xfId="0" applyFont="1" applyFill="1" applyAlignment="1">
      <alignment horizontal="center"/>
    </xf>
    <xf numFmtId="3" fontId="6" fillId="0" borderId="0" xfId="0" applyFont="1" applyFill="1" applyAlignment="1">
      <alignment horizontal="center" vertical="top" wrapText="1"/>
    </xf>
    <xf numFmtId="0" fontId="8" fillId="0" borderId="0" xfId="1" applyFill="1" applyAlignment="1">
      <alignment horizontal="center"/>
    </xf>
    <xf numFmtId="3" fontId="8" fillId="64" borderId="9" xfId="55" applyFill="1">
      <alignment horizontal="right" vertical="center"/>
    </xf>
    <xf numFmtId="4" fontId="8" fillId="11" borderId="9" xfId="58" applyFill="1">
      <alignment horizontal="right" vertical="center"/>
    </xf>
    <xf numFmtId="3" fontId="8" fillId="0" borderId="9" xfId="65">
      <alignment horizontal="right" vertical="center"/>
    </xf>
    <xf numFmtId="166" fontId="8" fillId="65" borderId="9" xfId="66" applyFill="1">
      <alignment horizontal="right" vertical="center"/>
    </xf>
    <xf numFmtId="1" fontId="13" fillId="10" borderId="9" xfId="67">
      <alignment vertical="center"/>
    </xf>
    <xf numFmtId="3" fontId="8" fillId="66" borderId="9" xfId="65" applyFill="1">
      <alignment horizontal="right" vertical="center"/>
    </xf>
    <xf numFmtId="4" fontId="8" fillId="65" borderId="9" xfId="58" applyFill="1">
      <alignment horizontal="right" vertical="center"/>
    </xf>
    <xf numFmtId="4" fontId="8" fillId="67" borderId="9" xfId="58" quotePrefix="1" applyFill="1">
      <alignment horizontal="right" vertical="center"/>
    </xf>
    <xf numFmtId="3" fontId="8" fillId="66" borderId="9" xfId="55" applyFill="1">
      <alignment horizontal="right" vertical="center"/>
    </xf>
    <xf numFmtId="0" fontId="11" fillId="66" borderId="9" xfId="51" applyFill="1">
      <alignment horizontal="left" vertical="center" wrapText="1"/>
    </xf>
    <xf numFmtId="0" fontId="11" fillId="65" borderId="9" xfId="51" applyFill="1">
      <alignment horizontal="left" vertical="center" wrapText="1"/>
    </xf>
    <xf numFmtId="0" fontId="11" fillId="67" borderId="9" xfId="51" applyFill="1">
      <alignment horizontal="left" vertical="center" wrapText="1"/>
    </xf>
    <xf numFmtId="0" fontId="11" fillId="68" borderId="9" xfId="51" applyFill="1">
      <alignment horizontal="left" vertical="center" wrapText="1"/>
    </xf>
    <xf numFmtId="0" fontId="11" fillId="69" borderId="9" xfId="51" applyFill="1">
      <alignment horizontal="left" vertical="center" wrapText="1"/>
    </xf>
    <xf numFmtId="4" fontId="8" fillId="0" borderId="9" xfId="58" quotePrefix="1" applyFill="1">
      <alignment horizontal="right" vertical="center"/>
    </xf>
    <xf numFmtId="3" fontId="8" fillId="0" borderId="9" xfId="65" quotePrefix="1">
      <alignment horizontal="right" vertical="center"/>
    </xf>
    <xf numFmtId="3" fontId="8" fillId="54" borderId="9" xfId="65" applyFill="1">
      <alignment horizontal="right" vertical="center"/>
    </xf>
    <xf numFmtId="167" fontId="8" fillId="0" borderId="9" xfId="68">
      <alignment horizontal="right" vertical="center"/>
    </xf>
    <xf numFmtId="0" fontId="3" fillId="0" borderId="0" xfId="1" applyFont="1" applyAlignment="1">
      <alignment horizontal="left" wrapText="1"/>
    </xf>
    <xf numFmtId="14" fontId="32" fillId="0" borderId="0" xfId="0" applyNumberFormat="1" applyFont="1" applyAlignment="1">
      <alignment vertical="center"/>
    </xf>
    <xf numFmtId="0" fontId="11" fillId="0" borderId="9" xfId="51" applyAlignment="1">
      <alignment horizontal="center" vertical="center" wrapText="1"/>
    </xf>
    <xf numFmtId="1" fontId="32" fillId="0" borderId="0" xfId="0" applyNumberFormat="1" applyFont="1" applyAlignment="1">
      <alignment vertical="center" wrapText="1"/>
    </xf>
    <xf numFmtId="2" fontId="13" fillId="0" borderId="9" xfId="62" applyFill="1">
      <alignment vertical="center"/>
    </xf>
    <xf numFmtId="3" fontId="8" fillId="0" borderId="0" xfId="1" applyNumberFormat="1"/>
    <xf numFmtId="3" fontId="4" fillId="0" borderId="0" xfId="0" applyFont="1" applyAlignment="1"/>
    <xf numFmtId="10" fontId="8" fillId="8" borderId="9" xfId="60" applyFill="1" applyAlignment="1">
      <alignment horizontal="right" vertical="center"/>
    </xf>
    <xf numFmtId="0" fontId="4" fillId="0" borderId="0" xfId="63" applyAlignment="1">
      <alignment horizontal="left" vertical="center"/>
    </xf>
    <xf numFmtId="165" fontId="8" fillId="54" borderId="9" xfId="59" applyFill="1">
      <alignment horizontal="right" vertical="center"/>
    </xf>
    <xf numFmtId="0" fontId="2" fillId="0" borderId="9" xfId="22" applyFill="1" applyBorder="1" applyAlignment="1">
      <alignment horizontal="left" vertical="center" wrapText="1"/>
    </xf>
    <xf numFmtId="3" fontId="0" fillId="0" borderId="9" xfId="0" applyBorder="1">
      <alignment horizontal="right" vertical="center"/>
    </xf>
    <xf numFmtId="0" fontId="11" fillId="45" borderId="9" xfId="51" applyFill="1" applyBorder="1">
      <alignment horizontal="left" vertical="center" wrapText="1"/>
    </xf>
    <xf numFmtId="0" fontId="8" fillId="47" borderId="0" xfId="1" applyFill="1" applyBorder="1"/>
    <xf numFmtId="0" fontId="11" fillId="46" borderId="9" xfId="51" applyFill="1" applyBorder="1">
      <alignment horizontal="left" vertical="center" wrapText="1"/>
    </xf>
    <xf numFmtId="0" fontId="8" fillId="5" borderId="0" xfId="1" applyFill="1" applyBorder="1"/>
    <xf numFmtId="49" fontId="12" fillId="0" borderId="0" xfId="0" applyNumberFormat="1" applyFont="1" applyBorder="1" applyAlignment="1">
      <alignment horizontal="left" vertical="center"/>
    </xf>
    <xf numFmtId="3" fontId="12" fillId="0" borderId="0" xfId="0" applyFont="1" applyBorder="1" applyAlignment="1">
      <alignment horizontal="left" vertical="center"/>
    </xf>
    <xf numFmtId="168" fontId="8" fillId="0" borderId="9" xfId="69">
      <alignment horizontal="right" vertical="center"/>
    </xf>
    <xf numFmtId="3" fontId="33" fillId="0" borderId="0" xfId="0" applyFont="1" applyAlignment="1">
      <alignment horizontal="left" vertical="top"/>
    </xf>
    <xf numFmtId="0" fontId="4" fillId="0" borderId="0" xfId="64">
      <alignment vertical="center"/>
    </xf>
    <xf numFmtId="3" fontId="8" fillId="69" borderId="9" xfId="65" applyFill="1">
      <alignment horizontal="right" vertical="center"/>
    </xf>
    <xf numFmtId="0" fontId="11" fillId="70" borderId="9" xfId="51" applyFill="1">
      <alignment horizontal="left" vertical="center" wrapText="1"/>
    </xf>
    <xf numFmtId="10" fontId="8" fillId="0" borderId="9" xfId="70" applyAlignment="1">
      <alignment horizontal="right" vertical="center"/>
    </xf>
    <xf numFmtId="1" fontId="28" fillId="4" borderId="9" xfId="3" quotePrefix="1" applyFill="1">
      <alignment horizontal="center" vertical="center" wrapText="1"/>
    </xf>
    <xf numFmtId="0" fontId="11" fillId="0" borderId="9" xfId="71">
      <alignment horizontal="left" vertical="center" wrapText="1"/>
    </xf>
    <xf numFmtId="0" fontId="11" fillId="0" borderId="9" xfId="72">
      <alignment horizontal="center" vertical="center" wrapText="1"/>
    </xf>
    <xf numFmtId="10" fontId="8" fillId="0" borderId="9" xfId="70" applyFill="1" applyAlignment="1">
      <alignment vertical="center"/>
    </xf>
    <xf numFmtId="10" fontId="8" fillId="0" borderId="9" xfId="70" applyFill="1" applyAlignment="1">
      <alignment horizontal="right" vertical="center"/>
    </xf>
    <xf numFmtId="4" fontId="2" fillId="0" borderId="9" xfId="22" applyNumberFormat="1" applyFill="1" applyAlignment="1">
      <alignment horizontal="right" vertical="center"/>
    </xf>
    <xf numFmtId="0" fontId="2" fillId="0" borderId="0" xfId="1" applyFont="1" applyBorder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11" fillId="44" borderId="9" xfId="52" applyFill="1">
      <alignment horizontal="center" vertical="center" wrapText="1"/>
    </xf>
    <xf numFmtId="3" fontId="0" fillId="0" borderId="0" xfId="0" applyBorder="1">
      <alignment horizontal="right" vertical="center"/>
    </xf>
    <xf numFmtId="3" fontId="3" fillId="2" borderId="0" xfId="53" applyFill="1">
      <alignment horizontal="left" vertical="center"/>
    </xf>
    <xf numFmtId="3" fontId="30" fillId="0" borderId="0" xfId="0" applyFont="1" applyFill="1">
      <alignment horizontal="right" vertical="center"/>
    </xf>
    <xf numFmtId="3" fontId="3" fillId="0" borderId="0" xfId="53" applyFill="1">
      <alignment horizontal="left" vertical="center"/>
    </xf>
    <xf numFmtId="3" fontId="8" fillId="0" borderId="11" xfId="55" applyFill="1" applyBorder="1">
      <alignment horizontal="right" vertical="center"/>
    </xf>
    <xf numFmtId="10" fontId="29" fillId="0" borderId="9" xfId="50" applyFill="1">
      <alignment horizontal="right" vertical="center"/>
    </xf>
    <xf numFmtId="3" fontId="8" fillId="0" borderId="10" xfId="55" applyFill="1" applyBorder="1">
      <alignment horizontal="right" vertical="center"/>
    </xf>
    <xf numFmtId="10" fontId="8" fillId="0" borderId="11" xfId="60" applyFill="1" applyBorder="1" applyAlignment="1">
      <alignment horizontal="right" vertical="center"/>
    </xf>
    <xf numFmtId="0" fontId="11" fillId="71" borderId="9" xfId="51" applyFill="1">
      <alignment horizontal="left" vertical="center" wrapText="1"/>
    </xf>
    <xf numFmtId="3" fontId="0" fillId="0" borderId="0" xfId="0" applyAlignment="1">
      <alignment horizontal="center" vertical="center"/>
    </xf>
    <xf numFmtId="1" fontId="13" fillId="10" borderId="9" xfId="4" applyAlignment="1">
      <alignment horizontal="right" vertical="center"/>
    </xf>
  </cellXfs>
  <cellStyles count="73">
    <cellStyle name="20% - Accent1" xfId="27" builtinId="30" hidden="1" customBuilti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7" builtinId="27" hidden="1"/>
    <cellStyle name="Check Cell" xfId="22" builtinId="23" customBuiltin="1"/>
    <cellStyle name="Comma" xfId="6" builtinId="3" hidden="1"/>
    <cellStyle name="Comma [0]" xfId="7" builtinId="6" hidden="1"/>
    <cellStyle name="Currency" xfId="8" builtinId="4" hidden="1"/>
    <cellStyle name="Currency [0]" xfId="9" builtinId="7" hidden="1"/>
    <cellStyle name="Decimal-1" xfId="68" xr:uid="{ACAB4A62-4430-7D45-8322-FD6AE001C094}"/>
    <cellStyle name="Decimal-10" xfId="69" xr:uid="{206E256E-5433-6846-B7FA-7CB7ACA4F756}"/>
    <cellStyle name="Decimal-2" xfId="58" xr:uid="{6D8BA117-326F-3B47-BD87-F00340F2FDE5}"/>
    <cellStyle name="Decimal-4" xfId="66" xr:uid="{85517AF0-A948-4D44-89FA-946AD0201A90}"/>
    <cellStyle name="Decimal-6" xfId="59" xr:uid="{F1C8C04F-1769-074D-8D70-CF755530658D}"/>
    <cellStyle name="Estimated" xfId="4" xr:uid="{38062CB6-EF4B-CF41-85AF-D72FF9707668}"/>
    <cellStyle name="Estimated 2" xfId="62" xr:uid="{6AB6D3CB-031F-EB4F-B03D-556FF11BD261}"/>
    <cellStyle name="Estimated 3" xfId="67" xr:uid="{10D10422-13B3-2B42-9626-A3ACC86C8530}"/>
    <cellStyle name="Explanatory Text" xfId="24" builtinId="53" hidden="1"/>
    <cellStyle name="Good" xfId="16" builtinId="26" hidden="1"/>
    <cellStyle name="Heading 1" xfId="12" builtinId="16" hidden="1"/>
    <cellStyle name="Heading 2" xfId="13" builtinId="17" hidden="1"/>
    <cellStyle name="Heading 3" xfId="14" builtinId="18" hidden="1"/>
    <cellStyle name="Heading 4" xfId="15" builtinId="19" hidden="1"/>
    <cellStyle name="Hyperlink" xfId="2" builtinId="8" hidden="1"/>
    <cellStyle name="Hyperlink" xfId="54" builtinId="8" hidden="1"/>
    <cellStyle name="Input" xfId="19" builtinId="20" hidden="1"/>
    <cellStyle name="Linked Cell" xfId="21" builtinId="24" hidden="1"/>
    <cellStyle name="Neutral" xfId="18" builtinId="28" hidden="1"/>
    <cellStyle name="Normal" xfId="0" builtinId="0" customBuiltin="1"/>
    <cellStyle name="Normal 2" xfId="1" xr:uid="{6518068D-7F63-BB47-8624-9E754A647162}"/>
    <cellStyle name="Normal 3" xfId="3" xr:uid="{FD7BBF8A-3A79-CC46-92E9-540F981CCC7D}"/>
    <cellStyle name="Note" xfId="23" builtinId="10" hidden="1"/>
    <cellStyle name="Number" xfId="55" xr:uid="{5C13E065-72F8-3E45-9DB1-A89D31B8B255}"/>
    <cellStyle name="Number 2" xfId="65" xr:uid="{268CF937-A15C-5E48-8A47-677EBD5788E7}"/>
    <cellStyle name="Output" xfId="20" builtinId="21" hidden="1"/>
    <cellStyle name="Percent" xfId="10" builtinId="5" hidden="1" customBuiltin="1"/>
    <cellStyle name="Percent" xfId="50" builtinId="5" customBuiltin="1"/>
    <cellStyle name="Percent-2" xfId="60" xr:uid="{E5764499-10B7-7C41-ADD4-8541F92A4C2F}"/>
    <cellStyle name="Percent-2 2" xfId="70" xr:uid="{5241C635-B2B0-7645-90C4-74FD1B449788}"/>
    <cellStyle name="Sub-title" xfId="56" xr:uid="{515D02F9-C424-0749-A2F2-AE42248D9FF3}"/>
    <cellStyle name="Sub-title 2" xfId="63" xr:uid="{F56F6417-18AF-6849-B26B-05B7420148E4}"/>
    <cellStyle name="Sub-title 2 2" xfId="64" xr:uid="{280D1EB6-B2FF-2144-A6EF-6387A856E9F5}"/>
    <cellStyle name="Text Centre" xfId="52" xr:uid="{EF003E5B-098A-5F4E-91C9-5340529FBA44}"/>
    <cellStyle name="Text Centre 2" xfId="72" xr:uid="{CD6D34EA-E54B-3742-A944-E3930015E5B1}"/>
    <cellStyle name="Text Left" xfId="51" xr:uid="{4561F0F6-4880-BA48-899A-5D67000CD77E}"/>
    <cellStyle name="Text Left 2" xfId="71" xr:uid="{AE7457EF-E203-F147-B265-07B89B1E7F26}"/>
    <cellStyle name="Text Right" xfId="57" xr:uid="{30D929E0-F7E1-414C-82D5-3CF792823DD5}"/>
    <cellStyle name="Title" xfId="11" builtinId="15" hidden="1"/>
    <cellStyle name="Title" xfId="53" builtinId="15" customBuiltin="1"/>
    <cellStyle name="Title 2" xfId="61" xr:uid="{B160E3C4-5FFA-C849-B2B7-21BC37D31D25}"/>
    <cellStyle name="Total" xfId="25" builtinId="25" hidden="1"/>
    <cellStyle name="Warning Text" xfId="5" builtinId="11" hidden="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275</xdr:row>
      <xdr:rowOff>0</xdr:rowOff>
    </xdr:from>
    <xdr:ext cx="0" cy="169544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BE42788C-9EA4-4240-B749-BD19A2B4ED8D}"/>
            </a:ext>
          </a:extLst>
        </xdr:cNvPr>
        <xdr:cNvSpPr/>
      </xdr:nvSpPr>
      <xdr:spPr>
        <a:xfrm>
          <a:off x="13208000" y="388112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9</xdr:col>
      <xdr:colOff>0</xdr:colOff>
      <xdr:row>275</xdr:row>
      <xdr:rowOff>0</xdr:rowOff>
    </xdr:from>
    <xdr:ext cx="0" cy="169544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5176DA4B-9395-9F49-BB22-C51FABEA8462}"/>
            </a:ext>
          </a:extLst>
        </xdr:cNvPr>
        <xdr:cNvSpPr/>
      </xdr:nvSpPr>
      <xdr:spPr>
        <a:xfrm>
          <a:off x="13208000" y="388112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9</xdr:col>
      <xdr:colOff>0</xdr:colOff>
      <xdr:row>275</xdr:row>
      <xdr:rowOff>0</xdr:rowOff>
    </xdr:from>
    <xdr:ext cx="0" cy="169544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880C2BC0-69F0-5B4A-B3E0-CCF1AE4D3AF2}"/>
            </a:ext>
          </a:extLst>
        </xdr:cNvPr>
        <xdr:cNvSpPr/>
      </xdr:nvSpPr>
      <xdr:spPr>
        <a:xfrm>
          <a:off x="13208000" y="388112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9</xdr:col>
      <xdr:colOff>0</xdr:colOff>
      <xdr:row>275</xdr:row>
      <xdr:rowOff>0</xdr:rowOff>
    </xdr:from>
    <xdr:ext cx="0" cy="169544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5E1EF333-0EF2-664C-B895-B4377F1B6E73}"/>
            </a:ext>
          </a:extLst>
        </xdr:cNvPr>
        <xdr:cNvSpPr/>
      </xdr:nvSpPr>
      <xdr:spPr>
        <a:xfrm>
          <a:off x="13208000" y="388112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288</xdr:row>
      <xdr:rowOff>0</xdr:rowOff>
    </xdr:from>
    <xdr:ext cx="0" cy="169544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84777249-D011-5044-A1BF-485D1CEB163D}"/>
            </a:ext>
          </a:extLst>
        </xdr:cNvPr>
        <xdr:cNvSpPr/>
      </xdr:nvSpPr>
      <xdr:spPr>
        <a:xfrm>
          <a:off x="2476500" y="241808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288</xdr:row>
      <xdr:rowOff>0</xdr:rowOff>
    </xdr:from>
    <xdr:ext cx="0" cy="169544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6F31E541-DD90-8F41-8454-C11EAB0E6AA5}"/>
            </a:ext>
          </a:extLst>
        </xdr:cNvPr>
        <xdr:cNvSpPr/>
      </xdr:nvSpPr>
      <xdr:spPr>
        <a:xfrm>
          <a:off x="2476500" y="241808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288</xdr:row>
      <xdr:rowOff>0</xdr:rowOff>
    </xdr:from>
    <xdr:ext cx="0" cy="169544"/>
    <xdr:sp macro="" textlink="">
      <xdr:nvSpPr>
        <xdr:cNvPr id="8" name="Shape 6">
          <a:extLst>
            <a:ext uri="{FF2B5EF4-FFF2-40B4-BE49-F238E27FC236}">
              <a16:creationId xmlns:a16="http://schemas.microsoft.com/office/drawing/2014/main" id="{45481CF5-D052-1F4B-A656-400DF9EE18AC}"/>
            </a:ext>
          </a:extLst>
        </xdr:cNvPr>
        <xdr:cNvSpPr/>
      </xdr:nvSpPr>
      <xdr:spPr>
        <a:xfrm>
          <a:off x="2476500" y="241808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288</xdr:row>
      <xdr:rowOff>0</xdr:rowOff>
    </xdr:from>
    <xdr:ext cx="0" cy="169544"/>
    <xdr:sp macro="" textlink="">
      <xdr:nvSpPr>
        <xdr:cNvPr id="9" name="Shape 7">
          <a:extLst>
            <a:ext uri="{FF2B5EF4-FFF2-40B4-BE49-F238E27FC236}">
              <a16:creationId xmlns:a16="http://schemas.microsoft.com/office/drawing/2014/main" id="{8092A681-E2E0-A842-A490-7C855CDCBC2A}"/>
            </a:ext>
          </a:extLst>
        </xdr:cNvPr>
        <xdr:cNvSpPr/>
      </xdr:nvSpPr>
      <xdr:spPr>
        <a:xfrm>
          <a:off x="2476500" y="241808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275</xdr:row>
      <xdr:rowOff>0</xdr:rowOff>
    </xdr:from>
    <xdr:ext cx="0" cy="169544"/>
    <xdr:sp macro="" textlink="">
      <xdr:nvSpPr>
        <xdr:cNvPr id="10" name="Shape 6">
          <a:extLst>
            <a:ext uri="{FF2B5EF4-FFF2-40B4-BE49-F238E27FC236}">
              <a16:creationId xmlns:a16="http://schemas.microsoft.com/office/drawing/2014/main" id="{E12E566C-319F-F347-868A-2E647FB85599}"/>
            </a:ext>
          </a:extLst>
        </xdr:cNvPr>
        <xdr:cNvSpPr/>
      </xdr:nvSpPr>
      <xdr:spPr>
        <a:xfrm>
          <a:off x="24765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275</xdr:row>
      <xdr:rowOff>0</xdr:rowOff>
    </xdr:from>
    <xdr:ext cx="0" cy="169544"/>
    <xdr:sp macro="" textlink="">
      <xdr:nvSpPr>
        <xdr:cNvPr id="11" name="Shape 7">
          <a:extLst>
            <a:ext uri="{FF2B5EF4-FFF2-40B4-BE49-F238E27FC236}">
              <a16:creationId xmlns:a16="http://schemas.microsoft.com/office/drawing/2014/main" id="{148590DA-8735-0840-97F6-D0EAB784164C}"/>
            </a:ext>
          </a:extLst>
        </xdr:cNvPr>
        <xdr:cNvSpPr/>
      </xdr:nvSpPr>
      <xdr:spPr>
        <a:xfrm>
          <a:off x="24765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275</xdr:row>
      <xdr:rowOff>0</xdr:rowOff>
    </xdr:from>
    <xdr:ext cx="0" cy="169544"/>
    <xdr:sp macro="" textlink="">
      <xdr:nvSpPr>
        <xdr:cNvPr id="12" name="Shape 6">
          <a:extLst>
            <a:ext uri="{FF2B5EF4-FFF2-40B4-BE49-F238E27FC236}">
              <a16:creationId xmlns:a16="http://schemas.microsoft.com/office/drawing/2014/main" id="{EDD5539C-B05A-2841-8783-8B1E1EA009CC}"/>
            </a:ext>
          </a:extLst>
        </xdr:cNvPr>
        <xdr:cNvSpPr/>
      </xdr:nvSpPr>
      <xdr:spPr>
        <a:xfrm>
          <a:off x="24765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275</xdr:row>
      <xdr:rowOff>0</xdr:rowOff>
    </xdr:from>
    <xdr:ext cx="0" cy="169544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E128727B-61C5-264C-B791-91ADCC928ACB}"/>
            </a:ext>
          </a:extLst>
        </xdr:cNvPr>
        <xdr:cNvSpPr/>
      </xdr:nvSpPr>
      <xdr:spPr>
        <a:xfrm>
          <a:off x="24765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2</xdr:col>
      <xdr:colOff>0</xdr:colOff>
      <xdr:row>275</xdr:row>
      <xdr:rowOff>0</xdr:rowOff>
    </xdr:from>
    <xdr:ext cx="0" cy="169544"/>
    <xdr:sp macro="" textlink="">
      <xdr:nvSpPr>
        <xdr:cNvPr id="14" name="Shape 6">
          <a:extLst>
            <a:ext uri="{FF2B5EF4-FFF2-40B4-BE49-F238E27FC236}">
              <a16:creationId xmlns:a16="http://schemas.microsoft.com/office/drawing/2014/main" id="{F0011E4B-7F69-024C-85E0-615619B70808}"/>
            </a:ext>
          </a:extLst>
        </xdr:cNvPr>
        <xdr:cNvSpPr/>
      </xdr:nvSpPr>
      <xdr:spPr>
        <a:xfrm>
          <a:off x="13462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2</xdr:col>
      <xdr:colOff>0</xdr:colOff>
      <xdr:row>275</xdr:row>
      <xdr:rowOff>0</xdr:rowOff>
    </xdr:from>
    <xdr:ext cx="0" cy="169544"/>
    <xdr:sp macro="" textlink="">
      <xdr:nvSpPr>
        <xdr:cNvPr id="15" name="Shape 7">
          <a:extLst>
            <a:ext uri="{FF2B5EF4-FFF2-40B4-BE49-F238E27FC236}">
              <a16:creationId xmlns:a16="http://schemas.microsoft.com/office/drawing/2014/main" id="{341B4AE8-2BBA-2040-A026-F277D6978224}"/>
            </a:ext>
          </a:extLst>
        </xdr:cNvPr>
        <xdr:cNvSpPr/>
      </xdr:nvSpPr>
      <xdr:spPr>
        <a:xfrm>
          <a:off x="13462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2</xdr:col>
      <xdr:colOff>0</xdr:colOff>
      <xdr:row>275</xdr:row>
      <xdr:rowOff>0</xdr:rowOff>
    </xdr:from>
    <xdr:ext cx="0" cy="169544"/>
    <xdr:sp macro="" textlink="">
      <xdr:nvSpPr>
        <xdr:cNvPr id="16" name="Shape 6">
          <a:extLst>
            <a:ext uri="{FF2B5EF4-FFF2-40B4-BE49-F238E27FC236}">
              <a16:creationId xmlns:a16="http://schemas.microsoft.com/office/drawing/2014/main" id="{CC003A73-C097-6244-8D79-EF6F846412E5}"/>
            </a:ext>
          </a:extLst>
        </xdr:cNvPr>
        <xdr:cNvSpPr/>
      </xdr:nvSpPr>
      <xdr:spPr>
        <a:xfrm>
          <a:off x="13462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2</xdr:col>
      <xdr:colOff>0</xdr:colOff>
      <xdr:row>275</xdr:row>
      <xdr:rowOff>0</xdr:rowOff>
    </xdr:from>
    <xdr:ext cx="0" cy="169544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260B9F99-D95C-2F4C-853A-2D8DBFFAA361}"/>
            </a:ext>
          </a:extLst>
        </xdr:cNvPr>
        <xdr:cNvSpPr/>
      </xdr:nvSpPr>
      <xdr:spPr>
        <a:xfrm>
          <a:off x="13462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275</xdr:row>
      <xdr:rowOff>0</xdr:rowOff>
    </xdr:from>
    <xdr:ext cx="0" cy="169544"/>
    <xdr:sp macro="" textlink="">
      <xdr:nvSpPr>
        <xdr:cNvPr id="18" name="Shape 6">
          <a:extLst>
            <a:ext uri="{FF2B5EF4-FFF2-40B4-BE49-F238E27FC236}">
              <a16:creationId xmlns:a16="http://schemas.microsoft.com/office/drawing/2014/main" id="{1313CAC3-0049-144A-99E5-5C1849B207D1}"/>
            </a:ext>
          </a:extLst>
        </xdr:cNvPr>
        <xdr:cNvSpPr/>
      </xdr:nvSpPr>
      <xdr:spPr>
        <a:xfrm>
          <a:off x="10147300" y="70065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275</xdr:row>
      <xdr:rowOff>0</xdr:rowOff>
    </xdr:from>
    <xdr:ext cx="0" cy="169544"/>
    <xdr:sp macro="" textlink="">
      <xdr:nvSpPr>
        <xdr:cNvPr id="19" name="Shape 7">
          <a:extLst>
            <a:ext uri="{FF2B5EF4-FFF2-40B4-BE49-F238E27FC236}">
              <a16:creationId xmlns:a16="http://schemas.microsoft.com/office/drawing/2014/main" id="{D6675008-94AC-6D4C-A611-3AFB4415F0A6}"/>
            </a:ext>
          </a:extLst>
        </xdr:cNvPr>
        <xdr:cNvSpPr/>
      </xdr:nvSpPr>
      <xdr:spPr>
        <a:xfrm>
          <a:off x="10147300" y="70065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275</xdr:row>
      <xdr:rowOff>0</xdr:rowOff>
    </xdr:from>
    <xdr:ext cx="0" cy="169544"/>
    <xdr:sp macro="" textlink="">
      <xdr:nvSpPr>
        <xdr:cNvPr id="20" name="Shape 6">
          <a:extLst>
            <a:ext uri="{FF2B5EF4-FFF2-40B4-BE49-F238E27FC236}">
              <a16:creationId xmlns:a16="http://schemas.microsoft.com/office/drawing/2014/main" id="{8A0DF572-5F48-9B4C-9827-E833F825F418}"/>
            </a:ext>
          </a:extLst>
        </xdr:cNvPr>
        <xdr:cNvSpPr/>
      </xdr:nvSpPr>
      <xdr:spPr>
        <a:xfrm>
          <a:off x="10147300" y="70065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275</xdr:row>
      <xdr:rowOff>0</xdr:rowOff>
    </xdr:from>
    <xdr:ext cx="0" cy="169544"/>
    <xdr:sp macro="" textlink="">
      <xdr:nvSpPr>
        <xdr:cNvPr id="21" name="Shape 7">
          <a:extLst>
            <a:ext uri="{FF2B5EF4-FFF2-40B4-BE49-F238E27FC236}">
              <a16:creationId xmlns:a16="http://schemas.microsoft.com/office/drawing/2014/main" id="{BE3AD37D-E865-D64F-B7C7-2A905D47968B}"/>
            </a:ext>
          </a:extLst>
        </xdr:cNvPr>
        <xdr:cNvSpPr/>
      </xdr:nvSpPr>
      <xdr:spPr>
        <a:xfrm>
          <a:off x="10147300" y="70065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154</xdr:row>
      <xdr:rowOff>0</xdr:rowOff>
    </xdr:from>
    <xdr:ext cx="0" cy="169544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267F9F7F-2D42-6E4B-9C2D-5632EE7277E9}"/>
            </a:ext>
          </a:extLst>
        </xdr:cNvPr>
        <xdr:cNvSpPr/>
      </xdr:nvSpPr>
      <xdr:spPr>
        <a:xfrm>
          <a:off x="11188700" y="35521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154</xdr:row>
      <xdr:rowOff>0</xdr:rowOff>
    </xdr:from>
    <xdr:ext cx="0" cy="169544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5581D077-B4BE-5940-B066-84C762328A90}"/>
            </a:ext>
          </a:extLst>
        </xdr:cNvPr>
        <xdr:cNvSpPr/>
      </xdr:nvSpPr>
      <xdr:spPr>
        <a:xfrm>
          <a:off x="11188700" y="35521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154</xdr:row>
      <xdr:rowOff>0</xdr:rowOff>
    </xdr:from>
    <xdr:ext cx="0" cy="169544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A8429473-0096-DD46-8878-BE8CE8A99253}"/>
            </a:ext>
          </a:extLst>
        </xdr:cNvPr>
        <xdr:cNvSpPr/>
      </xdr:nvSpPr>
      <xdr:spPr>
        <a:xfrm>
          <a:off x="11188700" y="35521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154</xdr:row>
      <xdr:rowOff>0</xdr:rowOff>
    </xdr:from>
    <xdr:ext cx="0" cy="169544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9E660376-54D8-5848-8968-34414E615773}"/>
            </a:ext>
          </a:extLst>
        </xdr:cNvPr>
        <xdr:cNvSpPr/>
      </xdr:nvSpPr>
      <xdr:spPr>
        <a:xfrm>
          <a:off x="11188700" y="35521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139</xdr:row>
      <xdr:rowOff>0</xdr:rowOff>
    </xdr:from>
    <xdr:ext cx="0" cy="169544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49BDA801-5215-BA42-9077-28A22377D35B}"/>
            </a:ext>
          </a:extLst>
        </xdr:cNvPr>
        <xdr:cNvSpPr/>
      </xdr:nvSpPr>
      <xdr:spPr>
        <a:xfrm>
          <a:off x="14897100" y="208699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139</xdr:row>
      <xdr:rowOff>0</xdr:rowOff>
    </xdr:from>
    <xdr:ext cx="0" cy="169544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C07574F2-02F3-DE42-B2B0-8A35E739AA4B}"/>
            </a:ext>
          </a:extLst>
        </xdr:cNvPr>
        <xdr:cNvSpPr/>
      </xdr:nvSpPr>
      <xdr:spPr>
        <a:xfrm>
          <a:off x="14897100" y="208699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139</xdr:row>
      <xdr:rowOff>0</xdr:rowOff>
    </xdr:from>
    <xdr:ext cx="0" cy="169544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B0612224-85AF-C443-BC4A-D18B37E24801}"/>
            </a:ext>
          </a:extLst>
        </xdr:cNvPr>
        <xdr:cNvSpPr/>
      </xdr:nvSpPr>
      <xdr:spPr>
        <a:xfrm>
          <a:off x="14897100" y="208699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139</xdr:row>
      <xdr:rowOff>0</xdr:rowOff>
    </xdr:from>
    <xdr:ext cx="0" cy="169544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A42E535C-727B-3444-BB67-D82CA8771DE9}"/>
            </a:ext>
          </a:extLst>
        </xdr:cNvPr>
        <xdr:cNvSpPr/>
      </xdr:nvSpPr>
      <xdr:spPr>
        <a:xfrm>
          <a:off x="14897100" y="208699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Files/UoT-PhD/Research/00-References/Alberta/Transmission/SLIVER%20model%20inputs%20-%20AB-4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inputs"/>
      <sheetName val="site independent"/>
      <sheetName val="modeled attributes"/>
      <sheetName val="modeled attributes _original"/>
      <sheetName val="scenario analysis"/>
      <sheetName val="vre plants"/>
      <sheetName val="non-vre plants"/>
      <sheetName val="storage"/>
      <sheetName val="EV_aggregator"/>
      <sheetName val="demand response"/>
      <sheetName val="demand centres"/>
      <sheetName val="existing transmission"/>
      <sheetName val="Nodes"/>
      <sheetName val="excel input instruction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Wind</v>
          </cell>
          <cell r="C3" t="str">
            <v>Solar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89C9-9EE8-8147-B7CE-7D670C04B25E}">
  <sheetPr codeName="Sheet1"/>
  <dimension ref="A1:C26"/>
  <sheetViews>
    <sheetView tabSelected="1" workbookViewId="0">
      <selection activeCell="F11" sqref="F11"/>
    </sheetView>
  </sheetViews>
  <sheetFormatPr baseColWidth="10" defaultRowHeight="16" x14ac:dyDescent="0.2"/>
  <cols>
    <col min="1" max="1" width="4.83203125" style="7" customWidth="1"/>
    <col min="2" max="2" width="21.6640625" style="7" customWidth="1"/>
    <col min="3" max="3" width="10.83203125" style="7"/>
    <col min="4" max="16384" width="10.83203125" style="42"/>
  </cols>
  <sheetData>
    <row r="1" spans="1:3" s="12" customFormat="1" ht="21" x14ac:dyDescent="0.2">
      <c r="A1" s="12" t="s">
        <v>74</v>
      </c>
      <c r="B1" s="12" t="s">
        <v>27</v>
      </c>
    </row>
    <row r="2" spans="1:3" s="7" customFormat="1" x14ac:dyDescent="0.2"/>
    <row r="3" spans="1:3" s="8" customFormat="1" ht="19" x14ac:dyDescent="0.25">
      <c r="B3" s="3" t="s">
        <v>628</v>
      </c>
      <c r="C3" s="3" t="s">
        <v>625</v>
      </c>
    </row>
    <row r="4" spans="1:3" s="8" customFormat="1" ht="19" x14ac:dyDescent="0.25">
      <c r="B4" s="3" t="s">
        <v>626</v>
      </c>
      <c r="C4" s="3" t="s">
        <v>627</v>
      </c>
    </row>
    <row r="5" spans="1:3" s="8" customFormat="1" ht="19" x14ac:dyDescent="0.25">
      <c r="B5" s="3" t="s">
        <v>989</v>
      </c>
      <c r="C5" s="3" t="s">
        <v>990</v>
      </c>
    </row>
    <row r="6" spans="1:3" s="8" customFormat="1" ht="19" x14ac:dyDescent="0.25">
      <c r="B6" s="8" t="s">
        <v>22</v>
      </c>
      <c r="C6" s="8" t="s">
        <v>26</v>
      </c>
    </row>
    <row r="7" spans="1:3" s="8" customFormat="1" ht="19" x14ac:dyDescent="0.25">
      <c r="B7" s="8" t="s">
        <v>1156</v>
      </c>
      <c r="C7" s="8" t="s">
        <v>1157</v>
      </c>
    </row>
    <row r="8" spans="1:3" s="8" customFormat="1" ht="19" x14ac:dyDescent="0.25">
      <c r="B8" s="8" t="s">
        <v>1338</v>
      </c>
      <c r="C8" s="8" t="s">
        <v>1339</v>
      </c>
    </row>
    <row r="9" spans="1:3" s="8" customFormat="1" ht="19" x14ac:dyDescent="0.25">
      <c r="B9" s="3" t="s">
        <v>504</v>
      </c>
      <c r="C9" s="3" t="s">
        <v>991</v>
      </c>
    </row>
    <row r="10" spans="1:3" s="8" customFormat="1" ht="19" x14ac:dyDescent="0.25">
      <c r="B10" s="3" t="s">
        <v>505</v>
      </c>
      <c r="C10" s="3" t="s">
        <v>506</v>
      </c>
    </row>
    <row r="11" spans="1:3" s="8" customFormat="1" ht="19" x14ac:dyDescent="0.25">
      <c r="B11" s="3" t="s">
        <v>507</v>
      </c>
      <c r="C11" s="3" t="s">
        <v>508</v>
      </c>
    </row>
    <row r="12" spans="1:3" s="8" customFormat="1" ht="19" x14ac:dyDescent="0.25">
      <c r="B12" s="3" t="s">
        <v>509</v>
      </c>
      <c r="C12" s="3" t="s">
        <v>510</v>
      </c>
    </row>
    <row r="13" spans="1:3" s="8" customFormat="1" ht="19" x14ac:dyDescent="0.25">
      <c r="B13" s="8" t="s">
        <v>1158</v>
      </c>
      <c r="C13" s="8" t="s">
        <v>1159</v>
      </c>
    </row>
    <row r="14" spans="1:3" s="8" customFormat="1" ht="19" x14ac:dyDescent="0.25">
      <c r="B14" s="8" t="s">
        <v>39</v>
      </c>
      <c r="C14" s="8" t="s">
        <v>40</v>
      </c>
    </row>
    <row r="15" spans="1:3" s="40" customFormat="1" ht="19" x14ac:dyDescent="0.25">
      <c r="A15" s="8"/>
      <c r="B15" s="3" t="s">
        <v>500</v>
      </c>
      <c r="C15" s="3" t="s">
        <v>536</v>
      </c>
    </row>
    <row r="16" spans="1:3" s="40" customFormat="1" ht="19" x14ac:dyDescent="0.25">
      <c r="A16" s="8"/>
      <c r="B16" s="3" t="s">
        <v>501</v>
      </c>
      <c r="C16" s="3" t="s">
        <v>537</v>
      </c>
    </row>
    <row r="17" spans="1:3" s="8" customFormat="1" ht="19" x14ac:dyDescent="0.25">
      <c r="B17" s="8" t="s">
        <v>502</v>
      </c>
      <c r="C17" s="8" t="s">
        <v>538</v>
      </c>
    </row>
    <row r="18" spans="1:3" s="8" customFormat="1" ht="19" x14ac:dyDescent="0.25">
      <c r="B18" s="8" t="s">
        <v>503</v>
      </c>
      <c r="C18" s="8" t="s">
        <v>539</v>
      </c>
    </row>
    <row r="19" spans="1:3" s="8" customFormat="1" ht="19" x14ac:dyDescent="0.25">
      <c r="B19" s="8" t="s">
        <v>540</v>
      </c>
      <c r="C19" s="8" t="s">
        <v>541</v>
      </c>
    </row>
    <row r="20" spans="1:3" s="8" customFormat="1" ht="19" x14ac:dyDescent="0.25">
      <c r="B20" s="8" t="s">
        <v>961</v>
      </c>
      <c r="C20" s="8" t="s">
        <v>962</v>
      </c>
    </row>
    <row r="21" spans="1:3" s="8" customFormat="1" ht="19" x14ac:dyDescent="0.25"/>
    <row r="22" spans="1:3" s="40" customFormat="1" ht="19" x14ac:dyDescent="0.25">
      <c r="A22" s="8"/>
      <c r="B22" s="56"/>
      <c r="C22" s="3" t="s">
        <v>511</v>
      </c>
    </row>
    <row r="23" spans="1:3" s="40" customFormat="1" ht="19" x14ac:dyDescent="0.25">
      <c r="A23" s="8"/>
      <c r="B23" s="58"/>
      <c r="C23" s="3" t="s">
        <v>1340</v>
      </c>
    </row>
    <row r="24" spans="1:3" s="40" customFormat="1" ht="19" x14ac:dyDescent="0.25">
      <c r="A24" s="8"/>
      <c r="B24" s="57"/>
      <c r="C24" s="3" t="s">
        <v>512</v>
      </c>
    </row>
    <row r="25" spans="1:3" s="40" customFormat="1" ht="19" x14ac:dyDescent="0.25">
      <c r="A25" s="8"/>
      <c r="B25" s="279">
        <v>27</v>
      </c>
      <c r="C25" s="3" t="s">
        <v>992</v>
      </c>
    </row>
    <row r="26" spans="1:3" s="40" customFormat="1" ht="19" x14ac:dyDescent="0.25">
      <c r="A26" s="8"/>
      <c r="B26" s="8"/>
      <c r="C26" s="3" t="s">
        <v>1341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B984-0DAF-0348-A156-6DB723703E72}">
  <sheetPr codeName="Sheet6"/>
  <dimension ref="A1:BN29"/>
  <sheetViews>
    <sheetView workbookViewId="0">
      <pane xSplit="2" ySplit="3" topLeftCell="C4" activePane="bottomRight" state="frozen"/>
      <selection activeCell="G13" sqref="G13"/>
      <selection pane="topRight" activeCell="G13" sqref="G13"/>
      <selection pane="bottomLeft" activeCell="G13" sqref="G13"/>
      <selection pane="bottomRight" activeCell="G13" sqref="G13"/>
    </sheetView>
  </sheetViews>
  <sheetFormatPr baseColWidth="10" defaultRowHeight="16" x14ac:dyDescent="0.2"/>
  <cols>
    <col min="1" max="1" width="4.83203125" style="42" customWidth="1"/>
    <col min="2" max="2" width="24.5" style="42" customWidth="1"/>
    <col min="3" max="3" width="23.5" style="42" customWidth="1"/>
    <col min="4" max="4" width="18.83203125" style="42" customWidth="1"/>
    <col min="5" max="9" width="25.1640625" style="42" customWidth="1"/>
    <col min="10" max="10" width="25.1640625" style="210" customWidth="1"/>
    <col min="11" max="11" width="14.5" style="42" customWidth="1"/>
    <col min="12" max="12" width="13.6640625" style="42" customWidth="1"/>
    <col min="13" max="13" width="4.83203125" style="42" customWidth="1"/>
    <col min="14" max="14" width="25" style="42" customWidth="1"/>
    <col min="15" max="15" width="18.83203125" style="42" customWidth="1"/>
    <col min="16" max="16" width="12.5" style="42" bestFit="1" customWidth="1"/>
    <col min="17" max="17" width="12.83203125" style="42" customWidth="1"/>
    <col min="18" max="18" width="19" style="42" customWidth="1"/>
    <col min="19" max="19" width="12.83203125" style="42" customWidth="1"/>
    <col min="20" max="20" width="12.5" style="42" customWidth="1"/>
    <col min="21" max="21" width="4.83203125" style="42" customWidth="1"/>
    <col min="22" max="23" width="16.83203125" style="42" customWidth="1"/>
    <col min="24" max="27" width="18.83203125" style="42" customWidth="1"/>
    <col min="28" max="30" width="21.1640625" style="42" customWidth="1"/>
    <col min="31" max="35" width="18.83203125" style="42" customWidth="1"/>
    <col min="36" max="36" width="22.6640625" style="42" customWidth="1"/>
    <col min="37" max="37" width="19.33203125" style="42" customWidth="1"/>
    <col min="38" max="38" width="17" style="42" customWidth="1"/>
    <col min="39" max="39" width="43.6640625" style="42" customWidth="1"/>
    <col min="40" max="40" width="15.1640625" style="42" customWidth="1"/>
    <col min="41" max="41" width="7.5" style="42" bestFit="1" customWidth="1"/>
    <col min="42" max="16384" width="10.83203125" style="42"/>
  </cols>
  <sheetData>
    <row r="1" spans="1:39" s="3" customFormat="1" ht="21" x14ac:dyDescent="0.25">
      <c r="A1" s="12" t="s">
        <v>74</v>
      </c>
      <c r="B1" s="12" t="s">
        <v>191</v>
      </c>
      <c r="C1" s="12"/>
      <c r="M1" s="15"/>
      <c r="N1" s="60" t="s">
        <v>28</v>
      </c>
      <c r="O1" s="60"/>
      <c r="P1" s="16"/>
      <c r="Q1" s="16"/>
      <c r="S1" s="16"/>
      <c r="V1" s="60" t="s">
        <v>171</v>
      </c>
      <c r="X1" s="93">
        <v>1.77E-2</v>
      </c>
      <c r="Y1" s="94">
        <v>1.05</v>
      </c>
      <c r="Z1" s="94"/>
      <c r="AA1" s="93"/>
      <c r="AB1" s="93">
        <v>7.0000000000000007E-2</v>
      </c>
      <c r="AC1" s="3">
        <v>70</v>
      </c>
    </row>
    <row r="2" spans="1:39" s="6" customFormat="1" ht="40" x14ac:dyDescent="0.2">
      <c r="B2" s="13" t="s">
        <v>18</v>
      </c>
      <c r="C2" s="13" t="s">
        <v>938</v>
      </c>
      <c r="D2" s="13" t="s">
        <v>13</v>
      </c>
      <c r="E2" s="13" t="s">
        <v>21</v>
      </c>
      <c r="F2" s="91" t="s">
        <v>14</v>
      </c>
      <c r="G2" s="91" t="s">
        <v>15</v>
      </c>
      <c r="H2" s="13" t="s">
        <v>928</v>
      </c>
      <c r="I2" s="13" t="s">
        <v>533</v>
      </c>
      <c r="J2" s="91" t="s">
        <v>892</v>
      </c>
      <c r="K2" s="91" t="s">
        <v>893</v>
      </c>
      <c r="L2" s="91" t="s">
        <v>142</v>
      </c>
      <c r="M2" s="2"/>
      <c r="N2" s="13" t="s">
        <v>608</v>
      </c>
      <c r="O2" s="13" t="s">
        <v>924</v>
      </c>
      <c r="P2" s="13" t="s">
        <v>16</v>
      </c>
      <c r="Q2" s="13" t="s">
        <v>902</v>
      </c>
      <c r="R2" s="13" t="s">
        <v>385</v>
      </c>
      <c r="S2" s="13" t="s">
        <v>377</v>
      </c>
      <c r="T2" s="13" t="s">
        <v>379</v>
      </c>
      <c r="U2" s="10"/>
      <c r="V2" s="13" t="s">
        <v>534</v>
      </c>
      <c r="W2" s="13" t="s">
        <v>534</v>
      </c>
      <c r="X2" s="13" t="s">
        <v>178</v>
      </c>
      <c r="Y2" s="13" t="s">
        <v>179</v>
      </c>
      <c r="Z2" s="13" t="s">
        <v>192</v>
      </c>
      <c r="AA2" s="13" t="s">
        <v>181</v>
      </c>
      <c r="AB2" s="13" t="s">
        <v>496</v>
      </c>
      <c r="AC2" s="13" t="s">
        <v>497</v>
      </c>
      <c r="AD2" s="13" t="s">
        <v>594</v>
      </c>
      <c r="AE2" s="13" t="s">
        <v>609</v>
      </c>
      <c r="AF2" s="13" t="s">
        <v>609</v>
      </c>
      <c r="AG2" s="13" t="s">
        <v>182</v>
      </c>
      <c r="AH2" s="13" t="s">
        <v>595</v>
      </c>
      <c r="AI2" s="13" t="s">
        <v>596</v>
      </c>
      <c r="AJ2" s="13" t="s">
        <v>183</v>
      </c>
      <c r="AK2" s="13" t="s">
        <v>185</v>
      </c>
      <c r="AL2" s="13" t="s">
        <v>186</v>
      </c>
      <c r="AM2" s="13" t="s">
        <v>30</v>
      </c>
    </row>
    <row r="3" spans="1:39" s="4" customFormat="1" ht="20" x14ac:dyDescent="0.2">
      <c r="B3" s="10"/>
      <c r="C3" s="10"/>
      <c r="D3" s="10"/>
      <c r="E3" s="10"/>
      <c r="F3" s="10"/>
      <c r="G3" s="10"/>
      <c r="H3" s="10"/>
      <c r="I3" s="10" t="s">
        <v>51</v>
      </c>
      <c r="J3" s="10"/>
      <c r="K3" s="10"/>
      <c r="L3" s="10" t="s">
        <v>49</v>
      </c>
      <c r="M3" s="19"/>
      <c r="N3" s="10"/>
      <c r="O3" s="10"/>
      <c r="P3" s="10" t="s">
        <v>19</v>
      </c>
      <c r="Q3" s="10" t="s">
        <v>19</v>
      </c>
      <c r="R3" s="10" t="s">
        <v>20</v>
      </c>
      <c r="S3" s="10"/>
      <c r="T3" s="10"/>
      <c r="U3" s="10"/>
      <c r="V3" s="10" t="s">
        <v>378</v>
      </c>
      <c r="W3" s="10" t="s">
        <v>193</v>
      </c>
      <c r="X3" s="10" t="s">
        <v>193</v>
      </c>
      <c r="Y3" s="10" t="s">
        <v>193</v>
      </c>
      <c r="Z3" s="10" t="s">
        <v>193</v>
      </c>
      <c r="AA3" s="10" t="s">
        <v>193</v>
      </c>
      <c r="AB3" s="10" t="s">
        <v>193</v>
      </c>
      <c r="AC3" s="10" t="s">
        <v>212</v>
      </c>
      <c r="AD3" s="10" t="s">
        <v>188</v>
      </c>
      <c r="AE3" s="10" t="s">
        <v>380</v>
      </c>
      <c r="AF3" s="10" t="s">
        <v>212</v>
      </c>
      <c r="AG3" s="10" t="s">
        <v>610</v>
      </c>
      <c r="AH3" s="10" t="s">
        <v>23</v>
      </c>
      <c r="AI3" s="10" t="s">
        <v>23</v>
      </c>
      <c r="AJ3" s="10" t="s">
        <v>23</v>
      </c>
      <c r="AK3" s="10" t="s">
        <v>189</v>
      </c>
      <c r="AL3" s="10" t="s">
        <v>189</v>
      </c>
      <c r="AM3" s="10"/>
    </row>
    <row r="4" spans="1:39" s="4" customFormat="1" ht="20" x14ac:dyDescent="0.2">
      <c r="B4" s="116" t="s">
        <v>521</v>
      </c>
      <c r="C4" s="99" t="s">
        <v>612</v>
      </c>
      <c r="D4" s="11" t="s">
        <v>75</v>
      </c>
      <c r="E4" s="11" t="s">
        <v>101</v>
      </c>
      <c r="F4" s="11"/>
      <c r="G4" s="11"/>
      <c r="H4" s="35" t="s">
        <v>604</v>
      </c>
      <c r="I4" s="89">
        <v>0</v>
      </c>
      <c r="J4" s="35"/>
      <c r="K4" s="35"/>
      <c r="L4" s="35"/>
      <c r="M4" s="19"/>
      <c r="N4" s="79" t="s">
        <v>592</v>
      </c>
      <c r="O4" s="35" t="s">
        <v>592</v>
      </c>
      <c r="P4" s="64">
        <v>80</v>
      </c>
      <c r="Q4" s="64">
        <v>80</v>
      </c>
      <c r="R4" s="64">
        <v>500</v>
      </c>
      <c r="S4" s="117">
        <v>0.9</v>
      </c>
      <c r="T4" s="64">
        <v>3</v>
      </c>
      <c r="U4" s="100"/>
      <c r="V4" s="96">
        <v>1409</v>
      </c>
      <c r="W4" s="100">
        <f t="shared" ref="W4:W14" si="0">(133.4/121.7)*V4</f>
        <v>1544.4585045193098</v>
      </c>
      <c r="X4" s="94">
        <f t="shared" ref="X4:X14" si="1">$X$1*W4</f>
        <v>27.336915529991785</v>
      </c>
      <c r="Y4" s="94">
        <f>((W4+X4)/AK4)*($Y$1+$Y$1^2+$Y$1^3+$Y$1^4+$Y$1^5+$Y$1^6)-(W4+X4)</f>
        <v>299.16727604657694</v>
      </c>
      <c r="Z4" s="94">
        <f t="shared" ref="Z4:Z14" si="2">SUM(W4:Y4)</f>
        <v>1870.9626960958785</v>
      </c>
      <c r="AA4" s="94">
        <f t="shared" ref="AA4:AA14" si="3">0.9539*Z4^0.6784</f>
        <v>158.22380778101481</v>
      </c>
      <c r="AB4" s="94">
        <f t="shared" ref="AB4:AB14" si="4">SUM(Z4:AA4)</f>
        <v>2029.1865038768933</v>
      </c>
      <c r="AC4" s="94">
        <f t="shared" ref="AC4:AC14" si="5">(AB4*AB$1)/(1-(1+AB$1)^-AC$1)</f>
        <v>143.30019147247771</v>
      </c>
      <c r="AD4" s="94">
        <f t="shared" ref="AD4:AD14" si="6">AC4*1000/P4</f>
        <v>1791.2523934059714</v>
      </c>
      <c r="AE4" s="96">
        <f>(75.23*1000*P4)/1000000</f>
        <v>6.0183999999999997</v>
      </c>
      <c r="AF4" s="100">
        <f t="shared" ref="AF4:AF14" si="7">(133.4/121.7)*AE4</f>
        <v>6.5969972062448639</v>
      </c>
      <c r="AG4" s="100">
        <f t="shared" ref="AG4:AG14" si="8">AF4*1000000/P4</f>
        <v>82462.465078060792</v>
      </c>
      <c r="AH4" s="94">
        <f t="shared" ref="AH4:AH10" si="9">14.07*(P4^-0.383)</f>
        <v>2.6267009576154452</v>
      </c>
      <c r="AI4" s="119">
        <v>3.11</v>
      </c>
      <c r="AJ4" s="100">
        <f>SUM(AH4:AI4)</f>
        <v>5.7367009576154455</v>
      </c>
      <c r="AK4" s="79">
        <v>6</v>
      </c>
      <c r="AL4" s="79">
        <v>16</v>
      </c>
      <c r="AM4" s="11"/>
    </row>
    <row r="5" spans="1:39" s="4" customFormat="1" ht="20" x14ac:dyDescent="0.2">
      <c r="B5" s="116" t="s">
        <v>517</v>
      </c>
      <c r="C5" s="99" t="s">
        <v>613</v>
      </c>
      <c r="D5" s="11" t="s">
        <v>75</v>
      </c>
      <c r="E5" s="11" t="s">
        <v>383</v>
      </c>
      <c r="F5" s="11"/>
      <c r="G5" s="11"/>
      <c r="H5" s="35" t="s">
        <v>604</v>
      </c>
      <c r="I5" s="89">
        <v>0</v>
      </c>
      <c r="J5" s="35"/>
      <c r="K5" s="35"/>
      <c r="L5" s="35"/>
      <c r="M5" s="19"/>
      <c r="N5" s="79" t="s">
        <v>592</v>
      </c>
      <c r="O5" s="35" t="s">
        <v>592</v>
      </c>
      <c r="P5" s="64">
        <v>110</v>
      </c>
      <c r="Q5" s="64">
        <v>110</v>
      </c>
      <c r="R5" s="64">
        <v>600</v>
      </c>
      <c r="S5" s="117">
        <v>0.65</v>
      </c>
      <c r="T5" s="64">
        <v>4</v>
      </c>
      <c r="U5" s="100"/>
      <c r="V5" s="96">
        <v>2188</v>
      </c>
      <c r="W5" s="100">
        <f t="shared" si="0"/>
        <v>2398.3500410846341</v>
      </c>
      <c r="X5" s="94">
        <f t="shared" si="1"/>
        <v>42.450795727198027</v>
      </c>
      <c r="Y5" s="94">
        <f>((W5+X5)/AK5)*($Y$1+$Y$1^2+$Y$1^3+$Y$1^4+$Y$1^5+$Y$1^6+$Y$1^7)-(W5+X5)</f>
        <v>540.15232004564496</v>
      </c>
      <c r="Z5" s="94">
        <f t="shared" si="2"/>
        <v>2980.9531568574771</v>
      </c>
      <c r="AA5" s="94">
        <f t="shared" si="3"/>
        <v>217.02281058630592</v>
      </c>
      <c r="AB5" s="94">
        <f t="shared" si="4"/>
        <v>3197.9759674437828</v>
      </c>
      <c r="AC5" s="94">
        <f t="shared" si="5"/>
        <v>225.83955076752204</v>
      </c>
      <c r="AD5" s="94">
        <f t="shared" si="6"/>
        <v>2053.0868251592915</v>
      </c>
      <c r="AE5" s="96">
        <f>(33.88*1000*P5)/1000000</f>
        <v>3.7267999999999999</v>
      </c>
      <c r="AF5" s="100">
        <f t="shared" si="7"/>
        <v>4.0850872637633522</v>
      </c>
      <c r="AG5" s="100">
        <f t="shared" si="8"/>
        <v>37137.156943303205</v>
      </c>
      <c r="AH5" s="94">
        <f t="shared" si="9"/>
        <v>2.3250949828133272</v>
      </c>
      <c r="AI5" s="119">
        <v>3.11</v>
      </c>
      <c r="AJ5" s="100">
        <f t="shared" ref="AJ5:AJ14" si="10">SUM(AH5:AI5)</f>
        <v>5.435094982813327</v>
      </c>
      <c r="AK5" s="79">
        <v>7</v>
      </c>
      <c r="AL5" s="79">
        <v>17</v>
      </c>
      <c r="AM5" s="11"/>
    </row>
    <row r="6" spans="1:39" s="4" customFormat="1" ht="20" x14ac:dyDescent="0.2">
      <c r="B6" s="116" t="s">
        <v>515</v>
      </c>
      <c r="C6" s="99" t="s">
        <v>614</v>
      </c>
      <c r="D6" s="11" t="s">
        <v>75</v>
      </c>
      <c r="E6" s="11" t="s">
        <v>101</v>
      </c>
      <c r="F6" s="11"/>
      <c r="G6" s="11"/>
      <c r="H6" s="35" t="s">
        <v>604</v>
      </c>
      <c r="I6" s="89">
        <v>0</v>
      </c>
      <c r="J6" s="35"/>
      <c r="K6" s="35"/>
      <c r="L6" s="35"/>
      <c r="M6" s="19"/>
      <c r="N6" s="79" t="s">
        <v>592</v>
      </c>
      <c r="O6" s="35" t="s">
        <v>592</v>
      </c>
      <c r="P6" s="64">
        <v>120</v>
      </c>
      <c r="Q6" s="64">
        <v>120</v>
      </c>
      <c r="R6" s="64">
        <v>830</v>
      </c>
      <c r="S6" s="117">
        <v>0.85</v>
      </c>
      <c r="T6" s="64">
        <v>2</v>
      </c>
      <c r="U6" s="100"/>
      <c r="V6" s="96">
        <v>935</v>
      </c>
      <c r="W6" s="100">
        <f t="shared" si="0"/>
        <v>1024.8890714872637</v>
      </c>
      <c r="X6" s="94">
        <f t="shared" si="1"/>
        <v>18.140536565324567</v>
      </c>
      <c r="Y6" s="94">
        <f>((W6+X6)/AK6)*($Y$1+$Y$1^2+$Y$1^3+$Y$1^4+$Y$1^5)-(W6+X6)</f>
        <v>167.28376130284482</v>
      </c>
      <c r="Z6" s="94">
        <f t="shared" si="2"/>
        <v>1210.313369355433</v>
      </c>
      <c r="AA6" s="94">
        <f t="shared" si="3"/>
        <v>117.74452908187635</v>
      </c>
      <c r="AB6" s="94">
        <f t="shared" si="4"/>
        <v>1328.0578984373094</v>
      </c>
      <c r="AC6" s="94">
        <f t="shared" si="5"/>
        <v>93.786820860971275</v>
      </c>
      <c r="AD6" s="94">
        <f t="shared" si="6"/>
        <v>781.55684050809396</v>
      </c>
      <c r="AE6" s="96">
        <f>(33.88*1000*P6)/1000000</f>
        <v>4.0655999999999999</v>
      </c>
      <c r="AF6" s="100">
        <f t="shared" si="7"/>
        <v>4.4564588331963844</v>
      </c>
      <c r="AG6" s="100">
        <f t="shared" si="8"/>
        <v>37137.156943303198</v>
      </c>
      <c r="AH6" s="94">
        <f t="shared" si="9"/>
        <v>2.2488872394593193</v>
      </c>
      <c r="AI6" s="119">
        <v>3.11</v>
      </c>
      <c r="AJ6" s="100">
        <f t="shared" si="10"/>
        <v>5.3588872394593192</v>
      </c>
      <c r="AK6" s="79">
        <v>5</v>
      </c>
      <c r="AL6" s="79">
        <v>15</v>
      </c>
      <c r="AM6" s="11"/>
    </row>
    <row r="7" spans="1:39" s="4" customFormat="1" ht="20" x14ac:dyDescent="0.2">
      <c r="B7" s="116" t="s">
        <v>516</v>
      </c>
      <c r="C7" s="99" t="s">
        <v>615</v>
      </c>
      <c r="D7" s="11" t="s">
        <v>75</v>
      </c>
      <c r="E7" s="11" t="s">
        <v>383</v>
      </c>
      <c r="F7" s="11"/>
      <c r="G7" s="11"/>
      <c r="H7" s="35" t="s">
        <v>604</v>
      </c>
      <c r="I7" s="89">
        <v>0</v>
      </c>
      <c r="J7" s="35"/>
      <c r="K7" s="35"/>
      <c r="L7" s="35"/>
      <c r="M7" s="19"/>
      <c r="N7" s="79" t="s">
        <v>592</v>
      </c>
      <c r="O7" s="35" t="s">
        <v>592</v>
      </c>
      <c r="P7" s="64">
        <v>120</v>
      </c>
      <c r="Q7" s="64">
        <v>120</v>
      </c>
      <c r="R7" s="64">
        <v>700</v>
      </c>
      <c r="S7" s="117">
        <v>0.65</v>
      </c>
      <c r="T7" s="64">
        <v>4</v>
      </c>
      <c r="U7" s="100"/>
      <c r="V7" s="96">
        <v>1753</v>
      </c>
      <c r="W7" s="100">
        <f t="shared" si="0"/>
        <v>1921.529991783073</v>
      </c>
      <c r="X7" s="94">
        <f t="shared" si="1"/>
        <v>34.01108085456039</v>
      </c>
      <c r="Y7" s="94">
        <f>((W7+X7)/AK7)*($Y$1+$Y$1^2+$Y$1^3+$Y$1^4+$Y$1^5)-(W7+X7)</f>
        <v>313.6346883036224</v>
      </c>
      <c r="Z7" s="94">
        <f t="shared" si="2"/>
        <v>2269.1757609412557</v>
      </c>
      <c r="AA7" s="94">
        <f t="shared" si="3"/>
        <v>180.35317497770487</v>
      </c>
      <c r="AB7" s="94">
        <f t="shared" si="4"/>
        <v>2449.5289359189605</v>
      </c>
      <c r="AC7" s="94">
        <f t="shared" si="5"/>
        <v>172.98457527877247</v>
      </c>
      <c r="AD7" s="94">
        <f t="shared" si="6"/>
        <v>1441.5381273231039</v>
      </c>
      <c r="AE7" s="96">
        <f>(33.88*1000*P7)/1000000</f>
        <v>4.0655999999999999</v>
      </c>
      <c r="AF7" s="100">
        <f t="shared" si="7"/>
        <v>4.4564588331963844</v>
      </c>
      <c r="AG7" s="100">
        <f t="shared" si="8"/>
        <v>37137.156943303198</v>
      </c>
      <c r="AH7" s="94">
        <f t="shared" si="9"/>
        <v>2.2488872394593193</v>
      </c>
      <c r="AI7" s="119">
        <v>3.11</v>
      </c>
      <c r="AJ7" s="100">
        <f t="shared" si="10"/>
        <v>5.3588872394593192</v>
      </c>
      <c r="AK7" s="79">
        <v>5</v>
      </c>
      <c r="AL7" s="79">
        <v>15</v>
      </c>
      <c r="AM7" s="11"/>
    </row>
    <row r="8" spans="1:39" s="4" customFormat="1" ht="20" x14ac:dyDescent="0.2">
      <c r="B8" s="116" t="s">
        <v>522</v>
      </c>
      <c r="C8" s="99" t="s">
        <v>616</v>
      </c>
      <c r="D8" s="11" t="s">
        <v>75</v>
      </c>
      <c r="E8" s="11" t="s">
        <v>101</v>
      </c>
      <c r="F8" s="11"/>
      <c r="G8" s="11"/>
      <c r="H8" s="35" t="s">
        <v>604</v>
      </c>
      <c r="I8" s="89">
        <v>0</v>
      </c>
      <c r="J8" s="35"/>
      <c r="K8" s="35"/>
      <c r="L8" s="35"/>
      <c r="M8" s="19"/>
      <c r="N8" s="79" t="s">
        <v>592</v>
      </c>
      <c r="O8" s="35" t="s">
        <v>592</v>
      </c>
      <c r="P8" s="64">
        <v>210</v>
      </c>
      <c r="Q8" s="64">
        <v>210</v>
      </c>
      <c r="R8" s="64">
        <v>1300</v>
      </c>
      <c r="S8" s="117">
        <v>0.75</v>
      </c>
      <c r="T8" s="64">
        <v>4</v>
      </c>
      <c r="U8" s="100"/>
      <c r="V8" s="96">
        <v>2053</v>
      </c>
      <c r="W8" s="100">
        <f t="shared" si="0"/>
        <v>2250.3714050944945</v>
      </c>
      <c r="X8" s="94">
        <f t="shared" si="1"/>
        <v>39.831573870172555</v>
      </c>
      <c r="Y8" s="94">
        <f>((W8+X8)/AK8)*($Y$1+$Y$1^2+$Y$1^3+$Y$1^4+$Y$1^5+$Y$1^6)-(W8+X8)</f>
        <v>435.90519355828428</v>
      </c>
      <c r="Z8" s="94">
        <f t="shared" si="2"/>
        <v>2726.1081725229515</v>
      </c>
      <c r="AA8" s="94">
        <f t="shared" si="3"/>
        <v>204.25621386294543</v>
      </c>
      <c r="AB8" s="94">
        <f t="shared" si="4"/>
        <v>2930.364386385897</v>
      </c>
      <c r="AC8" s="94">
        <f t="shared" si="5"/>
        <v>206.94094744418055</v>
      </c>
      <c r="AD8" s="94">
        <f t="shared" si="6"/>
        <v>985.43308306752647</v>
      </c>
      <c r="AE8" s="96">
        <f>(75.23*1000*P8)/1000000</f>
        <v>15.798299999999999</v>
      </c>
      <c r="AF8" s="100">
        <f t="shared" si="7"/>
        <v>17.317117666392768</v>
      </c>
      <c r="AG8" s="100">
        <f t="shared" si="8"/>
        <v>82462.465078060806</v>
      </c>
      <c r="AH8" s="94">
        <f t="shared" si="9"/>
        <v>1.8150312530166925</v>
      </c>
      <c r="AI8" s="119">
        <v>3.11</v>
      </c>
      <c r="AJ8" s="100">
        <f t="shared" si="10"/>
        <v>4.9250312530166926</v>
      </c>
      <c r="AK8" s="79">
        <v>6</v>
      </c>
      <c r="AL8" s="79">
        <v>16</v>
      </c>
      <c r="AM8" s="11"/>
    </row>
    <row r="9" spans="1:39" s="4" customFormat="1" ht="20" x14ac:dyDescent="0.2">
      <c r="B9" s="116" t="s">
        <v>518</v>
      </c>
      <c r="C9" s="99" t="s">
        <v>617</v>
      </c>
      <c r="D9" s="11" t="s">
        <v>75</v>
      </c>
      <c r="E9" s="11" t="s">
        <v>382</v>
      </c>
      <c r="F9" s="11"/>
      <c r="G9" s="11"/>
      <c r="H9" s="35" t="s">
        <v>604</v>
      </c>
      <c r="I9" s="89">
        <v>0</v>
      </c>
      <c r="J9" s="35"/>
      <c r="K9" s="35"/>
      <c r="L9" s="35"/>
      <c r="M9" s="19"/>
      <c r="N9" s="79" t="s">
        <v>591</v>
      </c>
      <c r="O9" s="35" t="s">
        <v>591</v>
      </c>
      <c r="P9" s="64">
        <v>250</v>
      </c>
      <c r="Q9" s="64">
        <v>250</v>
      </c>
      <c r="R9" s="64">
        <v>1280</v>
      </c>
      <c r="S9" s="117">
        <v>0.65</v>
      </c>
      <c r="T9" s="64">
        <v>6</v>
      </c>
      <c r="U9" s="100"/>
      <c r="V9" s="96">
        <v>2922</v>
      </c>
      <c r="W9" s="100">
        <f t="shared" si="0"/>
        <v>3202.9153656532458</v>
      </c>
      <c r="X9" s="94">
        <f t="shared" si="1"/>
        <v>56.69160197206245</v>
      </c>
      <c r="Y9" s="94">
        <f>((W9+X9)/AK9)*($Y$1+$Y$1^2+$Y$1^3+$Y$1^4+$Y$1^5)-(W9+X9)</f>
        <v>522.78411821060126</v>
      </c>
      <c r="Z9" s="94">
        <f t="shared" si="2"/>
        <v>3782.3910858359095</v>
      </c>
      <c r="AA9" s="94">
        <f t="shared" si="3"/>
        <v>255.07012547664891</v>
      </c>
      <c r="AB9" s="94">
        <f t="shared" si="4"/>
        <v>4037.4612113125586</v>
      </c>
      <c r="AC9" s="94">
        <f t="shared" si="5"/>
        <v>285.12360176770227</v>
      </c>
      <c r="AD9" s="94">
        <f t="shared" si="6"/>
        <v>1140.4944070708091</v>
      </c>
      <c r="AE9" s="96">
        <f>(35.42*1000*P9)/1000000</f>
        <v>8.8550000000000004</v>
      </c>
      <c r="AF9" s="100">
        <f t="shared" si="7"/>
        <v>9.7063023829087918</v>
      </c>
      <c r="AG9" s="100">
        <f t="shared" si="8"/>
        <v>38825.209531635162</v>
      </c>
      <c r="AH9" s="94">
        <f t="shared" si="9"/>
        <v>1.6977864928040065</v>
      </c>
      <c r="AI9" s="119">
        <v>3.11</v>
      </c>
      <c r="AJ9" s="100">
        <f t="shared" si="10"/>
        <v>4.8077864928040066</v>
      </c>
      <c r="AK9" s="79">
        <v>5</v>
      </c>
      <c r="AL9" s="79">
        <v>15</v>
      </c>
      <c r="AM9" s="11"/>
    </row>
    <row r="10" spans="1:39" s="4" customFormat="1" ht="20" x14ac:dyDescent="0.2">
      <c r="B10" s="116" t="s">
        <v>514</v>
      </c>
      <c r="C10" s="99" t="s">
        <v>618</v>
      </c>
      <c r="D10" s="11" t="s">
        <v>75</v>
      </c>
      <c r="E10" s="11" t="s">
        <v>101</v>
      </c>
      <c r="F10" s="11"/>
      <c r="G10" s="11"/>
      <c r="H10" s="35" t="s">
        <v>604</v>
      </c>
      <c r="I10" s="89">
        <v>0</v>
      </c>
      <c r="J10" s="35"/>
      <c r="K10" s="35"/>
      <c r="L10" s="35"/>
      <c r="M10" s="19"/>
      <c r="N10" s="79" t="s">
        <v>592</v>
      </c>
      <c r="O10" s="35" t="s">
        <v>592</v>
      </c>
      <c r="P10" s="64">
        <v>270</v>
      </c>
      <c r="Q10" s="64">
        <v>270</v>
      </c>
      <c r="R10" s="64">
        <v>1600</v>
      </c>
      <c r="S10" s="117">
        <v>0.65</v>
      </c>
      <c r="T10" s="89">
        <v>4</v>
      </c>
      <c r="U10" s="100"/>
      <c r="V10" s="96">
        <v>2770</v>
      </c>
      <c r="W10" s="100">
        <f t="shared" si="0"/>
        <v>3036.302382908792</v>
      </c>
      <c r="X10" s="94">
        <f t="shared" si="1"/>
        <v>53.742552177485621</v>
      </c>
      <c r="Y10" s="94">
        <f>((W10+X10)/AK10)*($Y$1+$Y$1^2+$Y$1^3+$Y$1^4+$Y$1^5+$Y$1^6)-(W10+X10)</f>
        <v>588.1429060674368</v>
      </c>
      <c r="Z10" s="94">
        <f t="shared" si="2"/>
        <v>3678.1878411537145</v>
      </c>
      <c r="AA10" s="94">
        <f t="shared" si="3"/>
        <v>250.28158091257578</v>
      </c>
      <c r="AB10" s="94">
        <f t="shared" si="4"/>
        <v>3928.4694220662905</v>
      </c>
      <c r="AC10" s="94">
        <f t="shared" si="5"/>
        <v>277.42665314416377</v>
      </c>
      <c r="AD10" s="94">
        <f t="shared" si="6"/>
        <v>1027.5061227561621</v>
      </c>
      <c r="AE10" s="96">
        <f>(29.17*1000*P10)/1000000</f>
        <v>7.8758999999999997</v>
      </c>
      <c r="AF10" s="100">
        <f t="shared" si="7"/>
        <v>8.6330736236647478</v>
      </c>
      <c r="AG10" s="100">
        <f t="shared" si="8"/>
        <v>31974.34675431388</v>
      </c>
      <c r="AH10" s="94">
        <f t="shared" si="9"/>
        <v>1.6484727625545157</v>
      </c>
      <c r="AI10" s="119">
        <v>3.11</v>
      </c>
      <c r="AJ10" s="100">
        <f t="shared" si="10"/>
        <v>4.7584727625545158</v>
      </c>
      <c r="AK10" s="79">
        <v>6</v>
      </c>
      <c r="AL10" s="79">
        <v>16</v>
      </c>
      <c r="AM10" s="11"/>
    </row>
    <row r="11" spans="1:39" s="4" customFormat="1" ht="20" x14ac:dyDescent="0.2">
      <c r="B11" s="116" t="s">
        <v>519</v>
      </c>
      <c r="C11" s="99" t="s">
        <v>619</v>
      </c>
      <c r="D11" s="11" t="s">
        <v>75</v>
      </c>
      <c r="E11" s="11" t="s">
        <v>382</v>
      </c>
      <c r="F11" s="11"/>
      <c r="G11" s="11"/>
      <c r="H11" s="35" t="s">
        <v>604</v>
      </c>
      <c r="I11" s="89">
        <v>0</v>
      </c>
      <c r="J11" s="35"/>
      <c r="K11" s="35"/>
      <c r="L11" s="35"/>
      <c r="M11" s="19"/>
      <c r="N11" s="79" t="s">
        <v>591</v>
      </c>
      <c r="O11" s="35" t="s">
        <v>591</v>
      </c>
      <c r="P11" s="64">
        <v>310</v>
      </c>
      <c r="Q11" s="64">
        <v>310</v>
      </c>
      <c r="R11" s="64">
        <v>1620</v>
      </c>
      <c r="S11" s="117">
        <v>0.65</v>
      </c>
      <c r="T11" s="64">
        <v>6</v>
      </c>
      <c r="U11" s="100"/>
      <c r="V11" s="96">
        <v>3019</v>
      </c>
      <c r="W11" s="100">
        <f t="shared" si="0"/>
        <v>3309.2407559572716</v>
      </c>
      <c r="X11" s="94">
        <f t="shared" si="1"/>
        <v>58.573561380443707</v>
      </c>
      <c r="Y11" s="94">
        <f>((W11+X11)/AK11)*($Y$1+$Y$1^2+$Y$1^3+$Y$1^4+$Y$1^5+$Y$1^6)-(W11+X11)</f>
        <v>641.01206982584563</v>
      </c>
      <c r="Z11" s="94">
        <f t="shared" si="2"/>
        <v>4008.8263871635609</v>
      </c>
      <c r="AA11" s="94">
        <f t="shared" si="3"/>
        <v>265.33207298658152</v>
      </c>
      <c r="AB11" s="94">
        <f t="shared" si="4"/>
        <v>4274.1584601501427</v>
      </c>
      <c r="AC11" s="94">
        <f t="shared" si="5"/>
        <v>301.83904956642874</v>
      </c>
      <c r="AD11" s="94">
        <f t="shared" si="6"/>
        <v>973.67435344009277</v>
      </c>
      <c r="AE11" s="96">
        <f>(35.42*1000*P11)/1000000</f>
        <v>10.9802</v>
      </c>
      <c r="AF11" s="100">
        <f t="shared" si="7"/>
        <v>12.035814954806902</v>
      </c>
      <c r="AG11" s="100">
        <f t="shared" si="8"/>
        <v>38825.20953163517</v>
      </c>
      <c r="AH11" s="94">
        <f t="shared" ref="AH11:AH14" si="11">14.07*(P11^-0.383)</f>
        <v>1.5635168597429401</v>
      </c>
      <c r="AI11" s="119">
        <v>3.11</v>
      </c>
      <c r="AJ11" s="100">
        <f t="shared" si="10"/>
        <v>4.6735168597429402</v>
      </c>
      <c r="AK11" s="79">
        <v>6</v>
      </c>
      <c r="AL11" s="79">
        <v>16</v>
      </c>
      <c r="AM11" s="11"/>
    </row>
    <row r="12" spans="1:39" s="4" customFormat="1" ht="20" x14ac:dyDescent="0.2">
      <c r="B12" s="116" t="s">
        <v>520</v>
      </c>
      <c r="C12" s="99" t="s">
        <v>620</v>
      </c>
      <c r="D12" s="11" t="s">
        <v>75</v>
      </c>
      <c r="E12" s="11" t="s">
        <v>381</v>
      </c>
      <c r="F12" s="11"/>
      <c r="G12" s="11"/>
      <c r="H12" s="35" t="s">
        <v>604</v>
      </c>
      <c r="I12" s="89">
        <v>0</v>
      </c>
      <c r="J12" s="35"/>
      <c r="K12" s="35"/>
      <c r="L12" s="35"/>
      <c r="M12" s="19"/>
      <c r="N12" s="79" t="s">
        <v>591</v>
      </c>
      <c r="O12" s="35" t="s">
        <v>591</v>
      </c>
      <c r="P12" s="64">
        <v>380</v>
      </c>
      <c r="Q12" s="64">
        <v>380</v>
      </c>
      <c r="R12" s="64">
        <v>1800</v>
      </c>
      <c r="S12" s="117">
        <v>0.6</v>
      </c>
      <c r="T12" s="64">
        <v>9</v>
      </c>
      <c r="U12" s="100"/>
      <c r="V12" s="96">
        <v>3684</v>
      </c>
      <c r="W12" s="100">
        <f t="shared" si="0"/>
        <v>4038.1725554642562</v>
      </c>
      <c r="X12" s="94">
        <f t="shared" si="1"/>
        <v>71.475654231717343</v>
      </c>
      <c r="Y12" s="94">
        <f>((W12+X12)/AK12)*($Y$1+$Y$1^2+$Y$1^3+$Y$1^4+$Y$1^5+$Y$1^6)-(W12+X12)</f>
        <v>782.20883247380425</v>
      </c>
      <c r="Z12" s="94">
        <f t="shared" si="2"/>
        <v>4891.8570421697777</v>
      </c>
      <c r="AA12" s="94">
        <f t="shared" si="3"/>
        <v>303.69793956312606</v>
      </c>
      <c r="AB12" s="94">
        <f t="shared" si="4"/>
        <v>5195.5549817329038</v>
      </c>
      <c r="AC12" s="94">
        <f t="shared" si="5"/>
        <v>366.90763626982971</v>
      </c>
      <c r="AD12" s="94">
        <f t="shared" si="6"/>
        <v>965.54641123639396</v>
      </c>
      <c r="AE12" s="96">
        <f>(35.42*1000*P12)/1000000</f>
        <v>13.4596</v>
      </c>
      <c r="AF12" s="100">
        <f t="shared" si="7"/>
        <v>14.753579622021363</v>
      </c>
      <c r="AG12" s="100">
        <f t="shared" si="8"/>
        <v>38825.209531635162</v>
      </c>
      <c r="AH12" s="94">
        <f t="shared" si="11"/>
        <v>1.4462287139723675</v>
      </c>
      <c r="AI12" s="119">
        <v>3.11</v>
      </c>
      <c r="AJ12" s="100">
        <f t="shared" si="10"/>
        <v>4.5562287139723674</v>
      </c>
      <c r="AK12" s="79">
        <v>6</v>
      </c>
      <c r="AL12" s="79">
        <v>16</v>
      </c>
      <c r="AM12" s="11"/>
    </row>
    <row r="13" spans="1:39" s="4" customFormat="1" ht="20" x14ac:dyDescent="0.2">
      <c r="B13" s="116" t="s">
        <v>513</v>
      </c>
      <c r="C13" s="99" t="s">
        <v>621</v>
      </c>
      <c r="D13" s="11" t="s">
        <v>75</v>
      </c>
      <c r="E13" s="11" t="s">
        <v>381</v>
      </c>
      <c r="F13" s="11"/>
      <c r="G13" s="11"/>
      <c r="H13" s="35" t="s">
        <v>604</v>
      </c>
      <c r="I13" s="89">
        <v>0</v>
      </c>
      <c r="J13" s="35"/>
      <c r="K13" s="35"/>
      <c r="L13" s="35"/>
      <c r="M13" s="19"/>
      <c r="N13" s="79" t="s">
        <v>591</v>
      </c>
      <c r="O13" s="35" t="s">
        <v>591</v>
      </c>
      <c r="P13" s="64">
        <v>1080</v>
      </c>
      <c r="Q13" s="64">
        <v>1080</v>
      </c>
      <c r="R13" s="64">
        <v>4900</v>
      </c>
      <c r="S13" s="117">
        <v>0.6</v>
      </c>
      <c r="T13" s="64">
        <v>11</v>
      </c>
      <c r="U13" s="100"/>
      <c r="V13" s="96">
        <v>6863</v>
      </c>
      <c r="W13" s="100">
        <f t="shared" si="0"/>
        <v>7522.7953985209533</v>
      </c>
      <c r="X13" s="94">
        <f t="shared" si="1"/>
        <v>133.15347855382089</v>
      </c>
      <c r="Y13" s="94">
        <f>((W13+X13)/AK13)*($Y$1+$Y$1^2+$Y$1^3+$Y$1^4+$Y$1^5+$Y$1^6+$Y$1^7+$Y$1^8+$Y$1^9+$Y$1^10)-(W13+X13)</f>
        <v>2455.0998574429614</v>
      </c>
      <c r="Z13" s="94">
        <f t="shared" si="2"/>
        <v>10111.048734517735</v>
      </c>
      <c r="AA13" s="94">
        <f t="shared" si="3"/>
        <v>497.00023416181472</v>
      </c>
      <c r="AB13" s="94">
        <f t="shared" si="4"/>
        <v>10608.04896867955</v>
      </c>
      <c r="AC13" s="94">
        <f t="shared" si="5"/>
        <v>749.13540251567861</v>
      </c>
      <c r="AD13" s="94">
        <f t="shared" si="6"/>
        <v>693.64389121822092</v>
      </c>
      <c r="AE13" s="96">
        <f>(10.28*1000*P13)/1000000</f>
        <v>11.102399999999999</v>
      </c>
      <c r="AF13" s="100">
        <f t="shared" si="7"/>
        <v>12.169763023829086</v>
      </c>
      <c r="AG13" s="100">
        <f t="shared" si="8"/>
        <v>11268.299096138042</v>
      </c>
      <c r="AH13" s="94">
        <f t="shared" si="11"/>
        <v>0.96937719619167073</v>
      </c>
      <c r="AI13" s="119">
        <v>3.11</v>
      </c>
      <c r="AJ13" s="100">
        <f t="shared" si="10"/>
        <v>4.0793771961916709</v>
      </c>
      <c r="AK13" s="79">
        <v>10</v>
      </c>
      <c r="AL13" s="79">
        <v>20</v>
      </c>
      <c r="AM13" s="11"/>
    </row>
    <row r="14" spans="1:39" ht="20" x14ac:dyDescent="0.2">
      <c r="A14" s="4"/>
      <c r="B14" s="116" t="s">
        <v>532</v>
      </c>
      <c r="C14" s="99" t="s">
        <v>622</v>
      </c>
      <c r="D14" s="11" t="s">
        <v>75</v>
      </c>
      <c r="E14" s="11" t="s">
        <v>381</v>
      </c>
      <c r="F14" s="11"/>
      <c r="G14" s="11"/>
      <c r="H14" s="35" t="s">
        <v>604</v>
      </c>
      <c r="I14" s="89">
        <v>0</v>
      </c>
      <c r="J14" s="35"/>
      <c r="K14" s="35"/>
      <c r="L14" s="35"/>
      <c r="M14" s="19"/>
      <c r="N14" s="79" t="s">
        <v>591</v>
      </c>
      <c r="O14" s="35" t="s">
        <v>591</v>
      </c>
      <c r="P14" s="64">
        <v>1485</v>
      </c>
      <c r="Q14" s="64">
        <v>1485</v>
      </c>
      <c r="R14" s="64">
        <v>7000</v>
      </c>
      <c r="S14" s="118">
        <v>0.8</v>
      </c>
      <c r="T14" s="64">
        <v>10</v>
      </c>
      <c r="U14" s="100"/>
      <c r="V14" s="96">
        <v>5513.5</v>
      </c>
      <c r="W14" s="100">
        <f t="shared" si="0"/>
        <v>6043.5571076417418</v>
      </c>
      <c r="X14" s="94">
        <f t="shared" si="1"/>
        <v>106.97096080525883</v>
      </c>
      <c r="Y14" s="94">
        <f>((W14+X14)/AK14)*($Y$1+$Y$1^2+$Y$1^3+$Y$1^4+$Y$1^5+$Y$1^6+$Y$1^7+$Y$1^8+$Y$1^9)-(W14+X14)</f>
        <v>1761.7111552592314</v>
      </c>
      <c r="Z14" s="94">
        <f t="shared" si="2"/>
        <v>7912.2392237062322</v>
      </c>
      <c r="AA14" s="94">
        <f t="shared" si="3"/>
        <v>420.83239934784154</v>
      </c>
      <c r="AB14" s="94">
        <f t="shared" si="4"/>
        <v>8333.0716230540729</v>
      </c>
      <c r="AC14" s="94">
        <f t="shared" si="5"/>
        <v>588.47757801269347</v>
      </c>
      <c r="AD14" s="94">
        <f t="shared" si="6"/>
        <v>396.28119731494508</v>
      </c>
      <c r="AE14" s="96">
        <f>(10.28*1000*P14)/1000000</f>
        <v>15.2658</v>
      </c>
      <c r="AF14" s="100">
        <f t="shared" si="7"/>
        <v>16.733424157764997</v>
      </c>
      <c r="AG14" s="100">
        <f t="shared" si="8"/>
        <v>11268.299096138046</v>
      </c>
      <c r="AH14" s="94">
        <f t="shared" si="11"/>
        <v>0.8580702910943544</v>
      </c>
      <c r="AI14" s="119">
        <v>3.11</v>
      </c>
      <c r="AJ14" s="100">
        <f t="shared" si="10"/>
        <v>3.9680702910943544</v>
      </c>
      <c r="AK14" s="79">
        <v>9</v>
      </c>
      <c r="AL14" s="79">
        <v>19</v>
      </c>
      <c r="AM14" s="11"/>
    </row>
    <row r="15" spans="1:39" ht="19" x14ac:dyDescent="0.2">
      <c r="A15" s="4"/>
      <c r="B15" s="11"/>
      <c r="C15" s="11"/>
      <c r="D15" s="11"/>
      <c r="E15" s="11"/>
      <c r="F15" s="11"/>
      <c r="G15" s="11"/>
      <c r="H15" s="11"/>
      <c r="I15" s="11"/>
      <c r="J15" s="35"/>
      <c r="K15" s="35"/>
      <c r="L15" s="35"/>
      <c r="M15" s="19"/>
      <c r="N15" s="99"/>
      <c r="O15" s="99"/>
      <c r="P15" s="100"/>
      <c r="Q15" s="100"/>
      <c r="R15" s="100"/>
      <c r="S15" s="100"/>
      <c r="T15" s="59"/>
      <c r="U15" s="100"/>
      <c r="V15" s="100"/>
      <c r="W15" s="100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100"/>
      <c r="AK15" s="101"/>
      <c r="AL15" s="101"/>
      <c r="AM15" s="11"/>
    </row>
    <row r="16" spans="1:39" ht="19" x14ac:dyDescent="0.2">
      <c r="A16" s="60" t="s">
        <v>554</v>
      </c>
    </row>
    <row r="17" spans="1:66" ht="19" x14ac:dyDescent="0.25">
      <c r="A17" s="3" t="s">
        <v>499</v>
      </c>
    </row>
    <row r="18" spans="1:66" s="3" customFormat="1" ht="19" x14ac:dyDescent="0.25">
      <c r="B18" s="42"/>
      <c r="C18" s="42"/>
      <c r="D18" s="42"/>
      <c r="E18" s="42"/>
      <c r="F18" s="42"/>
      <c r="G18" s="42"/>
      <c r="H18" s="42"/>
      <c r="I18" s="42"/>
      <c r="J18" s="210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</row>
    <row r="19" spans="1:66" s="210" customFormat="1" ht="19" x14ac:dyDescent="0.2">
      <c r="A19" s="60" t="s">
        <v>550</v>
      </c>
    </row>
    <row r="20" spans="1:66" s="210" customFormat="1" ht="19" x14ac:dyDescent="0.25">
      <c r="A20" s="3" t="s">
        <v>975</v>
      </c>
    </row>
    <row r="21" spans="1:66" s="210" customFormat="1" ht="19" x14ac:dyDescent="0.25">
      <c r="A21" s="3" t="s">
        <v>600</v>
      </c>
    </row>
    <row r="22" spans="1:66" s="3" customFormat="1" ht="19" x14ac:dyDescent="0.25">
      <c r="A22" s="3" t="s">
        <v>607</v>
      </c>
      <c r="B22" s="8"/>
      <c r="C22" s="8"/>
      <c r="D22" s="8"/>
      <c r="E22" s="8"/>
      <c r="F22" s="8"/>
      <c r="G22" s="29"/>
      <c r="H22" s="2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8"/>
      <c r="X22" s="88"/>
      <c r="Y22" s="88"/>
      <c r="Z22" s="88"/>
      <c r="AA22" s="88"/>
      <c r="AB22" s="88"/>
      <c r="AC22" s="88"/>
      <c r="AD22" s="88"/>
      <c r="AE22" s="210"/>
      <c r="AF22" s="210"/>
      <c r="AG22" s="210"/>
      <c r="AH22" s="210"/>
      <c r="AI22" s="210"/>
      <c r="AJ22" s="210"/>
      <c r="AK22" s="210"/>
      <c r="AL22" s="210"/>
      <c r="AM22" s="8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66" s="3" customFormat="1" ht="19" x14ac:dyDescent="0.25">
      <c r="A23" s="3" t="s">
        <v>535</v>
      </c>
      <c r="B23" s="210"/>
      <c r="C23" s="210"/>
      <c r="I23" s="15"/>
      <c r="J23" s="15"/>
      <c r="K23" s="5"/>
      <c r="L23" s="8"/>
      <c r="Q23" s="210"/>
      <c r="R23" s="210"/>
      <c r="S23" s="5"/>
      <c r="T23" s="210"/>
      <c r="U23" s="5"/>
      <c r="V23" s="210"/>
      <c r="W23" s="210"/>
      <c r="X23" s="210"/>
      <c r="Y23" s="210"/>
      <c r="Z23" s="210"/>
      <c r="AA23" s="210"/>
    </row>
    <row r="24" spans="1:66" s="3" customFormat="1" ht="19" x14ac:dyDescent="0.25">
      <c r="A24" s="3" t="s">
        <v>598</v>
      </c>
      <c r="B24" s="210"/>
      <c r="C24" s="210"/>
      <c r="I24" s="15"/>
      <c r="J24" s="15"/>
      <c r="K24" s="5"/>
      <c r="P24" s="210"/>
      <c r="Q24" s="210"/>
      <c r="R24" s="210"/>
      <c r="S24" s="8"/>
      <c r="T24" s="210"/>
      <c r="U24" s="8"/>
      <c r="V24" s="210"/>
      <c r="W24" s="210"/>
      <c r="X24" s="210"/>
      <c r="Y24" s="210"/>
      <c r="AE24" s="210"/>
      <c r="AF24" s="210"/>
      <c r="AG24" s="210"/>
      <c r="AH24" s="210"/>
      <c r="AI24" s="210"/>
      <c r="AJ24" s="210"/>
      <c r="AK24" s="210"/>
      <c r="AL24" s="210"/>
    </row>
    <row r="25" spans="1:66" s="3" customFormat="1" ht="19" x14ac:dyDescent="0.25">
      <c r="A25" s="3" t="s">
        <v>190</v>
      </c>
      <c r="B25" s="210"/>
      <c r="G25" s="15"/>
      <c r="H25" s="8"/>
      <c r="N25" s="210"/>
      <c r="O25" s="210"/>
      <c r="P25" s="210"/>
      <c r="Q25" s="210"/>
      <c r="R25" s="210"/>
      <c r="V25" s="210"/>
      <c r="W25" s="210"/>
    </row>
    <row r="26" spans="1:66" s="3" customFormat="1" ht="19" x14ac:dyDescent="0.25">
      <c r="A26" s="3" t="s">
        <v>599</v>
      </c>
      <c r="B26" s="210"/>
      <c r="C26" s="210"/>
      <c r="I26" s="15"/>
      <c r="J26" s="15"/>
      <c r="K26" s="5"/>
      <c r="L26" s="8"/>
      <c r="Q26" s="210"/>
      <c r="R26" s="210"/>
      <c r="S26" s="5"/>
      <c r="T26" s="210"/>
      <c r="U26" s="5"/>
      <c r="V26" s="210"/>
      <c r="W26" s="210"/>
      <c r="X26" s="210"/>
      <c r="Y26" s="210"/>
      <c r="Z26" s="210"/>
      <c r="AH26" s="210"/>
    </row>
    <row r="27" spans="1:66" s="3" customFormat="1" ht="19" x14ac:dyDescent="0.25">
      <c r="A27" s="3" t="s">
        <v>601</v>
      </c>
      <c r="B27" s="210"/>
      <c r="G27" s="15"/>
      <c r="H27" s="8"/>
      <c r="N27" s="210"/>
      <c r="O27" s="210"/>
      <c r="P27" s="210"/>
      <c r="Q27" s="210"/>
      <c r="R27" s="210"/>
      <c r="V27" s="210"/>
      <c r="W27" s="210"/>
    </row>
    <row r="28" spans="1:66" s="3" customFormat="1" ht="19" x14ac:dyDescent="0.25">
      <c r="A28" s="3" t="s">
        <v>602</v>
      </c>
      <c r="B28" s="210"/>
      <c r="G28" s="15"/>
      <c r="H28" s="8"/>
      <c r="N28" s="210"/>
      <c r="O28" s="210"/>
      <c r="P28" s="210"/>
      <c r="Q28" s="210"/>
      <c r="R28" s="210"/>
      <c r="V28" s="210"/>
      <c r="W28" s="210"/>
    </row>
    <row r="29" spans="1:66" s="3" customFormat="1" ht="19" x14ac:dyDescent="0.25">
      <c r="A29" s="3" t="s">
        <v>553</v>
      </c>
      <c r="L29" s="5"/>
      <c r="M29" s="8"/>
      <c r="O29" s="210"/>
      <c r="S29" s="15"/>
      <c r="T29" s="210"/>
      <c r="U29" s="15"/>
      <c r="V29" s="210"/>
      <c r="W29" s="210"/>
      <c r="X29" s="210"/>
      <c r="Y29" s="210"/>
      <c r="AE29" s="86"/>
      <c r="AF29" s="210"/>
      <c r="AG29" s="210"/>
      <c r="AH29" s="210"/>
      <c r="AI29" s="210"/>
      <c r="AJ29" s="210"/>
      <c r="AK29" s="210"/>
      <c r="AL29" s="18"/>
      <c r="AM29" s="210"/>
      <c r="AN29" s="210"/>
      <c r="AT29" s="86"/>
      <c r="AU29" s="210"/>
      <c r="AV29" s="210"/>
      <c r="AW29" s="210"/>
      <c r="AX29" s="210"/>
      <c r="AY29" s="18"/>
      <c r="AZ29" s="210"/>
      <c r="BA29" s="210"/>
      <c r="BG29" s="86"/>
      <c r="BH29" s="210"/>
      <c r="BI29" s="210"/>
      <c r="BJ29" s="210"/>
      <c r="BK29" s="210"/>
      <c r="BL29" s="18"/>
      <c r="BM29" s="210"/>
      <c r="BN29" s="210"/>
    </row>
  </sheetData>
  <autoFilter ref="B3:AM3" xr:uid="{7B98F35A-5089-804D-96F4-CB2B682097CF}">
    <sortState xmlns:xlrd2="http://schemas.microsoft.com/office/spreadsheetml/2017/richdata2" ref="B4:AM14">
      <sortCondition ref="P3:P14"/>
    </sortState>
  </autoFilter>
  <pageMargins left="0.7" right="0.7" top="0.75" bottom="0.75" header="0.3" footer="0.3"/>
  <ignoredErrors>
    <ignoredError sqref="AE1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591-E9F1-C848-B1CA-81E3ED9E9D4A}">
  <sheetPr codeName="Sheet7"/>
  <dimension ref="A1:BM22"/>
  <sheetViews>
    <sheetView workbookViewId="0">
      <pane xSplit="2" ySplit="3" topLeftCell="C4" activePane="bottomRight" state="frozen"/>
      <selection activeCell="G13" sqref="G13"/>
      <selection pane="topRight" activeCell="G13" sqref="G13"/>
      <selection pane="bottomLeft" activeCell="G13" sqref="G13"/>
      <selection pane="bottomRight" activeCell="G13" sqref="G13"/>
    </sheetView>
  </sheetViews>
  <sheetFormatPr baseColWidth="10" defaultRowHeight="16" x14ac:dyDescent="0.2"/>
  <cols>
    <col min="1" max="1" width="4.83203125" style="42" customWidth="1"/>
    <col min="2" max="3" width="43.33203125" style="210" customWidth="1"/>
    <col min="4" max="4" width="28.83203125" style="210" customWidth="1"/>
    <col min="5" max="5" width="12.83203125" style="210" customWidth="1"/>
    <col min="6" max="7" width="14.83203125" style="210" customWidth="1"/>
    <col min="8" max="8" width="23" style="210" customWidth="1"/>
    <col min="9" max="10" width="19.5" style="210" customWidth="1"/>
    <col min="11" max="11" width="13.6640625" style="210" customWidth="1"/>
    <col min="12" max="12" width="14.83203125" style="210" customWidth="1"/>
    <col min="13" max="13" width="16.1640625" style="210" customWidth="1"/>
    <col min="14" max="14" width="22.33203125" style="210" customWidth="1"/>
    <col min="15" max="17" width="14.83203125" style="210" customWidth="1"/>
    <col min="18" max="18" width="4.83203125" style="210" customWidth="1"/>
    <col min="19" max="19" width="52" style="210" customWidth="1"/>
    <col min="20" max="20" width="25" style="210" customWidth="1"/>
    <col min="21" max="21" width="12.5" style="210" bestFit="1" customWidth="1"/>
    <col min="22" max="22" width="12.5" style="210" customWidth="1"/>
    <col min="23" max="24" width="12.83203125" style="210" customWidth="1"/>
    <col min="25" max="25" width="18.83203125" style="210" customWidth="1"/>
    <col min="26" max="26" width="15" style="210" customWidth="1"/>
    <col min="27" max="27" width="12.6640625" style="210" bestFit="1" customWidth="1"/>
    <col min="28" max="28" width="4.83203125" style="210" customWidth="1"/>
    <col min="29" max="29" width="10.83203125" style="210"/>
    <col min="30" max="30" width="21.1640625" style="210" customWidth="1"/>
    <col min="31" max="31" width="17.83203125" style="210" customWidth="1"/>
    <col min="32" max="32" width="15.5" style="210" customWidth="1"/>
    <col min="33" max="33" width="11.1640625" style="210" bestFit="1" customWidth="1"/>
    <col min="34" max="34" width="11.1640625" style="210" customWidth="1"/>
    <col min="35" max="35" width="11.1640625" style="210" bestFit="1" customWidth="1"/>
    <col min="36" max="36" width="15" style="210" customWidth="1"/>
    <col min="37" max="37" width="14.6640625" style="210" customWidth="1"/>
    <col min="38" max="39" width="15.33203125" style="210" customWidth="1"/>
    <col min="40" max="41" width="15" style="210" customWidth="1"/>
    <col min="42" max="42" width="11.1640625" style="210" bestFit="1" customWidth="1"/>
    <col min="43" max="43" width="4.83203125" style="210" customWidth="1"/>
    <col min="44" max="44" width="19.33203125" style="210" customWidth="1"/>
    <col min="45" max="49" width="21.1640625" style="210" customWidth="1"/>
    <col min="50" max="51" width="18" style="210" customWidth="1"/>
    <col min="52" max="55" width="20.1640625" style="210" customWidth="1"/>
    <col min="56" max="58" width="19.33203125" style="210" customWidth="1"/>
    <col min="59" max="60" width="15.6640625" style="210" customWidth="1"/>
    <col min="61" max="61" width="40.33203125" style="210" customWidth="1"/>
    <col min="62" max="16384" width="10.83203125" style="42"/>
  </cols>
  <sheetData>
    <row r="1" spans="1:61" ht="21" x14ac:dyDescent="0.25">
      <c r="A1" s="92" t="s">
        <v>74</v>
      </c>
      <c r="B1" s="12" t="s">
        <v>1310</v>
      </c>
      <c r="C1" s="121"/>
      <c r="D1" s="3"/>
      <c r="I1" s="3"/>
      <c r="J1" s="3"/>
      <c r="K1" s="3"/>
      <c r="M1" s="60"/>
      <c r="N1" s="60"/>
      <c r="S1" s="12" t="s">
        <v>1004</v>
      </c>
      <c r="T1" s="12"/>
      <c r="U1" s="16"/>
      <c r="V1" s="16"/>
      <c r="W1" s="16"/>
      <c r="X1" s="16"/>
      <c r="Y1" s="3"/>
      <c r="Z1" s="3"/>
      <c r="AA1" s="5"/>
      <c r="AC1" s="12" t="s">
        <v>1311</v>
      </c>
      <c r="AR1" s="12" t="s">
        <v>1006</v>
      </c>
      <c r="AS1" s="258">
        <v>1.77E-2</v>
      </c>
      <c r="AT1" s="94">
        <v>1.06</v>
      </c>
      <c r="AU1" s="94"/>
      <c r="AV1" s="258"/>
      <c r="AW1" s="258">
        <v>7.0000000000000007E-2</v>
      </c>
      <c r="AX1" s="219">
        <v>70</v>
      </c>
      <c r="AY1" s="219"/>
    </row>
    <row r="2" spans="1:61" ht="80" x14ac:dyDescent="0.2">
      <c r="B2" s="259" t="s">
        <v>1312</v>
      </c>
      <c r="C2" s="13" t="s">
        <v>938</v>
      </c>
      <c r="D2" s="13" t="s">
        <v>13</v>
      </c>
      <c r="E2" s="13" t="s">
        <v>21</v>
      </c>
      <c r="F2" s="13" t="s">
        <v>14</v>
      </c>
      <c r="G2" s="13" t="s">
        <v>15</v>
      </c>
      <c r="H2" s="13" t="s">
        <v>928</v>
      </c>
      <c r="I2" s="13" t="s">
        <v>892</v>
      </c>
      <c r="J2" s="13" t="s">
        <v>893</v>
      </c>
      <c r="K2" s="13" t="s">
        <v>891</v>
      </c>
      <c r="L2" s="13" t="s">
        <v>533</v>
      </c>
      <c r="M2" s="13" t="s">
        <v>608</v>
      </c>
      <c r="N2" s="13" t="s">
        <v>924</v>
      </c>
      <c r="O2" s="13" t="s">
        <v>175</v>
      </c>
      <c r="P2" s="13" t="s">
        <v>176</v>
      </c>
      <c r="Q2" s="13" t="s">
        <v>1313</v>
      </c>
      <c r="S2" s="13" t="s">
        <v>172</v>
      </c>
      <c r="T2" s="13" t="s">
        <v>608</v>
      </c>
      <c r="U2" s="13" t="s">
        <v>16</v>
      </c>
      <c r="V2" s="13" t="s">
        <v>903</v>
      </c>
      <c r="W2" s="13" t="s">
        <v>902</v>
      </c>
      <c r="X2" s="13" t="s">
        <v>377</v>
      </c>
      <c r="Y2" s="13" t="s">
        <v>1314</v>
      </c>
      <c r="Z2" s="13" t="s">
        <v>173</v>
      </c>
      <c r="AA2" s="13" t="s">
        <v>17</v>
      </c>
      <c r="AC2" s="13" t="s">
        <v>194</v>
      </c>
      <c r="AD2" s="13" t="s">
        <v>195</v>
      </c>
      <c r="AE2" s="13" t="s">
        <v>1315</v>
      </c>
      <c r="AF2" s="13" t="s">
        <v>196</v>
      </c>
      <c r="AG2" s="13" t="s">
        <v>197</v>
      </c>
      <c r="AH2" s="13" t="s">
        <v>155</v>
      </c>
      <c r="AI2" s="13" t="s">
        <v>198</v>
      </c>
      <c r="AJ2" s="13" t="s">
        <v>199</v>
      </c>
      <c r="AK2" s="13" t="s">
        <v>1316</v>
      </c>
      <c r="AL2" s="13" t="s">
        <v>164</v>
      </c>
      <c r="AM2" s="13" t="s">
        <v>1317</v>
      </c>
      <c r="AN2" s="13" t="s">
        <v>200</v>
      </c>
      <c r="AO2" s="13" t="s">
        <v>1318</v>
      </c>
      <c r="AP2" s="13" t="s">
        <v>201</v>
      </c>
      <c r="AQ2" s="10"/>
      <c r="AR2" s="13" t="s">
        <v>534</v>
      </c>
      <c r="AS2" s="13" t="s">
        <v>178</v>
      </c>
      <c r="AT2" s="13" t="s">
        <v>179</v>
      </c>
      <c r="AU2" s="13" t="s">
        <v>180</v>
      </c>
      <c r="AV2" s="13" t="s">
        <v>181</v>
      </c>
      <c r="AW2" s="13" t="s">
        <v>496</v>
      </c>
      <c r="AX2" s="13" t="s">
        <v>497</v>
      </c>
      <c r="AY2" s="13" t="s">
        <v>1319</v>
      </c>
      <c r="AZ2" s="13" t="s">
        <v>182</v>
      </c>
      <c r="BA2" s="13" t="s">
        <v>1320</v>
      </c>
      <c r="BB2" s="13" t="s">
        <v>596</v>
      </c>
      <c r="BC2" s="13" t="s">
        <v>183</v>
      </c>
      <c r="BD2" s="13" t="s">
        <v>202</v>
      </c>
      <c r="BE2" s="13" t="s">
        <v>203</v>
      </c>
      <c r="BF2" s="13" t="s">
        <v>204</v>
      </c>
      <c r="BG2" s="13" t="s">
        <v>185</v>
      </c>
      <c r="BH2" s="13" t="s">
        <v>186</v>
      </c>
      <c r="BI2" s="13" t="s">
        <v>30</v>
      </c>
    </row>
    <row r="3" spans="1:61" ht="20" x14ac:dyDescent="0.2">
      <c r="B3" s="10"/>
      <c r="D3" s="10"/>
      <c r="E3" s="10"/>
      <c r="F3" s="10" t="s">
        <v>205</v>
      </c>
      <c r="G3" s="10" t="s">
        <v>205</v>
      </c>
      <c r="H3" s="10"/>
      <c r="I3" s="10"/>
      <c r="J3" s="10"/>
      <c r="K3" s="10" t="s">
        <v>49</v>
      </c>
      <c r="L3" s="10" t="s">
        <v>51</v>
      </c>
      <c r="M3" s="10"/>
      <c r="N3" s="10"/>
      <c r="O3" s="10" t="s">
        <v>19</v>
      </c>
      <c r="P3" s="10" t="s">
        <v>19</v>
      </c>
      <c r="Q3" s="10"/>
      <c r="S3" s="10"/>
      <c r="T3" s="10"/>
      <c r="U3" s="10" t="s">
        <v>19</v>
      </c>
      <c r="V3" s="10" t="s">
        <v>25</v>
      </c>
      <c r="W3" s="10" t="s">
        <v>19</v>
      </c>
      <c r="X3" s="10" t="s">
        <v>25</v>
      </c>
      <c r="Y3" s="10" t="s">
        <v>20</v>
      </c>
      <c r="Z3" s="10"/>
      <c r="AA3" s="10"/>
      <c r="AC3" s="10"/>
      <c r="AD3" s="10"/>
      <c r="AE3" s="10" t="s">
        <v>72</v>
      </c>
      <c r="AF3" s="10" t="s">
        <v>206</v>
      </c>
      <c r="AG3" s="10" t="s">
        <v>33</v>
      </c>
      <c r="AH3" s="10" t="s">
        <v>33</v>
      </c>
      <c r="AI3" s="10" t="s">
        <v>25</v>
      </c>
      <c r="AJ3" s="10" t="s">
        <v>73</v>
      </c>
      <c r="AK3" s="10" t="s">
        <v>73</v>
      </c>
      <c r="AL3" s="10"/>
      <c r="AM3" s="10"/>
      <c r="AN3" s="10" t="s">
        <v>207</v>
      </c>
      <c r="AO3" s="10" t="s">
        <v>207</v>
      </c>
      <c r="AP3" s="10" t="s">
        <v>208</v>
      </c>
      <c r="AQ3" s="10"/>
      <c r="AR3" s="66" t="s">
        <v>193</v>
      </c>
      <c r="AS3" s="10" t="s">
        <v>193</v>
      </c>
      <c r="AT3" s="10" t="s">
        <v>193</v>
      </c>
      <c r="AU3" s="10" t="s">
        <v>193</v>
      </c>
      <c r="AV3" s="10" t="s">
        <v>193</v>
      </c>
      <c r="AW3" s="10" t="s">
        <v>193</v>
      </c>
      <c r="AX3" s="10" t="s">
        <v>498</v>
      </c>
      <c r="AY3" s="10" t="s">
        <v>188</v>
      </c>
      <c r="AZ3" s="10" t="s">
        <v>610</v>
      </c>
      <c r="BA3" s="10" t="s">
        <v>23</v>
      </c>
      <c r="BB3" s="10" t="s">
        <v>23</v>
      </c>
      <c r="BC3" s="10" t="s">
        <v>23</v>
      </c>
      <c r="BD3" s="10" t="s">
        <v>209</v>
      </c>
      <c r="BE3" s="10" t="s">
        <v>210</v>
      </c>
      <c r="BF3" s="10" t="s">
        <v>211</v>
      </c>
      <c r="BG3" s="10" t="s">
        <v>189</v>
      </c>
      <c r="BH3" s="10" t="s">
        <v>189</v>
      </c>
      <c r="BI3" s="10"/>
    </row>
    <row r="4" spans="1:61" ht="19" x14ac:dyDescent="0.2">
      <c r="B4" s="260"/>
      <c r="C4" s="260"/>
      <c r="D4" s="260"/>
      <c r="E4" s="261"/>
      <c r="F4" s="103"/>
      <c r="G4" s="103"/>
      <c r="H4" s="261"/>
      <c r="I4" s="261"/>
      <c r="J4" s="261"/>
      <c r="K4" s="219"/>
      <c r="L4" s="102"/>
      <c r="M4" s="261"/>
      <c r="N4" s="261"/>
      <c r="O4" s="94"/>
      <c r="P4" s="94"/>
      <c r="Q4" s="262"/>
      <c r="S4" s="260"/>
      <c r="T4" s="260"/>
      <c r="U4" s="219"/>
      <c r="V4" s="263"/>
      <c r="W4" s="219"/>
      <c r="X4" s="263"/>
      <c r="Y4" s="94"/>
      <c r="Z4" s="219"/>
      <c r="AA4" s="261"/>
      <c r="AC4" s="261"/>
      <c r="AD4" s="260"/>
      <c r="AE4" s="219"/>
      <c r="AF4" s="102"/>
      <c r="AG4" s="219"/>
      <c r="AH4" s="219"/>
      <c r="AI4" s="77"/>
      <c r="AJ4" s="239"/>
      <c r="AK4" s="239"/>
      <c r="AL4" s="261"/>
      <c r="AM4" s="261"/>
      <c r="AN4" s="219"/>
      <c r="AO4" s="219"/>
      <c r="AP4" s="94"/>
      <c r="AQ4" s="219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219"/>
      <c r="BG4" s="219"/>
      <c r="BH4" s="219"/>
      <c r="BI4" s="260"/>
    </row>
    <row r="5" spans="1:61" ht="19" x14ac:dyDescent="0.2">
      <c r="B5" s="260"/>
      <c r="C5" s="260"/>
      <c r="D5" s="260"/>
      <c r="E5" s="261"/>
      <c r="F5" s="103"/>
      <c r="G5" s="103"/>
      <c r="H5" s="261"/>
      <c r="I5" s="261"/>
      <c r="J5" s="261"/>
      <c r="K5" s="219"/>
      <c r="L5" s="102"/>
      <c r="M5" s="261"/>
      <c r="N5" s="261"/>
      <c r="O5" s="219"/>
      <c r="P5" s="219"/>
      <c r="Q5" s="262"/>
      <c r="S5" s="260"/>
      <c r="T5" s="261"/>
      <c r="U5" s="94"/>
      <c r="V5" s="94"/>
      <c r="W5" s="94"/>
      <c r="X5" s="94"/>
      <c r="Y5" s="94"/>
      <c r="Z5" s="219"/>
      <c r="AA5" s="261"/>
      <c r="AC5" s="261"/>
      <c r="AD5" s="260"/>
      <c r="AE5" s="219"/>
      <c r="AF5" s="102"/>
      <c r="AG5" s="219"/>
      <c r="AH5" s="219"/>
      <c r="AI5" s="77"/>
      <c r="AJ5" s="239"/>
      <c r="AK5" s="239"/>
      <c r="AL5" s="261"/>
      <c r="AM5" s="261"/>
      <c r="AN5" s="219"/>
      <c r="AO5" s="219"/>
      <c r="AP5" s="94"/>
      <c r="AQ5" s="219"/>
      <c r="AR5" s="26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219"/>
      <c r="BG5" s="219"/>
      <c r="BH5" s="219"/>
      <c r="BI5" s="260"/>
    </row>
    <row r="6" spans="1:61" ht="19" x14ac:dyDescent="0.2">
      <c r="A6" s="60" t="s">
        <v>554</v>
      </c>
    </row>
    <row r="7" spans="1:61" ht="19" x14ac:dyDescent="0.25">
      <c r="A7" s="3"/>
    </row>
    <row r="8" spans="1:61" s="3" customFormat="1" ht="19" x14ac:dyDescent="0.25"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</row>
    <row r="9" spans="1:61" ht="19" x14ac:dyDescent="0.25">
      <c r="D9" s="97"/>
      <c r="S9" s="97"/>
      <c r="T9" s="98"/>
      <c r="U9" s="32"/>
      <c r="V9" s="32"/>
      <c r="W9" s="32"/>
      <c r="X9" s="32"/>
      <c r="Y9" s="3"/>
      <c r="Z9" s="3"/>
      <c r="AA9" s="31"/>
    </row>
    <row r="10" spans="1:61" s="210" customFormat="1" ht="19" x14ac:dyDescent="0.2">
      <c r="A10" s="60" t="s">
        <v>550</v>
      </c>
    </row>
    <row r="11" spans="1:61" s="210" customFormat="1" ht="19" x14ac:dyDescent="0.25">
      <c r="A11" s="3" t="s">
        <v>975</v>
      </c>
      <c r="B11" s="8"/>
      <c r="C11" s="8"/>
      <c r="E11" s="8"/>
      <c r="F11" s="8"/>
      <c r="G11" s="29"/>
      <c r="H11" s="29"/>
      <c r="I11" s="8"/>
      <c r="J11" s="8"/>
      <c r="K11" s="8"/>
      <c r="L11" s="8"/>
      <c r="M11" s="8"/>
      <c r="N11" s="8"/>
      <c r="O11" s="8"/>
      <c r="P11" s="8"/>
      <c r="Q11" s="8"/>
      <c r="AC11" s="8"/>
      <c r="AD11" s="8"/>
      <c r="AE11" s="8"/>
      <c r="AF11" s="8"/>
      <c r="AG11" s="88"/>
      <c r="AH11" s="88"/>
      <c r="AI11" s="88"/>
      <c r="AJ11" s="88"/>
      <c r="AK11" s="88"/>
      <c r="AL11" s="88"/>
      <c r="AM11" s="88"/>
      <c r="AN11" s="88"/>
      <c r="AW11" s="8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spans="1:61" s="210" customFormat="1" ht="19" x14ac:dyDescent="0.25">
      <c r="A12" s="3" t="s">
        <v>600</v>
      </c>
      <c r="E12" s="3"/>
      <c r="F12" s="3"/>
      <c r="G12" s="3"/>
      <c r="H12" s="3"/>
      <c r="I12" s="8"/>
      <c r="J12" s="8"/>
      <c r="K12" s="3"/>
      <c r="L12" s="15"/>
      <c r="M12" s="3"/>
      <c r="N12" s="3"/>
      <c r="AC12" s="5"/>
      <c r="AE12" s="5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s="3" customFormat="1" ht="19" x14ac:dyDescent="0.25">
      <c r="A13" s="3" t="s">
        <v>607</v>
      </c>
      <c r="B13" s="210"/>
      <c r="C13" s="210"/>
      <c r="D13" s="8"/>
      <c r="L13" s="15"/>
      <c r="N13" s="210"/>
      <c r="O13" s="210"/>
      <c r="P13" s="210"/>
      <c r="Q13" s="210"/>
      <c r="R13" s="210"/>
      <c r="S13" s="8"/>
      <c r="T13" s="8"/>
      <c r="U13" s="8"/>
      <c r="V13" s="8"/>
      <c r="W13" s="8"/>
      <c r="X13" s="8"/>
      <c r="Y13" s="8"/>
      <c r="Z13" s="8"/>
      <c r="AA13" s="29"/>
      <c r="AB13" s="210"/>
      <c r="AC13" s="8"/>
      <c r="AD13" s="210"/>
      <c r="AE13" s="8"/>
      <c r="AF13" s="210"/>
      <c r="AG13" s="210"/>
      <c r="AH13" s="210"/>
      <c r="AI13" s="210"/>
      <c r="AO13" s="210"/>
      <c r="AP13" s="210"/>
      <c r="AQ13" s="210"/>
      <c r="AR13" s="210"/>
      <c r="AS13" s="210"/>
      <c r="AT13" s="210"/>
      <c r="AU13" s="210"/>
      <c r="AV13" s="210"/>
    </row>
    <row r="14" spans="1:61" s="3" customFormat="1" ht="19" x14ac:dyDescent="0.25">
      <c r="A14" s="3" t="s">
        <v>535</v>
      </c>
      <c r="B14" s="210"/>
      <c r="D14" s="210"/>
      <c r="G14" s="15"/>
      <c r="H14" s="8"/>
      <c r="M14" s="210"/>
      <c r="N14" s="210"/>
      <c r="O14" s="210"/>
      <c r="P14" s="210"/>
      <c r="Q14" s="210"/>
      <c r="R14" s="210"/>
      <c r="S14" s="210"/>
      <c r="T14" s="8"/>
      <c r="AB14" s="210"/>
      <c r="AF14" s="210"/>
      <c r="AG14" s="210"/>
    </row>
    <row r="15" spans="1:61" s="3" customFormat="1" ht="19" x14ac:dyDescent="0.25">
      <c r="A15" s="3" t="s">
        <v>598</v>
      </c>
      <c r="B15" s="210"/>
      <c r="C15" s="210"/>
      <c r="D15" s="210"/>
      <c r="I15" s="8"/>
      <c r="J15" s="8"/>
      <c r="L15" s="15"/>
      <c r="O15" s="210"/>
      <c r="P15" s="210"/>
      <c r="Q15" s="210"/>
      <c r="R15" s="210"/>
      <c r="S15" s="210"/>
      <c r="Z15" s="210"/>
      <c r="AB15" s="210"/>
      <c r="AC15" s="5"/>
      <c r="AD15" s="210"/>
      <c r="AE15" s="5"/>
      <c r="AF15" s="210"/>
      <c r="AG15" s="210"/>
      <c r="AH15" s="210"/>
      <c r="AI15" s="210"/>
      <c r="AJ15" s="210"/>
      <c r="AR15" s="210"/>
    </row>
    <row r="16" spans="1:61" s="3" customFormat="1" ht="19" x14ac:dyDescent="0.25">
      <c r="A16" s="3" t="s">
        <v>190</v>
      </c>
      <c r="B16" s="210"/>
      <c r="G16" s="15"/>
      <c r="H16" s="8"/>
      <c r="M16" s="210"/>
      <c r="N16" s="210"/>
      <c r="O16" s="210"/>
      <c r="P16" s="210"/>
      <c r="Q16" s="210"/>
      <c r="R16" s="210"/>
      <c r="S16" s="210"/>
      <c r="W16" s="210"/>
      <c r="X16" s="210"/>
      <c r="Y16" s="210"/>
      <c r="Z16" s="210"/>
      <c r="AA16" s="8"/>
      <c r="AB16" s="210"/>
      <c r="AF16" s="210"/>
      <c r="AG16" s="210"/>
    </row>
    <row r="17" spans="1:65" s="3" customFormat="1" ht="19" x14ac:dyDescent="0.25">
      <c r="A17" s="3" t="s">
        <v>599</v>
      </c>
      <c r="B17" s="210"/>
      <c r="D17" s="210"/>
      <c r="G17" s="15"/>
      <c r="H17" s="8"/>
      <c r="M17" s="210"/>
      <c r="N17" s="210"/>
      <c r="O17" s="210"/>
      <c r="P17" s="210"/>
      <c r="Q17" s="210"/>
      <c r="R17" s="210"/>
      <c r="S17" s="210"/>
      <c r="T17" s="8"/>
      <c r="AB17" s="210"/>
      <c r="AF17" s="210"/>
      <c r="AG17" s="210"/>
    </row>
    <row r="18" spans="1:65" s="3" customFormat="1" ht="19" x14ac:dyDescent="0.25">
      <c r="A18" s="3" t="s">
        <v>601</v>
      </c>
      <c r="I18" s="5"/>
      <c r="J18" s="5"/>
      <c r="K18" s="8"/>
      <c r="M18" s="210"/>
      <c r="R18" s="210"/>
      <c r="S18" s="210"/>
      <c r="W18" s="210"/>
      <c r="X18" s="210"/>
      <c r="Y18" s="210"/>
      <c r="Z18" s="210"/>
      <c r="AA18" s="8"/>
      <c r="AB18" s="210"/>
      <c r="AC18" s="15"/>
      <c r="AD18" s="210"/>
      <c r="AE18" s="15"/>
      <c r="AF18" s="210"/>
      <c r="AG18" s="210"/>
      <c r="AH18" s="210"/>
      <c r="AI18" s="210"/>
      <c r="AO18" s="86"/>
      <c r="AP18" s="210"/>
      <c r="AQ18" s="210"/>
      <c r="AR18" s="210"/>
      <c r="AS18" s="210"/>
      <c r="AT18" s="210"/>
      <c r="AU18" s="210"/>
      <c r="AV18" s="18"/>
      <c r="AW18" s="210"/>
      <c r="AX18" s="210"/>
      <c r="BD18" s="86"/>
      <c r="BE18" s="210"/>
      <c r="BF18" s="210"/>
      <c r="BG18" s="210"/>
      <c r="BH18" s="210"/>
      <c r="BI18" s="18"/>
    </row>
    <row r="19" spans="1:65" s="3" customFormat="1" ht="19" x14ac:dyDescent="0.25">
      <c r="A19" s="3" t="s">
        <v>602</v>
      </c>
      <c r="B19" s="210"/>
      <c r="C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W19" s="210"/>
      <c r="X19" s="210"/>
      <c r="Y19" s="210"/>
      <c r="Z19" s="210"/>
      <c r="AA19" s="8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</row>
    <row r="20" spans="1:65" s="3" customFormat="1" ht="19" x14ac:dyDescent="0.25">
      <c r="A20" s="3" t="s">
        <v>553</v>
      </c>
      <c r="B20" s="210"/>
      <c r="C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T20" s="5"/>
      <c r="U20" s="8"/>
      <c r="V20" s="8"/>
      <c r="Y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18"/>
      <c r="BL20" s="210"/>
      <c r="BM20" s="210"/>
    </row>
    <row r="21" spans="1:65" ht="19" x14ac:dyDescent="0.25">
      <c r="D21" s="3"/>
      <c r="S21" s="3"/>
      <c r="T21" s="5"/>
      <c r="U21" s="5"/>
      <c r="V21" s="5"/>
      <c r="W21" s="3"/>
      <c r="X21" s="3"/>
      <c r="Y21" s="3"/>
      <c r="Z21" s="3"/>
      <c r="AA21" s="5"/>
    </row>
    <row r="22" spans="1:65" ht="19" x14ac:dyDescent="0.25">
      <c r="D22" s="3"/>
      <c r="S22" s="3"/>
      <c r="T22" s="5"/>
      <c r="U22" s="3"/>
      <c r="V22" s="3"/>
      <c r="W22" s="3"/>
      <c r="X22" s="3"/>
      <c r="Y22" s="3"/>
      <c r="Z22" s="3"/>
      <c r="AA22" s="5"/>
    </row>
  </sheetData>
  <autoFilter ref="B3:AL3" xr:uid="{D94DB5D1-9527-534B-9388-603A53620BB1}">
    <sortState xmlns:xlrd2="http://schemas.microsoft.com/office/spreadsheetml/2017/richdata2" ref="B4:AL4">
      <sortCondition ref="AI3:AI4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F2D3-8E2A-F14C-8148-4527A5572940}">
  <dimension ref="A1:O444"/>
  <sheetViews>
    <sheetView workbookViewId="0">
      <pane ySplit="3" topLeftCell="A4" activePane="bottomLeft" state="frozen"/>
      <selection pane="bottomLeft" activeCell="A140" sqref="A140:A153"/>
    </sheetView>
  </sheetViews>
  <sheetFormatPr baseColWidth="10" defaultRowHeight="16" x14ac:dyDescent="0.2"/>
  <cols>
    <col min="1" max="1" width="4.83203125" style="210" customWidth="1"/>
    <col min="2" max="2" width="40.83203125" style="210" customWidth="1"/>
    <col min="3" max="3" width="24.83203125" style="82" customWidth="1"/>
    <col min="4" max="4" width="25.6640625" style="47" customWidth="1"/>
    <col min="5" max="5" width="20.83203125" style="47" customWidth="1"/>
    <col min="6" max="6" width="17" style="186" customWidth="1"/>
    <col min="7" max="7" width="12.83203125" style="48" customWidth="1"/>
    <col min="8" max="8" width="12.83203125" style="186" customWidth="1"/>
    <col min="9" max="10" width="12.83203125" style="210" customWidth="1"/>
    <col min="11" max="11" width="12.83203125" style="82" customWidth="1"/>
    <col min="12" max="12" width="12.83203125" style="210" customWidth="1"/>
    <col min="13" max="13" width="12.83203125" style="47" customWidth="1"/>
    <col min="14" max="15" width="60.83203125" style="210" customWidth="1"/>
    <col min="16" max="16384" width="10.83203125" style="210"/>
  </cols>
  <sheetData>
    <row r="1" spans="1:15" s="3" customFormat="1" ht="21" x14ac:dyDescent="0.25">
      <c r="A1" s="55" t="s">
        <v>74</v>
      </c>
      <c r="B1" s="12" t="s">
        <v>1015</v>
      </c>
      <c r="C1" s="82"/>
      <c r="D1" s="12"/>
      <c r="F1" s="185"/>
      <c r="G1" s="47"/>
      <c r="H1" s="185"/>
      <c r="I1" s="210"/>
      <c r="J1" s="210"/>
      <c r="K1" s="82"/>
      <c r="L1" s="210"/>
      <c r="M1" s="47"/>
      <c r="N1" s="210"/>
    </row>
    <row r="2" spans="1:15" s="2" customFormat="1" ht="40" x14ac:dyDescent="0.2">
      <c r="B2" s="13" t="s">
        <v>889</v>
      </c>
      <c r="C2" s="13" t="s">
        <v>890</v>
      </c>
      <c r="D2" s="13" t="s">
        <v>13</v>
      </c>
      <c r="E2" s="13" t="s">
        <v>1283</v>
      </c>
      <c r="F2" s="91" t="s">
        <v>800</v>
      </c>
      <c r="G2" s="13" t="s">
        <v>832</v>
      </c>
      <c r="H2" s="91" t="s">
        <v>888</v>
      </c>
      <c r="I2" s="13" t="s">
        <v>802</v>
      </c>
      <c r="J2" s="13" t="s">
        <v>801</v>
      </c>
      <c r="K2" s="13" t="s">
        <v>941</v>
      </c>
      <c r="L2" s="13" t="s">
        <v>805</v>
      </c>
      <c r="M2" s="13" t="s">
        <v>804</v>
      </c>
      <c r="N2" s="13" t="s">
        <v>611</v>
      </c>
      <c r="O2" s="13" t="s">
        <v>30</v>
      </c>
    </row>
    <row r="3" spans="1:15" s="2" customFormat="1" ht="20" x14ac:dyDescent="0.2">
      <c r="B3" s="11"/>
      <c r="C3" s="99"/>
      <c r="D3" s="10"/>
      <c r="E3" s="10"/>
      <c r="F3" s="80"/>
      <c r="G3" s="10" t="s">
        <v>49</v>
      </c>
      <c r="H3" s="80" t="s">
        <v>49</v>
      </c>
      <c r="I3" s="10" t="s">
        <v>803</v>
      </c>
      <c r="J3" s="10" t="s">
        <v>803</v>
      </c>
      <c r="K3" s="80"/>
      <c r="L3" s="10" t="s">
        <v>19</v>
      </c>
      <c r="M3" s="10" t="s">
        <v>19</v>
      </c>
      <c r="N3" s="11"/>
      <c r="O3" s="11"/>
    </row>
    <row r="4" spans="1:15" s="2" customFormat="1" ht="20" x14ac:dyDescent="0.2">
      <c r="B4" s="108" t="s">
        <v>799</v>
      </c>
      <c r="C4" s="107" t="s">
        <v>1039</v>
      </c>
      <c r="D4" s="35" t="s">
        <v>75</v>
      </c>
      <c r="E4" s="35" t="s">
        <v>762</v>
      </c>
      <c r="F4" s="65"/>
      <c r="G4" s="109">
        <v>115</v>
      </c>
      <c r="H4" s="65"/>
      <c r="I4" s="94"/>
      <c r="J4" s="94"/>
      <c r="K4" s="100"/>
      <c r="L4" s="94"/>
      <c r="M4" s="59"/>
      <c r="N4" s="11"/>
      <c r="O4" s="11"/>
    </row>
    <row r="5" spans="1:15" s="2" customFormat="1" ht="20" x14ac:dyDescent="0.2">
      <c r="B5" s="108" t="s">
        <v>670</v>
      </c>
      <c r="C5" s="107" t="s">
        <v>1040</v>
      </c>
      <c r="D5" s="35" t="s">
        <v>75</v>
      </c>
      <c r="E5" s="35" t="s">
        <v>762</v>
      </c>
      <c r="F5" s="65"/>
      <c r="G5" s="109">
        <v>115</v>
      </c>
      <c r="H5" s="65"/>
      <c r="I5" s="150">
        <f>J5/1.2</f>
        <v>11.083333333333334</v>
      </c>
      <c r="J5" s="211">
        <v>13.3</v>
      </c>
      <c r="K5" s="150">
        <v>0.9</v>
      </c>
      <c r="L5" s="150">
        <f t="shared" ref="L5:M7" si="0">I5*$K5</f>
        <v>9.9750000000000014</v>
      </c>
      <c r="M5" s="211">
        <f t="shared" si="0"/>
        <v>11.97</v>
      </c>
      <c r="N5" s="11"/>
      <c r="O5" s="11"/>
    </row>
    <row r="6" spans="1:15" s="2" customFormat="1" ht="20" x14ac:dyDescent="0.2">
      <c r="B6" s="108" t="s">
        <v>870</v>
      </c>
      <c r="C6" s="107" t="s">
        <v>1041</v>
      </c>
      <c r="D6" s="35" t="s">
        <v>75</v>
      </c>
      <c r="E6" s="35" t="s">
        <v>762</v>
      </c>
      <c r="F6" s="65"/>
      <c r="G6" s="109">
        <v>230</v>
      </c>
      <c r="H6" s="65"/>
      <c r="I6" s="211">
        <v>61.875999999999998</v>
      </c>
      <c r="J6" s="211">
        <v>78.75</v>
      </c>
      <c r="K6" s="150">
        <v>0.9</v>
      </c>
      <c r="L6" s="211">
        <f t="shared" si="0"/>
        <v>55.688400000000001</v>
      </c>
      <c r="M6" s="211">
        <f t="shared" si="0"/>
        <v>70.875</v>
      </c>
      <c r="N6" s="11"/>
      <c r="O6" s="11"/>
    </row>
    <row r="7" spans="1:15" s="2" customFormat="1" ht="20" x14ac:dyDescent="0.2">
      <c r="B7" s="108" t="s">
        <v>856</v>
      </c>
      <c r="C7" s="107" t="s">
        <v>1042</v>
      </c>
      <c r="D7" s="35" t="s">
        <v>75</v>
      </c>
      <c r="E7" s="35" t="s">
        <v>762</v>
      </c>
      <c r="F7" s="65"/>
      <c r="G7" s="109">
        <v>115</v>
      </c>
      <c r="H7" s="65"/>
      <c r="I7" s="150">
        <f>J7/1.2</f>
        <v>8.3833333333333346</v>
      </c>
      <c r="J7" s="211">
        <v>10.06</v>
      </c>
      <c r="K7" s="150">
        <v>0.9</v>
      </c>
      <c r="L7" s="150">
        <f t="shared" si="0"/>
        <v>7.5450000000000017</v>
      </c>
      <c r="M7" s="211">
        <f t="shared" si="0"/>
        <v>9.0540000000000003</v>
      </c>
      <c r="N7" s="11"/>
      <c r="O7" s="11"/>
    </row>
    <row r="8" spans="1:15" s="2" customFormat="1" ht="20" x14ac:dyDescent="0.2">
      <c r="B8" s="108" t="s">
        <v>854</v>
      </c>
      <c r="C8" s="107" t="s">
        <v>1043</v>
      </c>
      <c r="D8" s="35" t="s">
        <v>75</v>
      </c>
      <c r="E8" s="35" t="s">
        <v>762</v>
      </c>
      <c r="F8" s="65"/>
      <c r="G8" s="35"/>
      <c r="H8" s="65"/>
      <c r="I8" s="94"/>
      <c r="J8" s="94"/>
      <c r="K8" s="100"/>
      <c r="L8" s="94"/>
      <c r="M8" s="59"/>
      <c r="N8" s="11"/>
      <c r="O8" s="11"/>
    </row>
    <row r="9" spans="1:15" s="2" customFormat="1" ht="20" x14ac:dyDescent="0.2">
      <c r="B9" s="108" t="s">
        <v>679</v>
      </c>
      <c r="C9" s="107" t="s">
        <v>1044</v>
      </c>
      <c r="D9" s="35" t="s">
        <v>75</v>
      </c>
      <c r="E9" s="35" t="s">
        <v>762</v>
      </c>
      <c r="F9" s="65"/>
      <c r="G9" s="109">
        <v>115</v>
      </c>
      <c r="H9" s="65"/>
      <c r="I9" s="94"/>
      <c r="J9" s="94"/>
      <c r="K9" s="100"/>
      <c r="L9" s="94"/>
      <c r="M9" s="59"/>
      <c r="N9" s="11"/>
      <c r="O9" s="11"/>
    </row>
    <row r="10" spans="1:15" s="2" customFormat="1" ht="20" x14ac:dyDescent="0.2">
      <c r="B10" s="108" t="s">
        <v>704</v>
      </c>
      <c r="C10" s="107" t="s">
        <v>1045</v>
      </c>
      <c r="D10" s="35" t="s">
        <v>75</v>
      </c>
      <c r="E10" s="35" t="s">
        <v>762</v>
      </c>
      <c r="F10" s="65"/>
      <c r="G10" s="109">
        <v>230</v>
      </c>
      <c r="H10" s="65"/>
      <c r="I10" s="94"/>
      <c r="J10" s="94"/>
      <c r="K10" s="100"/>
      <c r="L10" s="94"/>
      <c r="M10" s="59"/>
      <c r="N10" s="11"/>
      <c r="O10" s="11"/>
    </row>
    <row r="11" spans="1:15" s="2" customFormat="1" ht="20" x14ac:dyDescent="0.2">
      <c r="B11" s="108" t="s">
        <v>886</v>
      </c>
      <c r="C11" s="107" t="s">
        <v>1123</v>
      </c>
      <c r="D11" s="35" t="s">
        <v>75</v>
      </c>
      <c r="E11" s="35" t="s">
        <v>762</v>
      </c>
      <c r="F11" s="65"/>
      <c r="G11" s="109">
        <v>230</v>
      </c>
      <c r="H11" s="65"/>
      <c r="I11" s="211">
        <v>36.302999999999997</v>
      </c>
      <c r="J11" s="211">
        <v>42.279000000000003</v>
      </c>
      <c r="K11" s="150">
        <v>0.9</v>
      </c>
      <c r="L11" s="211">
        <f>I11*$K11</f>
        <v>32.672699999999999</v>
      </c>
      <c r="M11" s="211">
        <f>J11*$K11</f>
        <v>38.051100000000005</v>
      </c>
      <c r="N11" s="11"/>
      <c r="O11" s="11"/>
    </row>
    <row r="12" spans="1:15" s="2" customFormat="1" ht="20" x14ac:dyDescent="0.2">
      <c r="B12" s="108" t="s">
        <v>746</v>
      </c>
      <c r="C12" s="107" t="s">
        <v>1020</v>
      </c>
      <c r="D12" s="35" t="s">
        <v>75</v>
      </c>
      <c r="E12" s="35" t="s">
        <v>762</v>
      </c>
      <c r="F12" s="65"/>
      <c r="G12" s="109">
        <v>115</v>
      </c>
      <c r="H12" s="65"/>
      <c r="I12" s="94"/>
      <c r="J12" s="94"/>
      <c r="K12" s="100"/>
      <c r="L12" s="94"/>
      <c r="M12" s="65"/>
      <c r="N12" s="11"/>
      <c r="O12" s="11"/>
    </row>
    <row r="13" spans="1:15" s="2" customFormat="1" ht="20" x14ac:dyDescent="0.2">
      <c r="B13" s="108" t="s">
        <v>851</v>
      </c>
      <c r="C13" s="107" t="s">
        <v>1046</v>
      </c>
      <c r="D13" s="35" t="s">
        <v>75</v>
      </c>
      <c r="E13" s="35" t="s">
        <v>762</v>
      </c>
      <c r="F13" s="65"/>
      <c r="G13" s="109">
        <v>115</v>
      </c>
      <c r="H13" s="65"/>
      <c r="I13" s="211">
        <v>12.5</v>
      </c>
      <c r="J13" s="211">
        <v>13.3</v>
      </c>
      <c r="K13" s="150">
        <v>0.9</v>
      </c>
      <c r="L13" s="211">
        <f t="shared" ref="L13:M17" si="1">I13*$K13</f>
        <v>11.25</v>
      </c>
      <c r="M13" s="211">
        <f t="shared" si="1"/>
        <v>11.97</v>
      </c>
      <c r="N13" s="11"/>
      <c r="O13" s="11"/>
    </row>
    <row r="14" spans="1:15" s="2" customFormat="1" ht="20" x14ac:dyDescent="0.2">
      <c r="B14" s="108" t="s">
        <v>855</v>
      </c>
      <c r="C14" s="107" t="s">
        <v>1047</v>
      </c>
      <c r="D14" s="35" t="s">
        <v>75</v>
      </c>
      <c r="E14" s="35" t="s">
        <v>762</v>
      </c>
      <c r="F14" s="65"/>
      <c r="G14" s="109">
        <v>115</v>
      </c>
      <c r="H14" s="65"/>
      <c r="I14" s="150">
        <f>J14/1.2</f>
        <v>3.51</v>
      </c>
      <c r="J14" s="211">
        <v>4.2119999999999997</v>
      </c>
      <c r="K14" s="150">
        <v>0.9</v>
      </c>
      <c r="L14" s="150">
        <f t="shared" si="1"/>
        <v>3.1589999999999998</v>
      </c>
      <c r="M14" s="211">
        <f t="shared" si="1"/>
        <v>3.7907999999999999</v>
      </c>
      <c r="N14" s="11"/>
      <c r="O14" s="11"/>
    </row>
    <row r="15" spans="1:15" s="2" customFormat="1" ht="20" x14ac:dyDescent="0.2">
      <c r="B15" s="108" t="s">
        <v>700</v>
      </c>
      <c r="C15" s="107" t="s">
        <v>1124</v>
      </c>
      <c r="D15" s="35" t="s">
        <v>75</v>
      </c>
      <c r="E15" s="35" t="s">
        <v>762</v>
      </c>
      <c r="F15" s="65"/>
      <c r="G15" s="109">
        <v>138</v>
      </c>
      <c r="H15" s="65"/>
      <c r="I15" s="150">
        <f>J15/1.2</f>
        <v>24.75</v>
      </c>
      <c r="J15" s="211">
        <v>29.7</v>
      </c>
      <c r="K15" s="150">
        <v>0.9</v>
      </c>
      <c r="L15" s="150">
        <f t="shared" si="1"/>
        <v>22.275000000000002</v>
      </c>
      <c r="M15" s="211">
        <f t="shared" si="1"/>
        <v>26.73</v>
      </c>
      <c r="N15" s="11"/>
      <c r="O15" s="11"/>
    </row>
    <row r="16" spans="1:15" s="2" customFormat="1" ht="20" x14ac:dyDescent="0.2">
      <c r="B16" s="108" t="s">
        <v>858</v>
      </c>
      <c r="C16" s="107" t="s">
        <v>1048</v>
      </c>
      <c r="D16" s="35" t="s">
        <v>75</v>
      </c>
      <c r="E16" s="35" t="s">
        <v>762</v>
      </c>
      <c r="F16" s="65"/>
      <c r="G16" s="109">
        <v>115</v>
      </c>
      <c r="H16" s="65"/>
      <c r="I16" s="150">
        <f>J16/1.2</f>
        <v>34.375</v>
      </c>
      <c r="J16" s="211">
        <v>41.25</v>
      </c>
      <c r="K16" s="150">
        <v>0.9</v>
      </c>
      <c r="L16" s="150">
        <f t="shared" si="1"/>
        <v>30.9375</v>
      </c>
      <c r="M16" s="211">
        <f t="shared" si="1"/>
        <v>37.125</v>
      </c>
      <c r="N16" s="11"/>
      <c r="O16" s="11"/>
    </row>
    <row r="17" spans="2:15" s="2" customFormat="1" ht="20" x14ac:dyDescent="0.2">
      <c r="B17" s="108" t="s">
        <v>687</v>
      </c>
      <c r="C17" s="107" t="s">
        <v>1125</v>
      </c>
      <c r="D17" s="35" t="s">
        <v>75</v>
      </c>
      <c r="E17" s="35" t="s">
        <v>762</v>
      </c>
      <c r="F17" s="65"/>
      <c r="G17" s="109">
        <v>138</v>
      </c>
      <c r="H17" s="65"/>
      <c r="I17" s="150">
        <f>J17/1.2</f>
        <v>32.550000000000004</v>
      </c>
      <c r="J17" s="211">
        <v>39.06</v>
      </c>
      <c r="K17" s="150">
        <v>0.9</v>
      </c>
      <c r="L17" s="150">
        <f t="shared" si="1"/>
        <v>29.295000000000005</v>
      </c>
      <c r="M17" s="211">
        <f t="shared" si="1"/>
        <v>35.154000000000003</v>
      </c>
      <c r="N17" s="11"/>
      <c r="O17" s="11"/>
    </row>
    <row r="18" spans="2:15" s="2" customFormat="1" ht="20" x14ac:dyDescent="0.2">
      <c r="B18" s="108" t="s">
        <v>669</v>
      </c>
      <c r="C18" s="107" t="s">
        <v>1126</v>
      </c>
      <c r="D18" s="35" t="s">
        <v>75</v>
      </c>
      <c r="E18" s="35" t="s">
        <v>762</v>
      </c>
      <c r="F18" s="65"/>
      <c r="G18" s="109">
        <v>230</v>
      </c>
      <c r="H18" s="109">
        <v>115</v>
      </c>
      <c r="I18" s="94"/>
      <c r="J18" s="94"/>
      <c r="K18" s="100"/>
      <c r="L18" s="94"/>
      <c r="M18" s="59"/>
      <c r="N18" s="11"/>
      <c r="O18" s="11"/>
    </row>
    <row r="19" spans="2:15" s="2" customFormat="1" ht="20" x14ac:dyDescent="0.2">
      <c r="B19" s="108" t="s">
        <v>671</v>
      </c>
      <c r="C19" s="107" t="s">
        <v>1049</v>
      </c>
      <c r="D19" s="35" t="s">
        <v>75</v>
      </c>
      <c r="E19" s="35" t="s">
        <v>762</v>
      </c>
      <c r="F19" s="65"/>
      <c r="G19" s="109">
        <v>230</v>
      </c>
      <c r="H19" s="65"/>
      <c r="I19" s="94"/>
      <c r="J19" s="94"/>
      <c r="K19" s="100"/>
      <c r="L19" s="94"/>
      <c r="M19" s="59"/>
      <c r="N19" s="11"/>
      <c r="O19" s="11"/>
    </row>
    <row r="20" spans="2:15" s="2" customFormat="1" ht="20" x14ac:dyDescent="0.2">
      <c r="B20" s="108" t="s">
        <v>871</v>
      </c>
      <c r="C20" s="107" t="s">
        <v>1050</v>
      </c>
      <c r="D20" s="35" t="s">
        <v>75</v>
      </c>
      <c r="E20" s="35" t="s">
        <v>762</v>
      </c>
      <c r="F20" s="65"/>
      <c r="G20" s="109">
        <v>115</v>
      </c>
      <c r="H20" s="65"/>
      <c r="I20" s="211">
        <v>133.1</v>
      </c>
      <c r="J20" s="211">
        <v>171.1</v>
      </c>
      <c r="K20" s="150">
        <v>0.9</v>
      </c>
      <c r="L20" s="211">
        <f t="shared" ref="L20:M25" si="2">I20*$K20</f>
        <v>119.78999999999999</v>
      </c>
      <c r="M20" s="211">
        <f t="shared" si="2"/>
        <v>153.99</v>
      </c>
      <c r="N20" s="11"/>
      <c r="O20" s="11"/>
    </row>
    <row r="21" spans="2:15" s="2" customFormat="1" ht="20" x14ac:dyDescent="0.2">
      <c r="B21" s="112" t="s">
        <v>859</v>
      </c>
      <c r="C21" s="107" t="s">
        <v>1051</v>
      </c>
      <c r="D21" s="35" t="s">
        <v>75</v>
      </c>
      <c r="E21" s="35" t="s">
        <v>762</v>
      </c>
      <c r="F21" s="65"/>
      <c r="G21" s="109">
        <v>230</v>
      </c>
      <c r="H21" s="65"/>
      <c r="I21" s="150">
        <f>J21/1.2</f>
        <v>36.166666666666664</v>
      </c>
      <c r="J21" s="211">
        <v>43.4</v>
      </c>
      <c r="K21" s="150">
        <v>0.9</v>
      </c>
      <c r="L21" s="150">
        <f t="shared" si="2"/>
        <v>32.549999999999997</v>
      </c>
      <c r="M21" s="211">
        <f t="shared" si="2"/>
        <v>39.06</v>
      </c>
      <c r="N21" s="11"/>
      <c r="O21" s="11"/>
    </row>
    <row r="22" spans="2:15" s="2" customFormat="1" ht="20" x14ac:dyDescent="0.2">
      <c r="B22" s="108" t="s">
        <v>652</v>
      </c>
      <c r="C22" s="107" t="s">
        <v>1052</v>
      </c>
      <c r="D22" s="35" t="s">
        <v>75</v>
      </c>
      <c r="E22" s="35" t="s">
        <v>762</v>
      </c>
      <c r="F22" s="65"/>
      <c r="G22" s="109">
        <v>115</v>
      </c>
      <c r="H22" s="65"/>
      <c r="I22" s="150">
        <f>J22/1.2</f>
        <v>36.166666666666664</v>
      </c>
      <c r="J22" s="211">
        <v>43.4</v>
      </c>
      <c r="K22" s="150">
        <v>0.9</v>
      </c>
      <c r="L22" s="150">
        <f t="shared" si="2"/>
        <v>32.549999999999997</v>
      </c>
      <c r="M22" s="211">
        <f t="shared" si="2"/>
        <v>39.06</v>
      </c>
      <c r="N22" s="11"/>
      <c r="O22" s="11"/>
    </row>
    <row r="23" spans="2:15" s="2" customFormat="1" ht="20" x14ac:dyDescent="0.2">
      <c r="B23" s="108" t="s">
        <v>860</v>
      </c>
      <c r="C23" s="107" t="s">
        <v>1053</v>
      </c>
      <c r="D23" s="35" t="s">
        <v>75</v>
      </c>
      <c r="E23" s="35" t="s">
        <v>762</v>
      </c>
      <c r="F23" s="65"/>
      <c r="G23" s="109">
        <v>115</v>
      </c>
      <c r="H23" s="65"/>
      <c r="I23" s="211">
        <v>78.84</v>
      </c>
      <c r="J23" s="211">
        <v>123.4</v>
      </c>
      <c r="K23" s="150">
        <v>0.9</v>
      </c>
      <c r="L23" s="211">
        <f t="shared" si="2"/>
        <v>70.956000000000003</v>
      </c>
      <c r="M23" s="211">
        <f t="shared" si="2"/>
        <v>111.06</v>
      </c>
      <c r="N23" s="11"/>
      <c r="O23" s="11"/>
    </row>
    <row r="24" spans="2:15" s="2" customFormat="1" ht="20" x14ac:dyDescent="0.2">
      <c r="B24" s="108" t="s">
        <v>647</v>
      </c>
      <c r="C24" s="107" t="s">
        <v>1054</v>
      </c>
      <c r="D24" s="35" t="s">
        <v>75</v>
      </c>
      <c r="E24" s="35" t="s">
        <v>762</v>
      </c>
      <c r="F24" s="65"/>
      <c r="G24" s="109">
        <v>230</v>
      </c>
      <c r="H24" s="65"/>
      <c r="I24" s="211">
        <v>12.5</v>
      </c>
      <c r="J24" s="211">
        <v>13.3</v>
      </c>
      <c r="K24" s="150">
        <v>0.9</v>
      </c>
      <c r="L24" s="211">
        <f t="shared" si="2"/>
        <v>11.25</v>
      </c>
      <c r="M24" s="211">
        <f t="shared" si="2"/>
        <v>11.97</v>
      </c>
      <c r="N24" s="11"/>
      <c r="O24" s="11"/>
    </row>
    <row r="25" spans="2:15" s="2" customFormat="1" ht="20" x14ac:dyDescent="0.2">
      <c r="B25" s="108" t="s">
        <v>861</v>
      </c>
      <c r="C25" s="107" t="s">
        <v>1055</v>
      </c>
      <c r="D25" s="35" t="s">
        <v>75</v>
      </c>
      <c r="E25" s="35" t="s">
        <v>762</v>
      </c>
      <c r="F25" s="65"/>
      <c r="G25" s="109">
        <v>115</v>
      </c>
      <c r="H25" s="65"/>
      <c r="I25" s="150">
        <f>J25/1.2</f>
        <v>16.001666666666669</v>
      </c>
      <c r="J25" s="211">
        <v>19.202000000000002</v>
      </c>
      <c r="K25" s="150">
        <v>0.9</v>
      </c>
      <c r="L25" s="150">
        <f t="shared" si="2"/>
        <v>14.401500000000002</v>
      </c>
      <c r="M25" s="211">
        <f t="shared" si="2"/>
        <v>17.2818</v>
      </c>
      <c r="N25" s="11"/>
      <c r="O25" s="11"/>
    </row>
    <row r="26" spans="2:15" s="2" customFormat="1" ht="20" x14ac:dyDescent="0.2">
      <c r="B26" s="108" t="s">
        <v>817</v>
      </c>
      <c r="C26" s="107" t="s">
        <v>1056</v>
      </c>
      <c r="D26" s="35" t="s">
        <v>75</v>
      </c>
      <c r="E26" s="35" t="s">
        <v>762</v>
      </c>
      <c r="F26" s="65"/>
      <c r="G26" s="109">
        <v>115</v>
      </c>
      <c r="H26" s="65"/>
      <c r="I26" s="94"/>
      <c r="J26" s="94"/>
      <c r="K26" s="100"/>
      <c r="L26" s="94"/>
      <c r="M26" s="59"/>
      <c r="N26" s="11"/>
      <c r="O26" s="11"/>
    </row>
    <row r="27" spans="2:15" s="2" customFormat="1" ht="20" x14ac:dyDescent="0.2">
      <c r="B27" s="108" t="s">
        <v>664</v>
      </c>
      <c r="C27" s="107" t="s">
        <v>1057</v>
      </c>
      <c r="D27" s="35" t="s">
        <v>75</v>
      </c>
      <c r="E27" s="35" t="s">
        <v>762</v>
      </c>
      <c r="F27" s="65"/>
      <c r="G27" s="109">
        <v>138</v>
      </c>
      <c r="H27" s="65"/>
      <c r="I27" s="211">
        <v>34.594000000000001</v>
      </c>
      <c r="J27" s="211">
        <v>43.594000000000001</v>
      </c>
      <c r="K27" s="150">
        <v>0.9</v>
      </c>
      <c r="L27" s="211">
        <f t="shared" ref="L27:M29" si="3">I27*$K27</f>
        <v>31.134600000000002</v>
      </c>
      <c r="M27" s="211">
        <f t="shared" si="3"/>
        <v>39.2346</v>
      </c>
      <c r="N27" s="11"/>
      <c r="O27" s="11"/>
    </row>
    <row r="28" spans="2:15" s="2" customFormat="1" ht="20" x14ac:dyDescent="0.2">
      <c r="B28" s="108" t="s">
        <v>674</v>
      </c>
      <c r="C28" s="107" t="s">
        <v>1058</v>
      </c>
      <c r="D28" s="35" t="s">
        <v>75</v>
      </c>
      <c r="E28" s="35" t="s">
        <v>762</v>
      </c>
      <c r="F28" s="65"/>
      <c r="G28" s="109">
        <v>138</v>
      </c>
      <c r="H28" s="65"/>
      <c r="I28" s="150">
        <f>J28/1.2</f>
        <v>32.550000000000004</v>
      </c>
      <c r="J28" s="211">
        <v>39.06</v>
      </c>
      <c r="K28" s="150">
        <v>0.9</v>
      </c>
      <c r="L28" s="150">
        <f t="shared" si="3"/>
        <v>29.295000000000005</v>
      </c>
      <c r="M28" s="211">
        <f t="shared" si="3"/>
        <v>35.154000000000003</v>
      </c>
      <c r="N28" s="11"/>
      <c r="O28" s="11"/>
    </row>
    <row r="29" spans="2:15" s="2" customFormat="1" ht="20" x14ac:dyDescent="0.2">
      <c r="B29" s="108" t="s">
        <v>790</v>
      </c>
      <c r="C29" s="107" t="s">
        <v>1059</v>
      </c>
      <c r="D29" s="35" t="s">
        <v>75</v>
      </c>
      <c r="E29" s="35" t="s">
        <v>762</v>
      </c>
      <c r="F29" s="65"/>
      <c r="G29" s="109">
        <v>230</v>
      </c>
      <c r="H29" s="65"/>
      <c r="I29" s="150">
        <f>J29/1.2</f>
        <v>18.5625</v>
      </c>
      <c r="J29" s="211">
        <v>22.274999999999999</v>
      </c>
      <c r="K29" s="150">
        <v>0.9</v>
      </c>
      <c r="L29" s="150">
        <f t="shared" si="3"/>
        <v>16.706250000000001</v>
      </c>
      <c r="M29" s="211">
        <f t="shared" si="3"/>
        <v>20.047499999999999</v>
      </c>
      <c r="N29" s="11"/>
      <c r="O29" s="11"/>
    </row>
    <row r="30" spans="2:15" s="2" customFormat="1" ht="20" x14ac:dyDescent="0.2">
      <c r="B30" s="108" t="s">
        <v>692</v>
      </c>
      <c r="C30" s="107" t="s">
        <v>1060</v>
      </c>
      <c r="D30" s="35" t="s">
        <v>75</v>
      </c>
      <c r="E30" s="35" t="s">
        <v>762</v>
      </c>
      <c r="F30" s="65"/>
      <c r="G30" s="109">
        <v>138</v>
      </c>
      <c r="H30" s="65"/>
      <c r="I30" s="94"/>
      <c r="J30" s="94"/>
      <c r="K30" s="100"/>
      <c r="L30" s="94"/>
      <c r="M30" s="59"/>
      <c r="N30" s="11"/>
      <c r="O30" s="11"/>
    </row>
    <row r="31" spans="2:15" s="2" customFormat="1" ht="20" x14ac:dyDescent="0.2">
      <c r="B31" s="108" t="s">
        <v>677</v>
      </c>
      <c r="C31" s="107" t="s">
        <v>1061</v>
      </c>
      <c r="D31" s="35" t="s">
        <v>75</v>
      </c>
      <c r="E31" s="35" t="s">
        <v>762</v>
      </c>
      <c r="F31" s="65"/>
      <c r="G31" s="109">
        <v>230</v>
      </c>
      <c r="H31" s="65"/>
      <c r="I31" s="150">
        <f>J31/1.2</f>
        <v>30.9375</v>
      </c>
      <c r="J31" s="211">
        <v>37.125</v>
      </c>
      <c r="K31" s="150">
        <v>0.9</v>
      </c>
      <c r="L31" s="150">
        <f t="shared" ref="L31:M33" si="4">I31*$K31</f>
        <v>27.84375</v>
      </c>
      <c r="M31" s="211">
        <f t="shared" si="4"/>
        <v>33.412500000000001</v>
      </c>
      <c r="N31" s="11"/>
      <c r="O31" s="11"/>
    </row>
    <row r="32" spans="2:15" s="2" customFormat="1" ht="20" x14ac:dyDescent="0.2">
      <c r="B32" s="108" t="s">
        <v>748</v>
      </c>
      <c r="C32" s="107" t="s">
        <v>1022</v>
      </c>
      <c r="D32" s="35" t="s">
        <v>75</v>
      </c>
      <c r="E32" s="35" t="s">
        <v>762</v>
      </c>
      <c r="F32" s="65"/>
      <c r="G32" s="109">
        <v>115</v>
      </c>
      <c r="H32" s="65"/>
      <c r="I32" s="211">
        <v>34.44</v>
      </c>
      <c r="J32" s="211">
        <v>43.4</v>
      </c>
      <c r="K32" s="150">
        <v>0.9</v>
      </c>
      <c r="L32" s="211">
        <f t="shared" si="4"/>
        <v>30.995999999999999</v>
      </c>
      <c r="M32" s="211">
        <f t="shared" si="4"/>
        <v>39.06</v>
      </c>
      <c r="N32" s="11"/>
      <c r="O32" s="11"/>
    </row>
    <row r="33" spans="2:15" s="2" customFormat="1" ht="20" x14ac:dyDescent="0.2">
      <c r="B33" s="108" t="s">
        <v>758</v>
      </c>
      <c r="C33" s="107" t="s">
        <v>1021</v>
      </c>
      <c r="D33" s="35" t="s">
        <v>75</v>
      </c>
      <c r="E33" s="35" t="s">
        <v>762</v>
      </c>
      <c r="F33" s="65"/>
      <c r="G33" s="109">
        <v>115</v>
      </c>
      <c r="H33" s="65"/>
      <c r="I33" s="150">
        <f>J33/1.2</f>
        <v>2.34</v>
      </c>
      <c r="J33" s="211">
        <v>2.8079999999999998</v>
      </c>
      <c r="K33" s="150">
        <v>0.9</v>
      </c>
      <c r="L33" s="150">
        <f t="shared" si="4"/>
        <v>2.1059999999999999</v>
      </c>
      <c r="M33" s="211">
        <f t="shared" si="4"/>
        <v>2.5272000000000001</v>
      </c>
      <c r="N33" s="11"/>
      <c r="O33" s="11"/>
    </row>
    <row r="34" spans="2:15" s="2" customFormat="1" ht="20" x14ac:dyDescent="0.2">
      <c r="B34" s="108" t="s">
        <v>862</v>
      </c>
      <c r="C34" s="107" t="s">
        <v>1152</v>
      </c>
      <c r="D34" s="35" t="s">
        <v>75</v>
      </c>
      <c r="E34" s="35" t="s">
        <v>762</v>
      </c>
      <c r="F34" s="65"/>
      <c r="G34" s="109">
        <v>115</v>
      </c>
      <c r="H34" s="65"/>
      <c r="I34" s="94"/>
      <c r="J34" s="94"/>
      <c r="K34" s="100"/>
      <c r="L34" s="94"/>
      <c r="M34" s="59"/>
      <c r="N34" s="11"/>
      <c r="O34" s="11"/>
    </row>
    <row r="35" spans="2:15" s="2" customFormat="1" ht="20" x14ac:dyDescent="0.2">
      <c r="B35" s="108" t="s">
        <v>121</v>
      </c>
      <c r="C35" s="107" t="s">
        <v>1062</v>
      </c>
      <c r="D35" s="35" t="s">
        <v>75</v>
      </c>
      <c r="E35" s="35" t="s">
        <v>762</v>
      </c>
      <c r="F35" s="65"/>
      <c r="G35" s="109">
        <v>115</v>
      </c>
      <c r="H35" s="65"/>
      <c r="I35" s="150">
        <f>J35/1.2</f>
        <v>11.083333333333334</v>
      </c>
      <c r="J35" s="211">
        <v>13.3</v>
      </c>
      <c r="K35" s="150">
        <v>0.9</v>
      </c>
      <c r="L35" s="150">
        <f>I35*$K35</f>
        <v>9.9750000000000014</v>
      </c>
      <c r="M35" s="211">
        <f>J35*$K35</f>
        <v>11.97</v>
      </c>
      <c r="N35" s="11"/>
      <c r="O35" s="11"/>
    </row>
    <row r="36" spans="2:15" s="2" customFormat="1" ht="20" x14ac:dyDescent="0.2">
      <c r="B36" s="108" t="s">
        <v>794</v>
      </c>
      <c r="C36" s="107" t="s">
        <v>1128</v>
      </c>
      <c r="D36" s="35" t="s">
        <v>75</v>
      </c>
      <c r="E36" s="35" t="s">
        <v>762</v>
      </c>
      <c r="F36" s="65"/>
      <c r="G36" s="109">
        <v>115</v>
      </c>
      <c r="H36" s="65"/>
      <c r="I36" s="94"/>
      <c r="J36" s="94"/>
      <c r="K36" s="100"/>
      <c r="L36" s="94"/>
      <c r="M36" s="59"/>
      <c r="N36" s="11"/>
      <c r="O36" s="11"/>
    </row>
    <row r="37" spans="2:15" s="2" customFormat="1" ht="20" x14ac:dyDescent="0.2">
      <c r="B37" s="112" t="s">
        <v>698</v>
      </c>
      <c r="C37" s="107" t="s">
        <v>1129</v>
      </c>
      <c r="D37" s="35" t="s">
        <v>75</v>
      </c>
      <c r="E37" s="35" t="s">
        <v>762</v>
      </c>
      <c r="F37" s="65"/>
      <c r="G37" s="109">
        <v>115</v>
      </c>
      <c r="H37" s="65"/>
      <c r="I37" s="94"/>
      <c r="J37" s="94"/>
      <c r="K37" s="100"/>
      <c r="L37" s="94"/>
      <c r="M37" s="59"/>
      <c r="N37" s="11"/>
      <c r="O37" s="11"/>
    </row>
    <row r="38" spans="2:15" s="2" customFormat="1" ht="20" x14ac:dyDescent="0.2">
      <c r="B38" s="108" t="s">
        <v>865</v>
      </c>
      <c r="C38" s="107" t="s">
        <v>1063</v>
      </c>
      <c r="D38" s="35" t="s">
        <v>75</v>
      </c>
      <c r="E38" s="35" t="s">
        <v>762</v>
      </c>
      <c r="F38" s="65"/>
      <c r="G38" s="109">
        <v>115</v>
      </c>
      <c r="H38" s="65"/>
      <c r="I38" s="94"/>
      <c r="J38" s="94"/>
      <c r="K38" s="100"/>
      <c r="L38" s="94"/>
      <c r="M38" s="59"/>
      <c r="N38" s="11"/>
      <c r="O38" s="11"/>
    </row>
    <row r="39" spans="2:15" s="2" customFormat="1" ht="20" x14ac:dyDescent="0.2">
      <c r="B39" s="139" t="s">
        <v>738</v>
      </c>
      <c r="C39" s="107" t="s">
        <v>1064</v>
      </c>
      <c r="D39" s="35" t="s">
        <v>75</v>
      </c>
      <c r="E39" s="35" t="s">
        <v>762</v>
      </c>
      <c r="F39" s="65"/>
      <c r="G39" s="109">
        <v>230</v>
      </c>
      <c r="H39" s="65"/>
      <c r="I39" s="94"/>
      <c r="J39" s="94"/>
      <c r="K39" s="100"/>
      <c r="L39" s="94"/>
      <c r="M39" s="59"/>
      <c r="N39" s="11"/>
      <c r="O39" s="11"/>
    </row>
    <row r="40" spans="2:15" s="2" customFormat="1" ht="20" x14ac:dyDescent="0.2">
      <c r="B40" s="108" t="s">
        <v>685</v>
      </c>
      <c r="C40" s="107" t="s">
        <v>1065</v>
      </c>
      <c r="D40" s="35" t="s">
        <v>75</v>
      </c>
      <c r="E40" s="35" t="s">
        <v>762</v>
      </c>
      <c r="F40" s="65"/>
      <c r="G40" s="109">
        <v>115</v>
      </c>
      <c r="H40" s="65"/>
      <c r="I40" s="94"/>
      <c r="J40" s="94"/>
      <c r="K40" s="100"/>
      <c r="L40" s="94"/>
      <c r="M40" s="59"/>
      <c r="N40" s="11"/>
      <c r="O40" s="11"/>
    </row>
    <row r="41" spans="2:15" s="2" customFormat="1" ht="20" x14ac:dyDescent="0.2">
      <c r="B41" s="111" t="s">
        <v>666</v>
      </c>
      <c r="C41" s="107" t="s">
        <v>1130</v>
      </c>
      <c r="D41" s="35" t="s">
        <v>75</v>
      </c>
      <c r="E41" s="35" t="s">
        <v>762</v>
      </c>
      <c r="F41" s="65"/>
      <c r="G41" s="109">
        <v>138</v>
      </c>
      <c r="H41" s="65"/>
      <c r="I41" s="94"/>
      <c r="J41" s="94"/>
      <c r="K41" s="100"/>
      <c r="L41" s="94"/>
      <c r="M41" s="59"/>
      <c r="N41" s="11"/>
      <c r="O41" s="11"/>
    </row>
    <row r="42" spans="2:15" s="2" customFormat="1" ht="20" x14ac:dyDescent="0.2">
      <c r="B42" s="108" t="s">
        <v>791</v>
      </c>
      <c r="C42" s="107" t="s">
        <v>1066</v>
      </c>
      <c r="D42" s="35" t="s">
        <v>75</v>
      </c>
      <c r="E42" s="35" t="s">
        <v>762</v>
      </c>
      <c r="F42" s="65"/>
      <c r="G42" s="109">
        <v>138</v>
      </c>
      <c r="H42" s="65"/>
      <c r="I42" s="211">
        <v>5.85</v>
      </c>
      <c r="J42" s="211">
        <v>7.74</v>
      </c>
      <c r="K42" s="150">
        <v>0.9</v>
      </c>
      <c r="L42" s="211">
        <f>I42*$K42</f>
        <v>5.2649999999999997</v>
      </c>
      <c r="M42" s="211">
        <f>J42*$K42</f>
        <v>6.9660000000000002</v>
      </c>
      <c r="N42" s="11"/>
      <c r="O42" s="11"/>
    </row>
    <row r="43" spans="2:15" s="2" customFormat="1" ht="20" x14ac:dyDescent="0.2">
      <c r="B43" s="108" t="s">
        <v>654</v>
      </c>
      <c r="C43" s="107" t="s">
        <v>1067</v>
      </c>
      <c r="D43" s="35" t="s">
        <v>75</v>
      </c>
      <c r="E43" s="35" t="s">
        <v>762</v>
      </c>
      <c r="F43" s="65"/>
      <c r="G43" s="109">
        <v>115</v>
      </c>
      <c r="H43" s="65"/>
      <c r="I43" s="94"/>
      <c r="J43" s="94"/>
      <c r="K43" s="100"/>
      <c r="L43" s="94"/>
      <c r="M43" s="59"/>
      <c r="N43" s="11"/>
      <c r="O43" s="11"/>
    </row>
    <row r="44" spans="2:15" s="2" customFormat="1" ht="20" x14ac:dyDescent="0.2">
      <c r="B44" s="108" t="s">
        <v>690</v>
      </c>
      <c r="C44" s="107" t="s">
        <v>1068</v>
      </c>
      <c r="D44" s="35" t="s">
        <v>75</v>
      </c>
      <c r="E44" s="35" t="s">
        <v>762</v>
      </c>
      <c r="F44" s="65"/>
      <c r="G44" s="109">
        <v>230</v>
      </c>
      <c r="H44" s="65"/>
      <c r="I44" s="211">
        <v>58.8</v>
      </c>
      <c r="J44" s="211">
        <v>75.599999999999994</v>
      </c>
      <c r="K44" s="150">
        <v>0.9</v>
      </c>
      <c r="L44" s="211">
        <f>I44*$K44</f>
        <v>52.92</v>
      </c>
      <c r="M44" s="211">
        <f>J44*$K44</f>
        <v>68.039999999999992</v>
      </c>
      <c r="N44" s="11"/>
      <c r="O44" s="11"/>
    </row>
    <row r="45" spans="2:15" s="2" customFormat="1" ht="20" x14ac:dyDescent="0.2">
      <c r="B45" s="111" t="s">
        <v>752</v>
      </c>
      <c r="C45" s="107" t="s">
        <v>1023</v>
      </c>
      <c r="D45" s="35" t="s">
        <v>75</v>
      </c>
      <c r="E45" s="35" t="s">
        <v>762</v>
      </c>
      <c r="F45" s="65"/>
      <c r="G45" s="109">
        <v>138</v>
      </c>
      <c r="H45" s="65"/>
      <c r="I45" s="94"/>
      <c r="J45" s="94"/>
      <c r="K45" s="100"/>
      <c r="L45" s="94"/>
      <c r="M45" s="59"/>
      <c r="N45" s="11"/>
      <c r="O45" s="11"/>
    </row>
    <row r="46" spans="2:15" s="2" customFormat="1" ht="20" x14ac:dyDescent="0.2">
      <c r="B46" s="111" t="s">
        <v>736</v>
      </c>
      <c r="C46" s="107" t="s">
        <v>1069</v>
      </c>
      <c r="D46" s="35" t="s">
        <v>75</v>
      </c>
      <c r="E46" s="35" t="s">
        <v>762</v>
      </c>
      <c r="F46" s="65"/>
      <c r="G46" s="109">
        <v>138</v>
      </c>
      <c r="H46" s="65"/>
      <c r="I46" s="94"/>
      <c r="J46" s="94"/>
      <c r="K46" s="100"/>
      <c r="L46" s="94"/>
      <c r="M46" s="59"/>
      <c r="N46" s="11"/>
      <c r="O46" s="11"/>
    </row>
    <row r="47" spans="2:15" s="2" customFormat="1" ht="20" x14ac:dyDescent="0.2">
      <c r="B47" s="111" t="s">
        <v>741</v>
      </c>
      <c r="C47" s="107" t="s">
        <v>1025</v>
      </c>
      <c r="D47" s="35" t="s">
        <v>75</v>
      </c>
      <c r="E47" s="35" t="s">
        <v>762</v>
      </c>
      <c r="F47" s="65"/>
      <c r="G47" s="109">
        <v>138</v>
      </c>
      <c r="H47" s="65"/>
      <c r="I47" s="94"/>
      <c r="J47" s="94"/>
      <c r="K47" s="100"/>
      <c r="L47" s="94"/>
      <c r="M47" s="59"/>
      <c r="N47" s="11"/>
      <c r="O47" s="11"/>
    </row>
    <row r="48" spans="2:15" s="2" customFormat="1" ht="20" x14ac:dyDescent="0.2">
      <c r="B48" s="111" t="s">
        <v>735</v>
      </c>
      <c r="C48" s="107" t="s">
        <v>1122</v>
      </c>
      <c r="D48" s="35" t="s">
        <v>75</v>
      </c>
      <c r="E48" s="35" t="s">
        <v>762</v>
      </c>
      <c r="F48" s="65"/>
      <c r="G48" s="109">
        <v>138</v>
      </c>
      <c r="H48" s="65"/>
      <c r="I48" s="94"/>
      <c r="J48" s="94"/>
      <c r="K48" s="100"/>
      <c r="L48" s="94"/>
      <c r="M48" s="59"/>
      <c r="N48" s="11"/>
      <c r="O48" s="11"/>
    </row>
    <row r="49" spans="2:15" s="2" customFormat="1" ht="20" x14ac:dyDescent="0.2">
      <c r="B49" s="111" t="s">
        <v>754</v>
      </c>
      <c r="C49" s="107" t="s">
        <v>1024</v>
      </c>
      <c r="D49" s="35" t="s">
        <v>75</v>
      </c>
      <c r="E49" s="35" t="s">
        <v>762</v>
      </c>
      <c r="F49" s="65"/>
      <c r="G49" s="109">
        <v>138</v>
      </c>
      <c r="H49" s="65"/>
      <c r="I49" s="94"/>
      <c r="J49" s="94"/>
      <c r="K49" s="100"/>
      <c r="L49" s="94"/>
      <c r="M49" s="59"/>
      <c r="N49" s="11"/>
      <c r="O49" s="11"/>
    </row>
    <row r="50" spans="2:15" s="2" customFormat="1" ht="20" x14ac:dyDescent="0.2">
      <c r="B50" s="111" t="s">
        <v>1018</v>
      </c>
      <c r="C50" s="107" t="s">
        <v>1131</v>
      </c>
      <c r="D50" s="35" t="s">
        <v>75</v>
      </c>
      <c r="E50" s="35" t="s">
        <v>762</v>
      </c>
      <c r="F50" s="65"/>
      <c r="G50" s="109">
        <v>138</v>
      </c>
      <c r="H50" s="65"/>
      <c r="I50" s="94"/>
      <c r="J50" s="94"/>
      <c r="K50" s="100"/>
      <c r="L50" s="94"/>
      <c r="M50" s="59"/>
      <c r="N50" s="11"/>
      <c r="O50" s="11"/>
    </row>
    <row r="51" spans="2:15" s="2" customFormat="1" ht="20" x14ac:dyDescent="0.2">
      <c r="B51" s="111" t="s">
        <v>742</v>
      </c>
      <c r="C51" s="107" t="s">
        <v>1070</v>
      </c>
      <c r="D51" s="35" t="s">
        <v>75</v>
      </c>
      <c r="E51" s="35" t="s">
        <v>762</v>
      </c>
      <c r="F51" s="65"/>
      <c r="G51" s="109">
        <v>115</v>
      </c>
      <c r="H51" s="65"/>
      <c r="I51" s="150">
        <f>J51/1.2</f>
        <v>8.25</v>
      </c>
      <c r="J51" s="211">
        <v>9.9</v>
      </c>
      <c r="K51" s="150">
        <v>0.9</v>
      </c>
      <c r="L51" s="150">
        <f>I51*$K51</f>
        <v>7.4249999999999998</v>
      </c>
      <c r="M51" s="211">
        <f>J51*$K51</f>
        <v>8.91</v>
      </c>
      <c r="N51" s="11"/>
      <c r="O51" s="11"/>
    </row>
    <row r="52" spans="2:15" s="2" customFormat="1" ht="20" x14ac:dyDescent="0.2">
      <c r="B52" s="111" t="s">
        <v>689</v>
      </c>
      <c r="C52" s="107" t="s">
        <v>1132</v>
      </c>
      <c r="D52" s="35" t="s">
        <v>75</v>
      </c>
      <c r="E52" s="35" t="s">
        <v>762</v>
      </c>
      <c r="F52" s="65"/>
      <c r="G52" s="109">
        <v>115</v>
      </c>
      <c r="H52" s="65"/>
      <c r="I52" s="211">
        <v>40</v>
      </c>
      <c r="J52" s="211">
        <v>40</v>
      </c>
      <c r="K52" s="150">
        <v>0.9</v>
      </c>
      <c r="L52" s="211">
        <f>I52*$K52</f>
        <v>36</v>
      </c>
      <c r="M52" s="211">
        <f>J52*$K52</f>
        <v>36</v>
      </c>
      <c r="N52" s="11"/>
      <c r="O52" s="11"/>
    </row>
    <row r="53" spans="2:15" s="2" customFormat="1" ht="20" x14ac:dyDescent="0.2">
      <c r="B53" s="108" t="s">
        <v>1170</v>
      </c>
      <c r="C53" s="35" t="s">
        <v>1171</v>
      </c>
      <c r="D53" s="35" t="s">
        <v>75</v>
      </c>
      <c r="E53" s="35"/>
      <c r="F53" s="59"/>
      <c r="G53" s="109">
        <v>138</v>
      </c>
      <c r="H53" s="59"/>
      <c r="I53" s="150">
        <f>J53/1.2</f>
        <v>22.708333333333336</v>
      </c>
      <c r="J53" s="211">
        <v>27.25</v>
      </c>
      <c r="K53" s="150">
        <v>0.9</v>
      </c>
      <c r="L53" s="150">
        <f t="shared" ref="L53:M53" si="5">I53*$K53</f>
        <v>20.437500000000004</v>
      </c>
      <c r="M53" s="211">
        <f t="shared" si="5"/>
        <v>24.525000000000002</v>
      </c>
      <c r="N53" s="11"/>
      <c r="O53" s="11"/>
    </row>
    <row r="54" spans="2:15" s="2" customFormat="1" ht="20" x14ac:dyDescent="0.2">
      <c r="B54" s="111" t="s">
        <v>1017</v>
      </c>
      <c r="C54" s="107" t="s">
        <v>1027</v>
      </c>
      <c r="D54" s="35" t="s">
        <v>75</v>
      </c>
      <c r="E54" s="35" t="s">
        <v>762</v>
      </c>
      <c r="F54" s="65"/>
      <c r="G54" s="109">
        <v>230</v>
      </c>
      <c r="H54" s="65"/>
      <c r="I54" s="94"/>
      <c r="J54" s="94"/>
      <c r="K54" s="100"/>
      <c r="L54" s="94"/>
      <c r="M54" s="59"/>
      <c r="N54" s="11"/>
      <c r="O54" s="11"/>
    </row>
    <row r="55" spans="2:15" s="2" customFormat="1" ht="20" x14ac:dyDescent="0.2">
      <c r="B55" s="111" t="s">
        <v>660</v>
      </c>
      <c r="C55" s="107" t="s">
        <v>1071</v>
      </c>
      <c r="D55" s="35" t="s">
        <v>75</v>
      </c>
      <c r="E55" s="35" t="s">
        <v>762</v>
      </c>
      <c r="F55" s="65"/>
      <c r="G55" s="109">
        <v>138</v>
      </c>
      <c r="H55" s="65"/>
      <c r="I55" s="94"/>
      <c r="J55" s="94"/>
      <c r="K55" s="100"/>
      <c r="L55" s="94"/>
      <c r="M55" s="59"/>
      <c r="N55" s="11"/>
      <c r="O55" s="11"/>
    </row>
    <row r="56" spans="2:15" s="2" customFormat="1" ht="20" x14ac:dyDescent="0.2">
      <c r="B56" s="111" t="s">
        <v>792</v>
      </c>
      <c r="C56" s="107" t="s">
        <v>1072</v>
      </c>
      <c r="D56" s="35" t="s">
        <v>75</v>
      </c>
      <c r="E56" s="35" t="s">
        <v>762</v>
      </c>
      <c r="F56" s="65"/>
      <c r="G56" s="109">
        <v>230</v>
      </c>
      <c r="H56" s="65"/>
      <c r="I56" s="150">
        <f>J56/1.2</f>
        <v>30.9375</v>
      </c>
      <c r="J56" s="211">
        <v>37.125</v>
      </c>
      <c r="K56" s="150">
        <v>0.9</v>
      </c>
      <c r="L56" s="150">
        <f t="shared" ref="L56:M59" si="6">I56*$K56</f>
        <v>27.84375</v>
      </c>
      <c r="M56" s="211">
        <f t="shared" si="6"/>
        <v>33.412500000000001</v>
      </c>
      <c r="N56" s="11"/>
      <c r="O56" s="11"/>
    </row>
    <row r="57" spans="2:15" s="2" customFormat="1" ht="20" x14ac:dyDescent="0.2">
      <c r="B57" s="111" t="s">
        <v>665</v>
      </c>
      <c r="C57" s="107" t="s">
        <v>1073</v>
      </c>
      <c r="D57" s="35" t="s">
        <v>75</v>
      </c>
      <c r="E57" s="35" t="s">
        <v>762</v>
      </c>
      <c r="F57" s="65"/>
      <c r="G57" s="109">
        <v>115</v>
      </c>
      <c r="H57" s="65"/>
      <c r="I57" s="150">
        <f>J57/1.2</f>
        <v>11.083333333333334</v>
      </c>
      <c r="J57" s="211">
        <v>13.3</v>
      </c>
      <c r="K57" s="150">
        <v>0.9</v>
      </c>
      <c r="L57" s="150">
        <f t="shared" si="6"/>
        <v>9.9750000000000014</v>
      </c>
      <c r="M57" s="211">
        <f t="shared" si="6"/>
        <v>11.97</v>
      </c>
      <c r="N57" s="11"/>
      <c r="O57" s="11"/>
    </row>
    <row r="58" spans="2:15" s="2" customFormat="1" ht="20" x14ac:dyDescent="0.2">
      <c r="B58" s="111" t="s">
        <v>866</v>
      </c>
      <c r="C58" s="107" t="s">
        <v>1074</v>
      </c>
      <c r="D58" s="35" t="s">
        <v>75</v>
      </c>
      <c r="E58" s="35" t="s">
        <v>762</v>
      </c>
      <c r="F58" s="65"/>
      <c r="G58" s="109">
        <v>138</v>
      </c>
      <c r="H58" s="65"/>
      <c r="I58" s="150">
        <f>J58/1.2</f>
        <v>11.083333333333334</v>
      </c>
      <c r="J58" s="211">
        <v>13.3</v>
      </c>
      <c r="K58" s="150">
        <v>0.9</v>
      </c>
      <c r="L58" s="150">
        <f t="shared" si="6"/>
        <v>9.9750000000000014</v>
      </c>
      <c r="M58" s="211">
        <f t="shared" si="6"/>
        <v>11.97</v>
      </c>
      <c r="N58" s="11"/>
      <c r="O58" s="11"/>
    </row>
    <row r="59" spans="2:15" s="2" customFormat="1" ht="20" x14ac:dyDescent="0.2">
      <c r="B59" s="111" t="s">
        <v>743</v>
      </c>
      <c r="C59" s="107" t="s">
        <v>1026</v>
      </c>
      <c r="D59" s="35" t="s">
        <v>75</v>
      </c>
      <c r="E59" s="35" t="s">
        <v>762</v>
      </c>
      <c r="F59" s="65"/>
      <c r="G59" s="109">
        <v>230</v>
      </c>
      <c r="H59" s="65"/>
      <c r="I59" s="150">
        <f>J59/1.2</f>
        <v>9.2816666666666663</v>
      </c>
      <c r="J59" s="211">
        <v>11.138</v>
      </c>
      <c r="K59" s="150">
        <v>0.9</v>
      </c>
      <c r="L59" s="150">
        <f t="shared" si="6"/>
        <v>8.3535000000000004</v>
      </c>
      <c r="M59" s="211">
        <f t="shared" si="6"/>
        <v>10.0242</v>
      </c>
      <c r="N59" s="11"/>
      <c r="O59" s="11"/>
    </row>
    <row r="60" spans="2:15" s="2" customFormat="1" ht="20" x14ac:dyDescent="0.2">
      <c r="B60" s="111" t="s">
        <v>744</v>
      </c>
      <c r="C60" s="107" t="s">
        <v>1028</v>
      </c>
      <c r="D60" s="35" t="s">
        <v>75</v>
      </c>
      <c r="E60" s="35" t="s">
        <v>762</v>
      </c>
      <c r="F60" s="65"/>
      <c r="G60" s="109">
        <v>115</v>
      </c>
      <c r="H60" s="65"/>
      <c r="I60" s="94"/>
      <c r="J60" s="94"/>
      <c r="K60" s="100"/>
      <c r="L60" s="94"/>
      <c r="M60" s="59"/>
      <c r="N60" s="11"/>
      <c r="O60" s="11"/>
    </row>
    <row r="61" spans="2:15" s="2" customFormat="1" ht="20" x14ac:dyDescent="0.2">
      <c r="B61" s="108" t="s">
        <v>867</v>
      </c>
      <c r="C61" s="107" t="s">
        <v>1075</v>
      </c>
      <c r="D61" s="35" t="s">
        <v>75</v>
      </c>
      <c r="E61" s="35" t="s">
        <v>762</v>
      </c>
      <c r="F61" s="65"/>
      <c r="G61" s="109">
        <v>115</v>
      </c>
      <c r="H61" s="65"/>
      <c r="I61" s="150">
        <f>J61/1.2</f>
        <v>11.083333333333334</v>
      </c>
      <c r="J61" s="211">
        <v>13.3</v>
      </c>
      <c r="K61" s="150">
        <v>0.9</v>
      </c>
      <c r="L61" s="150">
        <f>I61*$K61</f>
        <v>9.9750000000000014</v>
      </c>
      <c r="M61" s="211">
        <f>J61*$K61</f>
        <v>11.97</v>
      </c>
      <c r="N61" s="11"/>
      <c r="O61" s="11"/>
    </row>
    <row r="62" spans="2:15" s="2" customFormat="1" ht="20" x14ac:dyDescent="0.2">
      <c r="B62" s="108" t="s">
        <v>857</v>
      </c>
      <c r="C62" s="107" t="s">
        <v>1076</v>
      </c>
      <c r="D62" s="35" t="s">
        <v>75</v>
      </c>
      <c r="E62" s="35" t="s">
        <v>762</v>
      </c>
      <c r="F62" s="65"/>
      <c r="G62" s="109">
        <v>115</v>
      </c>
      <c r="H62" s="65"/>
      <c r="I62" s="150">
        <f>J62/1.2</f>
        <v>16.775833333333335</v>
      </c>
      <c r="J62" s="211">
        <v>20.131</v>
      </c>
      <c r="K62" s="150">
        <v>0.9</v>
      </c>
      <c r="L62" s="150">
        <f>I62*$K62</f>
        <v>15.098250000000002</v>
      </c>
      <c r="M62" s="211">
        <f>J62*$K62</f>
        <v>18.117900000000002</v>
      </c>
      <c r="N62" s="11"/>
      <c r="O62" s="11"/>
    </row>
    <row r="63" spans="2:15" s="2" customFormat="1" ht="20" x14ac:dyDescent="0.2">
      <c r="B63" s="108" t="s">
        <v>688</v>
      </c>
      <c r="C63" s="107" t="s">
        <v>1077</v>
      </c>
      <c r="D63" s="35" t="s">
        <v>75</v>
      </c>
      <c r="E63" s="35" t="s">
        <v>762</v>
      </c>
      <c r="F63" s="65"/>
      <c r="G63" s="109">
        <v>115</v>
      </c>
      <c r="H63" s="65"/>
      <c r="I63" s="94"/>
      <c r="J63" s="94"/>
      <c r="K63" s="100"/>
      <c r="L63" s="94"/>
      <c r="M63" s="59"/>
      <c r="N63" s="11"/>
      <c r="O63" s="11"/>
    </row>
    <row r="64" spans="2:15" s="2" customFormat="1" ht="20" x14ac:dyDescent="0.2">
      <c r="B64" s="108" t="s">
        <v>686</v>
      </c>
      <c r="C64" s="107" t="s">
        <v>1134</v>
      </c>
      <c r="D64" s="35" t="s">
        <v>75</v>
      </c>
      <c r="E64" s="35" t="s">
        <v>762</v>
      </c>
      <c r="F64" s="65"/>
      <c r="G64" s="109">
        <v>115</v>
      </c>
      <c r="H64" s="65"/>
      <c r="I64" s="150">
        <f>J64/1.2</f>
        <v>5.6625000000000005</v>
      </c>
      <c r="J64" s="211">
        <v>6.7949999999999999</v>
      </c>
      <c r="K64" s="150">
        <v>0.9</v>
      </c>
      <c r="L64" s="150">
        <f>I64*$K64</f>
        <v>5.0962500000000004</v>
      </c>
      <c r="M64" s="211">
        <f>J64*$K64</f>
        <v>6.1154999999999999</v>
      </c>
      <c r="N64" s="11"/>
      <c r="O64" s="11"/>
    </row>
    <row r="65" spans="2:15" s="2" customFormat="1" ht="20" x14ac:dyDescent="0.2">
      <c r="B65" s="111" t="s">
        <v>868</v>
      </c>
      <c r="C65" s="107" t="s">
        <v>1078</v>
      </c>
      <c r="D65" s="35" t="s">
        <v>75</v>
      </c>
      <c r="E65" s="35" t="s">
        <v>762</v>
      </c>
      <c r="F65" s="65"/>
      <c r="G65" s="109">
        <v>115</v>
      </c>
      <c r="H65" s="65"/>
      <c r="I65" s="94"/>
      <c r="J65" s="94"/>
      <c r="K65" s="100"/>
      <c r="L65" s="94"/>
      <c r="M65" s="59"/>
      <c r="N65" s="11"/>
      <c r="O65" s="11"/>
    </row>
    <row r="66" spans="2:15" s="2" customFormat="1" ht="20" x14ac:dyDescent="0.2">
      <c r="B66" s="108" t="s">
        <v>820</v>
      </c>
      <c r="C66" s="107" t="s">
        <v>1029</v>
      </c>
      <c r="D66" s="35" t="s">
        <v>75</v>
      </c>
      <c r="E66" s="35" t="s">
        <v>762</v>
      </c>
      <c r="F66" s="65"/>
      <c r="G66" s="109">
        <v>115</v>
      </c>
      <c r="H66" s="65"/>
      <c r="I66" s="94"/>
      <c r="J66" s="94"/>
      <c r="K66" s="100"/>
      <c r="L66" s="94"/>
      <c r="M66" s="59"/>
      <c r="N66" s="11"/>
      <c r="O66" s="11"/>
    </row>
    <row r="67" spans="2:15" s="2" customFormat="1" ht="20" x14ac:dyDescent="0.2">
      <c r="B67" s="108" t="s">
        <v>821</v>
      </c>
      <c r="C67" s="107" t="s">
        <v>1135</v>
      </c>
      <c r="D67" s="35" t="s">
        <v>75</v>
      </c>
      <c r="E67" s="35" t="s">
        <v>762</v>
      </c>
      <c r="F67" s="65"/>
      <c r="G67" s="109">
        <v>115</v>
      </c>
      <c r="H67" s="65"/>
      <c r="I67" s="211">
        <v>65.7</v>
      </c>
      <c r="J67" s="211">
        <v>71.599999999999994</v>
      </c>
      <c r="K67" s="150">
        <v>0.9</v>
      </c>
      <c r="L67" s="211">
        <f>I67*$K67</f>
        <v>59.13</v>
      </c>
      <c r="M67" s="211">
        <f>J67*$K67</f>
        <v>64.44</v>
      </c>
      <c r="N67" s="11"/>
      <c r="O67" s="11"/>
    </row>
    <row r="68" spans="2:15" s="2" customFormat="1" ht="20" x14ac:dyDescent="0.2">
      <c r="B68" s="108" t="s">
        <v>869</v>
      </c>
      <c r="C68" s="107" t="s">
        <v>1079</v>
      </c>
      <c r="D68" s="35" t="s">
        <v>75</v>
      </c>
      <c r="E68" s="35" t="s">
        <v>762</v>
      </c>
      <c r="F68" s="65"/>
      <c r="G68" s="109">
        <v>115</v>
      </c>
      <c r="H68" s="65"/>
      <c r="I68" s="94"/>
      <c r="J68" s="94"/>
      <c r="K68" s="100"/>
      <c r="L68" s="94"/>
      <c r="M68" s="59"/>
      <c r="N68" s="11"/>
      <c r="O68" s="11"/>
    </row>
    <row r="69" spans="2:15" s="2" customFormat="1" ht="20" x14ac:dyDescent="0.2">
      <c r="B69" s="111" t="s">
        <v>694</v>
      </c>
      <c r="C69" s="107" t="s">
        <v>1136</v>
      </c>
      <c r="D69" s="35" t="s">
        <v>75</v>
      </c>
      <c r="E69" s="35" t="s">
        <v>762</v>
      </c>
      <c r="F69" s="65"/>
      <c r="G69" s="109">
        <v>230</v>
      </c>
      <c r="H69" s="65"/>
      <c r="I69" s="150">
        <f>J69/1.2</f>
        <v>30.9375</v>
      </c>
      <c r="J69" s="211">
        <v>37.125</v>
      </c>
      <c r="K69" s="150">
        <v>0.9</v>
      </c>
      <c r="L69" s="150">
        <f t="shared" ref="L69:M72" si="7">I69*$K69</f>
        <v>27.84375</v>
      </c>
      <c r="M69" s="211">
        <f t="shared" si="7"/>
        <v>33.412500000000001</v>
      </c>
      <c r="N69" s="11"/>
      <c r="O69" s="11"/>
    </row>
    <row r="70" spans="2:15" s="2" customFormat="1" ht="20" x14ac:dyDescent="0.2">
      <c r="B70" s="108" t="s">
        <v>667</v>
      </c>
      <c r="C70" s="107" t="s">
        <v>1080</v>
      </c>
      <c r="D70" s="35" t="s">
        <v>75</v>
      </c>
      <c r="E70" s="35" t="s">
        <v>762</v>
      </c>
      <c r="F70" s="65"/>
      <c r="G70" s="109">
        <v>115</v>
      </c>
      <c r="H70" s="65"/>
      <c r="I70" s="150">
        <f>J70/1.2</f>
        <v>6.291666666666667</v>
      </c>
      <c r="J70" s="211">
        <v>7.55</v>
      </c>
      <c r="K70" s="150">
        <v>0.9</v>
      </c>
      <c r="L70" s="150">
        <f t="shared" si="7"/>
        <v>5.6625000000000005</v>
      </c>
      <c r="M70" s="211">
        <f t="shared" si="7"/>
        <v>6.7949999999999999</v>
      </c>
      <c r="N70" s="11"/>
      <c r="O70" s="11"/>
    </row>
    <row r="71" spans="2:15" s="2" customFormat="1" ht="20" x14ac:dyDescent="0.2">
      <c r="B71" s="108" t="s">
        <v>684</v>
      </c>
      <c r="C71" s="107" t="s">
        <v>1081</v>
      </c>
      <c r="D71" s="35" t="s">
        <v>75</v>
      </c>
      <c r="E71" s="35" t="s">
        <v>762</v>
      </c>
      <c r="F71" s="65"/>
      <c r="G71" s="109">
        <v>115</v>
      </c>
      <c r="H71" s="65"/>
      <c r="I71" s="150">
        <f>J71/1.2</f>
        <v>18.3325</v>
      </c>
      <c r="J71" s="211">
        <v>21.998999999999999</v>
      </c>
      <c r="K71" s="150">
        <v>0.9</v>
      </c>
      <c r="L71" s="150">
        <f t="shared" si="7"/>
        <v>16.49925</v>
      </c>
      <c r="M71" s="211">
        <f t="shared" si="7"/>
        <v>19.799099999999999</v>
      </c>
      <c r="N71" s="11"/>
      <c r="O71" s="11"/>
    </row>
    <row r="72" spans="2:15" s="2" customFormat="1" ht="20" x14ac:dyDescent="0.2">
      <c r="B72" s="108" t="s">
        <v>703</v>
      </c>
      <c r="C72" s="107" t="s">
        <v>1082</v>
      </c>
      <c r="D72" s="35" t="s">
        <v>75</v>
      </c>
      <c r="E72" s="35" t="s">
        <v>762</v>
      </c>
      <c r="F72" s="65"/>
      <c r="G72" s="109">
        <v>115</v>
      </c>
      <c r="H72" s="65"/>
      <c r="I72" s="211">
        <v>160</v>
      </c>
      <c r="J72" s="211">
        <v>160</v>
      </c>
      <c r="K72" s="150">
        <v>0.9</v>
      </c>
      <c r="L72" s="211">
        <f t="shared" si="7"/>
        <v>144</v>
      </c>
      <c r="M72" s="211">
        <f t="shared" si="7"/>
        <v>144</v>
      </c>
      <c r="N72" s="11"/>
      <c r="O72" s="11"/>
    </row>
    <row r="73" spans="2:15" s="2" customFormat="1" ht="20" x14ac:dyDescent="0.2">
      <c r="B73" s="108" t="s">
        <v>702</v>
      </c>
      <c r="C73" s="107" t="s">
        <v>1137</v>
      </c>
      <c r="D73" s="35" t="s">
        <v>75</v>
      </c>
      <c r="E73" s="35" t="s">
        <v>762</v>
      </c>
      <c r="F73" s="65"/>
      <c r="G73" s="109">
        <v>230</v>
      </c>
      <c r="H73" s="109">
        <v>138</v>
      </c>
      <c r="I73" s="94"/>
      <c r="J73" s="94"/>
      <c r="K73" s="100"/>
      <c r="L73" s="94"/>
      <c r="M73" s="59"/>
      <c r="N73" s="11"/>
      <c r="O73" s="11"/>
    </row>
    <row r="74" spans="2:15" s="2" customFormat="1" ht="20" x14ac:dyDescent="0.2">
      <c r="B74" s="111" t="s">
        <v>651</v>
      </c>
      <c r="C74" s="107" t="s">
        <v>1083</v>
      </c>
      <c r="D74" s="35" t="s">
        <v>75</v>
      </c>
      <c r="E74" s="35" t="s">
        <v>762</v>
      </c>
      <c r="F74" s="65"/>
      <c r="G74" s="109">
        <v>230</v>
      </c>
      <c r="H74" s="65"/>
      <c r="I74" s="150">
        <f>J74/1.2</f>
        <v>29.0625</v>
      </c>
      <c r="J74" s="211">
        <v>34.875</v>
      </c>
      <c r="K74" s="150">
        <v>0.9</v>
      </c>
      <c r="L74" s="150">
        <f>I74*$K74</f>
        <v>26.15625</v>
      </c>
      <c r="M74" s="211">
        <f>J74*$K74</f>
        <v>31.387499999999999</v>
      </c>
      <c r="N74" s="11"/>
      <c r="O74" s="11"/>
    </row>
    <row r="75" spans="2:15" s="2" customFormat="1" ht="20" x14ac:dyDescent="0.2">
      <c r="B75" s="108" t="s">
        <v>662</v>
      </c>
      <c r="C75" s="107" t="s">
        <v>1084</v>
      </c>
      <c r="D75" s="35" t="s">
        <v>75</v>
      </c>
      <c r="E75" s="35" t="s">
        <v>762</v>
      </c>
      <c r="F75" s="65"/>
      <c r="G75" s="109">
        <v>115</v>
      </c>
      <c r="H75" s="65"/>
      <c r="I75" s="211">
        <v>22</v>
      </c>
      <c r="J75" s="211">
        <v>26.5</v>
      </c>
      <c r="K75" s="150">
        <v>0.9</v>
      </c>
      <c r="L75" s="211">
        <f>I75*$K75</f>
        <v>19.8</v>
      </c>
      <c r="M75" s="211">
        <f>J75*$K75</f>
        <v>23.85</v>
      </c>
      <c r="N75" s="11"/>
      <c r="O75" s="11"/>
    </row>
    <row r="76" spans="2:15" s="2" customFormat="1" ht="20" x14ac:dyDescent="0.2">
      <c r="B76" s="108" t="s">
        <v>655</v>
      </c>
      <c r="C76" s="107" t="s">
        <v>1085</v>
      </c>
      <c r="D76" s="35" t="s">
        <v>75</v>
      </c>
      <c r="E76" s="35" t="s">
        <v>762</v>
      </c>
      <c r="F76" s="65"/>
      <c r="G76" s="109">
        <v>138</v>
      </c>
      <c r="H76" s="65"/>
      <c r="I76" s="94"/>
      <c r="J76" s="94"/>
      <c r="K76" s="100"/>
      <c r="L76" s="94"/>
      <c r="M76" s="59"/>
      <c r="N76" s="11"/>
      <c r="O76" s="11"/>
    </row>
    <row r="77" spans="2:15" s="2" customFormat="1" ht="20" x14ac:dyDescent="0.2">
      <c r="B77" s="108" t="s">
        <v>793</v>
      </c>
      <c r="C77" s="107" t="s">
        <v>1086</v>
      </c>
      <c r="D77" s="35" t="s">
        <v>75</v>
      </c>
      <c r="E77" s="35" t="s">
        <v>762</v>
      </c>
      <c r="F77" s="65"/>
      <c r="G77" s="109">
        <v>138</v>
      </c>
      <c r="H77" s="65"/>
      <c r="I77" s="150">
        <f>J77/1.2</f>
        <v>9.2441666666666666</v>
      </c>
      <c r="J77" s="211">
        <v>11.093</v>
      </c>
      <c r="K77" s="150">
        <v>0.9</v>
      </c>
      <c r="L77" s="150">
        <f t="shared" ref="L77:M79" si="8">I77*$K77</f>
        <v>8.3197500000000009</v>
      </c>
      <c r="M77" s="211">
        <f t="shared" si="8"/>
        <v>9.9837000000000007</v>
      </c>
      <c r="N77" s="11"/>
      <c r="O77" s="11"/>
    </row>
    <row r="78" spans="2:15" s="2" customFormat="1" ht="20" x14ac:dyDescent="0.2">
      <c r="B78" s="108" t="s">
        <v>515</v>
      </c>
      <c r="C78" s="107" t="s">
        <v>1087</v>
      </c>
      <c r="D78" s="35" t="s">
        <v>75</v>
      </c>
      <c r="E78" s="35" t="s">
        <v>762</v>
      </c>
      <c r="F78" s="65"/>
      <c r="G78" s="109">
        <v>115</v>
      </c>
      <c r="H78" s="65"/>
      <c r="I78" s="150">
        <f>J78/1.2</f>
        <v>1.29</v>
      </c>
      <c r="J78" s="211">
        <v>1.548</v>
      </c>
      <c r="K78" s="150">
        <v>0.9</v>
      </c>
      <c r="L78" s="150">
        <f t="shared" si="8"/>
        <v>1.161</v>
      </c>
      <c r="M78" s="211">
        <f t="shared" si="8"/>
        <v>1.3932</v>
      </c>
      <c r="N78" s="11"/>
      <c r="O78" s="11"/>
    </row>
    <row r="79" spans="2:15" s="2" customFormat="1" ht="20" x14ac:dyDescent="0.2">
      <c r="B79" s="108" t="s">
        <v>872</v>
      </c>
      <c r="C79" s="107" t="s">
        <v>1088</v>
      </c>
      <c r="D79" s="35" t="s">
        <v>75</v>
      </c>
      <c r="E79" s="35" t="s">
        <v>762</v>
      </c>
      <c r="F79" s="65"/>
      <c r="G79" s="109">
        <v>230</v>
      </c>
      <c r="H79" s="65"/>
      <c r="I79" s="150">
        <f>J79/1.2</f>
        <v>20.25</v>
      </c>
      <c r="J79" s="211">
        <v>24.3</v>
      </c>
      <c r="K79" s="150">
        <v>0.9</v>
      </c>
      <c r="L79" s="150">
        <f t="shared" si="8"/>
        <v>18.225000000000001</v>
      </c>
      <c r="M79" s="211">
        <f t="shared" si="8"/>
        <v>21.87</v>
      </c>
      <c r="N79" s="11"/>
      <c r="O79" s="11"/>
    </row>
    <row r="80" spans="2:15" s="2" customFormat="1" ht="20" x14ac:dyDescent="0.2">
      <c r="B80" s="108" t="s">
        <v>673</v>
      </c>
      <c r="C80" s="107" t="s">
        <v>1089</v>
      </c>
      <c r="D80" s="35" t="s">
        <v>75</v>
      </c>
      <c r="E80" s="35" t="s">
        <v>762</v>
      </c>
      <c r="F80" s="65"/>
      <c r="G80" s="109">
        <v>138</v>
      </c>
      <c r="H80" s="65"/>
      <c r="I80" s="94"/>
      <c r="J80" s="94"/>
      <c r="K80" s="100"/>
      <c r="L80" s="94"/>
      <c r="M80" s="59"/>
      <c r="N80" s="11"/>
      <c r="O80" s="11"/>
    </row>
    <row r="81" spans="2:15" s="2" customFormat="1" ht="20" x14ac:dyDescent="0.2">
      <c r="B81" s="108" t="s">
        <v>680</v>
      </c>
      <c r="C81" s="107" t="s">
        <v>1090</v>
      </c>
      <c r="D81" s="35" t="s">
        <v>75</v>
      </c>
      <c r="E81" s="35" t="s">
        <v>762</v>
      </c>
      <c r="F81" s="65"/>
      <c r="G81" s="109">
        <v>115</v>
      </c>
      <c r="H81" s="65"/>
      <c r="I81" s="150">
        <f>J81/1.2</f>
        <v>32.550000000000004</v>
      </c>
      <c r="J81" s="211">
        <v>39.06</v>
      </c>
      <c r="K81" s="150">
        <v>0.9</v>
      </c>
      <c r="L81" s="150">
        <f>I81*$K81</f>
        <v>29.295000000000005</v>
      </c>
      <c r="M81" s="211">
        <f>J81*$K81</f>
        <v>35.154000000000003</v>
      </c>
      <c r="N81" s="11"/>
      <c r="O81" s="11"/>
    </row>
    <row r="82" spans="2:15" s="2" customFormat="1" ht="20" x14ac:dyDescent="0.2">
      <c r="B82" s="111" t="s">
        <v>682</v>
      </c>
      <c r="C82" s="107" t="s">
        <v>1091</v>
      </c>
      <c r="D82" s="35" t="s">
        <v>75</v>
      </c>
      <c r="E82" s="35" t="s">
        <v>762</v>
      </c>
      <c r="F82" s="65"/>
      <c r="G82" s="109">
        <v>115</v>
      </c>
      <c r="H82" s="65"/>
      <c r="I82" s="150">
        <f>J82/1.2</f>
        <v>11.083333333333334</v>
      </c>
      <c r="J82" s="211">
        <v>13.3</v>
      </c>
      <c r="K82" s="150">
        <v>0.9</v>
      </c>
      <c r="L82" s="150">
        <f>I82*$K82</f>
        <v>9.9750000000000014</v>
      </c>
      <c r="M82" s="211">
        <f>J82*$K82</f>
        <v>11.97</v>
      </c>
      <c r="N82" s="11"/>
      <c r="O82" s="11"/>
    </row>
    <row r="83" spans="2:15" s="2" customFormat="1" ht="20" x14ac:dyDescent="0.2">
      <c r="B83" s="108" t="s">
        <v>750</v>
      </c>
      <c r="C83" s="107" t="s">
        <v>1031</v>
      </c>
      <c r="D83" s="35" t="s">
        <v>75</v>
      </c>
      <c r="E83" s="35" t="s">
        <v>762</v>
      </c>
      <c r="F83" s="65"/>
      <c r="G83" s="109">
        <v>115</v>
      </c>
      <c r="H83" s="65"/>
      <c r="I83" s="94"/>
      <c r="J83" s="94"/>
      <c r="K83" s="100"/>
      <c r="L83" s="94"/>
      <c r="M83" s="59"/>
      <c r="N83" s="11"/>
      <c r="O83" s="11"/>
    </row>
    <row r="84" spans="2:15" s="2" customFormat="1" ht="20" x14ac:dyDescent="0.2">
      <c r="B84" s="108" t="s">
        <v>696</v>
      </c>
      <c r="C84" s="107" t="s">
        <v>1138</v>
      </c>
      <c r="D84" s="35" t="s">
        <v>75</v>
      </c>
      <c r="E84" s="35" t="s">
        <v>762</v>
      </c>
      <c r="F84" s="65"/>
      <c r="G84" s="109">
        <v>115</v>
      </c>
      <c r="H84" s="65"/>
      <c r="I84" s="211">
        <v>235.2</v>
      </c>
      <c r="J84" s="211">
        <v>275.60000000000002</v>
      </c>
      <c r="K84" s="150">
        <v>0.9</v>
      </c>
      <c r="L84" s="211">
        <f>I84*$K84</f>
        <v>211.68</v>
      </c>
      <c r="M84" s="211">
        <f>J84*$K84</f>
        <v>248.04000000000002</v>
      </c>
      <c r="N84" s="11"/>
      <c r="O84" s="11"/>
    </row>
    <row r="85" spans="2:15" s="2" customFormat="1" ht="20" x14ac:dyDescent="0.2">
      <c r="B85" s="108" t="s">
        <v>740</v>
      </c>
      <c r="C85" s="107" t="s">
        <v>1030</v>
      </c>
      <c r="D85" s="35" t="s">
        <v>75</v>
      </c>
      <c r="E85" s="35" t="s">
        <v>762</v>
      </c>
      <c r="F85" s="65"/>
      <c r="G85" s="109">
        <v>230</v>
      </c>
      <c r="H85" s="65"/>
      <c r="I85" s="94"/>
      <c r="J85" s="94"/>
      <c r="K85" s="100"/>
      <c r="L85" s="94"/>
      <c r="M85" s="59"/>
      <c r="N85" s="11"/>
      <c r="O85" s="11"/>
    </row>
    <row r="86" spans="2:15" s="2" customFormat="1" ht="20" x14ac:dyDescent="0.2">
      <c r="B86" s="111" t="s">
        <v>672</v>
      </c>
      <c r="C86" s="107" t="s">
        <v>1092</v>
      </c>
      <c r="D86" s="35" t="s">
        <v>75</v>
      </c>
      <c r="E86" s="35" t="s">
        <v>762</v>
      </c>
      <c r="F86" s="65"/>
      <c r="G86" s="109">
        <v>230</v>
      </c>
      <c r="H86" s="65"/>
      <c r="I86" s="94"/>
      <c r="J86" s="94"/>
      <c r="K86" s="100"/>
      <c r="L86" s="94"/>
      <c r="M86" s="59"/>
      <c r="N86" s="11"/>
      <c r="O86" s="11"/>
    </row>
    <row r="87" spans="2:15" s="2" customFormat="1" ht="20" x14ac:dyDescent="0.2">
      <c r="B87" s="108" t="s">
        <v>644</v>
      </c>
      <c r="C87" s="107" t="s">
        <v>1093</v>
      </c>
      <c r="D87" s="35" t="s">
        <v>75</v>
      </c>
      <c r="E87" s="35" t="s">
        <v>762</v>
      </c>
      <c r="F87" s="65"/>
      <c r="G87" s="109">
        <v>138</v>
      </c>
      <c r="H87" s="65"/>
      <c r="I87" s="94"/>
      <c r="J87" s="94"/>
      <c r="K87" s="100"/>
      <c r="L87" s="94"/>
      <c r="M87" s="59"/>
      <c r="N87" s="11"/>
      <c r="O87" s="11"/>
    </row>
    <row r="88" spans="2:15" s="2" customFormat="1" ht="20" x14ac:dyDescent="0.2">
      <c r="B88" s="108" t="s">
        <v>786</v>
      </c>
      <c r="C88" s="107" t="s">
        <v>1032</v>
      </c>
      <c r="D88" s="35" t="s">
        <v>75</v>
      </c>
      <c r="E88" s="35" t="s">
        <v>762</v>
      </c>
      <c r="F88" s="65"/>
      <c r="G88" s="109">
        <v>230</v>
      </c>
      <c r="H88" s="65"/>
      <c r="I88" s="94"/>
      <c r="J88" s="94"/>
      <c r="K88" s="100"/>
      <c r="L88" s="94"/>
      <c r="M88" s="59"/>
      <c r="N88" s="11"/>
      <c r="O88" s="11"/>
    </row>
    <row r="89" spans="2:15" s="2" customFormat="1" ht="20" x14ac:dyDescent="0.2">
      <c r="B89" s="108" t="s">
        <v>668</v>
      </c>
      <c r="C89" s="107" t="s">
        <v>1094</v>
      </c>
      <c r="D89" s="35" t="s">
        <v>75</v>
      </c>
      <c r="E89" s="35" t="s">
        <v>762</v>
      </c>
      <c r="F89" s="65"/>
      <c r="G89" s="109">
        <v>115</v>
      </c>
      <c r="H89" s="65"/>
      <c r="I89" s="150">
        <f>J89/1.2</f>
        <v>11.666666666666668</v>
      </c>
      <c r="J89" s="211">
        <v>14</v>
      </c>
      <c r="K89" s="150">
        <v>0.9</v>
      </c>
      <c r="L89" s="150">
        <f t="shared" ref="L89:M92" si="9">I89*$K89</f>
        <v>10.500000000000002</v>
      </c>
      <c r="M89" s="211">
        <f t="shared" si="9"/>
        <v>12.6</v>
      </c>
      <c r="N89" s="11"/>
      <c r="O89" s="11"/>
    </row>
    <row r="90" spans="2:15" s="2" customFormat="1" ht="20" x14ac:dyDescent="0.2">
      <c r="B90" s="108" t="s">
        <v>668</v>
      </c>
      <c r="C90" s="107" t="s">
        <v>1094</v>
      </c>
      <c r="D90" s="35" t="s">
        <v>75</v>
      </c>
      <c r="E90" s="35" t="s">
        <v>762</v>
      </c>
      <c r="F90" s="65"/>
      <c r="G90" s="109">
        <v>115</v>
      </c>
      <c r="H90" s="65"/>
      <c r="I90" s="150">
        <f>J90/1.2</f>
        <v>68.75</v>
      </c>
      <c r="J90" s="211">
        <v>82.5</v>
      </c>
      <c r="K90" s="150">
        <v>0.9</v>
      </c>
      <c r="L90" s="150">
        <f t="shared" si="9"/>
        <v>61.875</v>
      </c>
      <c r="M90" s="211">
        <f t="shared" si="9"/>
        <v>74.25</v>
      </c>
      <c r="N90" s="11"/>
      <c r="O90" s="11"/>
    </row>
    <row r="91" spans="2:15" s="2" customFormat="1" ht="20" x14ac:dyDescent="0.2">
      <c r="B91" s="108" t="s">
        <v>795</v>
      </c>
      <c r="C91" s="107" t="s">
        <v>1095</v>
      </c>
      <c r="D91" s="35" t="s">
        <v>75</v>
      </c>
      <c r="E91" s="35" t="s">
        <v>762</v>
      </c>
      <c r="F91" s="65"/>
      <c r="G91" s="109">
        <v>115</v>
      </c>
      <c r="H91" s="65"/>
      <c r="I91" s="211">
        <v>17.28</v>
      </c>
      <c r="J91" s="211">
        <v>22.274999999999999</v>
      </c>
      <c r="K91" s="150">
        <v>0.9</v>
      </c>
      <c r="L91" s="211">
        <f t="shared" si="9"/>
        <v>15.552000000000001</v>
      </c>
      <c r="M91" s="211">
        <f t="shared" si="9"/>
        <v>20.047499999999999</v>
      </c>
      <c r="N91" s="11"/>
      <c r="O91" s="11"/>
    </row>
    <row r="92" spans="2:15" s="2" customFormat="1" ht="20" x14ac:dyDescent="0.2">
      <c r="B92" s="108" t="s">
        <v>887</v>
      </c>
      <c r="C92" s="107" t="s">
        <v>1096</v>
      </c>
      <c r="D92" s="35" t="s">
        <v>75</v>
      </c>
      <c r="E92" s="35" t="s">
        <v>762</v>
      </c>
      <c r="F92" s="65"/>
      <c r="G92" s="109">
        <v>230</v>
      </c>
      <c r="H92" s="109">
        <v>115</v>
      </c>
      <c r="I92" s="150">
        <f>J92/1.2</f>
        <v>11.110833333333334</v>
      </c>
      <c r="J92" s="211">
        <v>13.333</v>
      </c>
      <c r="K92" s="150">
        <v>0.9</v>
      </c>
      <c r="L92" s="150">
        <f t="shared" si="9"/>
        <v>9.9997500000000006</v>
      </c>
      <c r="M92" s="211">
        <f t="shared" si="9"/>
        <v>11.999700000000001</v>
      </c>
      <c r="N92" s="11"/>
      <c r="O92" s="11"/>
    </row>
    <row r="93" spans="2:15" s="2" customFormat="1" ht="20" x14ac:dyDescent="0.2">
      <c r="B93" s="108" t="s">
        <v>649</v>
      </c>
      <c r="C93" s="107" t="s">
        <v>1139</v>
      </c>
      <c r="D93" s="35" t="s">
        <v>75</v>
      </c>
      <c r="E93" s="35" t="s">
        <v>762</v>
      </c>
      <c r="F93" s="65"/>
      <c r="G93" s="109">
        <v>230</v>
      </c>
      <c r="H93" s="65"/>
      <c r="I93" s="94"/>
      <c r="J93" s="94"/>
      <c r="K93" s="100"/>
      <c r="L93" s="94"/>
      <c r="M93" s="59"/>
      <c r="N93" s="11"/>
      <c r="O93" s="11"/>
    </row>
    <row r="94" spans="2:15" s="2" customFormat="1" ht="20" x14ac:dyDescent="0.2">
      <c r="B94" s="108" t="s">
        <v>657</v>
      </c>
      <c r="C94" s="107" t="s">
        <v>1097</v>
      </c>
      <c r="D94" s="35" t="s">
        <v>75</v>
      </c>
      <c r="E94" s="35" t="s">
        <v>762</v>
      </c>
      <c r="F94" s="65"/>
      <c r="G94" s="109">
        <v>230</v>
      </c>
      <c r="H94" s="65"/>
      <c r="I94" s="150">
        <f>J94/1.2</f>
        <v>8.3333333333333339</v>
      </c>
      <c r="J94" s="211">
        <v>10</v>
      </c>
      <c r="K94" s="150">
        <v>0.9</v>
      </c>
      <c r="L94" s="150">
        <f>I94*$K94</f>
        <v>7.5000000000000009</v>
      </c>
      <c r="M94" s="211">
        <f>J94*$K94</f>
        <v>9</v>
      </c>
      <c r="N94" s="11"/>
      <c r="O94" s="11"/>
    </row>
    <row r="95" spans="2:15" s="2" customFormat="1" ht="20" x14ac:dyDescent="0.2">
      <c r="B95" s="108" t="s">
        <v>681</v>
      </c>
      <c r="C95" s="107" t="s">
        <v>1098</v>
      </c>
      <c r="D95" s="35" t="s">
        <v>75</v>
      </c>
      <c r="E95" s="35" t="s">
        <v>762</v>
      </c>
      <c r="F95" s="65"/>
      <c r="G95" s="109">
        <v>230</v>
      </c>
      <c r="H95" s="65"/>
      <c r="I95" s="94"/>
      <c r="J95" s="94"/>
      <c r="K95" s="100"/>
      <c r="L95" s="94"/>
      <c r="M95" s="59"/>
      <c r="N95" s="11"/>
      <c r="O95" s="11"/>
    </row>
    <row r="96" spans="2:15" s="2" customFormat="1" ht="20" x14ac:dyDescent="0.2">
      <c r="B96" s="108" t="s">
        <v>661</v>
      </c>
      <c r="C96" s="107" t="s">
        <v>1140</v>
      </c>
      <c r="D96" s="35" t="s">
        <v>75</v>
      </c>
      <c r="E96" s="35" t="s">
        <v>762</v>
      </c>
      <c r="F96" s="65"/>
      <c r="G96" s="109">
        <v>230</v>
      </c>
      <c r="H96" s="65"/>
      <c r="I96" s="211">
        <v>25.82</v>
      </c>
      <c r="J96" s="211">
        <v>37.75</v>
      </c>
      <c r="K96" s="150">
        <v>0.9</v>
      </c>
      <c r="L96" s="211">
        <f>I96*$K96</f>
        <v>23.238</v>
      </c>
      <c r="M96" s="211">
        <f>J96*$K96</f>
        <v>33.975000000000001</v>
      </c>
      <c r="N96" s="11"/>
      <c r="O96" s="11"/>
    </row>
    <row r="97" spans="2:15" s="2" customFormat="1" ht="20" x14ac:dyDescent="0.2">
      <c r="B97" s="108" t="s">
        <v>663</v>
      </c>
      <c r="C97" s="107" t="s">
        <v>1099</v>
      </c>
      <c r="D97" s="35" t="s">
        <v>75</v>
      </c>
      <c r="E97" s="35" t="s">
        <v>762</v>
      </c>
      <c r="F97" s="65"/>
      <c r="G97" s="109">
        <v>230</v>
      </c>
      <c r="H97" s="65"/>
      <c r="I97" s="94"/>
      <c r="J97" s="94"/>
      <c r="K97" s="100"/>
      <c r="L97" s="94"/>
      <c r="M97" s="59"/>
      <c r="N97" s="11"/>
      <c r="O97" s="11"/>
    </row>
    <row r="98" spans="2:15" s="2" customFormat="1" ht="20" x14ac:dyDescent="0.2">
      <c r="B98" s="108" t="s">
        <v>697</v>
      </c>
      <c r="C98" s="107" t="s">
        <v>1100</v>
      </c>
      <c r="D98" s="35" t="s">
        <v>75</v>
      </c>
      <c r="E98" s="35" t="s">
        <v>762</v>
      </c>
      <c r="F98" s="65"/>
      <c r="G98" s="109">
        <v>230</v>
      </c>
      <c r="H98" s="109">
        <v>115</v>
      </c>
      <c r="I98" s="94"/>
      <c r="J98" s="94"/>
      <c r="K98" s="100"/>
      <c r="L98" s="94"/>
      <c r="M98" s="59"/>
      <c r="N98" s="11"/>
      <c r="O98" s="11"/>
    </row>
    <row r="99" spans="2:15" s="2" customFormat="1" ht="20" x14ac:dyDescent="0.2">
      <c r="B99" s="108" t="s">
        <v>659</v>
      </c>
      <c r="C99" s="107" t="s">
        <v>1101</v>
      </c>
      <c r="D99" s="35" t="s">
        <v>75</v>
      </c>
      <c r="E99" s="35" t="s">
        <v>762</v>
      </c>
      <c r="F99" s="65"/>
      <c r="G99" s="109">
        <v>115</v>
      </c>
      <c r="H99" s="65"/>
      <c r="I99" s="94"/>
      <c r="J99" s="94"/>
      <c r="K99" s="100"/>
      <c r="L99" s="94"/>
      <c r="M99" s="59"/>
      <c r="N99" s="11"/>
      <c r="O99" s="11"/>
    </row>
    <row r="100" spans="2:15" s="2" customFormat="1" ht="20" x14ac:dyDescent="0.2">
      <c r="B100" s="108" t="s">
        <v>701</v>
      </c>
      <c r="C100" s="107" t="s">
        <v>1142</v>
      </c>
      <c r="D100" s="35" t="s">
        <v>75</v>
      </c>
      <c r="E100" s="35" t="s">
        <v>762</v>
      </c>
      <c r="F100" s="65"/>
      <c r="G100" s="109">
        <v>115</v>
      </c>
      <c r="H100" s="65"/>
      <c r="I100" s="94"/>
      <c r="J100" s="94"/>
      <c r="K100" s="100"/>
      <c r="L100" s="94"/>
      <c r="M100" s="59"/>
      <c r="N100" s="11"/>
      <c r="O100" s="11"/>
    </row>
    <row r="101" spans="2:15" s="2" customFormat="1" ht="20" x14ac:dyDescent="0.2">
      <c r="B101" s="108" t="s">
        <v>731</v>
      </c>
      <c r="C101" s="107" t="s">
        <v>1102</v>
      </c>
      <c r="D101" s="35" t="s">
        <v>75</v>
      </c>
      <c r="E101" s="35" t="s">
        <v>762</v>
      </c>
      <c r="F101" s="65"/>
      <c r="G101" s="109">
        <v>230</v>
      </c>
      <c r="H101" s="109">
        <v>115</v>
      </c>
      <c r="I101" s="150">
        <f>J101/1.2</f>
        <v>68.75</v>
      </c>
      <c r="J101" s="211">
        <v>82.5</v>
      </c>
      <c r="K101" s="150">
        <v>0.9</v>
      </c>
      <c r="L101" s="150">
        <f>I101*$K101</f>
        <v>61.875</v>
      </c>
      <c r="M101" s="211">
        <f>J101*$K101</f>
        <v>74.25</v>
      </c>
      <c r="N101" s="11"/>
      <c r="O101" s="11"/>
    </row>
    <row r="102" spans="2:15" s="2" customFormat="1" ht="20" x14ac:dyDescent="0.2">
      <c r="B102" s="108" t="s">
        <v>658</v>
      </c>
      <c r="C102" s="107" t="s">
        <v>1103</v>
      </c>
      <c r="D102" s="35" t="s">
        <v>75</v>
      </c>
      <c r="E102" s="35" t="s">
        <v>762</v>
      </c>
      <c r="F102" s="65"/>
      <c r="G102" s="109">
        <v>115</v>
      </c>
      <c r="H102" s="65"/>
      <c r="I102" s="94"/>
      <c r="J102" s="94"/>
      <c r="K102" s="100"/>
      <c r="L102" s="94"/>
      <c r="M102" s="59"/>
      <c r="N102" s="11"/>
      <c r="O102" s="11"/>
    </row>
    <row r="103" spans="2:15" s="2" customFormat="1" ht="20" x14ac:dyDescent="0.2">
      <c r="B103" s="108" t="s">
        <v>656</v>
      </c>
      <c r="C103" s="107" t="s">
        <v>1143</v>
      </c>
      <c r="D103" s="35" t="s">
        <v>75</v>
      </c>
      <c r="E103" s="35" t="s">
        <v>762</v>
      </c>
      <c r="F103" s="65"/>
      <c r="G103" s="109">
        <v>115</v>
      </c>
      <c r="H103" s="65"/>
      <c r="I103" s="150">
        <f>J103/1.2</f>
        <v>22.408333333333335</v>
      </c>
      <c r="J103" s="211">
        <v>26.89</v>
      </c>
      <c r="K103" s="150">
        <v>0.9</v>
      </c>
      <c r="L103" s="150">
        <f>I103*$K103</f>
        <v>20.1675</v>
      </c>
      <c r="M103" s="211">
        <f>J103*$K103</f>
        <v>24.201000000000001</v>
      </c>
      <c r="N103" s="11"/>
      <c r="O103" s="11"/>
    </row>
    <row r="104" spans="2:15" s="2" customFormat="1" ht="20" x14ac:dyDescent="0.2">
      <c r="B104" s="112" t="s">
        <v>699</v>
      </c>
      <c r="C104" s="107" t="s">
        <v>1144</v>
      </c>
      <c r="D104" s="35" t="s">
        <v>75</v>
      </c>
      <c r="E104" s="35" t="s">
        <v>762</v>
      </c>
      <c r="F104" s="65"/>
      <c r="G104" s="109">
        <v>115</v>
      </c>
      <c r="H104" s="109">
        <v>4</v>
      </c>
      <c r="I104" s="211">
        <v>27.1</v>
      </c>
      <c r="J104" s="211">
        <v>27.1</v>
      </c>
      <c r="K104" s="150">
        <v>0.9</v>
      </c>
      <c r="L104" s="211">
        <f>I104*$K104</f>
        <v>24.39</v>
      </c>
      <c r="M104" s="211">
        <f>J104*$K104</f>
        <v>24.39</v>
      </c>
      <c r="N104" s="11"/>
      <c r="O104" s="11"/>
    </row>
    <row r="105" spans="2:15" s="2" customFormat="1" ht="20" x14ac:dyDescent="0.2">
      <c r="B105" s="108" t="s">
        <v>751</v>
      </c>
      <c r="C105" s="107" t="s">
        <v>1033</v>
      </c>
      <c r="D105" s="35" t="s">
        <v>75</v>
      </c>
      <c r="E105" s="35" t="s">
        <v>762</v>
      </c>
      <c r="F105" s="65"/>
      <c r="G105" s="109">
        <v>115</v>
      </c>
      <c r="H105" s="65"/>
      <c r="I105" s="94"/>
      <c r="J105" s="94"/>
      <c r="K105" s="100"/>
      <c r="L105" s="94"/>
      <c r="M105" s="59"/>
      <c r="N105" s="11"/>
      <c r="O105" s="11"/>
    </row>
    <row r="106" spans="2:15" s="2" customFormat="1" ht="20" x14ac:dyDescent="0.2">
      <c r="B106" s="108" t="s">
        <v>757</v>
      </c>
      <c r="C106" s="107" t="s">
        <v>1037</v>
      </c>
      <c r="D106" s="35" t="s">
        <v>75</v>
      </c>
      <c r="E106" s="35" t="s">
        <v>762</v>
      </c>
      <c r="F106" s="65"/>
      <c r="G106" s="109">
        <v>115</v>
      </c>
      <c r="H106" s="65"/>
      <c r="I106" s="94"/>
      <c r="J106" s="94"/>
      <c r="K106" s="100"/>
      <c r="L106" s="94"/>
      <c r="M106" s="59"/>
      <c r="N106" s="11"/>
      <c r="O106" s="11"/>
    </row>
    <row r="107" spans="2:15" s="2" customFormat="1" ht="20" x14ac:dyDescent="0.2">
      <c r="B107" s="108" t="s">
        <v>678</v>
      </c>
      <c r="C107" s="107" t="s">
        <v>1145</v>
      </c>
      <c r="D107" s="35" t="s">
        <v>75</v>
      </c>
      <c r="E107" s="35" t="s">
        <v>762</v>
      </c>
      <c r="F107" s="65" t="s">
        <v>373</v>
      </c>
      <c r="G107" s="109">
        <v>115</v>
      </c>
      <c r="H107" s="109">
        <v>4</v>
      </c>
      <c r="I107" s="211">
        <v>64.400000000000006</v>
      </c>
      <c r="J107" s="211">
        <v>48.7</v>
      </c>
      <c r="K107" s="150">
        <v>0.9</v>
      </c>
      <c r="L107" s="211">
        <f t="shared" ref="L107:M109" si="10">I107*$K107</f>
        <v>57.960000000000008</v>
      </c>
      <c r="M107" s="211">
        <f t="shared" si="10"/>
        <v>43.830000000000005</v>
      </c>
      <c r="N107" s="11"/>
      <c r="O107" s="11"/>
    </row>
    <row r="108" spans="2:15" s="2" customFormat="1" ht="20" x14ac:dyDescent="0.2">
      <c r="B108" s="108" t="s">
        <v>678</v>
      </c>
      <c r="C108" s="107" t="s">
        <v>1145</v>
      </c>
      <c r="D108" s="35" t="s">
        <v>75</v>
      </c>
      <c r="E108" s="35" t="s">
        <v>762</v>
      </c>
      <c r="F108" s="65" t="s">
        <v>373</v>
      </c>
      <c r="G108" s="109">
        <v>115</v>
      </c>
      <c r="H108" s="109">
        <v>12</v>
      </c>
      <c r="I108" s="211">
        <v>64.400000000000006</v>
      </c>
      <c r="J108" s="211">
        <v>48.7</v>
      </c>
      <c r="K108" s="150">
        <v>0.9</v>
      </c>
      <c r="L108" s="211">
        <f t="shared" si="10"/>
        <v>57.960000000000008</v>
      </c>
      <c r="M108" s="211">
        <f t="shared" si="10"/>
        <v>43.830000000000005</v>
      </c>
      <c r="N108" s="11"/>
      <c r="O108" s="11"/>
    </row>
    <row r="109" spans="2:15" s="2" customFormat="1" ht="20" x14ac:dyDescent="0.2">
      <c r="B109" s="108" t="s">
        <v>864</v>
      </c>
      <c r="C109" s="107" t="s">
        <v>1146</v>
      </c>
      <c r="D109" s="35" t="s">
        <v>75</v>
      </c>
      <c r="E109" s="35" t="s">
        <v>762</v>
      </c>
      <c r="F109" s="65"/>
      <c r="G109" s="109">
        <v>230</v>
      </c>
      <c r="H109" s="65"/>
      <c r="I109" s="150">
        <f>J109/1.2</f>
        <v>5.5</v>
      </c>
      <c r="J109" s="211">
        <v>6.6</v>
      </c>
      <c r="K109" s="150">
        <v>0.9</v>
      </c>
      <c r="L109" s="150">
        <f t="shared" si="10"/>
        <v>4.95</v>
      </c>
      <c r="M109" s="211">
        <f t="shared" si="10"/>
        <v>5.9399999999999995</v>
      </c>
      <c r="N109" s="11"/>
      <c r="O109" s="11"/>
    </row>
    <row r="110" spans="2:15" s="2" customFormat="1" ht="20" x14ac:dyDescent="0.2">
      <c r="B110" s="108" t="s">
        <v>732</v>
      </c>
      <c r="C110" s="107" t="s">
        <v>1104</v>
      </c>
      <c r="D110" s="35" t="s">
        <v>75</v>
      </c>
      <c r="E110" s="35" t="s">
        <v>762</v>
      </c>
      <c r="F110" s="65"/>
      <c r="G110" s="109">
        <v>124</v>
      </c>
      <c r="H110" s="65"/>
      <c r="I110" s="94"/>
      <c r="J110" s="94"/>
      <c r="K110" s="100"/>
      <c r="L110" s="94"/>
      <c r="M110" s="59"/>
      <c r="N110" s="11"/>
      <c r="O110" s="11"/>
    </row>
    <row r="111" spans="2:15" s="2" customFormat="1" ht="20" x14ac:dyDescent="0.2">
      <c r="B111" s="108" t="s">
        <v>756</v>
      </c>
      <c r="C111" s="107" t="s">
        <v>1034</v>
      </c>
      <c r="D111" s="35" t="s">
        <v>75</v>
      </c>
      <c r="E111" s="35" t="s">
        <v>762</v>
      </c>
      <c r="F111" s="65"/>
      <c r="G111" s="109">
        <v>115</v>
      </c>
      <c r="H111" s="65"/>
      <c r="I111" s="94"/>
      <c r="J111" s="94"/>
      <c r="K111" s="100"/>
      <c r="L111" s="94"/>
      <c r="M111" s="59"/>
      <c r="N111" s="11"/>
      <c r="O111" s="11"/>
    </row>
    <row r="112" spans="2:15" s="2" customFormat="1" ht="20" x14ac:dyDescent="0.2">
      <c r="B112" s="108" t="s">
        <v>796</v>
      </c>
      <c r="C112" s="107" t="s">
        <v>1105</v>
      </c>
      <c r="D112" s="35" t="s">
        <v>75</v>
      </c>
      <c r="E112" s="35" t="s">
        <v>762</v>
      </c>
      <c r="F112" s="65"/>
      <c r="G112" s="109">
        <v>115</v>
      </c>
      <c r="H112" s="65"/>
      <c r="I112" s="150">
        <f>J112/1.2</f>
        <v>9.1666666666666679</v>
      </c>
      <c r="J112" s="211">
        <v>11</v>
      </c>
      <c r="K112" s="150">
        <v>0.9</v>
      </c>
      <c r="L112" s="150">
        <f t="shared" ref="L112:M116" si="11">I112*$K112</f>
        <v>8.2500000000000018</v>
      </c>
      <c r="M112" s="211">
        <f t="shared" si="11"/>
        <v>9.9</v>
      </c>
      <c r="N112" s="11"/>
      <c r="O112" s="11"/>
    </row>
    <row r="113" spans="2:15" s="2" customFormat="1" ht="20" x14ac:dyDescent="0.2">
      <c r="B113" s="108" t="s">
        <v>788</v>
      </c>
      <c r="C113" s="107" t="s">
        <v>1106</v>
      </c>
      <c r="D113" s="35" t="s">
        <v>75</v>
      </c>
      <c r="E113" s="35" t="s">
        <v>762</v>
      </c>
      <c r="F113" s="65"/>
      <c r="G113" s="109">
        <v>230</v>
      </c>
      <c r="H113" s="65"/>
      <c r="I113" s="150">
        <f>J113/1.2</f>
        <v>35.833333333333336</v>
      </c>
      <c r="J113" s="211">
        <v>43</v>
      </c>
      <c r="K113" s="150">
        <v>0.9</v>
      </c>
      <c r="L113" s="150">
        <f t="shared" si="11"/>
        <v>32.25</v>
      </c>
      <c r="M113" s="211">
        <f t="shared" si="11"/>
        <v>38.700000000000003</v>
      </c>
      <c r="N113" s="11"/>
      <c r="O113" s="11"/>
    </row>
    <row r="114" spans="2:15" s="2" customFormat="1" ht="20" x14ac:dyDescent="0.2">
      <c r="B114" s="108" t="s">
        <v>119</v>
      </c>
      <c r="C114" s="107" t="s">
        <v>1147</v>
      </c>
      <c r="D114" s="35" t="s">
        <v>75</v>
      </c>
      <c r="E114" s="35" t="s">
        <v>762</v>
      </c>
      <c r="F114" s="65"/>
      <c r="G114" s="109">
        <v>138</v>
      </c>
      <c r="H114" s="65"/>
      <c r="I114" s="150">
        <f>J114/1.2</f>
        <v>16.459166666666668</v>
      </c>
      <c r="J114" s="211">
        <v>19.751000000000001</v>
      </c>
      <c r="K114" s="150">
        <v>0.9</v>
      </c>
      <c r="L114" s="150">
        <f t="shared" si="11"/>
        <v>14.813250000000002</v>
      </c>
      <c r="M114" s="211">
        <f t="shared" si="11"/>
        <v>17.7759</v>
      </c>
      <c r="N114" s="11"/>
      <c r="O114" s="11"/>
    </row>
    <row r="115" spans="2:15" s="2" customFormat="1" ht="20" x14ac:dyDescent="0.2">
      <c r="B115" s="198" t="s">
        <v>884</v>
      </c>
      <c r="C115" s="107" t="s">
        <v>1107</v>
      </c>
      <c r="D115" s="35" t="s">
        <v>75</v>
      </c>
      <c r="E115" s="35" t="s">
        <v>762</v>
      </c>
      <c r="F115" s="65" t="s">
        <v>373</v>
      </c>
      <c r="G115" s="109">
        <v>115</v>
      </c>
      <c r="H115" s="109">
        <v>4</v>
      </c>
      <c r="I115" s="211">
        <v>18</v>
      </c>
      <c r="J115" s="211">
        <v>18</v>
      </c>
      <c r="K115" s="150">
        <v>0.9</v>
      </c>
      <c r="L115" s="211">
        <f t="shared" si="11"/>
        <v>16.2</v>
      </c>
      <c r="M115" s="211">
        <f t="shared" si="11"/>
        <v>16.2</v>
      </c>
      <c r="N115" s="11" t="s">
        <v>883</v>
      </c>
      <c r="O115" s="11"/>
    </row>
    <row r="116" spans="2:15" s="2" customFormat="1" ht="20" x14ac:dyDescent="0.2">
      <c r="B116" s="198" t="s">
        <v>884</v>
      </c>
      <c r="C116" s="107" t="s">
        <v>1107</v>
      </c>
      <c r="D116" s="35" t="s">
        <v>75</v>
      </c>
      <c r="E116" s="35" t="s">
        <v>762</v>
      </c>
      <c r="F116" s="65" t="s">
        <v>373</v>
      </c>
      <c r="G116" s="109">
        <v>115</v>
      </c>
      <c r="H116" s="109">
        <v>24</v>
      </c>
      <c r="I116" s="211">
        <v>208</v>
      </c>
      <c r="J116" s="211">
        <v>208</v>
      </c>
      <c r="K116" s="150">
        <v>0.9</v>
      </c>
      <c r="L116" s="211">
        <f t="shared" si="11"/>
        <v>187.20000000000002</v>
      </c>
      <c r="M116" s="211">
        <f t="shared" si="11"/>
        <v>187.20000000000002</v>
      </c>
      <c r="N116" s="11" t="s">
        <v>883</v>
      </c>
      <c r="O116" s="11"/>
    </row>
    <row r="117" spans="2:15" s="2" customFormat="1" ht="20" x14ac:dyDescent="0.2">
      <c r="B117" s="152" t="s">
        <v>753</v>
      </c>
      <c r="C117" s="107" t="s">
        <v>1035</v>
      </c>
      <c r="D117" s="35" t="s">
        <v>75</v>
      </c>
      <c r="E117" s="35" t="s">
        <v>762</v>
      </c>
      <c r="F117" s="65"/>
      <c r="G117" s="153">
        <v>230</v>
      </c>
      <c r="H117" s="65"/>
      <c r="I117" s="94"/>
      <c r="J117" s="94"/>
      <c r="K117" s="100"/>
      <c r="L117" s="94"/>
      <c r="M117" s="59"/>
      <c r="N117" s="11"/>
      <c r="O117" s="11"/>
    </row>
    <row r="118" spans="2:15" s="2" customFormat="1" ht="20" x14ac:dyDescent="0.2">
      <c r="B118" s="108" t="s">
        <v>747</v>
      </c>
      <c r="C118" s="107" t="s">
        <v>1036</v>
      </c>
      <c r="D118" s="35" t="s">
        <v>75</v>
      </c>
      <c r="E118" s="35" t="s">
        <v>762</v>
      </c>
      <c r="F118" s="65"/>
      <c r="G118" s="109">
        <v>230</v>
      </c>
      <c r="H118" s="65"/>
      <c r="I118" s="94"/>
      <c r="J118" s="94"/>
      <c r="K118" s="100"/>
      <c r="L118" s="94"/>
      <c r="M118" s="59"/>
      <c r="N118" s="11"/>
      <c r="O118" s="11"/>
    </row>
    <row r="119" spans="2:15" s="2" customFormat="1" ht="20" x14ac:dyDescent="0.2">
      <c r="B119" s="112" t="s">
        <v>646</v>
      </c>
      <c r="C119" s="107" t="s">
        <v>1108</v>
      </c>
      <c r="D119" s="35" t="s">
        <v>75</v>
      </c>
      <c r="E119" s="35" t="s">
        <v>762</v>
      </c>
      <c r="F119" s="65"/>
      <c r="G119" s="109">
        <v>115</v>
      </c>
      <c r="H119" s="65"/>
      <c r="I119" s="211">
        <v>91.6</v>
      </c>
      <c r="J119" s="211">
        <v>121.3</v>
      </c>
      <c r="K119" s="150">
        <v>0.9</v>
      </c>
      <c r="L119" s="211">
        <f>I119*$K119</f>
        <v>82.44</v>
      </c>
      <c r="M119" s="211">
        <f>J119*$K119</f>
        <v>109.17</v>
      </c>
      <c r="N119" s="11"/>
      <c r="O119" s="11"/>
    </row>
    <row r="120" spans="2:15" s="2" customFormat="1" ht="20" x14ac:dyDescent="0.2">
      <c r="B120" s="108" t="s">
        <v>691</v>
      </c>
      <c r="C120" s="107" t="s">
        <v>1148</v>
      </c>
      <c r="D120" s="35" t="s">
        <v>75</v>
      </c>
      <c r="E120" s="35" t="s">
        <v>762</v>
      </c>
      <c r="F120" s="65"/>
      <c r="G120" s="109">
        <v>115</v>
      </c>
      <c r="H120" s="65"/>
      <c r="I120" s="94"/>
      <c r="J120" s="94"/>
      <c r="K120" s="100"/>
      <c r="L120" s="94"/>
      <c r="M120" s="59"/>
      <c r="N120" s="11"/>
      <c r="O120" s="11"/>
    </row>
    <row r="121" spans="2:15" s="2" customFormat="1" ht="20" x14ac:dyDescent="0.2">
      <c r="B121" s="108" t="s">
        <v>693</v>
      </c>
      <c r="C121" s="107" t="s">
        <v>1109</v>
      </c>
      <c r="D121" s="35" t="s">
        <v>75</v>
      </c>
      <c r="E121" s="35" t="s">
        <v>762</v>
      </c>
      <c r="F121" s="65"/>
      <c r="G121" s="109">
        <v>230</v>
      </c>
      <c r="H121" s="65"/>
      <c r="I121" s="94"/>
      <c r="J121" s="94"/>
      <c r="K121" s="100"/>
      <c r="L121" s="94"/>
      <c r="M121" s="59"/>
      <c r="N121" s="11"/>
      <c r="O121" s="11"/>
    </row>
    <row r="122" spans="2:15" s="2" customFormat="1" ht="20" x14ac:dyDescent="0.2">
      <c r="B122" s="108" t="s">
        <v>850</v>
      </c>
      <c r="C122" s="107" t="s">
        <v>1110</v>
      </c>
      <c r="D122" s="35" t="s">
        <v>75</v>
      </c>
      <c r="E122" s="35" t="s">
        <v>762</v>
      </c>
      <c r="F122" s="65"/>
      <c r="G122" s="109">
        <v>115</v>
      </c>
      <c r="H122" s="65"/>
      <c r="I122" s="211">
        <v>11.52</v>
      </c>
      <c r="J122" s="211">
        <v>14.85</v>
      </c>
      <c r="K122" s="150">
        <v>0.9</v>
      </c>
      <c r="L122" s="211">
        <f t="shared" ref="L122:M127" si="12">I122*$K122</f>
        <v>10.368</v>
      </c>
      <c r="M122" s="211">
        <f t="shared" si="12"/>
        <v>13.365</v>
      </c>
      <c r="N122" s="11"/>
      <c r="O122" s="11"/>
    </row>
    <row r="123" spans="2:15" s="2" customFormat="1" ht="20" x14ac:dyDescent="0.2">
      <c r="B123" s="108" t="s">
        <v>875</v>
      </c>
      <c r="C123" s="107" t="s">
        <v>1111</v>
      </c>
      <c r="D123" s="35" t="s">
        <v>75</v>
      </c>
      <c r="E123" s="35" t="s">
        <v>762</v>
      </c>
      <c r="F123" s="65"/>
      <c r="G123" s="109">
        <v>115</v>
      </c>
      <c r="H123" s="65"/>
      <c r="I123" s="211">
        <v>23.04</v>
      </c>
      <c r="J123" s="211">
        <v>29.7</v>
      </c>
      <c r="K123" s="150">
        <v>0.9</v>
      </c>
      <c r="L123" s="211">
        <f t="shared" si="12"/>
        <v>20.736000000000001</v>
      </c>
      <c r="M123" s="211">
        <f t="shared" si="12"/>
        <v>26.73</v>
      </c>
      <c r="N123" s="11"/>
      <c r="O123" s="11"/>
    </row>
    <row r="124" spans="2:15" s="2" customFormat="1" ht="20" x14ac:dyDescent="0.2">
      <c r="B124" s="108" t="s">
        <v>797</v>
      </c>
      <c r="C124" s="107" t="s">
        <v>1112</v>
      </c>
      <c r="D124" s="35" t="s">
        <v>75</v>
      </c>
      <c r="E124" s="35" t="s">
        <v>762</v>
      </c>
      <c r="F124" s="65"/>
      <c r="G124" s="109">
        <v>115</v>
      </c>
      <c r="H124" s="65"/>
      <c r="I124" s="150">
        <f>J124/1.2</f>
        <v>11.083333333333334</v>
      </c>
      <c r="J124" s="211">
        <v>13.3</v>
      </c>
      <c r="K124" s="150">
        <v>0.9</v>
      </c>
      <c r="L124" s="150">
        <f t="shared" si="12"/>
        <v>9.9750000000000014</v>
      </c>
      <c r="M124" s="211">
        <f t="shared" si="12"/>
        <v>11.97</v>
      </c>
      <c r="N124" s="11"/>
      <c r="O124" s="11"/>
    </row>
    <row r="125" spans="2:15" s="2" customFormat="1" ht="20" x14ac:dyDescent="0.2">
      <c r="B125" s="108" t="s">
        <v>695</v>
      </c>
      <c r="C125" s="107" t="s">
        <v>1113</v>
      </c>
      <c r="D125" s="35" t="s">
        <v>75</v>
      </c>
      <c r="E125" s="35" t="s">
        <v>762</v>
      </c>
      <c r="F125" s="65"/>
      <c r="G125" s="109">
        <v>230</v>
      </c>
      <c r="H125" s="65"/>
      <c r="I125" s="211">
        <v>5</v>
      </c>
      <c r="J125" s="211">
        <v>5</v>
      </c>
      <c r="K125" s="150">
        <v>0.9</v>
      </c>
      <c r="L125" s="211">
        <f t="shared" si="12"/>
        <v>4.5</v>
      </c>
      <c r="M125" s="211">
        <f t="shared" si="12"/>
        <v>4.5</v>
      </c>
      <c r="N125" s="11"/>
      <c r="O125" s="11"/>
    </row>
    <row r="126" spans="2:15" s="2" customFormat="1" ht="20" x14ac:dyDescent="0.2">
      <c r="B126" s="108" t="s">
        <v>695</v>
      </c>
      <c r="C126" s="107" t="s">
        <v>1153</v>
      </c>
      <c r="D126" s="35" t="s">
        <v>75</v>
      </c>
      <c r="E126" s="35" t="s">
        <v>762</v>
      </c>
      <c r="F126" s="65"/>
      <c r="G126" s="109">
        <v>230</v>
      </c>
      <c r="H126" s="65"/>
      <c r="I126" s="211">
        <v>8.33</v>
      </c>
      <c r="J126" s="211">
        <v>11.7</v>
      </c>
      <c r="K126" s="150">
        <v>0.9</v>
      </c>
      <c r="L126" s="211">
        <f t="shared" si="12"/>
        <v>7.4969999999999999</v>
      </c>
      <c r="M126" s="211">
        <f t="shared" si="12"/>
        <v>10.53</v>
      </c>
      <c r="N126" s="11"/>
      <c r="O126" s="11"/>
    </row>
    <row r="127" spans="2:15" s="2" customFormat="1" ht="20" x14ac:dyDescent="0.2">
      <c r="B127" s="108" t="s">
        <v>846</v>
      </c>
      <c r="C127" s="107" t="s">
        <v>1149</v>
      </c>
      <c r="D127" s="35" t="s">
        <v>75</v>
      </c>
      <c r="E127" s="35" t="s">
        <v>762</v>
      </c>
      <c r="F127" s="65"/>
      <c r="G127" s="194">
        <v>115</v>
      </c>
      <c r="H127" s="65"/>
      <c r="I127" s="150">
        <f>J127/1.2</f>
        <v>14.531666666666666</v>
      </c>
      <c r="J127" s="211">
        <v>17.437999999999999</v>
      </c>
      <c r="K127" s="150">
        <v>0.9</v>
      </c>
      <c r="L127" s="150">
        <f t="shared" si="12"/>
        <v>13.0785</v>
      </c>
      <c r="M127" s="211">
        <f t="shared" si="12"/>
        <v>15.694199999999999</v>
      </c>
      <c r="N127" s="11"/>
      <c r="O127" s="11" t="s">
        <v>1002</v>
      </c>
    </row>
    <row r="128" spans="2:15" s="2" customFormat="1" ht="20" x14ac:dyDescent="0.2">
      <c r="B128" s="108" t="s">
        <v>798</v>
      </c>
      <c r="C128" s="107" t="s">
        <v>1114</v>
      </c>
      <c r="D128" s="35" t="s">
        <v>75</v>
      </c>
      <c r="E128" s="35" t="s">
        <v>762</v>
      </c>
      <c r="F128" s="65"/>
      <c r="G128" s="109">
        <v>115</v>
      </c>
      <c r="H128" s="65"/>
      <c r="I128" s="94"/>
      <c r="J128" s="94"/>
      <c r="K128" s="100"/>
      <c r="L128" s="94"/>
      <c r="M128" s="59"/>
      <c r="N128" s="11"/>
      <c r="O128" s="11"/>
    </row>
    <row r="129" spans="1:15" s="2" customFormat="1" ht="20" x14ac:dyDescent="0.2">
      <c r="B129" s="108" t="s">
        <v>648</v>
      </c>
      <c r="C129" s="107" t="s">
        <v>1115</v>
      </c>
      <c r="D129" s="35" t="s">
        <v>75</v>
      </c>
      <c r="E129" s="35" t="s">
        <v>762</v>
      </c>
      <c r="F129" s="65"/>
      <c r="G129" s="109">
        <v>230</v>
      </c>
      <c r="H129" s="65"/>
      <c r="I129" s="150">
        <f>J129/1.2</f>
        <v>8.3333333333333339</v>
      </c>
      <c r="J129" s="211">
        <v>10</v>
      </c>
      <c r="K129" s="150">
        <v>0.9</v>
      </c>
      <c r="L129" s="150">
        <f>I129*$K129</f>
        <v>7.5000000000000009</v>
      </c>
      <c r="M129" s="211">
        <f>J129*$K129</f>
        <v>9</v>
      </c>
      <c r="N129" s="11"/>
      <c r="O129" s="11"/>
    </row>
    <row r="130" spans="1:15" s="2" customFormat="1" ht="20" x14ac:dyDescent="0.2">
      <c r="B130" s="111" t="s">
        <v>653</v>
      </c>
      <c r="C130" s="107" t="s">
        <v>1116</v>
      </c>
      <c r="D130" s="35" t="s">
        <v>75</v>
      </c>
      <c r="E130" s="35" t="s">
        <v>762</v>
      </c>
      <c r="F130" s="65"/>
      <c r="G130" s="109">
        <v>115</v>
      </c>
      <c r="H130" s="65"/>
      <c r="I130" s="150">
        <f>J130/1.2</f>
        <v>5.7333333333333334</v>
      </c>
      <c r="J130" s="211">
        <v>6.88</v>
      </c>
      <c r="K130" s="150">
        <v>0.9</v>
      </c>
      <c r="L130" s="150">
        <f>I130*$K130</f>
        <v>5.16</v>
      </c>
      <c r="M130" s="211">
        <f>J130*$K130</f>
        <v>6.1920000000000002</v>
      </c>
      <c r="N130" s="11"/>
      <c r="O130" s="11"/>
    </row>
    <row r="131" spans="1:15" s="2" customFormat="1" ht="20" x14ac:dyDescent="0.2">
      <c r="B131" s="108" t="s">
        <v>650</v>
      </c>
      <c r="C131" s="107" t="s">
        <v>1150</v>
      </c>
      <c r="D131" s="35" t="s">
        <v>75</v>
      </c>
      <c r="E131" s="35" t="s">
        <v>762</v>
      </c>
      <c r="F131" s="65"/>
      <c r="G131" s="109">
        <v>230</v>
      </c>
      <c r="H131" s="65"/>
      <c r="I131" s="94"/>
      <c r="J131" s="94"/>
      <c r="K131" s="100"/>
      <c r="L131" s="94"/>
      <c r="M131" s="59"/>
      <c r="N131" s="11"/>
      <c r="O131" s="11"/>
    </row>
    <row r="132" spans="1:15" s="2" customFormat="1" ht="20" x14ac:dyDescent="0.2">
      <c r="B132" s="108" t="s">
        <v>878</v>
      </c>
      <c r="C132" s="107" t="s">
        <v>1117</v>
      </c>
      <c r="D132" s="35" t="s">
        <v>75</v>
      </c>
      <c r="E132" s="35" t="s">
        <v>762</v>
      </c>
      <c r="F132" s="65"/>
      <c r="G132" s="109">
        <v>115</v>
      </c>
      <c r="H132" s="65"/>
      <c r="I132" s="150">
        <f>J132/1.2</f>
        <v>8.25</v>
      </c>
      <c r="J132" s="211">
        <v>9.9</v>
      </c>
      <c r="K132" s="150">
        <v>0.9</v>
      </c>
      <c r="L132" s="150">
        <f t="shared" ref="L132:M136" si="13">I132*$K132</f>
        <v>7.4249999999999998</v>
      </c>
      <c r="M132" s="211">
        <f t="shared" si="13"/>
        <v>8.91</v>
      </c>
      <c r="N132" s="11"/>
      <c r="O132" s="11"/>
    </row>
    <row r="133" spans="1:15" s="2" customFormat="1" ht="20" x14ac:dyDescent="0.2">
      <c r="B133" s="108" t="s">
        <v>876</v>
      </c>
      <c r="C133" s="107" t="s">
        <v>1118</v>
      </c>
      <c r="D133" s="35" t="s">
        <v>75</v>
      </c>
      <c r="E133" s="35" t="s">
        <v>762</v>
      </c>
      <c r="F133" s="65"/>
      <c r="G133" s="109">
        <v>115</v>
      </c>
      <c r="H133" s="65"/>
      <c r="I133" s="150">
        <f>J133/1.2</f>
        <v>16.5</v>
      </c>
      <c r="J133" s="211">
        <v>19.8</v>
      </c>
      <c r="K133" s="150">
        <v>0.9</v>
      </c>
      <c r="L133" s="150">
        <f t="shared" si="13"/>
        <v>14.85</v>
      </c>
      <c r="M133" s="211">
        <f t="shared" si="13"/>
        <v>17.82</v>
      </c>
      <c r="N133" s="11"/>
      <c r="O133" s="11"/>
    </row>
    <row r="134" spans="1:15" s="2" customFormat="1" ht="20" x14ac:dyDescent="0.2">
      <c r="B134" s="111" t="s">
        <v>675</v>
      </c>
      <c r="C134" s="107" t="s">
        <v>1151</v>
      </c>
      <c r="D134" s="35" t="s">
        <v>75</v>
      </c>
      <c r="E134" s="35" t="s">
        <v>762</v>
      </c>
      <c r="F134" s="65"/>
      <c r="G134" s="109">
        <v>138</v>
      </c>
      <c r="H134" s="65"/>
      <c r="I134" s="150">
        <f>J134/1.2</f>
        <v>33.480000000000004</v>
      </c>
      <c r="J134" s="211">
        <v>40.176000000000002</v>
      </c>
      <c r="K134" s="150">
        <v>0.9</v>
      </c>
      <c r="L134" s="150">
        <f t="shared" si="13"/>
        <v>30.132000000000005</v>
      </c>
      <c r="M134" s="211">
        <f t="shared" si="13"/>
        <v>36.1584</v>
      </c>
      <c r="N134" s="11"/>
      <c r="O134" s="11"/>
    </row>
    <row r="135" spans="1:15" s="2" customFormat="1" ht="20" x14ac:dyDescent="0.2">
      <c r="B135" s="108" t="s">
        <v>645</v>
      </c>
      <c r="C135" s="107" t="s">
        <v>1119</v>
      </c>
      <c r="D135" s="35" t="s">
        <v>75</v>
      </c>
      <c r="E135" s="35" t="s">
        <v>762</v>
      </c>
      <c r="F135" s="65"/>
      <c r="G135" s="109">
        <v>230</v>
      </c>
      <c r="H135" s="109">
        <v>115</v>
      </c>
      <c r="I135" s="150">
        <f>J135/1.2</f>
        <v>14.953333333333333</v>
      </c>
      <c r="J135" s="211">
        <v>17.943999999999999</v>
      </c>
      <c r="K135" s="150">
        <v>0.9</v>
      </c>
      <c r="L135" s="150">
        <f t="shared" si="13"/>
        <v>13.458</v>
      </c>
      <c r="M135" s="211">
        <f t="shared" si="13"/>
        <v>16.1496</v>
      </c>
      <c r="N135" s="11"/>
      <c r="O135" s="11"/>
    </row>
    <row r="136" spans="1:15" s="2" customFormat="1" ht="20" x14ac:dyDescent="0.2">
      <c r="B136" s="108" t="s">
        <v>880</v>
      </c>
      <c r="C136" s="107" t="s">
        <v>1120</v>
      </c>
      <c r="D136" s="35" t="s">
        <v>75</v>
      </c>
      <c r="E136" s="35" t="s">
        <v>762</v>
      </c>
      <c r="F136" s="65"/>
      <c r="G136" s="109">
        <v>115</v>
      </c>
      <c r="H136" s="65"/>
      <c r="I136" s="211">
        <v>100</v>
      </c>
      <c r="J136" s="211">
        <v>100</v>
      </c>
      <c r="K136" s="150">
        <v>0.9</v>
      </c>
      <c r="L136" s="211">
        <f t="shared" si="13"/>
        <v>90</v>
      </c>
      <c r="M136" s="211">
        <f t="shared" si="13"/>
        <v>90</v>
      </c>
      <c r="N136" s="11"/>
      <c r="O136" s="11"/>
    </row>
    <row r="137" spans="1:15" s="2" customFormat="1" ht="20" x14ac:dyDescent="0.2">
      <c r="B137" s="111" t="s">
        <v>789</v>
      </c>
      <c r="C137" s="107" t="s">
        <v>1121</v>
      </c>
      <c r="D137" s="35" t="s">
        <v>75</v>
      </c>
      <c r="E137" s="35" t="s">
        <v>762</v>
      </c>
      <c r="F137" s="65"/>
      <c r="G137" s="109">
        <v>230</v>
      </c>
      <c r="H137" s="65"/>
      <c r="I137" s="94"/>
      <c r="J137" s="94"/>
      <c r="K137" s="100"/>
      <c r="L137" s="94"/>
      <c r="M137" s="59"/>
      <c r="N137" s="11"/>
      <c r="O137" s="11"/>
    </row>
    <row r="138" spans="1:15" s="2" customFormat="1" ht="20" x14ac:dyDescent="0.2">
      <c r="B138" s="108" t="s">
        <v>759</v>
      </c>
      <c r="C138" s="107" t="s">
        <v>1038</v>
      </c>
      <c r="D138" s="35" t="s">
        <v>75</v>
      </c>
      <c r="E138" s="35" t="s">
        <v>762</v>
      </c>
      <c r="F138" s="65"/>
      <c r="G138" s="109">
        <v>230</v>
      </c>
      <c r="H138" s="65"/>
      <c r="I138" s="94"/>
      <c r="J138" s="94"/>
      <c r="K138" s="100"/>
      <c r="L138" s="94"/>
      <c r="M138" s="59"/>
      <c r="N138" s="11"/>
      <c r="O138" s="11"/>
    </row>
    <row r="139" spans="1:15" x14ac:dyDescent="0.2">
      <c r="C139" s="38"/>
    </row>
    <row r="140" spans="1:15" ht="19" x14ac:dyDescent="0.2">
      <c r="A140" s="255" t="s">
        <v>926</v>
      </c>
      <c r="C140" s="210"/>
      <c r="D140" s="210"/>
      <c r="E140" s="210"/>
      <c r="F140" s="210"/>
      <c r="G140" s="210"/>
      <c r="H140" s="210"/>
      <c r="K140" s="210"/>
      <c r="M140" s="210"/>
      <c r="N140" s="254"/>
    </row>
    <row r="141" spans="1:15" ht="19" x14ac:dyDescent="0.25">
      <c r="A141" s="3" t="s">
        <v>1291</v>
      </c>
      <c r="C141" s="210"/>
      <c r="D141" s="210"/>
      <c r="E141" s="210"/>
      <c r="F141" s="210"/>
      <c r="G141" s="210"/>
      <c r="H141" s="210"/>
      <c r="K141" s="210"/>
      <c r="M141" s="210"/>
      <c r="N141" s="254"/>
    </row>
    <row r="142" spans="1:15" ht="19" x14ac:dyDescent="0.25">
      <c r="A142" s="3" t="s">
        <v>1180</v>
      </c>
      <c r="C142" s="210"/>
      <c r="D142" s="210"/>
      <c r="E142" s="210"/>
      <c r="F142" s="210"/>
      <c r="G142" s="210"/>
      <c r="H142" s="210"/>
      <c r="K142" s="210"/>
      <c r="M142" s="210"/>
      <c r="N142" s="254"/>
    </row>
    <row r="143" spans="1:15" ht="19" x14ac:dyDescent="0.25">
      <c r="A143" s="3" t="s">
        <v>1181</v>
      </c>
      <c r="C143" s="210"/>
      <c r="D143" s="210"/>
      <c r="E143" s="210"/>
      <c r="F143" s="210"/>
      <c r="G143" s="210"/>
      <c r="H143" s="210"/>
      <c r="K143" s="210"/>
      <c r="M143" s="210"/>
      <c r="N143" s="254"/>
    </row>
    <row r="144" spans="1:15" ht="19" x14ac:dyDescent="0.25">
      <c r="A144" s="3" t="s">
        <v>1182</v>
      </c>
      <c r="C144" s="210"/>
      <c r="D144" s="210"/>
      <c r="E144" s="210"/>
      <c r="F144" s="210"/>
      <c r="G144" s="210"/>
      <c r="H144" s="210"/>
      <c r="K144" s="210"/>
      <c r="M144" s="210"/>
      <c r="N144" s="254"/>
    </row>
    <row r="145" spans="1:14" ht="19" x14ac:dyDescent="0.25">
      <c r="A145" s="3" t="s">
        <v>1183</v>
      </c>
      <c r="C145" s="210"/>
      <c r="D145" s="210"/>
      <c r="E145" s="210"/>
      <c r="F145" s="210"/>
      <c r="G145" s="210"/>
      <c r="H145" s="210"/>
      <c r="K145" s="210"/>
      <c r="M145" s="210"/>
      <c r="N145" s="254"/>
    </row>
    <row r="146" spans="1:14" ht="19" x14ac:dyDescent="0.25">
      <c r="A146" s="3" t="s">
        <v>1292</v>
      </c>
      <c r="C146" s="210"/>
      <c r="D146" s="210"/>
      <c r="E146" s="210"/>
      <c r="F146" s="210"/>
      <c r="G146" s="210"/>
      <c r="H146" s="210"/>
      <c r="K146" s="210"/>
      <c r="M146" s="210"/>
      <c r="N146" s="254"/>
    </row>
    <row r="147" spans="1:14" ht="19" x14ac:dyDescent="0.25">
      <c r="A147" s="3" t="s">
        <v>1293</v>
      </c>
      <c r="C147" s="210"/>
      <c r="D147" s="210"/>
      <c r="E147" s="210"/>
      <c r="F147" s="210"/>
      <c r="G147" s="210"/>
      <c r="H147" s="210"/>
      <c r="K147" s="210"/>
      <c r="M147" s="210"/>
      <c r="N147" s="254"/>
    </row>
    <row r="148" spans="1:14" ht="19" x14ac:dyDescent="0.25">
      <c r="A148" s="3" t="s">
        <v>1184</v>
      </c>
      <c r="C148" s="210"/>
      <c r="D148" s="210"/>
      <c r="E148" s="210"/>
      <c r="F148" s="210"/>
      <c r="G148" s="210"/>
      <c r="H148" s="210"/>
      <c r="K148" s="210"/>
      <c r="M148" s="210"/>
      <c r="N148" s="254"/>
    </row>
    <row r="149" spans="1:14" ht="19" x14ac:dyDescent="0.25">
      <c r="A149" s="3" t="s">
        <v>927</v>
      </c>
      <c r="C149" s="210"/>
      <c r="D149" s="210"/>
      <c r="E149" s="210"/>
      <c r="F149" s="210"/>
      <c r="G149" s="210"/>
      <c r="H149" s="210"/>
      <c r="K149" s="210"/>
      <c r="M149" s="210"/>
      <c r="N149" s="254"/>
    </row>
    <row r="150" spans="1:14" ht="19" x14ac:dyDescent="0.25">
      <c r="A150" s="3" t="s">
        <v>1294</v>
      </c>
      <c r="C150" s="210"/>
      <c r="D150" s="210"/>
      <c r="E150" s="210"/>
      <c r="F150" s="210"/>
      <c r="G150" s="210"/>
      <c r="H150" s="210"/>
      <c r="I150" s="47"/>
      <c r="K150" s="210"/>
      <c r="L150" s="47"/>
      <c r="N150" s="47"/>
    </row>
    <row r="151" spans="1:14" ht="19" x14ac:dyDescent="0.25">
      <c r="A151" s="3" t="s">
        <v>1185</v>
      </c>
      <c r="C151" s="210"/>
      <c r="D151" s="210"/>
      <c r="E151" s="210"/>
      <c r="F151" s="210"/>
      <c r="G151" s="210"/>
      <c r="H151" s="210"/>
      <c r="K151" s="210"/>
      <c r="M151" s="210"/>
      <c r="N151" s="254"/>
    </row>
    <row r="152" spans="1:14" ht="19" x14ac:dyDescent="0.25">
      <c r="A152" s="3" t="s">
        <v>1295</v>
      </c>
      <c r="C152" s="210"/>
      <c r="D152" s="210"/>
      <c r="E152" s="210"/>
      <c r="F152" s="210"/>
      <c r="G152" s="210"/>
      <c r="H152" s="210"/>
      <c r="K152" s="210"/>
      <c r="M152" s="210"/>
      <c r="N152" s="254"/>
    </row>
    <row r="153" spans="1:14" ht="19" x14ac:dyDescent="0.25">
      <c r="A153" s="3" t="s">
        <v>1186</v>
      </c>
      <c r="C153" s="210"/>
    </row>
    <row r="154" spans="1:14" x14ac:dyDescent="0.2">
      <c r="C154" s="210"/>
    </row>
    <row r="155" spans="1:14" x14ac:dyDescent="0.2">
      <c r="C155" s="210"/>
    </row>
    <row r="156" spans="1:14" x14ac:dyDescent="0.2">
      <c r="C156" s="210"/>
    </row>
    <row r="157" spans="1:14" x14ac:dyDescent="0.2">
      <c r="C157" s="210"/>
    </row>
    <row r="158" spans="1:14" x14ac:dyDescent="0.2">
      <c r="C158" s="210"/>
    </row>
    <row r="159" spans="1:14" x14ac:dyDescent="0.2">
      <c r="C159" s="210"/>
    </row>
    <row r="160" spans="1:14" x14ac:dyDescent="0.2">
      <c r="C160" s="210"/>
    </row>
    <row r="161" s="210" customFormat="1" x14ac:dyDescent="0.2"/>
    <row r="162" s="210" customFormat="1" x14ac:dyDescent="0.2"/>
    <row r="163" s="210" customFormat="1" x14ac:dyDescent="0.2"/>
    <row r="164" s="210" customFormat="1" x14ac:dyDescent="0.2"/>
    <row r="165" s="210" customFormat="1" x14ac:dyDescent="0.2"/>
    <row r="166" s="210" customFormat="1" x14ac:dyDescent="0.2"/>
    <row r="167" s="210" customFormat="1" x14ac:dyDescent="0.2"/>
    <row r="168" s="210" customFormat="1" x14ac:dyDescent="0.2"/>
    <row r="169" s="210" customFormat="1" x14ac:dyDescent="0.2"/>
    <row r="170" s="210" customFormat="1" x14ac:dyDescent="0.2"/>
    <row r="171" s="210" customFormat="1" x14ac:dyDescent="0.2"/>
    <row r="172" s="210" customFormat="1" x14ac:dyDescent="0.2"/>
    <row r="173" s="210" customFormat="1" x14ac:dyDescent="0.2"/>
    <row r="174" s="210" customFormat="1" x14ac:dyDescent="0.2"/>
    <row r="175" s="210" customFormat="1" x14ac:dyDescent="0.2"/>
    <row r="176" s="210" customFormat="1" x14ac:dyDescent="0.2"/>
    <row r="177" s="210" customFormat="1" x14ac:dyDescent="0.2"/>
    <row r="178" s="210" customFormat="1" x14ac:dyDescent="0.2"/>
    <row r="179" s="210" customFormat="1" x14ac:dyDescent="0.2"/>
    <row r="180" s="210" customFormat="1" x14ac:dyDescent="0.2"/>
    <row r="181" s="210" customFormat="1" x14ac:dyDescent="0.2"/>
    <row r="182" s="210" customFormat="1" x14ac:dyDescent="0.2"/>
    <row r="183" s="210" customFormat="1" x14ac:dyDescent="0.2"/>
    <row r="184" s="210" customFormat="1" x14ac:dyDescent="0.2"/>
    <row r="185" s="210" customFormat="1" x14ac:dyDescent="0.2"/>
    <row r="186" s="210" customFormat="1" x14ac:dyDescent="0.2"/>
    <row r="187" s="210" customFormat="1" x14ac:dyDescent="0.2"/>
    <row r="188" s="210" customFormat="1" x14ac:dyDescent="0.2"/>
    <row r="189" s="210" customFormat="1" x14ac:dyDescent="0.2"/>
    <row r="190" s="210" customFormat="1" x14ac:dyDescent="0.2"/>
    <row r="191" s="210" customFormat="1" x14ac:dyDescent="0.2"/>
    <row r="192" s="210" customFormat="1" x14ac:dyDescent="0.2"/>
    <row r="193" s="210" customFormat="1" x14ac:dyDescent="0.2"/>
    <row r="194" s="210" customFormat="1" x14ac:dyDescent="0.2"/>
    <row r="195" s="210" customFormat="1" x14ac:dyDescent="0.2"/>
    <row r="196" s="210" customFormat="1" x14ac:dyDescent="0.2"/>
    <row r="197" s="210" customFormat="1" x14ac:dyDescent="0.2"/>
    <row r="198" s="210" customFormat="1" x14ac:dyDescent="0.2"/>
    <row r="199" s="210" customFormat="1" x14ac:dyDescent="0.2"/>
    <row r="200" s="210" customFormat="1" x14ac:dyDescent="0.2"/>
    <row r="201" s="210" customFormat="1" x14ac:dyDescent="0.2"/>
    <row r="202" s="210" customFormat="1" x14ac:dyDescent="0.2"/>
    <row r="203" s="210" customFormat="1" x14ac:dyDescent="0.2"/>
    <row r="204" s="210" customFormat="1" x14ac:dyDescent="0.2"/>
    <row r="205" s="210" customFormat="1" x14ac:dyDescent="0.2"/>
    <row r="206" s="210" customFormat="1" x14ac:dyDescent="0.2"/>
    <row r="207" s="210" customFormat="1" x14ac:dyDescent="0.2"/>
    <row r="208" s="210" customFormat="1" x14ac:dyDescent="0.2"/>
    <row r="209" s="210" customFormat="1" x14ac:dyDescent="0.2"/>
    <row r="210" s="210" customFormat="1" x14ac:dyDescent="0.2"/>
    <row r="211" s="210" customFormat="1" x14ac:dyDescent="0.2"/>
    <row r="212" s="210" customFormat="1" x14ac:dyDescent="0.2"/>
    <row r="213" s="210" customFormat="1" x14ac:dyDescent="0.2"/>
    <row r="214" s="210" customFormat="1" x14ac:dyDescent="0.2"/>
    <row r="215" s="210" customFormat="1" x14ac:dyDescent="0.2"/>
    <row r="216" s="210" customFormat="1" x14ac:dyDescent="0.2"/>
    <row r="217" s="210" customFormat="1" x14ac:dyDescent="0.2"/>
    <row r="218" s="210" customFormat="1" x14ac:dyDescent="0.2"/>
    <row r="219" s="210" customFormat="1" x14ac:dyDescent="0.2"/>
    <row r="220" s="210" customFormat="1" x14ac:dyDescent="0.2"/>
    <row r="221" s="210" customFormat="1" x14ac:dyDescent="0.2"/>
    <row r="222" s="210" customFormat="1" x14ac:dyDescent="0.2"/>
    <row r="223" s="210" customFormat="1" x14ac:dyDescent="0.2"/>
    <row r="224" s="210" customFormat="1" x14ac:dyDescent="0.2"/>
    <row r="225" s="210" customFormat="1" x14ac:dyDescent="0.2"/>
    <row r="226" s="210" customFormat="1" x14ac:dyDescent="0.2"/>
    <row r="227" s="210" customFormat="1" x14ac:dyDescent="0.2"/>
    <row r="228" s="210" customFormat="1" x14ac:dyDescent="0.2"/>
    <row r="229" s="210" customFormat="1" x14ac:dyDescent="0.2"/>
    <row r="230" s="210" customFormat="1" x14ac:dyDescent="0.2"/>
    <row r="231" s="210" customFormat="1" x14ac:dyDescent="0.2"/>
    <row r="232" s="210" customFormat="1" x14ac:dyDescent="0.2"/>
    <row r="233" s="210" customFormat="1" x14ac:dyDescent="0.2"/>
    <row r="234" s="210" customFormat="1" x14ac:dyDescent="0.2"/>
    <row r="235" s="210" customFormat="1" x14ac:dyDescent="0.2"/>
    <row r="236" s="210" customFormat="1" x14ac:dyDescent="0.2"/>
    <row r="237" s="210" customFormat="1" x14ac:dyDescent="0.2"/>
    <row r="238" s="210" customFormat="1" x14ac:dyDescent="0.2"/>
    <row r="239" s="210" customFormat="1" x14ac:dyDescent="0.2"/>
    <row r="240" s="210" customFormat="1" x14ac:dyDescent="0.2"/>
    <row r="241" s="210" customFormat="1" x14ac:dyDescent="0.2"/>
    <row r="242" s="210" customFormat="1" x14ac:dyDescent="0.2"/>
    <row r="243" s="210" customFormat="1" x14ac:dyDescent="0.2"/>
    <row r="244" s="210" customFormat="1" x14ac:dyDescent="0.2"/>
    <row r="245" s="210" customFormat="1" x14ac:dyDescent="0.2"/>
    <row r="246" s="210" customFormat="1" x14ac:dyDescent="0.2"/>
    <row r="247" s="210" customFormat="1" x14ac:dyDescent="0.2"/>
    <row r="248" s="210" customFormat="1" x14ac:dyDescent="0.2"/>
    <row r="249" s="210" customFormat="1" x14ac:dyDescent="0.2"/>
    <row r="250" s="210" customFormat="1" x14ac:dyDescent="0.2"/>
    <row r="251" s="210" customFormat="1" x14ac:dyDescent="0.2"/>
    <row r="252" s="210" customFormat="1" x14ac:dyDescent="0.2"/>
    <row r="253" s="210" customFormat="1" x14ac:dyDescent="0.2"/>
    <row r="254" s="210" customFormat="1" x14ac:dyDescent="0.2"/>
    <row r="255" s="210" customFormat="1" x14ac:dyDescent="0.2"/>
    <row r="256" s="210" customFormat="1" x14ac:dyDescent="0.2"/>
    <row r="257" s="210" customFormat="1" x14ac:dyDescent="0.2"/>
    <row r="258" s="210" customFormat="1" x14ac:dyDescent="0.2"/>
    <row r="259" s="210" customFormat="1" x14ac:dyDescent="0.2"/>
    <row r="260" s="210" customFormat="1" x14ac:dyDescent="0.2"/>
    <row r="261" s="210" customFormat="1" x14ac:dyDescent="0.2"/>
    <row r="262" s="210" customFormat="1" x14ac:dyDescent="0.2"/>
    <row r="263" s="210" customFormat="1" x14ac:dyDescent="0.2"/>
    <row r="264" s="210" customFormat="1" x14ac:dyDescent="0.2"/>
    <row r="265" s="210" customFormat="1" x14ac:dyDescent="0.2"/>
    <row r="266" s="210" customFormat="1" x14ac:dyDescent="0.2"/>
    <row r="267" s="210" customFormat="1" x14ac:dyDescent="0.2"/>
    <row r="268" s="210" customFormat="1" x14ac:dyDescent="0.2"/>
    <row r="269" s="210" customFormat="1" x14ac:dyDescent="0.2"/>
    <row r="270" s="210" customFormat="1" x14ac:dyDescent="0.2"/>
    <row r="271" s="210" customFormat="1" x14ac:dyDescent="0.2"/>
    <row r="272" s="210" customFormat="1" x14ac:dyDescent="0.2"/>
    <row r="273" s="210" customFormat="1" x14ac:dyDescent="0.2"/>
    <row r="274" s="210" customFormat="1" x14ac:dyDescent="0.2"/>
    <row r="275" s="210" customFormat="1" x14ac:dyDescent="0.2"/>
    <row r="276" s="210" customFormat="1" x14ac:dyDescent="0.2"/>
    <row r="277" s="210" customFormat="1" x14ac:dyDescent="0.2"/>
    <row r="278" s="210" customFormat="1" x14ac:dyDescent="0.2"/>
    <row r="279" s="210" customFormat="1" x14ac:dyDescent="0.2"/>
    <row r="280" s="210" customFormat="1" x14ac:dyDescent="0.2"/>
    <row r="281" s="210" customFormat="1" x14ac:dyDescent="0.2"/>
    <row r="282" s="210" customFormat="1" x14ac:dyDescent="0.2"/>
    <row r="283" s="210" customFormat="1" x14ac:dyDescent="0.2"/>
    <row r="284" s="210" customFormat="1" x14ac:dyDescent="0.2"/>
    <row r="285" s="210" customFormat="1" x14ac:dyDescent="0.2"/>
    <row r="286" s="210" customFormat="1" x14ac:dyDescent="0.2"/>
    <row r="287" s="210" customFormat="1" x14ac:dyDescent="0.2"/>
    <row r="288" s="210" customFormat="1" x14ac:dyDescent="0.2"/>
    <row r="289" s="210" customFormat="1" x14ac:dyDescent="0.2"/>
    <row r="290" s="210" customFormat="1" x14ac:dyDescent="0.2"/>
    <row r="291" s="210" customFormat="1" x14ac:dyDescent="0.2"/>
    <row r="292" s="210" customFormat="1" x14ac:dyDescent="0.2"/>
    <row r="293" s="210" customFormat="1" x14ac:dyDescent="0.2"/>
    <row r="294" s="210" customFormat="1" x14ac:dyDescent="0.2"/>
    <row r="295" s="210" customFormat="1" x14ac:dyDescent="0.2"/>
    <row r="296" s="210" customFormat="1" x14ac:dyDescent="0.2"/>
    <row r="297" s="210" customFormat="1" x14ac:dyDescent="0.2"/>
    <row r="298" s="210" customFormat="1" x14ac:dyDescent="0.2"/>
    <row r="299" s="210" customFormat="1" x14ac:dyDescent="0.2"/>
    <row r="300" s="210" customFormat="1" x14ac:dyDescent="0.2"/>
    <row r="301" s="210" customFormat="1" x14ac:dyDescent="0.2"/>
    <row r="302" s="210" customFormat="1" x14ac:dyDescent="0.2"/>
    <row r="303" s="210" customFormat="1" x14ac:dyDescent="0.2"/>
    <row r="304" s="210" customFormat="1" x14ac:dyDescent="0.2"/>
    <row r="305" s="210" customFormat="1" x14ac:dyDescent="0.2"/>
    <row r="306" s="210" customFormat="1" x14ac:dyDescent="0.2"/>
    <row r="307" s="210" customFormat="1" x14ac:dyDescent="0.2"/>
    <row r="308" s="210" customFormat="1" x14ac:dyDescent="0.2"/>
    <row r="309" s="210" customFormat="1" x14ac:dyDescent="0.2"/>
    <row r="310" s="210" customFormat="1" x14ac:dyDescent="0.2"/>
    <row r="311" s="210" customFormat="1" x14ac:dyDescent="0.2"/>
    <row r="312" s="210" customFormat="1" x14ac:dyDescent="0.2"/>
    <row r="313" s="210" customFormat="1" x14ac:dyDescent="0.2"/>
    <row r="314" s="210" customFormat="1" x14ac:dyDescent="0.2"/>
    <row r="315" s="210" customFormat="1" x14ac:dyDescent="0.2"/>
    <row r="316" s="210" customFormat="1" x14ac:dyDescent="0.2"/>
    <row r="317" s="210" customFormat="1" x14ac:dyDescent="0.2"/>
    <row r="318" s="210" customFormat="1" x14ac:dyDescent="0.2"/>
    <row r="319" s="210" customFormat="1" x14ac:dyDescent="0.2"/>
    <row r="320" s="210" customFormat="1" x14ac:dyDescent="0.2"/>
    <row r="321" s="210" customFormat="1" x14ac:dyDescent="0.2"/>
    <row r="322" s="210" customFormat="1" x14ac:dyDescent="0.2"/>
    <row r="323" s="210" customFormat="1" x14ac:dyDescent="0.2"/>
    <row r="324" s="210" customFormat="1" x14ac:dyDescent="0.2"/>
    <row r="325" s="210" customFormat="1" x14ac:dyDescent="0.2"/>
    <row r="326" s="210" customFormat="1" x14ac:dyDescent="0.2"/>
    <row r="327" s="210" customFormat="1" x14ac:dyDescent="0.2"/>
    <row r="328" s="210" customFormat="1" x14ac:dyDescent="0.2"/>
    <row r="329" s="210" customFormat="1" x14ac:dyDescent="0.2"/>
    <row r="330" s="210" customFormat="1" x14ac:dyDescent="0.2"/>
    <row r="331" s="210" customFormat="1" x14ac:dyDescent="0.2"/>
    <row r="332" s="210" customFormat="1" x14ac:dyDescent="0.2"/>
    <row r="333" s="210" customFormat="1" x14ac:dyDescent="0.2"/>
    <row r="334" s="210" customFormat="1" x14ac:dyDescent="0.2"/>
    <row r="335" s="210" customFormat="1" x14ac:dyDescent="0.2"/>
    <row r="336" s="210" customFormat="1" x14ac:dyDescent="0.2"/>
    <row r="337" s="210" customFormat="1" x14ac:dyDescent="0.2"/>
    <row r="338" s="210" customFormat="1" x14ac:dyDescent="0.2"/>
    <row r="339" s="210" customFormat="1" x14ac:dyDescent="0.2"/>
    <row r="340" s="210" customFormat="1" x14ac:dyDescent="0.2"/>
    <row r="341" s="210" customFormat="1" x14ac:dyDescent="0.2"/>
    <row r="342" s="210" customFormat="1" x14ac:dyDescent="0.2"/>
    <row r="343" s="210" customFormat="1" x14ac:dyDescent="0.2"/>
    <row r="344" s="210" customFormat="1" x14ac:dyDescent="0.2"/>
    <row r="345" s="210" customFormat="1" x14ac:dyDescent="0.2"/>
    <row r="346" s="210" customFormat="1" x14ac:dyDescent="0.2"/>
    <row r="347" s="210" customFormat="1" x14ac:dyDescent="0.2"/>
    <row r="348" s="210" customFormat="1" x14ac:dyDescent="0.2"/>
    <row r="349" s="210" customFormat="1" x14ac:dyDescent="0.2"/>
    <row r="350" s="210" customFormat="1" x14ac:dyDescent="0.2"/>
    <row r="351" s="210" customFormat="1" x14ac:dyDescent="0.2"/>
    <row r="352" s="210" customFormat="1" x14ac:dyDescent="0.2"/>
    <row r="353" s="210" customFormat="1" x14ac:dyDescent="0.2"/>
    <row r="354" s="210" customFormat="1" x14ac:dyDescent="0.2"/>
    <row r="355" s="210" customFormat="1" x14ac:dyDescent="0.2"/>
    <row r="356" s="210" customFormat="1" x14ac:dyDescent="0.2"/>
    <row r="357" s="210" customFormat="1" x14ac:dyDescent="0.2"/>
    <row r="358" s="210" customFormat="1" x14ac:dyDescent="0.2"/>
    <row r="359" s="210" customFormat="1" x14ac:dyDescent="0.2"/>
    <row r="360" s="210" customFormat="1" x14ac:dyDescent="0.2"/>
    <row r="361" s="210" customFormat="1" x14ac:dyDescent="0.2"/>
    <row r="362" s="210" customFormat="1" x14ac:dyDescent="0.2"/>
    <row r="363" s="210" customFormat="1" x14ac:dyDescent="0.2"/>
    <row r="364" s="210" customFormat="1" x14ac:dyDescent="0.2"/>
    <row r="365" s="210" customFormat="1" x14ac:dyDescent="0.2"/>
    <row r="366" s="210" customFormat="1" x14ac:dyDescent="0.2"/>
    <row r="367" s="210" customFormat="1" x14ac:dyDescent="0.2"/>
    <row r="368" s="210" customFormat="1" x14ac:dyDescent="0.2"/>
    <row r="369" s="210" customFormat="1" x14ac:dyDescent="0.2"/>
    <row r="370" s="210" customFormat="1" x14ac:dyDescent="0.2"/>
    <row r="371" s="210" customFormat="1" x14ac:dyDescent="0.2"/>
    <row r="372" s="210" customFormat="1" x14ac:dyDescent="0.2"/>
    <row r="373" s="210" customFormat="1" x14ac:dyDescent="0.2"/>
    <row r="374" s="210" customFormat="1" x14ac:dyDescent="0.2"/>
    <row r="375" s="210" customFormat="1" x14ac:dyDescent="0.2"/>
    <row r="376" s="210" customFormat="1" x14ac:dyDescent="0.2"/>
    <row r="377" s="210" customFormat="1" x14ac:dyDescent="0.2"/>
    <row r="378" s="210" customFormat="1" x14ac:dyDescent="0.2"/>
    <row r="379" s="210" customFormat="1" x14ac:dyDescent="0.2"/>
    <row r="380" s="210" customFormat="1" x14ac:dyDescent="0.2"/>
    <row r="381" s="210" customFormat="1" x14ac:dyDescent="0.2"/>
    <row r="382" s="210" customFormat="1" x14ac:dyDescent="0.2"/>
    <row r="383" s="210" customFormat="1" x14ac:dyDescent="0.2"/>
    <row r="384" s="210" customFormat="1" x14ac:dyDescent="0.2"/>
    <row r="385" s="210" customFormat="1" x14ac:dyDescent="0.2"/>
    <row r="386" s="210" customFormat="1" x14ac:dyDescent="0.2"/>
    <row r="387" s="210" customFormat="1" x14ac:dyDescent="0.2"/>
    <row r="388" s="210" customFormat="1" x14ac:dyDescent="0.2"/>
    <row r="389" s="210" customFormat="1" x14ac:dyDescent="0.2"/>
    <row r="390" s="210" customFormat="1" x14ac:dyDescent="0.2"/>
    <row r="391" s="210" customFormat="1" x14ac:dyDescent="0.2"/>
    <row r="392" s="210" customFormat="1" x14ac:dyDescent="0.2"/>
    <row r="393" s="210" customFormat="1" x14ac:dyDescent="0.2"/>
    <row r="394" s="210" customFormat="1" x14ac:dyDescent="0.2"/>
    <row r="395" s="210" customFormat="1" x14ac:dyDescent="0.2"/>
    <row r="396" s="210" customFormat="1" x14ac:dyDescent="0.2"/>
    <row r="397" s="210" customFormat="1" x14ac:dyDescent="0.2"/>
    <row r="398" s="210" customFormat="1" x14ac:dyDescent="0.2"/>
    <row r="399" s="210" customFormat="1" x14ac:dyDescent="0.2"/>
    <row r="400" s="210" customFormat="1" x14ac:dyDescent="0.2"/>
    <row r="401" s="210" customFormat="1" x14ac:dyDescent="0.2"/>
    <row r="402" s="210" customFormat="1" x14ac:dyDescent="0.2"/>
    <row r="403" s="210" customFormat="1" x14ac:dyDescent="0.2"/>
    <row r="404" s="210" customFormat="1" x14ac:dyDescent="0.2"/>
    <row r="405" s="210" customFormat="1" x14ac:dyDescent="0.2"/>
    <row r="406" s="210" customFormat="1" x14ac:dyDescent="0.2"/>
    <row r="407" s="210" customFormat="1" x14ac:dyDescent="0.2"/>
    <row r="408" s="210" customFormat="1" x14ac:dyDescent="0.2"/>
    <row r="409" s="210" customFormat="1" x14ac:dyDescent="0.2"/>
    <row r="410" s="210" customFormat="1" x14ac:dyDescent="0.2"/>
    <row r="411" s="210" customFormat="1" x14ac:dyDescent="0.2"/>
    <row r="412" s="210" customFormat="1" x14ac:dyDescent="0.2"/>
    <row r="413" s="210" customFormat="1" x14ac:dyDescent="0.2"/>
    <row r="414" s="210" customFormat="1" x14ac:dyDescent="0.2"/>
    <row r="415" s="210" customFormat="1" x14ac:dyDescent="0.2"/>
    <row r="416" s="210" customFormat="1" x14ac:dyDescent="0.2"/>
    <row r="417" s="210" customFormat="1" x14ac:dyDescent="0.2"/>
    <row r="418" s="210" customFormat="1" x14ac:dyDescent="0.2"/>
    <row r="419" s="210" customFormat="1" x14ac:dyDescent="0.2"/>
    <row r="420" s="210" customFormat="1" x14ac:dyDescent="0.2"/>
    <row r="421" s="210" customFormat="1" x14ac:dyDescent="0.2"/>
    <row r="422" s="210" customFormat="1" x14ac:dyDescent="0.2"/>
    <row r="423" s="210" customFormat="1" x14ac:dyDescent="0.2"/>
    <row r="424" s="210" customFormat="1" x14ac:dyDescent="0.2"/>
    <row r="425" s="210" customFormat="1" x14ac:dyDescent="0.2"/>
    <row r="426" s="210" customFormat="1" x14ac:dyDescent="0.2"/>
    <row r="427" s="210" customFormat="1" x14ac:dyDescent="0.2"/>
    <row r="428" s="210" customFormat="1" x14ac:dyDescent="0.2"/>
    <row r="429" s="210" customFormat="1" x14ac:dyDescent="0.2"/>
    <row r="430" s="210" customFormat="1" x14ac:dyDescent="0.2"/>
    <row r="431" s="210" customFormat="1" x14ac:dyDescent="0.2"/>
    <row r="432" s="210" customFormat="1" x14ac:dyDescent="0.2"/>
    <row r="433" s="210" customFormat="1" x14ac:dyDescent="0.2"/>
    <row r="434" s="210" customFormat="1" x14ac:dyDescent="0.2"/>
    <row r="435" s="210" customFormat="1" x14ac:dyDescent="0.2"/>
    <row r="436" s="210" customFormat="1" x14ac:dyDescent="0.2"/>
    <row r="437" s="210" customFormat="1" x14ac:dyDescent="0.2"/>
    <row r="438" s="210" customFormat="1" x14ac:dyDescent="0.2"/>
    <row r="439" s="210" customFormat="1" x14ac:dyDescent="0.2"/>
    <row r="440" s="210" customFormat="1" x14ac:dyDescent="0.2"/>
    <row r="441" s="210" customFormat="1" x14ac:dyDescent="0.2"/>
    <row r="442" s="210" customFormat="1" x14ac:dyDescent="0.2"/>
    <row r="443" s="210" customFormat="1" x14ac:dyDescent="0.2"/>
    <row r="444" s="210" customFormat="1" x14ac:dyDescent="0.2"/>
  </sheetData>
  <autoFilter ref="B3:O3" xr:uid="{9514E7BA-E2CB-0E4C-B58E-DDE2CA9849FE}">
    <sortState xmlns:xlrd2="http://schemas.microsoft.com/office/spreadsheetml/2017/richdata2" ref="B4:O137">
      <sortCondition ref="B3:B137"/>
    </sortState>
  </autoFilter>
  <conditionalFormatting sqref="C1:C139 C153:C1048576">
    <cfRule type="duplicateValues" dxfId="0" priority="2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47D2-EDD5-8D49-99CD-8F4CE3948A59}">
  <sheetPr codeName="Sheet9"/>
  <dimension ref="A1:J16"/>
  <sheetViews>
    <sheetView workbookViewId="0">
      <selection activeCell="I4" sqref="I4:J4"/>
    </sheetView>
  </sheetViews>
  <sheetFormatPr baseColWidth="10" defaultRowHeight="16" x14ac:dyDescent="0.2"/>
  <cols>
    <col min="1" max="1" width="4.83203125" style="23" customWidth="1"/>
    <col min="2" max="2" width="35.83203125" style="42" customWidth="1"/>
    <col min="3" max="6" width="20.83203125" style="42" customWidth="1"/>
    <col min="7" max="7" width="40.83203125" style="42" customWidth="1"/>
    <col min="8" max="8" width="10.83203125" style="23"/>
    <col min="9" max="9" width="27.83203125" style="23" customWidth="1"/>
    <col min="10" max="10" width="20.83203125" style="23" customWidth="1"/>
    <col min="11" max="16384" width="10.83203125" style="23"/>
  </cols>
  <sheetData>
    <row r="1" spans="1:10" ht="21" x14ac:dyDescent="0.25">
      <c r="A1" s="14" t="s">
        <v>74</v>
      </c>
      <c r="B1" s="12" t="s">
        <v>141</v>
      </c>
      <c r="J1" s="60"/>
    </row>
    <row r="2" spans="1:10" s="20" customFormat="1" ht="60" x14ac:dyDescent="0.25">
      <c r="A2" s="3"/>
      <c r="B2" s="13" t="s">
        <v>143</v>
      </c>
      <c r="C2" s="13" t="s">
        <v>907</v>
      </c>
      <c r="D2" s="13" t="s">
        <v>908</v>
      </c>
      <c r="E2" s="13" t="s">
        <v>909</v>
      </c>
      <c r="F2" s="13" t="s">
        <v>377</v>
      </c>
      <c r="G2" s="13" t="s">
        <v>30</v>
      </c>
      <c r="I2" s="13" t="s">
        <v>44</v>
      </c>
      <c r="J2" s="13" t="s">
        <v>53</v>
      </c>
    </row>
    <row r="3" spans="1:10" s="20" customFormat="1" ht="20" x14ac:dyDescent="0.25">
      <c r="A3" s="3"/>
      <c r="B3" s="201"/>
      <c r="C3" s="10" t="s">
        <v>25</v>
      </c>
      <c r="D3" s="10" t="s">
        <v>25</v>
      </c>
      <c r="E3" s="10" t="s">
        <v>25</v>
      </c>
      <c r="F3" s="10" t="s">
        <v>25</v>
      </c>
      <c r="G3" s="10"/>
      <c r="I3" s="10" t="s">
        <v>45</v>
      </c>
      <c r="J3" s="10" t="s">
        <v>52</v>
      </c>
    </row>
    <row r="4" spans="1:10" ht="20" x14ac:dyDescent="0.25">
      <c r="A4" s="3"/>
      <c r="B4" s="201" t="s">
        <v>905</v>
      </c>
      <c r="C4" s="207">
        <v>0.95299999999999996</v>
      </c>
      <c r="D4" s="207">
        <v>0.95299999999999996</v>
      </c>
      <c r="E4" s="207">
        <v>0.95299999999999996</v>
      </c>
      <c r="F4" s="77" t="s">
        <v>904</v>
      </c>
      <c r="G4" s="201"/>
      <c r="I4" s="61">
        <v>12</v>
      </c>
      <c r="J4" s="62">
        <v>9</v>
      </c>
    </row>
    <row r="5" spans="1:10" s="40" customFormat="1" ht="20" x14ac:dyDescent="0.25">
      <c r="A5" s="20"/>
      <c r="B5" s="201" t="s">
        <v>150</v>
      </c>
      <c r="C5" s="208">
        <v>0.65</v>
      </c>
      <c r="D5" s="208">
        <v>0.65</v>
      </c>
      <c r="E5" s="208">
        <v>0.65</v>
      </c>
      <c r="F5" s="77" t="s">
        <v>904</v>
      </c>
      <c r="G5" s="201"/>
      <c r="H5" s="29"/>
    </row>
    <row r="6" spans="1:10" s="27" customFormat="1" ht="20" x14ac:dyDescent="0.25">
      <c r="A6" s="3"/>
      <c r="B6" s="201" t="s">
        <v>590</v>
      </c>
      <c r="C6" s="207">
        <v>0.98099999999999998</v>
      </c>
      <c r="D6" s="207">
        <v>0.98099999999999998</v>
      </c>
      <c r="E6" s="207">
        <v>0.98099999999999998</v>
      </c>
      <c r="F6" s="77" t="s">
        <v>904</v>
      </c>
      <c r="G6" s="201"/>
      <c r="I6" s="29"/>
    </row>
    <row r="7" spans="1:10" s="40" customFormat="1" ht="20" x14ac:dyDescent="0.25">
      <c r="A7" s="3"/>
      <c r="B7" s="201" t="s">
        <v>152</v>
      </c>
      <c r="C7" s="207">
        <v>0.98099999999999998</v>
      </c>
      <c r="D7" s="207">
        <v>0.98099999999999998</v>
      </c>
      <c r="E7" s="207">
        <v>0.98099999999999998</v>
      </c>
      <c r="F7" s="77" t="s">
        <v>904</v>
      </c>
      <c r="G7" s="201"/>
      <c r="I7" s="29"/>
    </row>
    <row r="8" spans="1:10" s="3" customFormat="1" ht="20" x14ac:dyDescent="0.25">
      <c r="B8" s="201" t="s">
        <v>906</v>
      </c>
      <c r="C8" s="150">
        <v>0.23</v>
      </c>
      <c r="D8" s="205">
        <v>0.17</v>
      </c>
      <c r="E8" s="202">
        <v>0.2</v>
      </c>
      <c r="F8" s="202">
        <v>0.35</v>
      </c>
      <c r="G8" s="201"/>
    </row>
    <row r="9" spans="1:10" s="27" customFormat="1" ht="19" x14ac:dyDescent="0.25">
      <c r="A9" s="3"/>
      <c r="B9" s="42"/>
      <c r="C9" s="42"/>
      <c r="D9" s="42"/>
      <c r="E9" s="42"/>
      <c r="F9" s="42"/>
      <c r="G9" s="42"/>
      <c r="I9" s="29"/>
    </row>
    <row r="10" spans="1:10" ht="19" x14ac:dyDescent="0.25">
      <c r="A10" s="60" t="s">
        <v>554</v>
      </c>
      <c r="B10" s="3"/>
      <c r="C10" s="3"/>
      <c r="D10" s="3"/>
      <c r="E10" s="3"/>
      <c r="F10" s="3"/>
      <c r="G10" s="3"/>
    </row>
    <row r="11" spans="1:10" ht="19" x14ac:dyDescent="0.25">
      <c r="A11" s="3" t="s">
        <v>917</v>
      </c>
      <c r="B11" s="3"/>
      <c r="C11" s="3"/>
      <c r="D11" s="3"/>
      <c r="E11" s="3"/>
      <c r="F11" s="3"/>
      <c r="G11" s="3"/>
    </row>
    <row r="12" spans="1:10" ht="19" x14ac:dyDescent="0.25">
      <c r="A12" s="3" t="s">
        <v>918</v>
      </c>
    </row>
    <row r="13" spans="1:10" ht="19" x14ac:dyDescent="0.25">
      <c r="A13" s="3"/>
    </row>
    <row r="14" spans="1:10" ht="19" x14ac:dyDescent="0.2">
      <c r="A14" s="60" t="s">
        <v>550</v>
      </c>
    </row>
    <row r="15" spans="1:10" ht="19" x14ac:dyDescent="0.25">
      <c r="A15" s="3"/>
    </row>
    <row r="16" spans="1:10" x14ac:dyDescent="0.2">
      <c r="A16" s="4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828B-B68B-0740-ABF3-E58EFE150D77}">
  <sheetPr codeName="Sheet10"/>
  <dimension ref="A1:W9"/>
  <sheetViews>
    <sheetView workbookViewId="0"/>
  </sheetViews>
  <sheetFormatPr baseColWidth="10" defaultRowHeight="16" x14ac:dyDescent="0.2"/>
  <cols>
    <col min="1" max="1" width="4.83203125" style="42" customWidth="1"/>
    <col min="2" max="2" width="49.83203125" style="42" customWidth="1"/>
    <col min="3" max="16384" width="10.83203125" style="42"/>
  </cols>
  <sheetData>
    <row r="1" spans="1:23" s="20" customFormat="1" ht="20" customHeight="1" x14ac:dyDescent="0.2">
      <c r="A1" s="121" t="s">
        <v>74</v>
      </c>
      <c r="B1" s="120" t="s">
        <v>485</v>
      </c>
      <c r="C1" s="10" t="s">
        <v>486</v>
      </c>
      <c r="D1" s="10">
        <v>2009</v>
      </c>
      <c r="E1" s="10">
        <v>2010</v>
      </c>
      <c r="F1" s="10">
        <v>2011</v>
      </c>
      <c r="G1" s="10">
        <v>2012</v>
      </c>
      <c r="H1" s="10">
        <v>2013</v>
      </c>
      <c r="I1" s="10">
        <v>2014</v>
      </c>
      <c r="J1" s="10">
        <v>2015</v>
      </c>
      <c r="K1" s="10">
        <v>2016</v>
      </c>
      <c r="L1" s="10">
        <v>2017</v>
      </c>
      <c r="M1" s="10">
        <v>2018</v>
      </c>
      <c r="N1" s="80" t="s">
        <v>978</v>
      </c>
    </row>
    <row r="2" spans="1:23" ht="20" x14ac:dyDescent="0.2">
      <c r="B2" s="72" t="s">
        <v>487</v>
      </c>
      <c r="C2" s="73" t="s">
        <v>41</v>
      </c>
      <c r="D2" s="62">
        <v>23412</v>
      </c>
      <c r="E2" s="62">
        <v>23892</v>
      </c>
      <c r="F2" s="62">
        <v>23605</v>
      </c>
      <c r="G2" s="62">
        <v>24750</v>
      </c>
      <c r="H2" s="62">
        <v>25625</v>
      </c>
      <c r="I2" s="62">
        <v>25505</v>
      </c>
      <c r="J2" s="62">
        <v>24665</v>
      </c>
      <c r="K2" s="62">
        <v>25227</v>
      </c>
      <c r="L2" s="62">
        <v>25742</v>
      </c>
      <c r="M2" s="62">
        <v>25935</v>
      </c>
      <c r="N2" s="35"/>
    </row>
    <row r="3" spans="1:23" ht="20" x14ac:dyDescent="0.2">
      <c r="B3" s="72" t="s">
        <v>488</v>
      </c>
      <c r="C3" s="73" t="s">
        <v>41</v>
      </c>
      <c r="D3" s="59"/>
      <c r="E3" s="59">
        <f t="shared" ref="E3:M3" si="0">E2-D2</f>
        <v>480</v>
      </c>
      <c r="F3" s="59">
        <f t="shared" si="0"/>
        <v>-287</v>
      </c>
      <c r="G3" s="59">
        <f t="shared" si="0"/>
        <v>1145</v>
      </c>
      <c r="H3" s="59">
        <f t="shared" si="0"/>
        <v>875</v>
      </c>
      <c r="I3" s="59">
        <f t="shared" si="0"/>
        <v>-120</v>
      </c>
      <c r="J3" s="59">
        <f t="shared" si="0"/>
        <v>-840</v>
      </c>
      <c r="K3" s="59">
        <f t="shared" si="0"/>
        <v>562</v>
      </c>
      <c r="L3" s="59">
        <f t="shared" si="0"/>
        <v>515</v>
      </c>
      <c r="M3" s="59">
        <f t="shared" si="0"/>
        <v>193</v>
      </c>
      <c r="N3" s="59" t="s">
        <v>977</v>
      </c>
    </row>
    <row r="4" spans="1:23" ht="20" x14ac:dyDescent="0.2">
      <c r="B4" s="72" t="s">
        <v>489</v>
      </c>
      <c r="C4" s="73" t="s">
        <v>42</v>
      </c>
      <c r="D4" s="77"/>
      <c r="E4" s="77">
        <f t="shared" ref="E4:M4" si="1">E3/D2</f>
        <v>2.0502306509482315E-2</v>
      </c>
      <c r="F4" s="77">
        <f t="shared" si="1"/>
        <v>-1.2012389084212288E-2</v>
      </c>
      <c r="G4" s="77">
        <f t="shared" si="1"/>
        <v>4.850667231518746E-2</v>
      </c>
      <c r="H4" s="77">
        <f t="shared" si="1"/>
        <v>3.5353535353535352E-2</v>
      </c>
      <c r="I4" s="77">
        <f t="shared" si="1"/>
        <v>-4.6829268292682925E-3</v>
      </c>
      <c r="J4" s="77">
        <f t="shared" si="1"/>
        <v>-3.2934718682611254E-2</v>
      </c>
      <c r="K4" s="77">
        <f t="shared" si="1"/>
        <v>2.2785323332657613E-2</v>
      </c>
      <c r="L4" s="77">
        <f t="shared" si="1"/>
        <v>2.0414635113172395E-2</v>
      </c>
      <c r="M4" s="77">
        <f t="shared" si="1"/>
        <v>7.49747494367182E-3</v>
      </c>
      <c r="N4" s="93">
        <f>(M2/D2)^(1/(9))-1</f>
        <v>1.1436535731873976E-2</v>
      </c>
    </row>
    <row r="5" spans="1:23" ht="19" x14ac:dyDescent="0.25">
      <c r="C5" s="38"/>
      <c r="D5" s="51"/>
      <c r="E5" s="51"/>
      <c r="F5" s="51"/>
      <c r="G5" s="51"/>
      <c r="H5" s="51"/>
      <c r="I5" s="51"/>
      <c r="J5" s="51"/>
      <c r="K5" s="51"/>
      <c r="L5" s="51"/>
      <c r="M5" s="51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9" x14ac:dyDescent="0.2">
      <c r="A6" s="60" t="s">
        <v>35</v>
      </c>
      <c r="B6" s="38"/>
    </row>
    <row r="7" spans="1:23" s="3" customFormat="1" ht="19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23" s="3" customFormat="1" ht="19" x14ac:dyDescent="0.25"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23" ht="19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6FB8-2FCA-2947-A5DD-499EFBA33D54}">
  <sheetPr codeName="Sheet11"/>
  <dimension ref="A1:W9"/>
  <sheetViews>
    <sheetView topLeftCell="A8" workbookViewId="0">
      <selection sqref="A1:XFD1"/>
    </sheetView>
  </sheetViews>
  <sheetFormatPr baseColWidth="10" defaultRowHeight="16" x14ac:dyDescent="0.2"/>
  <cols>
    <col min="1" max="1" width="4.83203125" style="42" customWidth="1"/>
    <col min="2" max="2" width="49.83203125" style="42" customWidth="1"/>
    <col min="3" max="13" width="10.83203125" style="42"/>
    <col min="14" max="14" width="10.83203125" style="210"/>
    <col min="15" max="16384" width="10.83203125" style="42"/>
  </cols>
  <sheetData>
    <row r="1" spans="1:23" s="20" customFormat="1" ht="20" customHeight="1" x14ac:dyDescent="0.2">
      <c r="A1" s="12" t="s">
        <v>74</v>
      </c>
      <c r="B1" s="120" t="s">
        <v>490</v>
      </c>
      <c r="C1" s="10" t="s">
        <v>486</v>
      </c>
      <c r="D1" s="10">
        <v>2009</v>
      </c>
      <c r="E1" s="10">
        <v>2010</v>
      </c>
      <c r="F1" s="10">
        <v>2011</v>
      </c>
      <c r="G1" s="10">
        <v>2012</v>
      </c>
      <c r="H1" s="10">
        <v>2013</v>
      </c>
      <c r="I1" s="10">
        <v>2014</v>
      </c>
      <c r="J1" s="10">
        <v>2015</v>
      </c>
      <c r="K1" s="10">
        <v>2016</v>
      </c>
      <c r="L1" s="10">
        <v>2017</v>
      </c>
      <c r="M1" s="10">
        <v>2018</v>
      </c>
      <c r="N1" s="80" t="s">
        <v>978</v>
      </c>
    </row>
    <row r="2" spans="1:23" ht="20" x14ac:dyDescent="0.2">
      <c r="B2" s="72" t="s">
        <v>491</v>
      </c>
      <c r="C2" s="73" t="s">
        <v>43</v>
      </c>
      <c r="D2" s="62">
        <v>4393</v>
      </c>
      <c r="E2" s="62">
        <v>4286</v>
      </c>
      <c r="F2" s="62">
        <v>4367</v>
      </c>
      <c r="G2" s="62">
        <v>4559</v>
      </c>
      <c r="H2" s="62">
        <v>4743</v>
      </c>
      <c r="I2" s="62">
        <v>4713</v>
      </c>
      <c r="J2" s="62">
        <v>4479</v>
      </c>
      <c r="K2" s="62">
        <v>4822</v>
      </c>
      <c r="L2" s="62">
        <v>4755</v>
      </c>
      <c r="M2" s="62">
        <v>4815</v>
      </c>
      <c r="N2" s="35"/>
    </row>
    <row r="3" spans="1:23" ht="20" x14ac:dyDescent="0.2">
      <c r="B3" s="72" t="s">
        <v>492</v>
      </c>
      <c r="C3" s="73" t="s">
        <v>43</v>
      </c>
      <c r="D3" s="59"/>
      <c r="E3" s="59">
        <f t="shared" ref="E3" si="0">E2-D2</f>
        <v>-107</v>
      </c>
      <c r="F3" s="59">
        <f t="shared" ref="F3" si="1">F2-E2</f>
        <v>81</v>
      </c>
      <c r="G3" s="59">
        <f t="shared" ref="G3" si="2">G2-F2</f>
        <v>192</v>
      </c>
      <c r="H3" s="59">
        <f t="shared" ref="H3" si="3">H2-G2</f>
        <v>184</v>
      </c>
      <c r="I3" s="59">
        <f t="shared" ref="I3" si="4">I2-H2</f>
        <v>-30</v>
      </c>
      <c r="J3" s="59">
        <f t="shared" ref="J3:M3" si="5">J2-I2</f>
        <v>-234</v>
      </c>
      <c r="K3" s="59">
        <f t="shared" si="5"/>
        <v>343</v>
      </c>
      <c r="L3" s="59">
        <f t="shared" si="5"/>
        <v>-67</v>
      </c>
      <c r="M3" s="59">
        <f t="shared" si="5"/>
        <v>60</v>
      </c>
      <c r="N3" s="59" t="s">
        <v>977</v>
      </c>
    </row>
    <row r="4" spans="1:23" ht="20" x14ac:dyDescent="0.2">
      <c r="B4" s="72" t="s">
        <v>493</v>
      </c>
      <c r="C4" s="73" t="s">
        <v>42</v>
      </c>
      <c r="D4" s="77"/>
      <c r="E4" s="77">
        <f t="shared" ref="E4" si="6">E3/D2</f>
        <v>-2.4356931481903026E-2</v>
      </c>
      <c r="F4" s="77">
        <f t="shared" ref="F4" si="7">F3/E2</f>
        <v>1.8898740083994399E-2</v>
      </c>
      <c r="G4" s="77">
        <f t="shared" ref="G4" si="8">G3/F2</f>
        <v>4.3966109457293338E-2</v>
      </c>
      <c r="H4" s="77">
        <f t="shared" ref="H4" si="9">H3/G2</f>
        <v>4.0359728010528624E-2</v>
      </c>
      <c r="I4" s="77">
        <f t="shared" ref="I4" si="10">I3/H2</f>
        <v>-6.3251106894370648E-3</v>
      </c>
      <c r="J4" s="77">
        <f t="shared" ref="J4:M4" si="11">J3/I2</f>
        <v>-4.9649904519414388E-2</v>
      </c>
      <c r="K4" s="77">
        <f t="shared" si="11"/>
        <v>7.657959365929895E-2</v>
      </c>
      <c r="L4" s="77">
        <f t="shared" si="11"/>
        <v>-1.3894649523019494E-2</v>
      </c>
      <c r="M4" s="77">
        <f t="shared" si="11"/>
        <v>1.2618296529968454E-2</v>
      </c>
      <c r="N4" s="93">
        <f>(M2/D2)^(1/(9))-1</f>
        <v>1.02436304464113E-2</v>
      </c>
    </row>
    <row r="5" spans="1:23" ht="19" x14ac:dyDescent="0.25">
      <c r="C5" s="38"/>
      <c r="D5" s="51"/>
      <c r="E5" s="51"/>
      <c r="F5" s="51"/>
      <c r="G5" s="51"/>
      <c r="H5" s="51"/>
      <c r="I5" s="51"/>
      <c r="J5" s="51"/>
      <c r="K5" s="51"/>
      <c r="L5" s="51"/>
      <c r="M5" s="51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9" x14ac:dyDescent="0.2">
      <c r="A6" s="60" t="s">
        <v>35</v>
      </c>
      <c r="B6" s="38"/>
    </row>
    <row r="7" spans="1:23" s="3" customFormat="1" ht="19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23" s="3" customFormat="1" ht="19" x14ac:dyDescent="0.25"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23" ht="19" x14ac:dyDescent="0.25">
      <c r="N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77BA-8388-4C4B-9C9F-FCAF32F26943}">
  <sheetPr codeName="Sheet12"/>
  <dimension ref="A1:AJ41"/>
  <sheetViews>
    <sheetView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A35" sqref="A35:XFD35"/>
    </sheetView>
  </sheetViews>
  <sheetFormatPr baseColWidth="10" defaultRowHeight="16" x14ac:dyDescent="0.2"/>
  <cols>
    <col min="1" max="1" width="4.83203125" style="23" customWidth="1"/>
    <col min="2" max="2" width="50.83203125" style="23" customWidth="1"/>
    <col min="3" max="3" width="10.83203125" style="23"/>
    <col min="4" max="21" width="9.83203125" style="23" customWidth="1"/>
    <col min="22" max="34" width="9.83203125" style="82" customWidth="1"/>
    <col min="35" max="35" width="19.33203125" style="23" customWidth="1"/>
    <col min="36" max="36" width="60.1640625" style="23" customWidth="1"/>
    <col min="37" max="16384" width="10.83203125" style="23"/>
  </cols>
  <sheetData>
    <row r="1" spans="1:36" s="20" customFormat="1" ht="21" x14ac:dyDescent="0.25">
      <c r="A1" s="121" t="s">
        <v>74</v>
      </c>
      <c r="B1" s="272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3"/>
      <c r="AJ1" s="3"/>
    </row>
    <row r="2" spans="1:36" s="20" customFormat="1" ht="20" x14ac:dyDescent="0.25">
      <c r="A2" s="3"/>
      <c r="B2" s="35"/>
      <c r="C2" s="10" t="s">
        <v>138</v>
      </c>
      <c r="D2" s="10">
        <v>2020</v>
      </c>
      <c r="E2" s="10">
        <f t="shared" ref="E2" si="0">D2+1</f>
        <v>2021</v>
      </c>
      <c r="F2" s="10">
        <f t="shared" ref="F2" si="1">E2+1</f>
        <v>2022</v>
      </c>
      <c r="G2" s="10">
        <f t="shared" ref="G2" si="2">F2+1</f>
        <v>2023</v>
      </c>
      <c r="H2" s="10">
        <f t="shared" ref="H2" si="3">G2+1</f>
        <v>2024</v>
      </c>
      <c r="I2" s="10">
        <f t="shared" ref="I2" si="4">H2+1</f>
        <v>2025</v>
      </c>
      <c r="J2" s="10">
        <f t="shared" ref="J2" si="5">I2+1</f>
        <v>2026</v>
      </c>
      <c r="K2" s="10">
        <f t="shared" ref="K2" si="6">J2+1</f>
        <v>2027</v>
      </c>
      <c r="L2" s="10">
        <f t="shared" ref="L2" si="7">K2+1</f>
        <v>2028</v>
      </c>
      <c r="M2" s="10">
        <f t="shared" ref="M2" si="8">L2+1</f>
        <v>2029</v>
      </c>
      <c r="N2" s="10">
        <f t="shared" ref="N2" si="9">M2+1</f>
        <v>2030</v>
      </c>
      <c r="O2" s="10">
        <f t="shared" ref="O2" si="10">N2+1</f>
        <v>2031</v>
      </c>
      <c r="P2" s="10">
        <f t="shared" ref="P2" si="11">O2+1</f>
        <v>2032</v>
      </c>
      <c r="Q2" s="10">
        <f t="shared" ref="Q2" si="12">P2+1</f>
        <v>2033</v>
      </c>
      <c r="R2" s="10">
        <f t="shared" ref="R2" si="13">Q2+1</f>
        <v>2034</v>
      </c>
      <c r="S2" s="10">
        <f t="shared" ref="S2" si="14">R2+1</f>
        <v>2035</v>
      </c>
      <c r="T2" s="10">
        <f t="shared" ref="T2" si="15">S2+1</f>
        <v>2036</v>
      </c>
      <c r="U2" s="10">
        <f t="shared" ref="U2" si="16">T2+1</f>
        <v>2037</v>
      </c>
      <c r="V2" s="80">
        <f>U2+1</f>
        <v>2038</v>
      </c>
      <c r="W2" s="80">
        <f t="shared" ref="W2:AH2" si="17">V2+1</f>
        <v>2039</v>
      </c>
      <c r="X2" s="80">
        <f t="shared" si="17"/>
        <v>2040</v>
      </c>
      <c r="Y2" s="80">
        <f t="shared" si="17"/>
        <v>2041</v>
      </c>
      <c r="Z2" s="80">
        <f t="shared" si="17"/>
        <v>2042</v>
      </c>
      <c r="AA2" s="80">
        <f t="shared" si="17"/>
        <v>2043</v>
      </c>
      <c r="AB2" s="80">
        <f t="shared" si="17"/>
        <v>2044</v>
      </c>
      <c r="AC2" s="80">
        <f t="shared" si="17"/>
        <v>2045</v>
      </c>
      <c r="AD2" s="80">
        <f t="shared" si="17"/>
        <v>2046</v>
      </c>
      <c r="AE2" s="80">
        <f t="shared" si="17"/>
        <v>2047</v>
      </c>
      <c r="AF2" s="80">
        <f t="shared" si="17"/>
        <v>2048</v>
      </c>
      <c r="AG2" s="80">
        <f t="shared" si="17"/>
        <v>2049</v>
      </c>
      <c r="AH2" s="80">
        <f t="shared" si="17"/>
        <v>2050</v>
      </c>
      <c r="AI2" s="10" t="s">
        <v>1332</v>
      </c>
      <c r="AJ2" s="10" t="s">
        <v>30</v>
      </c>
    </row>
    <row r="3" spans="1:36" ht="20" x14ac:dyDescent="0.2">
      <c r="B3" s="35" t="s">
        <v>56</v>
      </c>
      <c r="C3" s="35" t="s">
        <v>57</v>
      </c>
      <c r="D3" s="62">
        <v>2024</v>
      </c>
      <c r="E3" s="62">
        <v>2041</v>
      </c>
      <c r="F3" s="62">
        <v>2060</v>
      </c>
      <c r="G3" s="62">
        <v>2086</v>
      </c>
      <c r="H3" s="62">
        <v>2111</v>
      </c>
      <c r="I3" s="62">
        <v>2135</v>
      </c>
      <c r="J3" s="62">
        <v>2160</v>
      </c>
      <c r="K3" s="62">
        <v>2183</v>
      </c>
      <c r="L3" s="62">
        <v>2207</v>
      </c>
      <c r="M3" s="62">
        <v>2233</v>
      </c>
      <c r="N3" s="62">
        <v>2259</v>
      </c>
      <c r="O3" s="62">
        <v>2286</v>
      </c>
      <c r="P3" s="62">
        <v>2314</v>
      </c>
      <c r="Q3" s="62">
        <v>2342</v>
      </c>
      <c r="R3" s="62">
        <v>2370</v>
      </c>
      <c r="S3" s="62">
        <v>2399</v>
      </c>
      <c r="T3" s="62">
        <v>2430</v>
      </c>
      <c r="U3" s="62">
        <v>2465</v>
      </c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59"/>
      <c r="AJ3" s="59"/>
    </row>
    <row r="4" spans="1:36" ht="20" x14ac:dyDescent="0.2">
      <c r="B4" s="35" t="s">
        <v>58</v>
      </c>
      <c r="C4" s="35" t="s">
        <v>57</v>
      </c>
      <c r="D4" s="62">
        <v>1859</v>
      </c>
      <c r="E4" s="62">
        <v>1875</v>
      </c>
      <c r="F4" s="62">
        <v>1894</v>
      </c>
      <c r="G4" s="62">
        <v>1917</v>
      </c>
      <c r="H4" s="62">
        <v>1941</v>
      </c>
      <c r="I4" s="62">
        <v>1962</v>
      </c>
      <c r="J4" s="62">
        <v>1985</v>
      </c>
      <c r="K4" s="62">
        <v>2006</v>
      </c>
      <c r="L4" s="62">
        <v>2029</v>
      </c>
      <c r="M4" s="62">
        <v>2052</v>
      </c>
      <c r="N4" s="62">
        <v>2076</v>
      </c>
      <c r="O4" s="62">
        <v>2101</v>
      </c>
      <c r="P4" s="62">
        <v>2127</v>
      </c>
      <c r="Q4" s="62">
        <v>2152</v>
      </c>
      <c r="R4" s="62">
        <v>2178</v>
      </c>
      <c r="S4" s="62">
        <v>2205</v>
      </c>
      <c r="T4" s="62">
        <v>2233</v>
      </c>
      <c r="U4" s="62">
        <v>2265</v>
      </c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59"/>
      <c r="AJ4" s="59"/>
    </row>
    <row r="5" spans="1:36" ht="20" x14ac:dyDescent="0.2">
      <c r="B5" s="35" t="s">
        <v>59</v>
      </c>
      <c r="C5" s="35" t="s">
        <v>57</v>
      </c>
      <c r="D5" s="62">
        <v>1802</v>
      </c>
      <c r="E5" s="62">
        <v>1818</v>
      </c>
      <c r="F5" s="62">
        <v>1836</v>
      </c>
      <c r="G5" s="62">
        <v>1859</v>
      </c>
      <c r="H5" s="62">
        <v>1882</v>
      </c>
      <c r="I5" s="62">
        <v>1903</v>
      </c>
      <c r="J5" s="62">
        <v>1925</v>
      </c>
      <c r="K5" s="62">
        <v>1946</v>
      </c>
      <c r="L5" s="62">
        <v>1968</v>
      </c>
      <c r="M5" s="62">
        <v>1991</v>
      </c>
      <c r="N5" s="62">
        <v>2014</v>
      </c>
      <c r="O5" s="62">
        <v>2038</v>
      </c>
      <c r="P5" s="62">
        <v>2064</v>
      </c>
      <c r="Q5" s="62">
        <v>2088</v>
      </c>
      <c r="R5" s="62">
        <v>2113</v>
      </c>
      <c r="S5" s="62">
        <v>2139</v>
      </c>
      <c r="T5" s="62">
        <v>2167</v>
      </c>
      <c r="U5" s="62">
        <v>2198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59"/>
      <c r="AJ5" s="59"/>
    </row>
    <row r="6" spans="1:36" ht="20" x14ac:dyDescent="0.2">
      <c r="B6" s="35" t="s">
        <v>60</v>
      </c>
      <c r="C6" s="35" t="s">
        <v>57</v>
      </c>
      <c r="D6" s="62">
        <v>1933</v>
      </c>
      <c r="E6" s="62">
        <v>1950</v>
      </c>
      <c r="F6" s="62">
        <v>1970</v>
      </c>
      <c r="G6" s="62">
        <v>1995</v>
      </c>
      <c r="H6" s="62">
        <v>2019</v>
      </c>
      <c r="I6" s="62">
        <v>2042</v>
      </c>
      <c r="J6" s="62">
        <v>2066</v>
      </c>
      <c r="K6" s="62">
        <v>2088</v>
      </c>
      <c r="L6" s="62">
        <v>2111</v>
      </c>
      <c r="M6" s="62">
        <v>2136</v>
      </c>
      <c r="N6" s="62">
        <v>2161</v>
      </c>
      <c r="O6" s="62">
        <v>2187</v>
      </c>
      <c r="P6" s="62">
        <v>2214</v>
      </c>
      <c r="Q6" s="62">
        <v>2240</v>
      </c>
      <c r="R6" s="62">
        <v>2267</v>
      </c>
      <c r="S6" s="62">
        <v>2295</v>
      </c>
      <c r="T6" s="62">
        <v>2325</v>
      </c>
      <c r="U6" s="62">
        <v>2358</v>
      </c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59"/>
      <c r="AJ6" s="59"/>
    </row>
    <row r="7" spans="1:36" ht="20" x14ac:dyDescent="0.2">
      <c r="B7" s="35" t="s">
        <v>61</v>
      </c>
      <c r="C7" s="35" t="s">
        <v>57</v>
      </c>
      <c r="D7" s="62">
        <v>1884</v>
      </c>
      <c r="E7" s="62">
        <v>1901</v>
      </c>
      <c r="F7" s="62">
        <v>1920</v>
      </c>
      <c r="G7" s="62">
        <v>1944</v>
      </c>
      <c r="H7" s="62">
        <v>1968</v>
      </c>
      <c r="I7" s="62">
        <v>1990</v>
      </c>
      <c r="J7" s="62">
        <v>2013</v>
      </c>
      <c r="K7" s="62">
        <v>2034</v>
      </c>
      <c r="L7" s="62">
        <v>2057</v>
      </c>
      <c r="M7" s="62">
        <v>2081</v>
      </c>
      <c r="N7" s="62">
        <v>2105</v>
      </c>
      <c r="O7" s="62">
        <v>2131</v>
      </c>
      <c r="P7" s="62">
        <v>2157</v>
      </c>
      <c r="Q7" s="62">
        <v>2183</v>
      </c>
      <c r="R7" s="62">
        <v>2209</v>
      </c>
      <c r="S7" s="62">
        <v>2236</v>
      </c>
      <c r="T7" s="62">
        <v>2265</v>
      </c>
      <c r="U7" s="62">
        <v>2297</v>
      </c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59"/>
      <c r="AJ7" s="59"/>
    </row>
    <row r="8" spans="1:36" ht="20" x14ac:dyDescent="0.2">
      <c r="B8" s="35" t="s">
        <v>62</v>
      </c>
      <c r="C8" s="35" t="s">
        <v>57</v>
      </c>
      <c r="D8" s="62">
        <v>1788</v>
      </c>
      <c r="E8" s="62">
        <v>1803</v>
      </c>
      <c r="F8" s="62">
        <v>1821</v>
      </c>
      <c r="G8" s="62">
        <v>1844</v>
      </c>
      <c r="H8" s="62">
        <v>1866</v>
      </c>
      <c r="I8" s="62">
        <v>1887</v>
      </c>
      <c r="J8" s="62">
        <v>1909</v>
      </c>
      <c r="K8" s="62">
        <v>1929</v>
      </c>
      <c r="L8" s="62">
        <v>1951</v>
      </c>
      <c r="M8" s="62">
        <v>1974</v>
      </c>
      <c r="N8" s="62">
        <v>1997</v>
      </c>
      <c r="O8" s="62">
        <v>2021</v>
      </c>
      <c r="P8" s="62">
        <v>2046</v>
      </c>
      <c r="Q8" s="62">
        <v>2070</v>
      </c>
      <c r="R8" s="62">
        <v>2095</v>
      </c>
      <c r="S8" s="62">
        <v>2120</v>
      </c>
      <c r="T8" s="62">
        <v>2147</v>
      </c>
      <c r="U8" s="62">
        <v>2178</v>
      </c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59"/>
      <c r="AJ8" s="59"/>
    </row>
    <row r="9" spans="1:36" ht="20" x14ac:dyDescent="0.2">
      <c r="B9" s="35" t="s">
        <v>63</v>
      </c>
      <c r="C9" s="35" t="s">
        <v>57</v>
      </c>
      <c r="D9" s="62">
        <v>2035</v>
      </c>
      <c r="E9" s="62">
        <v>2053</v>
      </c>
      <c r="F9" s="62">
        <v>2072</v>
      </c>
      <c r="G9" s="62">
        <v>2098</v>
      </c>
      <c r="H9" s="62">
        <v>2124</v>
      </c>
      <c r="I9" s="62">
        <v>2147</v>
      </c>
      <c r="J9" s="62">
        <v>2172</v>
      </c>
      <c r="K9" s="62">
        <v>2195</v>
      </c>
      <c r="L9" s="62">
        <v>2220</v>
      </c>
      <c r="M9" s="62">
        <v>2245</v>
      </c>
      <c r="N9" s="62">
        <v>2271</v>
      </c>
      <c r="O9" s="62">
        <v>2299</v>
      </c>
      <c r="P9" s="62">
        <v>2327</v>
      </c>
      <c r="Q9" s="62">
        <v>2355</v>
      </c>
      <c r="R9" s="62">
        <v>2383</v>
      </c>
      <c r="S9" s="62">
        <v>2412</v>
      </c>
      <c r="T9" s="62">
        <v>2444</v>
      </c>
      <c r="U9" s="62">
        <v>2479</v>
      </c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59"/>
      <c r="AJ9" s="59"/>
    </row>
    <row r="10" spans="1:36" ht="20" x14ac:dyDescent="0.2">
      <c r="B10" s="35" t="s">
        <v>64</v>
      </c>
      <c r="C10" s="35" t="s">
        <v>57</v>
      </c>
      <c r="D10" s="62">
        <v>2364</v>
      </c>
      <c r="E10" s="62">
        <v>2385</v>
      </c>
      <c r="F10" s="62">
        <v>2408</v>
      </c>
      <c r="G10" s="62">
        <v>2439</v>
      </c>
      <c r="H10" s="62">
        <v>2468</v>
      </c>
      <c r="I10" s="62">
        <v>2496</v>
      </c>
      <c r="J10" s="62">
        <v>2525</v>
      </c>
      <c r="K10" s="62">
        <v>2552</v>
      </c>
      <c r="L10" s="62">
        <v>2581</v>
      </c>
      <c r="M10" s="62">
        <v>2611</v>
      </c>
      <c r="N10" s="62">
        <v>2641</v>
      </c>
      <c r="O10" s="62">
        <v>2674</v>
      </c>
      <c r="P10" s="62">
        <v>2707</v>
      </c>
      <c r="Q10" s="62">
        <v>2740</v>
      </c>
      <c r="R10" s="62">
        <v>2773</v>
      </c>
      <c r="S10" s="62">
        <v>2808</v>
      </c>
      <c r="T10" s="62">
        <v>2845</v>
      </c>
      <c r="U10" s="62">
        <v>2886</v>
      </c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59"/>
      <c r="AJ10" s="59"/>
    </row>
    <row r="11" spans="1:36" ht="20" x14ac:dyDescent="0.2">
      <c r="B11" s="35" t="s">
        <v>65</v>
      </c>
      <c r="C11" s="35" t="s">
        <v>57</v>
      </c>
      <c r="D11" s="62">
        <v>2803</v>
      </c>
      <c r="E11" s="62">
        <v>2828</v>
      </c>
      <c r="F11" s="62">
        <v>2855</v>
      </c>
      <c r="G11" s="62">
        <v>2891</v>
      </c>
      <c r="H11" s="62">
        <v>2926</v>
      </c>
      <c r="I11" s="62">
        <v>2959</v>
      </c>
      <c r="J11" s="62">
        <v>2994</v>
      </c>
      <c r="K11" s="62">
        <v>3025</v>
      </c>
      <c r="L11" s="62">
        <v>3059</v>
      </c>
      <c r="M11" s="62">
        <v>3095</v>
      </c>
      <c r="N11" s="62">
        <v>3131</v>
      </c>
      <c r="O11" s="62">
        <v>3170</v>
      </c>
      <c r="P11" s="62">
        <v>3210</v>
      </c>
      <c r="Q11" s="62">
        <v>3249</v>
      </c>
      <c r="R11" s="62">
        <v>3289</v>
      </c>
      <c r="S11" s="62">
        <v>3331</v>
      </c>
      <c r="T11" s="62">
        <v>3375</v>
      </c>
      <c r="U11" s="62">
        <v>3424</v>
      </c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59"/>
      <c r="AJ11" s="59"/>
    </row>
    <row r="12" spans="1:36" ht="20" x14ac:dyDescent="0.2">
      <c r="B12" s="35" t="s">
        <v>66</v>
      </c>
      <c r="C12" s="35" t="s">
        <v>57</v>
      </c>
      <c r="D12" s="62">
        <v>2958</v>
      </c>
      <c r="E12" s="62">
        <v>2984</v>
      </c>
      <c r="F12" s="62">
        <v>3013</v>
      </c>
      <c r="G12" s="62">
        <v>3052</v>
      </c>
      <c r="H12" s="62">
        <v>3089</v>
      </c>
      <c r="I12" s="62">
        <v>3124</v>
      </c>
      <c r="J12" s="62">
        <v>3161</v>
      </c>
      <c r="K12" s="62">
        <v>3194</v>
      </c>
      <c r="L12" s="62">
        <v>3230</v>
      </c>
      <c r="M12" s="62">
        <v>3268</v>
      </c>
      <c r="N12" s="62">
        <v>3307</v>
      </c>
      <c r="O12" s="62">
        <v>3348</v>
      </c>
      <c r="P12" s="62">
        <v>3391</v>
      </c>
      <c r="Q12" s="62">
        <v>3433</v>
      </c>
      <c r="R12" s="62">
        <v>3475</v>
      </c>
      <c r="S12" s="62">
        <v>3519</v>
      </c>
      <c r="T12" s="62">
        <v>3566</v>
      </c>
      <c r="U12" s="62">
        <v>3618</v>
      </c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59"/>
      <c r="AJ12" s="59"/>
    </row>
    <row r="13" spans="1:36" ht="20" x14ac:dyDescent="0.2">
      <c r="B13" s="35" t="s">
        <v>67</v>
      </c>
      <c r="C13" s="35" t="s">
        <v>57</v>
      </c>
      <c r="D13" s="62">
        <v>2570</v>
      </c>
      <c r="E13" s="62">
        <v>2592</v>
      </c>
      <c r="F13" s="62">
        <v>2617</v>
      </c>
      <c r="G13" s="62">
        <v>2650</v>
      </c>
      <c r="H13" s="62">
        <v>2683</v>
      </c>
      <c r="I13" s="62">
        <v>2713</v>
      </c>
      <c r="J13" s="62">
        <v>2745</v>
      </c>
      <c r="K13" s="62">
        <v>2774</v>
      </c>
      <c r="L13" s="62">
        <v>2805</v>
      </c>
      <c r="M13" s="62">
        <v>2838</v>
      </c>
      <c r="N13" s="62">
        <v>2872</v>
      </c>
      <c r="O13" s="62">
        <v>2907</v>
      </c>
      <c r="P13" s="62">
        <v>2944</v>
      </c>
      <c r="Q13" s="62">
        <v>2980</v>
      </c>
      <c r="R13" s="62">
        <v>3017</v>
      </c>
      <c r="S13" s="62">
        <v>3055</v>
      </c>
      <c r="T13" s="62">
        <v>3096</v>
      </c>
      <c r="U13" s="62">
        <v>3141</v>
      </c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59"/>
      <c r="AJ13" s="59"/>
    </row>
    <row r="14" spans="1:36" ht="21" thickBot="1" x14ac:dyDescent="0.25">
      <c r="B14" s="75" t="s">
        <v>68</v>
      </c>
      <c r="C14" s="75" t="s">
        <v>57</v>
      </c>
      <c r="D14" s="76">
        <v>2507</v>
      </c>
      <c r="E14" s="76">
        <v>2527</v>
      </c>
      <c r="F14" s="76">
        <v>2550</v>
      </c>
      <c r="G14" s="76">
        <v>2582</v>
      </c>
      <c r="H14" s="76">
        <v>2613</v>
      </c>
      <c r="I14" s="76">
        <v>2642</v>
      </c>
      <c r="J14" s="76">
        <v>2673</v>
      </c>
      <c r="K14" s="76">
        <v>2701</v>
      </c>
      <c r="L14" s="76">
        <v>2732</v>
      </c>
      <c r="M14" s="76">
        <v>2764</v>
      </c>
      <c r="N14" s="76">
        <v>2796</v>
      </c>
      <c r="O14" s="76">
        <v>2830</v>
      </c>
      <c r="P14" s="76">
        <v>2866</v>
      </c>
      <c r="Q14" s="76">
        <v>2900</v>
      </c>
      <c r="R14" s="76">
        <v>2936</v>
      </c>
      <c r="S14" s="76">
        <v>2972</v>
      </c>
      <c r="T14" s="76">
        <v>3011</v>
      </c>
      <c r="U14" s="76">
        <v>3055</v>
      </c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75" t="s">
        <v>1333</v>
      </c>
      <c r="AJ14" s="11"/>
    </row>
    <row r="15" spans="1:36" ht="20" x14ac:dyDescent="0.2">
      <c r="B15" s="72" t="s">
        <v>524</v>
      </c>
      <c r="C15" s="73" t="s">
        <v>1334</v>
      </c>
      <c r="D15" s="74">
        <f>SUM(D3:D14)</f>
        <v>26527</v>
      </c>
      <c r="E15" s="74">
        <f>SUM(E3:E14)</f>
        <v>26757</v>
      </c>
      <c r="F15" s="74">
        <f>SUM(F3:F14)</f>
        <v>27016</v>
      </c>
      <c r="G15" s="74">
        <f>SUM(G3:G14)</f>
        <v>27357</v>
      </c>
      <c r="H15" s="74">
        <f>SUM(H3:H14)</f>
        <v>27690</v>
      </c>
      <c r="I15" s="74">
        <f>SUM(I3:I14)</f>
        <v>28000</v>
      </c>
      <c r="J15" s="74">
        <f>SUM(J3:J14)</f>
        <v>28328</v>
      </c>
      <c r="K15" s="74">
        <f>SUM(K3:K14)</f>
        <v>28627</v>
      </c>
      <c r="L15" s="74">
        <f>SUM(L3:L14)</f>
        <v>28950</v>
      </c>
      <c r="M15" s="74">
        <f>SUM(M3:M14)</f>
        <v>29288</v>
      </c>
      <c r="N15" s="74">
        <f>SUM(N3:N14)</f>
        <v>29630</v>
      </c>
      <c r="O15" s="74">
        <f>SUM(O3:O14)</f>
        <v>29992</v>
      </c>
      <c r="P15" s="74">
        <f>SUM(P3:P14)</f>
        <v>30367</v>
      </c>
      <c r="Q15" s="74">
        <f>SUM(Q3:Q14)</f>
        <v>30732</v>
      </c>
      <c r="R15" s="74">
        <f>SUM(R3:R14)</f>
        <v>31105</v>
      </c>
      <c r="S15" s="74">
        <f>SUM(S3:S14)</f>
        <v>31491</v>
      </c>
      <c r="T15" s="74">
        <f>SUM(T3:T14)</f>
        <v>31904</v>
      </c>
      <c r="U15" s="74">
        <f>SUM(U3:U14)</f>
        <v>32364</v>
      </c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6">
        <f>(U15/K15)^(1/(10))-1</f>
        <v>1.2345217342139003E-2</v>
      </c>
      <c r="AJ15" s="99"/>
    </row>
    <row r="16" spans="1:36" ht="20" x14ac:dyDescent="0.2">
      <c r="B16" s="71" t="s">
        <v>135</v>
      </c>
      <c r="C16" s="73" t="s">
        <v>1334</v>
      </c>
      <c r="D16" s="59">
        <v>-861</v>
      </c>
      <c r="E16" s="59">
        <v>-1158</v>
      </c>
      <c r="F16" s="59">
        <v>-1341</v>
      </c>
      <c r="G16" s="59">
        <v>-1509</v>
      </c>
      <c r="H16" s="59">
        <v>-1666</v>
      </c>
      <c r="I16" s="59">
        <v>-1829</v>
      </c>
      <c r="J16" s="59">
        <v>-1998</v>
      </c>
      <c r="K16" s="59">
        <v>-2173</v>
      </c>
      <c r="L16" s="59">
        <v>-2345</v>
      </c>
      <c r="M16" s="59">
        <v>-2525</v>
      </c>
      <c r="N16" s="59">
        <v>-2697</v>
      </c>
      <c r="O16" s="59">
        <v>-2717</v>
      </c>
      <c r="P16" s="59">
        <v>-2742</v>
      </c>
      <c r="Q16" s="59">
        <v>-2766</v>
      </c>
      <c r="R16" s="59">
        <v>-2791</v>
      </c>
      <c r="S16" s="59">
        <v>-2815</v>
      </c>
      <c r="T16" s="59">
        <v>-2839</v>
      </c>
      <c r="U16" s="59">
        <v>-2865</v>
      </c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59"/>
      <c r="AJ16" s="59"/>
    </row>
    <row r="17" spans="2:36" ht="20" x14ac:dyDescent="0.2">
      <c r="B17" s="71" t="s">
        <v>136</v>
      </c>
      <c r="C17" s="73" t="s">
        <v>1334</v>
      </c>
      <c r="D17" s="59"/>
      <c r="E17" s="59">
        <f t="shared" ref="E17:U17" si="18">E16-D16</f>
        <v>-297</v>
      </c>
      <c r="F17" s="59">
        <f t="shared" si="18"/>
        <v>-183</v>
      </c>
      <c r="G17" s="59">
        <f t="shared" si="18"/>
        <v>-168</v>
      </c>
      <c r="H17" s="59">
        <f t="shared" si="18"/>
        <v>-157</v>
      </c>
      <c r="I17" s="59">
        <f t="shared" si="18"/>
        <v>-163</v>
      </c>
      <c r="J17" s="59">
        <f t="shared" si="18"/>
        <v>-169</v>
      </c>
      <c r="K17" s="59">
        <f t="shared" si="18"/>
        <v>-175</v>
      </c>
      <c r="L17" s="59">
        <f t="shared" si="18"/>
        <v>-172</v>
      </c>
      <c r="M17" s="59">
        <f t="shared" si="18"/>
        <v>-180</v>
      </c>
      <c r="N17" s="59">
        <f t="shared" si="18"/>
        <v>-172</v>
      </c>
      <c r="O17" s="59">
        <f t="shared" si="18"/>
        <v>-20</v>
      </c>
      <c r="P17" s="59">
        <f t="shared" si="18"/>
        <v>-25</v>
      </c>
      <c r="Q17" s="59">
        <f t="shared" si="18"/>
        <v>-24</v>
      </c>
      <c r="R17" s="59">
        <f t="shared" si="18"/>
        <v>-25</v>
      </c>
      <c r="S17" s="59">
        <f t="shared" si="18"/>
        <v>-24</v>
      </c>
      <c r="T17" s="59">
        <f t="shared" si="18"/>
        <v>-24</v>
      </c>
      <c r="U17" s="59">
        <f t="shared" si="18"/>
        <v>-26</v>
      </c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59"/>
      <c r="AJ17" s="59"/>
    </row>
    <row r="18" spans="2:36" ht="20" x14ac:dyDescent="0.2">
      <c r="B18" s="71" t="s">
        <v>525</v>
      </c>
      <c r="C18" s="73" t="s">
        <v>1334</v>
      </c>
      <c r="D18" s="59">
        <f t="shared" ref="D18:U18" si="19">D15+D16</f>
        <v>25666</v>
      </c>
      <c r="E18" s="59">
        <f t="shared" si="19"/>
        <v>25599</v>
      </c>
      <c r="F18" s="59">
        <f t="shared" si="19"/>
        <v>25675</v>
      </c>
      <c r="G18" s="59">
        <f t="shared" si="19"/>
        <v>25848</v>
      </c>
      <c r="H18" s="59">
        <f t="shared" si="19"/>
        <v>26024</v>
      </c>
      <c r="I18" s="59">
        <f t="shared" si="19"/>
        <v>26171</v>
      </c>
      <c r="J18" s="59">
        <f t="shared" si="19"/>
        <v>26330</v>
      </c>
      <c r="K18" s="59">
        <f t="shared" si="19"/>
        <v>26454</v>
      </c>
      <c r="L18" s="59">
        <f t="shared" si="19"/>
        <v>26605</v>
      </c>
      <c r="M18" s="59">
        <f t="shared" si="19"/>
        <v>26763</v>
      </c>
      <c r="N18" s="59">
        <f t="shared" si="19"/>
        <v>26933</v>
      </c>
      <c r="O18" s="59">
        <f t="shared" si="19"/>
        <v>27275</v>
      </c>
      <c r="P18" s="59">
        <f t="shared" si="19"/>
        <v>27625</v>
      </c>
      <c r="Q18" s="59">
        <f t="shared" si="19"/>
        <v>27966</v>
      </c>
      <c r="R18" s="59">
        <f t="shared" si="19"/>
        <v>28314</v>
      </c>
      <c r="S18" s="59">
        <f t="shared" si="19"/>
        <v>28676</v>
      </c>
      <c r="T18" s="59">
        <f t="shared" si="19"/>
        <v>29065</v>
      </c>
      <c r="U18" s="59">
        <f t="shared" si="19"/>
        <v>29499</v>
      </c>
      <c r="V18" s="65">
        <f>U18*(1+V19)</f>
        <v>29822.145745946669</v>
      </c>
      <c r="W18" s="65">
        <f t="shared" ref="W18:AH18" si="20">V18*(1+W19)</f>
        <v>30148.831380470016</v>
      </c>
      <c r="X18" s="65">
        <f t="shared" si="20"/>
        <v>30479.095681153507</v>
      </c>
      <c r="Y18" s="65">
        <f t="shared" si="20"/>
        <v>30812.977850368268</v>
      </c>
      <c r="Z18" s="65">
        <f t="shared" si="20"/>
        <v>31150.517519926405</v>
      </c>
      <c r="AA18" s="65">
        <f t="shared" si="20"/>
        <v>31491.754755785296</v>
      </c>
      <c r="AB18" s="65">
        <f t="shared" si="20"/>
        <v>31836.730062803425</v>
      </c>
      <c r="AC18" s="65">
        <f t="shared" si="20"/>
        <v>32185.48438954831</v>
      </c>
      <c r="AD18" s="65">
        <f t="shared" si="20"/>
        <v>32538.05913315709</v>
      </c>
      <c r="AE18" s="65">
        <f t="shared" si="20"/>
        <v>32894.496144250377</v>
      </c>
      <c r="AF18" s="65">
        <f t="shared" si="20"/>
        <v>33254.837731899912</v>
      </c>
      <c r="AG18" s="65">
        <f t="shared" si="20"/>
        <v>33619.126668650657</v>
      </c>
      <c r="AH18" s="65">
        <f t="shared" si="20"/>
        <v>33987.406195597898</v>
      </c>
      <c r="AI18" s="35" t="s">
        <v>1333</v>
      </c>
      <c r="AJ18" s="11" t="s">
        <v>1322</v>
      </c>
    </row>
    <row r="19" spans="2:36" ht="20" x14ac:dyDescent="0.2">
      <c r="B19" s="71" t="s">
        <v>523</v>
      </c>
      <c r="C19" s="59"/>
      <c r="D19" s="115"/>
      <c r="E19" s="115">
        <f t="shared" ref="E19:U19" si="21">(E18-D18)/D18</f>
        <v>-2.6104574144782981E-3</v>
      </c>
      <c r="F19" s="115">
        <f t="shared" si="21"/>
        <v>2.9688659713270052E-3</v>
      </c>
      <c r="G19" s="115">
        <f t="shared" si="21"/>
        <v>6.7380720545277507E-3</v>
      </c>
      <c r="H19" s="115">
        <f t="shared" si="21"/>
        <v>6.8090374497059734E-3</v>
      </c>
      <c r="I19" s="115">
        <f t="shared" si="21"/>
        <v>5.6486320319704885E-3</v>
      </c>
      <c r="J19" s="115">
        <f t="shared" si="21"/>
        <v>6.0754269993504263E-3</v>
      </c>
      <c r="K19" s="115">
        <f t="shared" si="21"/>
        <v>4.7094568932776297E-3</v>
      </c>
      <c r="L19" s="115">
        <f t="shared" si="21"/>
        <v>5.7080214712330836E-3</v>
      </c>
      <c r="M19" s="115">
        <f t="shared" si="21"/>
        <v>5.9387333208043604E-3</v>
      </c>
      <c r="N19" s="115">
        <f t="shared" si="21"/>
        <v>6.35205320778687E-3</v>
      </c>
      <c r="O19" s="115">
        <f t="shared" si="21"/>
        <v>1.2698176957635615E-2</v>
      </c>
      <c r="P19" s="115">
        <f t="shared" si="21"/>
        <v>1.2832263978001834E-2</v>
      </c>
      <c r="Q19" s="115">
        <f t="shared" si="21"/>
        <v>1.2343891402714932E-2</v>
      </c>
      <c r="R19" s="115">
        <f t="shared" si="21"/>
        <v>1.2443681613387684E-2</v>
      </c>
      <c r="S19" s="115">
        <f t="shared" si="21"/>
        <v>1.2785194603376421E-2</v>
      </c>
      <c r="T19" s="115">
        <f t="shared" si="21"/>
        <v>1.3565350816013391E-2</v>
      </c>
      <c r="U19" s="115">
        <f t="shared" si="21"/>
        <v>1.4932048856012386E-2</v>
      </c>
      <c r="V19" s="115">
        <f>$AI19</f>
        <v>1.0954464420714904E-2</v>
      </c>
      <c r="W19" s="115">
        <f t="shared" ref="W19:AH19" si="22">$AI19</f>
        <v>1.0954464420714904E-2</v>
      </c>
      <c r="X19" s="115">
        <f t="shared" si="22"/>
        <v>1.0954464420714904E-2</v>
      </c>
      <c r="Y19" s="115">
        <f t="shared" si="22"/>
        <v>1.0954464420714904E-2</v>
      </c>
      <c r="Z19" s="115">
        <f t="shared" si="22"/>
        <v>1.0954464420714904E-2</v>
      </c>
      <c r="AA19" s="115">
        <f t="shared" si="22"/>
        <v>1.0954464420714904E-2</v>
      </c>
      <c r="AB19" s="115">
        <f t="shared" si="22"/>
        <v>1.0954464420714904E-2</v>
      </c>
      <c r="AC19" s="115">
        <f t="shared" si="22"/>
        <v>1.0954464420714904E-2</v>
      </c>
      <c r="AD19" s="115">
        <f t="shared" si="22"/>
        <v>1.0954464420714904E-2</v>
      </c>
      <c r="AE19" s="115">
        <f t="shared" si="22"/>
        <v>1.0954464420714904E-2</v>
      </c>
      <c r="AF19" s="115">
        <f t="shared" si="22"/>
        <v>1.0954464420714904E-2</v>
      </c>
      <c r="AG19" s="115">
        <f t="shared" si="22"/>
        <v>1.0954464420714904E-2</v>
      </c>
      <c r="AH19" s="115">
        <f t="shared" si="22"/>
        <v>1.0954464420714904E-2</v>
      </c>
      <c r="AI19" s="115">
        <f>(U18/K18)^(1/(10))-1</f>
        <v>1.0954464420714904E-2</v>
      </c>
      <c r="AJ19" s="277" t="s">
        <v>922</v>
      </c>
    </row>
    <row r="20" spans="2:36" s="42" customFormat="1" ht="19" x14ac:dyDescent="0.2">
      <c r="B20" s="71"/>
      <c r="C20" s="35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115"/>
      <c r="AJ20" s="99"/>
    </row>
    <row r="21" spans="2:36" s="42" customFormat="1" ht="20" x14ac:dyDescent="0.2">
      <c r="B21" s="71" t="s">
        <v>527</v>
      </c>
      <c r="C21" s="35"/>
      <c r="D21" s="59">
        <v>25876</v>
      </c>
      <c r="E21" s="59">
        <v>26010</v>
      </c>
      <c r="F21" s="59">
        <v>26184</v>
      </c>
      <c r="G21" s="59">
        <v>26446</v>
      </c>
      <c r="H21" s="59">
        <v>26710</v>
      </c>
      <c r="I21" s="59">
        <v>26955</v>
      </c>
      <c r="J21" s="59">
        <v>27222</v>
      </c>
      <c r="K21" s="59">
        <v>27463</v>
      </c>
      <c r="L21" s="59">
        <v>27733</v>
      </c>
      <c r="M21" s="59">
        <v>28017</v>
      </c>
      <c r="N21" s="59">
        <v>28311</v>
      </c>
      <c r="O21" s="59">
        <v>28625</v>
      </c>
      <c r="P21" s="59">
        <v>28955</v>
      </c>
      <c r="Q21" s="59">
        <v>29277</v>
      </c>
      <c r="R21" s="59">
        <v>29608</v>
      </c>
      <c r="S21" s="59">
        <v>29953</v>
      </c>
      <c r="T21" s="59">
        <v>30325</v>
      </c>
      <c r="U21" s="59">
        <v>30746</v>
      </c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115"/>
      <c r="AJ21" s="99"/>
    </row>
    <row r="22" spans="2:36" s="42" customFormat="1" ht="20" x14ac:dyDescent="0.2">
      <c r="B22" s="71" t="s">
        <v>135</v>
      </c>
      <c r="C22" s="73" t="s">
        <v>1334</v>
      </c>
      <c r="D22" s="59">
        <v>-861</v>
      </c>
      <c r="E22" s="59">
        <v>-1158</v>
      </c>
      <c r="F22" s="59">
        <v>-1341</v>
      </c>
      <c r="G22" s="59">
        <v>-1509</v>
      </c>
      <c r="H22" s="59">
        <v>-1666</v>
      </c>
      <c r="I22" s="59">
        <v>-1829</v>
      </c>
      <c r="J22" s="59">
        <v>-1998</v>
      </c>
      <c r="K22" s="59">
        <v>-2173</v>
      </c>
      <c r="L22" s="59">
        <v>-2345</v>
      </c>
      <c r="M22" s="59">
        <v>-2525</v>
      </c>
      <c r="N22" s="59">
        <v>-2697</v>
      </c>
      <c r="O22" s="59">
        <v>-2717</v>
      </c>
      <c r="P22" s="59">
        <v>-2742</v>
      </c>
      <c r="Q22" s="59">
        <v>-2766</v>
      </c>
      <c r="R22" s="59">
        <v>-2791</v>
      </c>
      <c r="S22" s="59">
        <v>-2815</v>
      </c>
      <c r="T22" s="59">
        <v>-2839</v>
      </c>
      <c r="U22" s="59">
        <v>-2865</v>
      </c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59"/>
      <c r="AJ22" s="11" t="s">
        <v>528</v>
      </c>
    </row>
    <row r="23" spans="2:36" s="42" customFormat="1" ht="20" x14ac:dyDescent="0.2">
      <c r="B23" s="71" t="s">
        <v>136</v>
      </c>
      <c r="C23" s="73" t="s">
        <v>1334</v>
      </c>
      <c r="D23" s="59"/>
      <c r="E23" s="59">
        <f t="shared" ref="E23" si="23">E22-D22</f>
        <v>-297</v>
      </c>
      <c r="F23" s="59">
        <f t="shared" ref="F23" si="24">F22-E22</f>
        <v>-183</v>
      </c>
      <c r="G23" s="59">
        <f t="shared" ref="G23" si="25">G22-F22</f>
        <v>-168</v>
      </c>
      <c r="H23" s="59">
        <f t="shared" ref="H23" si="26">H22-G22</f>
        <v>-157</v>
      </c>
      <c r="I23" s="59">
        <f t="shared" ref="I23" si="27">I22-H22</f>
        <v>-163</v>
      </c>
      <c r="J23" s="59">
        <f t="shared" ref="J23" si="28">J22-I22</f>
        <v>-169</v>
      </c>
      <c r="K23" s="59">
        <f t="shared" ref="K23" si="29">K22-J22</f>
        <v>-175</v>
      </c>
      <c r="L23" s="59">
        <f t="shared" ref="L23" si="30">L22-K22</f>
        <v>-172</v>
      </c>
      <c r="M23" s="59">
        <f t="shared" ref="M23" si="31">M22-L22</f>
        <v>-180</v>
      </c>
      <c r="N23" s="59">
        <f t="shared" ref="N23" si="32">N22-M22</f>
        <v>-172</v>
      </c>
      <c r="O23" s="59">
        <f t="shared" ref="O23" si="33">O22-N22</f>
        <v>-20</v>
      </c>
      <c r="P23" s="59">
        <f t="shared" ref="P23" si="34">P22-O22</f>
        <v>-25</v>
      </c>
      <c r="Q23" s="59">
        <f t="shared" ref="Q23" si="35">Q22-P22</f>
        <v>-24</v>
      </c>
      <c r="R23" s="59">
        <f t="shared" ref="R23" si="36">R22-Q22</f>
        <v>-25</v>
      </c>
      <c r="S23" s="59">
        <f t="shared" ref="S23" si="37">S22-R22</f>
        <v>-24</v>
      </c>
      <c r="T23" s="59">
        <f t="shared" ref="T23" si="38">T22-S22</f>
        <v>-24</v>
      </c>
      <c r="U23" s="59">
        <f t="shared" ref="U23" si="39">U22-T22</f>
        <v>-26</v>
      </c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59"/>
      <c r="AJ23" s="59"/>
    </row>
    <row r="24" spans="2:36" s="42" customFormat="1" ht="20" x14ac:dyDescent="0.2">
      <c r="B24" s="71" t="s">
        <v>526</v>
      </c>
      <c r="C24" s="73" t="s">
        <v>1334</v>
      </c>
      <c r="D24" s="59">
        <f t="shared" ref="D24:U24" si="40">D21+D22</f>
        <v>25015</v>
      </c>
      <c r="E24" s="59">
        <f t="shared" si="40"/>
        <v>24852</v>
      </c>
      <c r="F24" s="59">
        <f t="shared" si="40"/>
        <v>24843</v>
      </c>
      <c r="G24" s="59">
        <f t="shared" si="40"/>
        <v>24937</v>
      </c>
      <c r="H24" s="59">
        <f t="shared" si="40"/>
        <v>25044</v>
      </c>
      <c r="I24" s="59">
        <f t="shared" si="40"/>
        <v>25126</v>
      </c>
      <c r="J24" s="59">
        <f t="shared" si="40"/>
        <v>25224</v>
      </c>
      <c r="K24" s="59">
        <f t="shared" si="40"/>
        <v>25290</v>
      </c>
      <c r="L24" s="59">
        <f t="shared" si="40"/>
        <v>25388</v>
      </c>
      <c r="M24" s="59">
        <f t="shared" si="40"/>
        <v>25492</v>
      </c>
      <c r="N24" s="59">
        <f t="shared" si="40"/>
        <v>25614</v>
      </c>
      <c r="O24" s="59">
        <f t="shared" si="40"/>
        <v>25908</v>
      </c>
      <c r="P24" s="59">
        <f t="shared" si="40"/>
        <v>26213</v>
      </c>
      <c r="Q24" s="59">
        <f t="shared" si="40"/>
        <v>26511</v>
      </c>
      <c r="R24" s="59">
        <f t="shared" si="40"/>
        <v>26817</v>
      </c>
      <c r="S24" s="59">
        <f t="shared" si="40"/>
        <v>27138</v>
      </c>
      <c r="T24" s="59">
        <f t="shared" si="40"/>
        <v>27486</v>
      </c>
      <c r="U24" s="59">
        <f t="shared" si="40"/>
        <v>27881</v>
      </c>
      <c r="V24" s="65">
        <f>U24*(1+V25)</f>
        <v>28154.271746713399</v>
      </c>
      <c r="W24" s="65">
        <f t="shared" ref="W24" si="41">V24*(1+W25)</f>
        <v>28430.221928474028</v>
      </c>
      <c r="X24" s="65">
        <f t="shared" ref="X24" si="42">W24*(1+X25)</f>
        <v>28708.876797590761</v>
      </c>
      <c r="Y24" s="65">
        <f t="shared" ref="Y24" si="43">X24*(1+Y25)</f>
        <v>28990.262863680837</v>
      </c>
      <c r="Z24" s="65">
        <f t="shared" ref="Z24" si="44">Y24*(1+Z25)</f>
        <v>29274.406896191816</v>
      </c>
      <c r="AA24" s="65">
        <f t="shared" ref="AA24" si="45">Z24*(1+AA25)</f>
        <v>29561.335926948286</v>
      </c>
      <c r="AB24" s="65">
        <f t="shared" ref="AB24" si="46">AA24*(1+AB25)</f>
        <v>29851.077252723499</v>
      </c>
      <c r="AC24" s="65">
        <f t="shared" ref="AC24" si="47">AB24*(1+AC25)</f>
        <v>30143.658437836242</v>
      </c>
      <c r="AD24" s="65">
        <f t="shared" ref="AD24" si="48">AC24*(1+AD25)</f>
        <v>30439.107316773137</v>
      </c>
      <c r="AE24" s="65">
        <f t="shared" ref="AE24" si="49">AD24*(1+AE25)</f>
        <v>30737.451996836666</v>
      </c>
      <c r="AF24" s="65">
        <f t="shared" ref="AF24" si="50">AE24*(1+AF25)</f>
        <v>31038.720860819121</v>
      </c>
      <c r="AG24" s="65">
        <f t="shared" ref="AG24" si="51">AF24*(1+AG25)</f>
        <v>31342.942569702795</v>
      </c>
      <c r="AH24" s="65">
        <f t="shared" ref="AH24" si="52">AG24*(1+AH25)</f>
        <v>31650.146065386609</v>
      </c>
      <c r="AI24" s="35" t="s">
        <v>1333</v>
      </c>
      <c r="AJ24" s="11" t="s">
        <v>1322</v>
      </c>
    </row>
    <row r="25" spans="2:36" s="42" customFormat="1" ht="20" x14ac:dyDescent="0.2">
      <c r="B25" s="71" t="s">
        <v>523</v>
      </c>
      <c r="C25" s="35"/>
      <c r="D25" s="115"/>
      <c r="E25" s="115">
        <f t="shared" ref="E25" si="53">(E24-D24)/D24</f>
        <v>-6.5160903457925244E-3</v>
      </c>
      <c r="F25" s="115">
        <f t="shared" ref="F25" si="54">(F24-E24)/E24</f>
        <v>-3.6214389183969096E-4</v>
      </c>
      <c r="G25" s="115">
        <f t="shared" ref="G25" si="55">(G24-F24)/F24</f>
        <v>3.7837620255202673E-3</v>
      </c>
      <c r="H25" s="115">
        <f t="shared" ref="H25" si="56">(H24-G24)/G24</f>
        <v>4.2908128483779119E-3</v>
      </c>
      <c r="I25" s="115">
        <f t="shared" ref="I25" si="57">(I24-H24)/H24</f>
        <v>3.2742373422775914E-3</v>
      </c>
      <c r="J25" s="115">
        <f t="shared" ref="J25" si="58">(J24-I24)/I24</f>
        <v>3.9003422749343312E-3</v>
      </c>
      <c r="K25" s="115">
        <f t="shared" ref="K25" si="59">(K24-J24)/J24</f>
        <v>2.6165556612749762E-3</v>
      </c>
      <c r="L25" s="115">
        <f t="shared" ref="L25" si="60">(L24-K24)/K24</f>
        <v>3.8750494266508503E-3</v>
      </c>
      <c r="M25" s="115">
        <f t="shared" ref="M25" si="61">(M24-L24)/L24</f>
        <v>4.0964235071687411E-3</v>
      </c>
      <c r="N25" s="115">
        <f t="shared" ref="N25" si="62">(N24-M24)/M24</f>
        <v>4.7858151576965326E-3</v>
      </c>
      <c r="O25" s="115">
        <f t="shared" ref="O25" si="63">(O24-N24)/N24</f>
        <v>1.1478097915202623E-2</v>
      </c>
      <c r="P25" s="115">
        <f t="shared" ref="P25" si="64">(P24-O24)/O24</f>
        <v>1.1772425505635325E-2</v>
      </c>
      <c r="Q25" s="115">
        <f t="shared" ref="Q25" si="65">(Q24-P24)/P24</f>
        <v>1.1368404989890512E-2</v>
      </c>
      <c r="R25" s="115">
        <f t="shared" ref="R25" si="66">(R24-Q24)/Q24</f>
        <v>1.1542378635283467E-2</v>
      </c>
      <c r="S25" s="115">
        <f t="shared" ref="S25" si="67">(S24-R24)/R24</f>
        <v>1.1970019017787225E-2</v>
      </c>
      <c r="T25" s="115">
        <f t="shared" ref="T25" si="68">(T24-S24)/S24</f>
        <v>1.2823347335839045E-2</v>
      </c>
      <c r="U25" s="115">
        <f t="shared" ref="U25" si="69">(U24-T24)/T24</f>
        <v>1.4370952484901405E-2</v>
      </c>
      <c r="V25" s="115">
        <f>$AI25</f>
        <v>9.8013610241167726E-3</v>
      </c>
      <c r="W25" s="115">
        <f t="shared" ref="W25:AH25" si="70">$AI25</f>
        <v>9.8013610241167726E-3</v>
      </c>
      <c r="X25" s="115">
        <f t="shared" si="70"/>
        <v>9.8013610241167726E-3</v>
      </c>
      <c r="Y25" s="115">
        <f t="shared" si="70"/>
        <v>9.8013610241167726E-3</v>
      </c>
      <c r="Z25" s="115">
        <f t="shared" si="70"/>
        <v>9.8013610241167726E-3</v>
      </c>
      <c r="AA25" s="115">
        <f t="shared" si="70"/>
        <v>9.8013610241167726E-3</v>
      </c>
      <c r="AB25" s="115">
        <f t="shared" si="70"/>
        <v>9.8013610241167726E-3</v>
      </c>
      <c r="AC25" s="115">
        <f t="shared" si="70"/>
        <v>9.8013610241167726E-3</v>
      </c>
      <c r="AD25" s="115">
        <f t="shared" si="70"/>
        <v>9.8013610241167726E-3</v>
      </c>
      <c r="AE25" s="115">
        <f t="shared" si="70"/>
        <v>9.8013610241167726E-3</v>
      </c>
      <c r="AF25" s="115">
        <f t="shared" si="70"/>
        <v>9.8013610241167726E-3</v>
      </c>
      <c r="AG25" s="115">
        <f t="shared" si="70"/>
        <v>9.8013610241167726E-3</v>
      </c>
      <c r="AH25" s="115">
        <f t="shared" si="70"/>
        <v>9.8013610241167726E-3</v>
      </c>
      <c r="AI25" s="115">
        <f>(U24/K24)^(1/(10))-1</f>
        <v>9.8013610241167726E-3</v>
      </c>
      <c r="AJ25" s="99" t="s">
        <v>921</v>
      </c>
    </row>
    <row r="26" spans="2:36" s="42" customFormat="1" ht="19" x14ac:dyDescent="0.2">
      <c r="B26" s="71"/>
      <c r="C26" s="35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115"/>
      <c r="AJ26" s="99"/>
    </row>
    <row r="27" spans="2:36" s="42" customFormat="1" ht="20" x14ac:dyDescent="0.2">
      <c r="B27" s="71" t="s">
        <v>529</v>
      </c>
      <c r="C27" s="35"/>
      <c r="D27" s="59">
        <v>27179</v>
      </c>
      <c r="E27" s="59">
        <v>27508</v>
      </c>
      <c r="F27" s="59">
        <v>27852</v>
      </c>
      <c r="G27" s="59">
        <v>28267</v>
      </c>
      <c r="H27" s="59">
        <v>28672</v>
      </c>
      <c r="I27" s="59">
        <v>29047</v>
      </c>
      <c r="J27" s="59">
        <v>29436</v>
      </c>
      <c r="K27" s="59">
        <v>29791</v>
      </c>
      <c r="L27" s="59">
        <v>30170</v>
      </c>
      <c r="M27" s="59">
        <v>30556</v>
      </c>
      <c r="N27" s="59">
        <v>30949</v>
      </c>
      <c r="O27" s="59">
        <v>31358</v>
      </c>
      <c r="P27" s="59">
        <v>31779</v>
      </c>
      <c r="Q27" s="59">
        <v>32189</v>
      </c>
      <c r="R27" s="59">
        <v>32604</v>
      </c>
      <c r="S27" s="59">
        <v>33031</v>
      </c>
      <c r="T27" s="59">
        <v>33482</v>
      </c>
      <c r="U27" s="59">
        <v>33980</v>
      </c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115"/>
      <c r="AJ27" s="99"/>
    </row>
    <row r="28" spans="2:36" s="42" customFormat="1" ht="20" x14ac:dyDescent="0.2">
      <c r="B28" s="71" t="s">
        <v>135</v>
      </c>
      <c r="C28" s="73" t="s">
        <v>1334</v>
      </c>
      <c r="D28" s="59">
        <v>-861</v>
      </c>
      <c r="E28" s="59">
        <v>-1158</v>
      </c>
      <c r="F28" s="59">
        <v>-1341</v>
      </c>
      <c r="G28" s="59">
        <v>-1509</v>
      </c>
      <c r="H28" s="59">
        <v>-1666</v>
      </c>
      <c r="I28" s="59">
        <v>-1829</v>
      </c>
      <c r="J28" s="59">
        <v>-1998</v>
      </c>
      <c r="K28" s="59">
        <v>-2173</v>
      </c>
      <c r="L28" s="59">
        <v>-2345</v>
      </c>
      <c r="M28" s="59">
        <v>-2525</v>
      </c>
      <c r="N28" s="59">
        <v>-2697</v>
      </c>
      <c r="O28" s="59">
        <v>-2717</v>
      </c>
      <c r="P28" s="59">
        <v>-2742</v>
      </c>
      <c r="Q28" s="59">
        <v>-2766</v>
      </c>
      <c r="R28" s="59">
        <v>-2791</v>
      </c>
      <c r="S28" s="59">
        <v>-2815</v>
      </c>
      <c r="T28" s="59">
        <v>-2839</v>
      </c>
      <c r="U28" s="59">
        <v>-2865</v>
      </c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99" t="s">
        <v>528</v>
      </c>
    </row>
    <row r="29" spans="2:36" s="42" customFormat="1" ht="20" x14ac:dyDescent="0.2">
      <c r="B29" s="71" t="s">
        <v>136</v>
      </c>
      <c r="C29" s="73" t="s">
        <v>1334</v>
      </c>
      <c r="D29" s="59"/>
      <c r="E29" s="59">
        <f t="shared" ref="E29" si="71">E28-D28</f>
        <v>-297</v>
      </c>
      <c r="F29" s="59">
        <f t="shared" ref="F29" si="72">F28-E28</f>
        <v>-183</v>
      </c>
      <c r="G29" s="59">
        <f t="shared" ref="G29" si="73">G28-F28</f>
        <v>-168</v>
      </c>
      <c r="H29" s="59">
        <f t="shared" ref="H29" si="74">H28-G28</f>
        <v>-157</v>
      </c>
      <c r="I29" s="59">
        <f t="shared" ref="I29" si="75">I28-H28</f>
        <v>-163</v>
      </c>
      <c r="J29" s="59">
        <f t="shared" ref="J29" si="76">J28-I28</f>
        <v>-169</v>
      </c>
      <c r="K29" s="59">
        <f t="shared" ref="K29" si="77">K28-J28</f>
        <v>-175</v>
      </c>
      <c r="L29" s="59">
        <f t="shared" ref="L29" si="78">L28-K28</f>
        <v>-172</v>
      </c>
      <c r="M29" s="59">
        <f t="shared" ref="M29" si="79">M28-L28</f>
        <v>-180</v>
      </c>
      <c r="N29" s="59">
        <f t="shared" ref="N29" si="80">N28-M28</f>
        <v>-172</v>
      </c>
      <c r="O29" s="59">
        <f t="shared" ref="O29" si="81">O28-N28</f>
        <v>-20</v>
      </c>
      <c r="P29" s="59">
        <f t="shared" ref="P29" si="82">P28-O28</f>
        <v>-25</v>
      </c>
      <c r="Q29" s="59">
        <f t="shared" ref="Q29" si="83">Q28-P28</f>
        <v>-24</v>
      </c>
      <c r="R29" s="59">
        <f t="shared" ref="R29" si="84">R28-Q28</f>
        <v>-25</v>
      </c>
      <c r="S29" s="59">
        <f t="shared" ref="S29" si="85">S28-R28</f>
        <v>-24</v>
      </c>
      <c r="T29" s="59">
        <f t="shared" ref="T29" si="86">T28-S28</f>
        <v>-24</v>
      </c>
      <c r="U29" s="59">
        <f t="shared" ref="U29" si="87">U28-T28</f>
        <v>-26</v>
      </c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2:36" s="42" customFormat="1" ht="20" x14ac:dyDescent="0.2">
      <c r="B30" s="71" t="s">
        <v>530</v>
      </c>
      <c r="C30" s="73" t="s">
        <v>1334</v>
      </c>
      <c r="D30" s="59">
        <f t="shared" ref="D30:U30" si="88">D27+D28</f>
        <v>26318</v>
      </c>
      <c r="E30" s="59">
        <f t="shared" si="88"/>
        <v>26350</v>
      </c>
      <c r="F30" s="59">
        <f t="shared" si="88"/>
        <v>26511</v>
      </c>
      <c r="G30" s="59">
        <f t="shared" si="88"/>
        <v>26758</v>
      </c>
      <c r="H30" s="59">
        <f t="shared" si="88"/>
        <v>27006</v>
      </c>
      <c r="I30" s="59">
        <f t="shared" si="88"/>
        <v>27218</v>
      </c>
      <c r="J30" s="59">
        <f t="shared" si="88"/>
        <v>27438</v>
      </c>
      <c r="K30" s="59">
        <f t="shared" si="88"/>
        <v>27618</v>
      </c>
      <c r="L30" s="59">
        <f t="shared" si="88"/>
        <v>27825</v>
      </c>
      <c r="M30" s="59">
        <f t="shared" si="88"/>
        <v>28031</v>
      </c>
      <c r="N30" s="59">
        <f t="shared" si="88"/>
        <v>28252</v>
      </c>
      <c r="O30" s="59">
        <f t="shared" si="88"/>
        <v>28641</v>
      </c>
      <c r="P30" s="59">
        <f t="shared" si="88"/>
        <v>29037</v>
      </c>
      <c r="Q30" s="59">
        <f t="shared" si="88"/>
        <v>29423</v>
      </c>
      <c r="R30" s="59">
        <f t="shared" si="88"/>
        <v>29813</v>
      </c>
      <c r="S30" s="59">
        <f t="shared" si="88"/>
        <v>30216</v>
      </c>
      <c r="T30" s="59">
        <f t="shared" si="88"/>
        <v>30643</v>
      </c>
      <c r="U30" s="59">
        <f t="shared" si="88"/>
        <v>31115</v>
      </c>
      <c r="V30" s="65">
        <f>U30*(1+V31)</f>
        <v>31488.180286544477</v>
      </c>
      <c r="W30" s="65">
        <f t="shared" ref="W30" si="89">V30*(1+W31)</f>
        <v>31865.836341247894</v>
      </c>
      <c r="X30" s="65">
        <f t="shared" ref="X30" si="90">W30*(1+X31)</f>
        <v>32248.021844600178</v>
      </c>
      <c r="Y30" s="65">
        <f t="shared" ref="Y30" si="91">X30*(1+Y31)</f>
        <v>32634.791120912585</v>
      </c>
      <c r="Z30" s="65">
        <f t="shared" ref="Z30" si="92">Y30*(1+Z31)</f>
        <v>33026.19914603942</v>
      </c>
      <c r="AA30" s="65">
        <f t="shared" ref="AA30" si="93">Z30*(1+AA31)</f>
        <v>33422.301555192367</v>
      </c>
      <c r="AB30" s="65">
        <f t="shared" ref="AB30" si="94">AA30*(1+AB31)</f>
        <v>33823.15465084857</v>
      </c>
      <c r="AC30" s="65">
        <f t="shared" ref="AC30" si="95">AB30*(1+AC31)</f>
        <v>34228.815410753501</v>
      </c>
      <c r="AD30" s="65">
        <f t="shared" ref="AD30" si="96">AC30*(1+AD31)</f>
        <v>34639.341496019872</v>
      </c>
      <c r="AE30" s="65">
        <f t="shared" ref="AE30" si="97">AD30*(1+AE31)</f>
        <v>35054.79125932364</v>
      </c>
      <c r="AF30" s="65">
        <f t="shared" ref="AF30" si="98">AE30*(1+AF31)</f>
        <v>35475.223753198341</v>
      </c>
      <c r="AG30" s="65">
        <f t="shared" ref="AG30" si="99">AF30*(1+AG31)</f>
        <v>35900.698738428873</v>
      </c>
      <c r="AH30" s="65">
        <f t="shared" ref="AH30" si="100">AG30*(1+AH31)</f>
        <v>36331.27669254598</v>
      </c>
      <c r="AI30" s="101" t="s">
        <v>1333</v>
      </c>
      <c r="AJ30" s="99" t="s">
        <v>1322</v>
      </c>
    </row>
    <row r="31" spans="2:36" s="42" customFormat="1" ht="20" x14ac:dyDescent="0.2">
      <c r="B31" s="71" t="s">
        <v>523</v>
      </c>
      <c r="C31" s="35"/>
      <c r="D31" s="115"/>
      <c r="E31" s="115">
        <f t="shared" ref="E31" si="101">(E30-D30)/D30</f>
        <v>1.2158978645793754E-3</v>
      </c>
      <c r="F31" s="115">
        <f t="shared" ref="F31" si="102">(F30-E30)/E30</f>
        <v>6.1100569259962051E-3</v>
      </c>
      <c r="G31" s="115">
        <f t="shared" ref="G31" si="103">(G30-F30)/F30</f>
        <v>9.3168873297876358E-3</v>
      </c>
      <c r="H31" s="115">
        <f t="shared" ref="H31" si="104">(H30-G30)/G30</f>
        <v>9.2682562224381485E-3</v>
      </c>
      <c r="I31" s="115">
        <f t="shared" ref="I31" si="105">(I30-H30)/H30</f>
        <v>7.8501073835443979E-3</v>
      </c>
      <c r="J31" s="115">
        <f t="shared" ref="J31" si="106">(J30-I30)/I30</f>
        <v>8.082886325225953E-3</v>
      </c>
      <c r="K31" s="115">
        <f t="shared" ref="K31" si="107">(K30-J30)/J30</f>
        <v>6.5602449158101905E-3</v>
      </c>
      <c r="L31" s="115">
        <f t="shared" ref="L31" si="108">(L30-K30)/K30</f>
        <v>7.4951118835542034E-3</v>
      </c>
      <c r="M31" s="115">
        <f t="shared" ref="M31" si="109">(M30-L30)/L30</f>
        <v>7.4034141958670262E-3</v>
      </c>
      <c r="N31" s="115">
        <f t="shared" ref="N31" si="110">(N30-M30)/M30</f>
        <v>7.8841282865399018E-3</v>
      </c>
      <c r="O31" s="115">
        <f t="shared" ref="O31" si="111">(O30-N30)/N30</f>
        <v>1.3768936712445137E-2</v>
      </c>
      <c r="P31" s="115">
        <f t="shared" ref="P31" si="112">(P30-O30)/O30</f>
        <v>1.3826332879438567E-2</v>
      </c>
      <c r="Q31" s="115">
        <f t="shared" ref="Q31" si="113">(Q30-P30)/P30</f>
        <v>1.32933843027861E-2</v>
      </c>
      <c r="R31" s="115">
        <f t="shared" ref="R31" si="114">(R30-Q30)/Q30</f>
        <v>1.3254936614213371E-2</v>
      </c>
      <c r="S31" s="115">
        <f t="shared" ref="S31" si="115">(S30-R30)/R30</f>
        <v>1.3517592996343877E-2</v>
      </c>
      <c r="T31" s="115">
        <f t="shared" ref="T31" si="116">(T30-S30)/S30</f>
        <v>1.4131585914747153E-2</v>
      </c>
      <c r="U31" s="115">
        <f t="shared" ref="U31" si="117">(U30-T30)/T30</f>
        <v>1.5403191593512385E-2</v>
      </c>
      <c r="V31" s="115">
        <f>$AI31</f>
        <v>1.1993581441249512E-2</v>
      </c>
      <c r="W31" s="115">
        <f t="shared" ref="W31:AH31" si="118">$AI31</f>
        <v>1.1993581441249512E-2</v>
      </c>
      <c r="X31" s="115">
        <f t="shared" si="118"/>
        <v>1.1993581441249512E-2</v>
      </c>
      <c r="Y31" s="115">
        <f t="shared" si="118"/>
        <v>1.1993581441249512E-2</v>
      </c>
      <c r="Z31" s="115">
        <f t="shared" si="118"/>
        <v>1.1993581441249512E-2</v>
      </c>
      <c r="AA31" s="115">
        <f t="shared" si="118"/>
        <v>1.1993581441249512E-2</v>
      </c>
      <c r="AB31" s="115">
        <f t="shared" si="118"/>
        <v>1.1993581441249512E-2</v>
      </c>
      <c r="AC31" s="115">
        <f t="shared" si="118"/>
        <v>1.1993581441249512E-2</v>
      </c>
      <c r="AD31" s="115">
        <f t="shared" si="118"/>
        <v>1.1993581441249512E-2</v>
      </c>
      <c r="AE31" s="115">
        <f t="shared" si="118"/>
        <v>1.1993581441249512E-2</v>
      </c>
      <c r="AF31" s="115">
        <f t="shared" si="118"/>
        <v>1.1993581441249512E-2</v>
      </c>
      <c r="AG31" s="115">
        <f t="shared" si="118"/>
        <v>1.1993581441249512E-2</v>
      </c>
      <c r="AH31" s="115">
        <f t="shared" si="118"/>
        <v>1.1993581441249512E-2</v>
      </c>
      <c r="AI31" s="115">
        <f>(U30/K30)^(1/(10))-1</f>
        <v>1.1993581441249512E-2</v>
      </c>
      <c r="AJ31" s="99" t="s">
        <v>920</v>
      </c>
    </row>
    <row r="32" spans="2:36" s="42" customFormat="1" ht="19" x14ac:dyDescent="0.2">
      <c r="B32" s="71"/>
      <c r="C32" s="35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115"/>
      <c r="AJ32" s="99"/>
    </row>
    <row r="34" spans="1:34" s="210" customFormat="1" x14ac:dyDescent="0.2"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</row>
    <row r="35" spans="1:34" s="210" customFormat="1" ht="20" x14ac:dyDescent="0.2">
      <c r="B35" s="11" t="s">
        <v>762</v>
      </c>
      <c r="C35" s="35" t="s">
        <v>1334</v>
      </c>
      <c r="D35" s="59">
        <f t="shared" ref="D35:AH35" si="119">D18</f>
        <v>25666</v>
      </c>
      <c r="E35" s="59">
        <f t="shared" si="119"/>
        <v>25599</v>
      </c>
      <c r="F35" s="59">
        <f t="shared" si="119"/>
        <v>25675</v>
      </c>
      <c r="G35" s="59">
        <f t="shared" si="119"/>
        <v>25848</v>
      </c>
      <c r="H35" s="59">
        <f t="shared" si="119"/>
        <v>26024</v>
      </c>
      <c r="I35" s="59">
        <f t="shared" si="119"/>
        <v>26171</v>
      </c>
      <c r="J35" s="59">
        <f t="shared" si="119"/>
        <v>26330</v>
      </c>
      <c r="K35" s="59">
        <f t="shared" si="119"/>
        <v>26454</v>
      </c>
      <c r="L35" s="59">
        <f t="shared" si="119"/>
        <v>26605</v>
      </c>
      <c r="M35" s="59">
        <f t="shared" si="119"/>
        <v>26763</v>
      </c>
      <c r="N35" s="59">
        <f t="shared" si="119"/>
        <v>26933</v>
      </c>
      <c r="O35" s="59">
        <f t="shared" si="119"/>
        <v>27275</v>
      </c>
      <c r="P35" s="59">
        <f t="shared" si="119"/>
        <v>27625</v>
      </c>
      <c r="Q35" s="59">
        <f t="shared" si="119"/>
        <v>27966</v>
      </c>
      <c r="R35" s="59">
        <f t="shared" si="119"/>
        <v>28314</v>
      </c>
      <c r="S35" s="59">
        <f t="shared" si="119"/>
        <v>28676</v>
      </c>
      <c r="T35" s="59">
        <f t="shared" si="119"/>
        <v>29065</v>
      </c>
      <c r="U35" s="59">
        <f t="shared" si="119"/>
        <v>29499</v>
      </c>
      <c r="V35" s="65">
        <f t="shared" si="119"/>
        <v>29822.145745946669</v>
      </c>
      <c r="W35" s="65">
        <f t="shared" si="119"/>
        <v>30148.831380470016</v>
      </c>
      <c r="X35" s="65">
        <f t="shared" si="119"/>
        <v>30479.095681153507</v>
      </c>
      <c r="Y35" s="65">
        <f t="shared" si="119"/>
        <v>30812.977850368268</v>
      </c>
      <c r="Z35" s="65">
        <f t="shared" si="119"/>
        <v>31150.517519926405</v>
      </c>
      <c r="AA35" s="65">
        <f t="shared" si="119"/>
        <v>31491.754755785296</v>
      </c>
      <c r="AB35" s="65">
        <f t="shared" si="119"/>
        <v>31836.730062803425</v>
      </c>
      <c r="AC35" s="65">
        <f t="shared" si="119"/>
        <v>32185.48438954831</v>
      </c>
      <c r="AD35" s="65">
        <f t="shared" si="119"/>
        <v>32538.05913315709</v>
      </c>
      <c r="AE35" s="65">
        <f t="shared" si="119"/>
        <v>32894.496144250377</v>
      </c>
      <c r="AF35" s="65">
        <f t="shared" si="119"/>
        <v>33254.837731899912</v>
      </c>
      <c r="AG35" s="65">
        <f t="shared" si="119"/>
        <v>33619.126668650657</v>
      </c>
      <c r="AH35" s="65">
        <f t="shared" si="119"/>
        <v>33987.406195597898</v>
      </c>
    </row>
    <row r="36" spans="1:34" s="210" customFormat="1" x14ac:dyDescent="0.2"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</row>
    <row r="37" spans="1:34" s="210" customFormat="1" x14ac:dyDescent="0.2"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</row>
    <row r="38" spans="1:34" s="210" customFormat="1" x14ac:dyDescent="0.2"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</row>
    <row r="39" spans="1:34" ht="19" x14ac:dyDescent="0.2">
      <c r="A39" s="60" t="s">
        <v>35</v>
      </c>
      <c r="B39" s="17"/>
    </row>
    <row r="40" spans="1:34" s="3" customFormat="1" ht="19" x14ac:dyDescent="0.25">
      <c r="A40" s="49" t="s">
        <v>494</v>
      </c>
      <c r="B40" s="49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</row>
    <row r="41" spans="1:34" x14ac:dyDescent="0.2">
      <c r="B41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4AA4-C4B3-944D-82BC-8C30B6C948D0}">
  <sheetPr codeName="Sheet13"/>
  <dimension ref="A1:AJ41"/>
  <sheetViews>
    <sheetView workbookViewId="0">
      <pane xSplit="3" ySplit="1" topLeftCell="D15" activePane="bottomRight" state="frozen"/>
      <selection pane="topRight" activeCell="D1" sqref="D1"/>
      <selection pane="bottomLeft" activeCell="A2" sqref="A2"/>
      <selection pane="bottomRight" activeCell="B35" sqref="B35:AH35"/>
    </sheetView>
  </sheetViews>
  <sheetFormatPr baseColWidth="10" defaultRowHeight="16" x14ac:dyDescent="0.2"/>
  <cols>
    <col min="1" max="1" width="4.83203125" style="42" customWidth="1"/>
    <col min="2" max="2" width="50.83203125" style="42" customWidth="1"/>
    <col min="3" max="3" width="10.83203125" style="42"/>
    <col min="4" max="21" width="9.83203125" style="42" customWidth="1"/>
    <col min="22" max="34" width="9.83203125" style="82" customWidth="1"/>
    <col min="35" max="35" width="19.33203125" style="210" customWidth="1"/>
    <col min="36" max="36" width="60.1640625" style="210" customWidth="1"/>
    <col min="37" max="16384" width="10.83203125" style="42"/>
  </cols>
  <sheetData>
    <row r="1" spans="1:36" s="20" customFormat="1" ht="21" x14ac:dyDescent="0.25">
      <c r="A1" s="121" t="s">
        <v>74</v>
      </c>
      <c r="B1" s="272" t="s">
        <v>531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3"/>
      <c r="AJ1" s="3"/>
    </row>
    <row r="2" spans="1:36" s="20" customFormat="1" ht="20" x14ac:dyDescent="0.25">
      <c r="A2" s="3"/>
      <c r="B2" s="35"/>
      <c r="C2" s="10" t="s">
        <v>138</v>
      </c>
      <c r="D2" s="10">
        <v>2020</v>
      </c>
      <c r="E2" s="10">
        <f t="shared" ref="E2:U2" si="0">D2+1</f>
        <v>2021</v>
      </c>
      <c r="F2" s="10">
        <f t="shared" si="0"/>
        <v>2022</v>
      </c>
      <c r="G2" s="10">
        <f t="shared" si="0"/>
        <v>2023</v>
      </c>
      <c r="H2" s="10">
        <f t="shared" si="0"/>
        <v>2024</v>
      </c>
      <c r="I2" s="10">
        <f t="shared" si="0"/>
        <v>2025</v>
      </c>
      <c r="J2" s="10">
        <f t="shared" si="0"/>
        <v>2026</v>
      </c>
      <c r="K2" s="10">
        <f t="shared" si="0"/>
        <v>2027</v>
      </c>
      <c r="L2" s="10">
        <f t="shared" si="0"/>
        <v>2028</v>
      </c>
      <c r="M2" s="10">
        <f t="shared" si="0"/>
        <v>2029</v>
      </c>
      <c r="N2" s="10">
        <f t="shared" si="0"/>
        <v>2030</v>
      </c>
      <c r="O2" s="10">
        <f t="shared" si="0"/>
        <v>2031</v>
      </c>
      <c r="P2" s="10">
        <f t="shared" si="0"/>
        <v>2032</v>
      </c>
      <c r="Q2" s="10">
        <f t="shared" si="0"/>
        <v>2033</v>
      </c>
      <c r="R2" s="10">
        <f t="shared" si="0"/>
        <v>2034</v>
      </c>
      <c r="S2" s="10">
        <f t="shared" si="0"/>
        <v>2035</v>
      </c>
      <c r="T2" s="10">
        <f t="shared" si="0"/>
        <v>2036</v>
      </c>
      <c r="U2" s="10">
        <f t="shared" si="0"/>
        <v>2037</v>
      </c>
      <c r="V2" s="80">
        <f>U2+1</f>
        <v>2038</v>
      </c>
      <c r="W2" s="80">
        <f t="shared" ref="W2:AH2" si="1">V2+1</f>
        <v>2039</v>
      </c>
      <c r="X2" s="80">
        <f t="shared" si="1"/>
        <v>2040</v>
      </c>
      <c r="Y2" s="80">
        <f t="shared" si="1"/>
        <v>2041</v>
      </c>
      <c r="Z2" s="80">
        <f t="shared" si="1"/>
        <v>2042</v>
      </c>
      <c r="AA2" s="80">
        <f t="shared" si="1"/>
        <v>2043</v>
      </c>
      <c r="AB2" s="80">
        <f t="shared" si="1"/>
        <v>2044</v>
      </c>
      <c r="AC2" s="80">
        <f t="shared" si="1"/>
        <v>2045</v>
      </c>
      <c r="AD2" s="80">
        <f t="shared" si="1"/>
        <v>2046</v>
      </c>
      <c r="AE2" s="80">
        <f t="shared" si="1"/>
        <v>2047</v>
      </c>
      <c r="AF2" s="80">
        <f t="shared" si="1"/>
        <v>2048</v>
      </c>
      <c r="AG2" s="80">
        <f t="shared" si="1"/>
        <v>2049</v>
      </c>
      <c r="AH2" s="80">
        <f t="shared" si="1"/>
        <v>2050</v>
      </c>
      <c r="AI2" s="10" t="s">
        <v>1332</v>
      </c>
      <c r="AJ2" s="10" t="s">
        <v>30</v>
      </c>
    </row>
    <row r="3" spans="1:36" ht="20" x14ac:dyDescent="0.2">
      <c r="B3" s="35" t="s">
        <v>56</v>
      </c>
      <c r="C3" s="35" t="s">
        <v>43</v>
      </c>
      <c r="D3" s="62">
        <v>3592</v>
      </c>
      <c r="E3" s="62">
        <v>3624</v>
      </c>
      <c r="F3" s="62">
        <v>3660</v>
      </c>
      <c r="G3" s="62">
        <v>3707</v>
      </c>
      <c r="H3" s="62">
        <v>3753</v>
      </c>
      <c r="I3" s="62">
        <v>3795</v>
      </c>
      <c r="J3" s="62">
        <v>3841</v>
      </c>
      <c r="K3" s="62">
        <v>3882</v>
      </c>
      <c r="L3" s="62">
        <v>3927</v>
      </c>
      <c r="M3" s="62">
        <v>3973</v>
      </c>
      <c r="N3" s="62">
        <v>4020</v>
      </c>
      <c r="O3" s="62">
        <v>4070</v>
      </c>
      <c r="P3" s="62">
        <v>4121</v>
      </c>
      <c r="Q3" s="62">
        <v>4172</v>
      </c>
      <c r="R3" s="62">
        <v>4223</v>
      </c>
      <c r="S3" s="62">
        <v>4276</v>
      </c>
      <c r="T3" s="62">
        <v>4333</v>
      </c>
      <c r="U3" s="62">
        <v>4395</v>
      </c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59"/>
      <c r="AJ3" s="59"/>
    </row>
    <row r="4" spans="1:36" ht="20" x14ac:dyDescent="0.2">
      <c r="B4" s="35" t="s">
        <v>58</v>
      </c>
      <c r="C4" s="35" t="s">
        <v>43</v>
      </c>
      <c r="D4" s="62">
        <v>3103</v>
      </c>
      <c r="E4" s="62">
        <v>3132</v>
      </c>
      <c r="F4" s="62">
        <v>3163</v>
      </c>
      <c r="G4" s="62">
        <v>3204</v>
      </c>
      <c r="H4" s="62">
        <v>3243</v>
      </c>
      <c r="I4" s="62">
        <v>3280</v>
      </c>
      <c r="J4" s="62">
        <v>3319</v>
      </c>
      <c r="K4" s="62">
        <v>3355</v>
      </c>
      <c r="L4" s="62">
        <v>3393</v>
      </c>
      <c r="M4" s="62">
        <v>3433</v>
      </c>
      <c r="N4" s="62">
        <v>3474</v>
      </c>
      <c r="O4" s="62">
        <v>3517</v>
      </c>
      <c r="P4" s="62">
        <v>3561</v>
      </c>
      <c r="Q4" s="62">
        <v>3604</v>
      </c>
      <c r="R4" s="62">
        <v>3648</v>
      </c>
      <c r="S4" s="62">
        <v>3694</v>
      </c>
      <c r="T4" s="62">
        <v>3742</v>
      </c>
      <c r="U4" s="62">
        <v>3796</v>
      </c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59"/>
      <c r="AJ4" s="59"/>
    </row>
    <row r="5" spans="1:36" ht="20" x14ac:dyDescent="0.2">
      <c r="B5" s="35" t="s">
        <v>59</v>
      </c>
      <c r="C5" s="35" t="s">
        <v>43</v>
      </c>
      <c r="D5" s="62">
        <v>3270</v>
      </c>
      <c r="E5" s="62">
        <v>3300</v>
      </c>
      <c r="F5" s="62">
        <v>3335</v>
      </c>
      <c r="G5" s="62">
        <v>3377</v>
      </c>
      <c r="H5" s="62">
        <v>3419</v>
      </c>
      <c r="I5" s="62">
        <v>3459</v>
      </c>
      <c r="J5" s="62">
        <v>3500</v>
      </c>
      <c r="K5" s="62">
        <v>3538</v>
      </c>
      <c r="L5" s="62">
        <v>3579</v>
      </c>
      <c r="M5" s="62">
        <v>3622</v>
      </c>
      <c r="N5" s="62">
        <v>3665</v>
      </c>
      <c r="O5" s="62">
        <v>3710</v>
      </c>
      <c r="P5" s="62">
        <v>3758</v>
      </c>
      <c r="Q5" s="62">
        <v>3804</v>
      </c>
      <c r="R5" s="62">
        <v>3851</v>
      </c>
      <c r="S5" s="62">
        <v>3899</v>
      </c>
      <c r="T5" s="62">
        <v>3951</v>
      </c>
      <c r="U5" s="62">
        <v>4008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59"/>
      <c r="AJ5" s="59"/>
    </row>
    <row r="6" spans="1:36" ht="20" x14ac:dyDescent="0.2">
      <c r="B6" s="35" t="s">
        <v>60</v>
      </c>
      <c r="C6" s="35" t="s">
        <v>43</v>
      </c>
      <c r="D6" s="62">
        <v>3407</v>
      </c>
      <c r="E6" s="62">
        <v>3439</v>
      </c>
      <c r="F6" s="62">
        <v>3476</v>
      </c>
      <c r="G6" s="62">
        <v>3521</v>
      </c>
      <c r="H6" s="62">
        <v>3565</v>
      </c>
      <c r="I6" s="62">
        <v>3606</v>
      </c>
      <c r="J6" s="62">
        <v>3649</v>
      </c>
      <c r="K6" s="62">
        <v>3688</v>
      </c>
      <c r="L6" s="62">
        <v>3731</v>
      </c>
      <c r="M6" s="62">
        <v>3775</v>
      </c>
      <c r="N6" s="62">
        <v>3821</v>
      </c>
      <c r="O6" s="62">
        <v>3868</v>
      </c>
      <c r="P6" s="62">
        <v>3917</v>
      </c>
      <c r="Q6" s="62">
        <v>3965</v>
      </c>
      <c r="R6" s="62">
        <v>4014</v>
      </c>
      <c r="S6" s="62">
        <v>4065</v>
      </c>
      <c r="T6" s="62">
        <v>4119</v>
      </c>
      <c r="U6" s="62">
        <v>4178</v>
      </c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59"/>
      <c r="AJ6" s="59"/>
    </row>
    <row r="7" spans="1:36" ht="20" x14ac:dyDescent="0.2">
      <c r="B7" s="35" t="s">
        <v>61</v>
      </c>
      <c r="C7" s="35" t="s">
        <v>43</v>
      </c>
      <c r="D7" s="62">
        <v>3455</v>
      </c>
      <c r="E7" s="62">
        <v>3488</v>
      </c>
      <c r="F7" s="62">
        <v>3526</v>
      </c>
      <c r="G7" s="62">
        <v>3571</v>
      </c>
      <c r="H7" s="62">
        <v>3616</v>
      </c>
      <c r="I7" s="62">
        <v>3657</v>
      </c>
      <c r="J7" s="62">
        <v>3702</v>
      </c>
      <c r="K7" s="62">
        <v>3742</v>
      </c>
      <c r="L7" s="62">
        <v>3785</v>
      </c>
      <c r="M7" s="62">
        <v>3830</v>
      </c>
      <c r="N7" s="62">
        <v>3876</v>
      </c>
      <c r="O7" s="62">
        <v>3925</v>
      </c>
      <c r="P7" s="62">
        <v>3975</v>
      </c>
      <c r="Q7" s="62">
        <v>4024</v>
      </c>
      <c r="R7" s="62">
        <v>4074</v>
      </c>
      <c r="S7" s="62">
        <v>4125</v>
      </c>
      <c r="T7" s="62">
        <v>4180</v>
      </c>
      <c r="U7" s="62">
        <v>4240</v>
      </c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59"/>
      <c r="AJ7" s="59"/>
    </row>
    <row r="8" spans="1:36" ht="20" x14ac:dyDescent="0.2">
      <c r="B8" s="35" t="s">
        <v>62</v>
      </c>
      <c r="C8" s="35" t="s">
        <v>43</v>
      </c>
      <c r="D8" s="62">
        <v>3207</v>
      </c>
      <c r="E8" s="62">
        <v>3236</v>
      </c>
      <c r="F8" s="62">
        <v>3270</v>
      </c>
      <c r="G8" s="62">
        <v>3312</v>
      </c>
      <c r="H8" s="62">
        <v>3353</v>
      </c>
      <c r="I8" s="62">
        <v>3391</v>
      </c>
      <c r="J8" s="62">
        <v>3432</v>
      </c>
      <c r="K8" s="62">
        <v>3469</v>
      </c>
      <c r="L8" s="62">
        <v>3509</v>
      </c>
      <c r="M8" s="62">
        <v>3550</v>
      </c>
      <c r="N8" s="62">
        <v>3593</v>
      </c>
      <c r="O8" s="62">
        <v>3637</v>
      </c>
      <c r="P8" s="62">
        <v>3683</v>
      </c>
      <c r="Q8" s="62">
        <v>3728</v>
      </c>
      <c r="R8" s="62">
        <v>3774</v>
      </c>
      <c r="S8" s="62">
        <v>3821</v>
      </c>
      <c r="T8" s="62">
        <v>3871</v>
      </c>
      <c r="U8" s="62">
        <v>3927</v>
      </c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59"/>
      <c r="AJ8" s="59"/>
    </row>
    <row r="9" spans="1:36" ht="20" x14ac:dyDescent="0.2">
      <c r="B9" s="35" t="s">
        <v>63</v>
      </c>
      <c r="C9" s="35" t="s">
        <v>43</v>
      </c>
      <c r="D9" s="62">
        <v>3468</v>
      </c>
      <c r="E9" s="62">
        <v>3499</v>
      </c>
      <c r="F9" s="62">
        <v>3534</v>
      </c>
      <c r="G9" s="62">
        <v>3579</v>
      </c>
      <c r="H9" s="62">
        <v>3623</v>
      </c>
      <c r="I9" s="62">
        <v>3664</v>
      </c>
      <c r="J9" s="62">
        <v>3708</v>
      </c>
      <c r="K9" s="62">
        <v>3747</v>
      </c>
      <c r="L9" s="62">
        <v>3790</v>
      </c>
      <c r="M9" s="62">
        <v>3835</v>
      </c>
      <c r="N9" s="62">
        <v>3880</v>
      </c>
      <c r="O9" s="62">
        <v>3928</v>
      </c>
      <c r="P9" s="62">
        <v>3978</v>
      </c>
      <c r="Q9" s="62">
        <v>4027</v>
      </c>
      <c r="R9" s="62">
        <v>4076</v>
      </c>
      <c r="S9" s="62">
        <v>4127</v>
      </c>
      <c r="T9" s="62">
        <v>4182</v>
      </c>
      <c r="U9" s="62">
        <v>4242</v>
      </c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59"/>
      <c r="AJ9" s="59"/>
    </row>
    <row r="10" spans="1:36" ht="20" x14ac:dyDescent="0.2">
      <c r="B10" s="35" t="s">
        <v>64</v>
      </c>
      <c r="C10" s="35" t="s">
        <v>43</v>
      </c>
      <c r="D10" s="62">
        <v>4152</v>
      </c>
      <c r="E10" s="62">
        <v>4189</v>
      </c>
      <c r="F10" s="62">
        <v>4232</v>
      </c>
      <c r="G10" s="62">
        <v>4285</v>
      </c>
      <c r="H10" s="62">
        <v>4339</v>
      </c>
      <c r="I10" s="62">
        <v>4388</v>
      </c>
      <c r="J10" s="62">
        <v>4440</v>
      </c>
      <c r="K10" s="62">
        <v>4488</v>
      </c>
      <c r="L10" s="62">
        <v>4539</v>
      </c>
      <c r="M10" s="62">
        <v>4593</v>
      </c>
      <c r="N10" s="62">
        <v>4648</v>
      </c>
      <c r="O10" s="62">
        <v>4706</v>
      </c>
      <c r="P10" s="62">
        <v>4766</v>
      </c>
      <c r="Q10" s="62">
        <v>4825</v>
      </c>
      <c r="R10" s="62">
        <v>4884</v>
      </c>
      <c r="S10" s="62">
        <v>4946</v>
      </c>
      <c r="T10" s="62">
        <v>5013</v>
      </c>
      <c r="U10" s="62">
        <v>5085</v>
      </c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59"/>
      <c r="AJ10" s="59"/>
    </row>
    <row r="11" spans="1:36" ht="20" x14ac:dyDescent="0.2">
      <c r="B11" s="35" t="s">
        <v>65</v>
      </c>
      <c r="C11" s="35" t="s">
        <v>43</v>
      </c>
      <c r="D11" s="62">
        <v>4650</v>
      </c>
      <c r="E11" s="62">
        <v>4693</v>
      </c>
      <c r="F11" s="62">
        <v>4740</v>
      </c>
      <c r="G11" s="62">
        <v>4801</v>
      </c>
      <c r="H11" s="62">
        <v>4861</v>
      </c>
      <c r="I11" s="62">
        <v>4916</v>
      </c>
      <c r="J11" s="62">
        <v>4975</v>
      </c>
      <c r="K11" s="62">
        <v>5028</v>
      </c>
      <c r="L11" s="62">
        <v>5085</v>
      </c>
      <c r="M11" s="62">
        <v>5146</v>
      </c>
      <c r="N11" s="62">
        <v>5207</v>
      </c>
      <c r="O11" s="62">
        <v>5273</v>
      </c>
      <c r="P11" s="62">
        <v>5340</v>
      </c>
      <c r="Q11" s="62">
        <v>5406</v>
      </c>
      <c r="R11" s="62">
        <v>5474</v>
      </c>
      <c r="S11" s="62">
        <v>5544</v>
      </c>
      <c r="T11" s="62">
        <v>5619</v>
      </c>
      <c r="U11" s="62">
        <v>5701</v>
      </c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59"/>
      <c r="AJ11" s="59"/>
    </row>
    <row r="12" spans="1:36" ht="20" x14ac:dyDescent="0.2">
      <c r="B12" s="35" t="s">
        <v>66</v>
      </c>
      <c r="C12" s="35" t="s">
        <v>43</v>
      </c>
      <c r="D12" s="62">
        <v>4838</v>
      </c>
      <c r="E12" s="62">
        <v>4884</v>
      </c>
      <c r="F12" s="62">
        <v>4933</v>
      </c>
      <c r="G12" s="62">
        <v>4996</v>
      </c>
      <c r="H12" s="62">
        <v>5059</v>
      </c>
      <c r="I12" s="62">
        <v>5117</v>
      </c>
      <c r="J12" s="62">
        <v>5178</v>
      </c>
      <c r="K12" s="62">
        <v>5233</v>
      </c>
      <c r="L12" s="62">
        <v>5294</v>
      </c>
      <c r="M12" s="62">
        <v>5356</v>
      </c>
      <c r="N12" s="62">
        <v>5421</v>
      </c>
      <c r="O12" s="62">
        <v>5489</v>
      </c>
      <c r="P12" s="62">
        <v>5560</v>
      </c>
      <c r="Q12" s="62">
        <v>5629</v>
      </c>
      <c r="R12" s="62">
        <v>5699</v>
      </c>
      <c r="S12" s="62">
        <v>5772</v>
      </c>
      <c r="T12" s="62">
        <v>5851</v>
      </c>
      <c r="U12" s="62">
        <v>5936</v>
      </c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59"/>
      <c r="AJ12" s="59"/>
    </row>
    <row r="13" spans="1:36" ht="20" x14ac:dyDescent="0.2">
      <c r="B13" s="35" t="s">
        <v>67</v>
      </c>
      <c r="C13" s="35" t="s">
        <v>43</v>
      </c>
      <c r="D13" s="62">
        <v>4743</v>
      </c>
      <c r="E13" s="62">
        <v>4787</v>
      </c>
      <c r="F13" s="62">
        <v>4834</v>
      </c>
      <c r="G13" s="62">
        <v>4896</v>
      </c>
      <c r="H13" s="62">
        <v>4957</v>
      </c>
      <c r="I13" s="62">
        <v>5014</v>
      </c>
      <c r="J13" s="62">
        <v>5075</v>
      </c>
      <c r="K13" s="62">
        <v>5129</v>
      </c>
      <c r="L13" s="62">
        <v>5188</v>
      </c>
      <c r="M13" s="62">
        <v>5250</v>
      </c>
      <c r="N13" s="62">
        <v>5313</v>
      </c>
      <c r="O13" s="62">
        <v>5380</v>
      </c>
      <c r="P13" s="62">
        <v>5449</v>
      </c>
      <c r="Q13" s="62">
        <v>5517</v>
      </c>
      <c r="R13" s="62">
        <v>5586</v>
      </c>
      <c r="S13" s="62">
        <v>5657</v>
      </c>
      <c r="T13" s="62">
        <v>5734</v>
      </c>
      <c r="U13" s="62">
        <v>5817</v>
      </c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59"/>
      <c r="AJ13" s="59"/>
    </row>
    <row r="14" spans="1:36" ht="21" thickBot="1" x14ac:dyDescent="0.25">
      <c r="B14" s="75" t="s">
        <v>68</v>
      </c>
      <c r="C14" s="75" t="s">
        <v>43</v>
      </c>
      <c r="D14" s="76">
        <v>4496</v>
      </c>
      <c r="E14" s="76">
        <v>4535</v>
      </c>
      <c r="F14" s="76">
        <v>4577</v>
      </c>
      <c r="G14" s="76">
        <v>4636</v>
      </c>
      <c r="H14" s="76">
        <v>4693</v>
      </c>
      <c r="I14" s="76">
        <v>4747</v>
      </c>
      <c r="J14" s="76">
        <v>4804</v>
      </c>
      <c r="K14" s="76">
        <v>4855</v>
      </c>
      <c r="L14" s="76">
        <v>4911</v>
      </c>
      <c r="M14" s="76">
        <v>4970</v>
      </c>
      <c r="N14" s="76">
        <v>5029</v>
      </c>
      <c r="O14" s="76">
        <v>5092</v>
      </c>
      <c r="P14" s="76">
        <v>5158</v>
      </c>
      <c r="Q14" s="76">
        <v>5222</v>
      </c>
      <c r="R14" s="76">
        <v>5287</v>
      </c>
      <c r="S14" s="76">
        <v>5354</v>
      </c>
      <c r="T14" s="76">
        <v>5426</v>
      </c>
      <c r="U14" s="76">
        <v>5505</v>
      </c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75" t="s">
        <v>1333</v>
      </c>
      <c r="AJ14" s="11"/>
    </row>
    <row r="15" spans="1:36" ht="20" x14ac:dyDescent="0.2">
      <c r="B15" s="72" t="s">
        <v>524</v>
      </c>
      <c r="C15" s="73" t="s">
        <v>43</v>
      </c>
      <c r="D15" s="74">
        <v>4918</v>
      </c>
      <c r="E15" s="74">
        <v>4965</v>
      </c>
      <c r="F15" s="74">
        <v>5015</v>
      </c>
      <c r="G15" s="74">
        <v>5079</v>
      </c>
      <c r="H15" s="74">
        <v>5143</v>
      </c>
      <c r="I15" s="74">
        <v>5202</v>
      </c>
      <c r="J15" s="74">
        <v>5264</v>
      </c>
      <c r="K15" s="74">
        <v>5320</v>
      </c>
      <c r="L15" s="74">
        <v>5381</v>
      </c>
      <c r="M15" s="74">
        <v>5445</v>
      </c>
      <c r="N15" s="74">
        <v>5511</v>
      </c>
      <c r="O15" s="74">
        <v>5580</v>
      </c>
      <c r="P15" s="74">
        <v>5652</v>
      </c>
      <c r="Q15" s="74">
        <v>5722</v>
      </c>
      <c r="R15" s="74">
        <v>5794</v>
      </c>
      <c r="S15" s="74">
        <v>5869</v>
      </c>
      <c r="T15" s="74">
        <v>5948</v>
      </c>
      <c r="U15" s="74">
        <v>6035</v>
      </c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6">
        <f>(U15/K15)^(1/(10))-1</f>
        <v>1.2690099653682507E-2</v>
      </c>
      <c r="AJ15" s="99"/>
    </row>
    <row r="16" spans="1:36" ht="20" x14ac:dyDescent="0.2">
      <c r="B16" s="71" t="s">
        <v>135</v>
      </c>
      <c r="C16" s="35" t="s">
        <v>43</v>
      </c>
      <c r="D16" s="59">
        <v>-169</v>
      </c>
      <c r="E16" s="59">
        <v>-238</v>
      </c>
      <c r="F16" s="59">
        <v>-283</v>
      </c>
      <c r="G16" s="59">
        <v>-319</v>
      </c>
      <c r="H16" s="59">
        <v>-352</v>
      </c>
      <c r="I16" s="59">
        <v>-386</v>
      </c>
      <c r="J16" s="59">
        <v>-421</v>
      </c>
      <c r="K16" s="59">
        <v>-455</v>
      </c>
      <c r="L16" s="59">
        <v>-487</v>
      </c>
      <c r="M16" s="59">
        <v>-521</v>
      </c>
      <c r="N16" s="59">
        <v>-552</v>
      </c>
      <c r="O16" s="59">
        <v>-557</v>
      </c>
      <c r="P16" s="59">
        <v>-561</v>
      </c>
      <c r="Q16" s="59">
        <v>-566</v>
      </c>
      <c r="R16" s="59">
        <v>-571</v>
      </c>
      <c r="S16" s="59">
        <v>-576</v>
      </c>
      <c r="T16" s="59">
        <v>-580</v>
      </c>
      <c r="U16" s="59">
        <v>-585</v>
      </c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59"/>
      <c r="AJ16" s="59"/>
    </row>
    <row r="17" spans="2:36" ht="20" x14ac:dyDescent="0.2">
      <c r="B17" s="71" t="s">
        <v>136</v>
      </c>
      <c r="C17" s="35" t="s">
        <v>43</v>
      </c>
      <c r="D17" s="59"/>
      <c r="E17" s="59">
        <f t="shared" ref="E17:U17" si="2">E16-D16</f>
        <v>-69</v>
      </c>
      <c r="F17" s="59">
        <f t="shared" si="2"/>
        <v>-45</v>
      </c>
      <c r="G17" s="59">
        <f t="shared" si="2"/>
        <v>-36</v>
      </c>
      <c r="H17" s="59">
        <f t="shared" si="2"/>
        <v>-33</v>
      </c>
      <c r="I17" s="59">
        <f t="shared" si="2"/>
        <v>-34</v>
      </c>
      <c r="J17" s="59">
        <f t="shared" si="2"/>
        <v>-35</v>
      </c>
      <c r="K17" s="59">
        <f t="shared" si="2"/>
        <v>-34</v>
      </c>
      <c r="L17" s="59">
        <f t="shared" si="2"/>
        <v>-32</v>
      </c>
      <c r="M17" s="59">
        <f t="shared" si="2"/>
        <v>-34</v>
      </c>
      <c r="N17" s="59">
        <f t="shared" si="2"/>
        <v>-31</v>
      </c>
      <c r="O17" s="59">
        <f t="shared" si="2"/>
        <v>-5</v>
      </c>
      <c r="P17" s="59">
        <f t="shared" si="2"/>
        <v>-4</v>
      </c>
      <c r="Q17" s="59">
        <f t="shared" si="2"/>
        <v>-5</v>
      </c>
      <c r="R17" s="59">
        <f t="shared" si="2"/>
        <v>-5</v>
      </c>
      <c r="S17" s="59">
        <f t="shared" si="2"/>
        <v>-5</v>
      </c>
      <c r="T17" s="59">
        <f t="shared" si="2"/>
        <v>-4</v>
      </c>
      <c r="U17" s="59">
        <f t="shared" si="2"/>
        <v>-5</v>
      </c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59"/>
      <c r="AJ17" s="59"/>
    </row>
    <row r="18" spans="2:36" ht="20" x14ac:dyDescent="0.2">
      <c r="B18" s="71" t="s">
        <v>525</v>
      </c>
      <c r="C18" s="35" t="s">
        <v>43</v>
      </c>
      <c r="D18" s="59">
        <f t="shared" ref="D18:U18" si="3">D15+D16</f>
        <v>4749</v>
      </c>
      <c r="E18" s="59">
        <f t="shared" si="3"/>
        <v>4727</v>
      </c>
      <c r="F18" s="59">
        <f t="shared" si="3"/>
        <v>4732</v>
      </c>
      <c r="G18" s="59">
        <f t="shared" si="3"/>
        <v>4760</v>
      </c>
      <c r="H18" s="59">
        <f t="shared" si="3"/>
        <v>4791</v>
      </c>
      <c r="I18" s="59">
        <f t="shared" si="3"/>
        <v>4816</v>
      </c>
      <c r="J18" s="59">
        <f t="shared" si="3"/>
        <v>4843</v>
      </c>
      <c r="K18" s="59">
        <f t="shared" si="3"/>
        <v>4865</v>
      </c>
      <c r="L18" s="59">
        <f t="shared" si="3"/>
        <v>4894</v>
      </c>
      <c r="M18" s="59">
        <f t="shared" si="3"/>
        <v>4924</v>
      </c>
      <c r="N18" s="59">
        <f t="shared" si="3"/>
        <v>4959</v>
      </c>
      <c r="O18" s="59">
        <f t="shared" si="3"/>
        <v>5023</v>
      </c>
      <c r="P18" s="59">
        <f t="shared" si="3"/>
        <v>5091</v>
      </c>
      <c r="Q18" s="59">
        <f t="shared" si="3"/>
        <v>5156</v>
      </c>
      <c r="R18" s="59">
        <f t="shared" si="3"/>
        <v>5223</v>
      </c>
      <c r="S18" s="59">
        <f t="shared" si="3"/>
        <v>5293</v>
      </c>
      <c r="T18" s="59">
        <f t="shared" si="3"/>
        <v>5368</v>
      </c>
      <c r="U18" s="59">
        <f t="shared" si="3"/>
        <v>5450</v>
      </c>
      <c r="V18" s="65">
        <f>U18*(1+V19)</f>
        <v>5512.2368241299873</v>
      </c>
      <c r="W18" s="65">
        <f t="shared" ref="W18:AH18" si="4">V18*(1+W19)</f>
        <v>5575.1843679439717</v>
      </c>
      <c r="X18" s="65">
        <f t="shared" si="4"/>
        <v>5638.8507475769957</v>
      </c>
      <c r="Y18" s="65">
        <f t="shared" si="4"/>
        <v>5703.2441718471237</v>
      </c>
      <c r="Z18" s="65">
        <f t="shared" si="4"/>
        <v>5768.3729433138433</v>
      </c>
      <c r="AA18" s="65">
        <f t="shared" si="4"/>
        <v>5834.2454593485591</v>
      </c>
      <c r="AB18" s="65">
        <f t="shared" si="4"/>
        <v>5900.870213217303</v>
      </c>
      <c r="AC18" s="65">
        <f t="shared" si="4"/>
        <v>5968.2557951758135</v>
      </c>
      <c r="AD18" s="65">
        <f t="shared" si="4"/>
        <v>6036.4108935771228</v>
      </c>
      <c r="AE18" s="65">
        <f t="shared" si="4"/>
        <v>6105.3442959917829</v>
      </c>
      <c r="AF18" s="65">
        <f t="shared" si="4"/>
        <v>6175.0648903408946</v>
      </c>
      <c r="AG18" s="65">
        <f t="shared" si="4"/>
        <v>6245.5816660420696</v>
      </c>
      <c r="AH18" s="65">
        <f t="shared" si="4"/>
        <v>6316.9037151684788</v>
      </c>
      <c r="AI18" s="35" t="s">
        <v>1333</v>
      </c>
      <c r="AJ18" s="11" t="s">
        <v>1322</v>
      </c>
    </row>
    <row r="19" spans="2:36" ht="20" x14ac:dyDescent="0.2">
      <c r="B19" s="71" t="s">
        <v>523</v>
      </c>
      <c r="C19" s="35" t="s">
        <v>42</v>
      </c>
      <c r="D19" s="77"/>
      <c r="E19" s="115">
        <f t="shared" ref="E19:U19" si="5">(E18-D18)/D18</f>
        <v>-4.6325542219414614E-3</v>
      </c>
      <c r="F19" s="115">
        <f t="shared" si="5"/>
        <v>1.0577533319229956E-3</v>
      </c>
      <c r="G19" s="115">
        <f t="shared" si="5"/>
        <v>5.9171597633136093E-3</v>
      </c>
      <c r="H19" s="115">
        <f t="shared" si="5"/>
        <v>6.512605042016807E-3</v>
      </c>
      <c r="I19" s="115">
        <f t="shared" si="5"/>
        <v>5.2181173032769777E-3</v>
      </c>
      <c r="J19" s="115">
        <f t="shared" si="5"/>
        <v>5.6063122923588043E-3</v>
      </c>
      <c r="K19" s="115">
        <f t="shared" si="5"/>
        <v>4.5426388602106136E-3</v>
      </c>
      <c r="L19" s="115">
        <f t="shared" si="5"/>
        <v>5.9609455292908529E-3</v>
      </c>
      <c r="M19" s="115">
        <f t="shared" si="5"/>
        <v>6.1299550469963221E-3</v>
      </c>
      <c r="N19" s="115">
        <f t="shared" si="5"/>
        <v>7.10804224207961E-3</v>
      </c>
      <c r="O19" s="115">
        <f t="shared" si="5"/>
        <v>1.2905827787860456E-2</v>
      </c>
      <c r="P19" s="115">
        <f t="shared" si="5"/>
        <v>1.3537726458291858E-2</v>
      </c>
      <c r="Q19" s="115">
        <f t="shared" si="5"/>
        <v>1.2767629149479473E-2</v>
      </c>
      <c r="R19" s="115">
        <f t="shared" si="5"/>
        <v>1.2994569433669511E-2</v>
      </c>
      <c r="S19" s="115">
        <f t="shared" si="5"/>
        <v>1.3402259237985832E-2</v>
      </c>
      <c r="T19" s="115">
        <f t="shared" si="5"/>
        <v>1.4169658038919328E-2</v>
      </c>
      <c r="U19" s="115">
        <f t="shared" si="5"/>
        <v>1.5275707898658718E-2</v>
      </c>
      <c r="V19" s="274">
        <f>$AI19</f>
        <v>1.14196007577958E-2</v>
      </c>
      <c r="W19" s="274">
        <f t="shared" ref="W19:AH19" si="6">$AI19</f>
        <v>1.14196007577958E-2</v>
      </c>
      <c r="X19" s="274">
        <f t="shared" si="6"/>
        <v>1.14196007577958E-2</v>
      </c>
      <c r="Y19" s="274">
        <f t="shared" si="6"/>
        <v>1.14196007577958E-2</v>
      </c>
      <c r="Z19" s="274">
        <f t="shared" si="6"/>
        <v>1.14196007577958E-2</v>
      </c>
      <c r="AA19" s="274">
        <f t="shared" si="6"/>
        <v>1.14196007577958E-2</v>
      </c>
      <c r="AB19" s="274">
        <f t="shared" si="6"/>
        <v>1.14196007577958E-2</v>
      </c>
      <c r="AC19" s="274">
        <f t="shared" si="6"/>
        <v>1.14196007577958E-2</v>
      </c>
      <c r="AD19" s="274">
        <f t="shared" si="6"/>
        <v>1.14196007577958E-2</v>
      </c>
      <c r="AE19" s="274">
        <f t="shared" si="6"/>
        <v>1.14196007577958E-2</v>
      </c>
      <c r="AF19" s="274">
        <f t="shared" si="6"/>
        <v>1.14196007577958E-2</v>
      </c>
      <c r="AG19" s="274">
        <f t="shared" si="6"/>
        <v>1.14196007577958E-2</v>
      </c>
      <c r="AH19" s="274">
        <f t="shared" si="6"/>
        <v>1.14196007577958E-2</v>
      </c>
      <c r="AI19" s="276">
        <f>(U18/K18)^(1/(10))-1</f>
        <v>1.14196007577958E-2</v>
      </c>
      <c r="AJ19" s="277" t="s">
        <v>922</v>
      </c>
    </row>
    <row r="20" spans="2:36" ht="19" x14ac:dyDescent="0.2">
      <c r="B20" s="71"/>
      <c r="C20" s="35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115"/>
      <c r="AJ20" s="99"/>
    </row>
    <row r="21" spans="2:36" ht="20" x14ac:dyDescent="0.2">
      <c r="B21" s="71" t="s">
        <v>527</v>
      </c>
      <c r="C21" s="35"/>
      <c r="D21" s="59">
        <v>4760</v>
      </c>
      <c r="E21" s="59">
        <v>4783</v>
      </c>
      <c r="F21" s="59">
        <v>4812</v>
      </c>
      <c r="G21" s="59">
        <v>4858</v>
      </c>
      <c r="H21" s="59">
        <v>4905</v>
      </c>
      <c r="I21" s="59">
        <v>4948</v>
      </c>
      <c r="J21" s="59">
        <v>4996</v>
      </c>
      <c r="K21" s="59">
        <v>5038</v>
      </c>
      <c r="L21" s="59">
        <v>5086</v>
      </c>
      <c r="M21" s="59">
        <v>5137</v>
      </c>
      <c r="N21" s="59">
        <v>5191</v>
      </c>
      <c r="O21" s="59">
        <v>5249</v>
      </c>
      <c r="P21" s="59">
        <v>5310</v>
      </c>
      <c r="Q21" s="59">
        <v>5369</v>
      </c>
      <c r="R21" s="59">
        <v>5431</v>
      </c>
      <c r="S21" s="59">
        <v>5495</v>
      </c>
      <c r="T21" s="59">
        <v>5565</v>
      </c>
      <c r="U21" s="59">
        <v>5643</v>
      </c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115"/>
      <c r="AJ21" s="99"/>
    </row>
    <row r="22" spans="2:36" ht="20" x14ac:dyDescent="0.2">
      <c r="B22" s="71" t="s">
        <v>135</v>
      </c>
      <c r="C22" s="35" t="s">
        <v>43</v>
      </c>
      <c r="D22" s="59">
        <v>-169</v>
      </c>
      <c r="E22" s="59">
        <v>-238</v>
      </c>
      <c r="F22" s="59">
        <v>-283</v>
      </c>
      <c r="G22" s="59">
        <v>-319</v>
      </c>
      <c r="H22" s="59">
        <v>-352</v>
      </c>
      <c r="I22" s="59">
        <v>-386</v>
      </c>
      <c r="J22" s="59">
        <v>-421</v>
      </c>
      <c r="K22" s="59">
        <v>-455</v>
      </c>
      <c r="L22" s="59">
        <v>-487</v>
      </c>
      <c r="M22" s="59">
        <v>-521</v>
      </c>
      <c r="N22" s="59">
        <v>-552</v>
      </c>
      <c r="O22" s="59">
        <v>-557</v>
      </c>
      <c r="P22" s="59">
        <v>-561</v>
      </c>
      <c r="Q22" s="59">
        <v>-566</v>
      </c>
      <c r="R22" s="59">
        <v>-571</v>
      </c>
      <c r="S22" s="59">
        <v>-576</v>
      </c>
      <c r="T22" s="59">
        <v>-580</v>
      </c>
      <c r="U22" s="59">
        <v>-585</v>
      </c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 t="s">
        <v>528</v>
      </c>
    </row>
    <row r="23" spans="2:36" ht="20" x14ac:dyDescent="0.2">
      <c r="B23" s="71" t="s">
        <v>136</v>
      </c>
      <c r="C23" s="35" t="s">
        <v>43</v>
      </c>
      <c r="D23" s="59"/>
      <c r="E23" s="59">
        <f t="shared" ref="E23" si="7">E22-D22</f>
        <v>-69</v>
      </c>
      <c r="F23" s="59">
        <f t="shared" ref="F23" si="8">F22-E22</f>
        <v>-45</v>
      </c>
      <c r="G23" s="59">
        <f t="shared" ref="G23" si="9">G22-F22</f>
        <v>-36</v>
      </c>
      <c r="H23" s="59">
        <f t="shared" ref="H23" si="10">H22-G22</f>
        <v>-33</v>
      </c>
      <c r="I23" s="59">
        <f t="shared" ref="I23" si="11">I22-H22</f>
        <v>-34</v>
      </c>
      <c r="J23" s="59">
        <f t="shared" ref="J23" si="12">J22-I22</f>
        <v>-35</v>
      </c>
      <c r="K23" s="59">
        <f t="shared" ref="K23" si="13">K22-J22</f>
        <v>-34</v>
      </c>
      <c r="L23" s="59">
        <f t="shared" ref="L23" si="14">L22-K22</f>
        <v>-32</v>
      </c>
      <c r="M23" s="59">
        <f t="shared" ref="M23" si="15">M22-L22</f>
        <v>-34</v>
      </c>
      <c r="N23" s="59">
        <f t="shared" ref="N23" si="16">N22-M22</f>
        <v>-31</v>
      </c>
      <c r="O23" s="59">
        <f t="shared" ref="O23" si="17">O22-N22</f>
        <v>-5</v>
      </c>
      <c r="P23" s="59">
        <f t="shared" ref="P23" si="18">P22-O22</f>
        <v>-4</v>
      </c>
      <c r="Q23" s="59">
        <f t="shared" ref="Q23" si="19">Q22-P22</f>
        <v>-5</v>
      </c>
      <c r="R23" s="59">
        <f t="shared" ref="R23" si="20">R22-Q22</f>
        <v>-5</v>
      </c>
      <c r="S23" s="59">
        <f t="shared" ref="S23" si="21">S22-R22</f>
        <v>-5</v>
      </c>
      <c r="T23" s="59">
        <f t="shared" ref="T23" si="22">T22-S22</f>
        <v>-4</v>
      </c>
      <c r="U23" s="59">
        <f t="shared" ref="U23" si="23">U22-T22</f>
        <v>-5</v>
      </c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2:36" ht="20" x14ac:dyDescent="0.2">
      <c r="B24" s="71" t="s">
        <v>526</v>
      </c>
      <c r="C24" s="35" t="s">
        <v>43</v>
      </c>
      <c r="D24" s="59">
        <f t="shared" ref="D24:U24" si="24">D21+D22</f>
        <v>4591</v>
      </c>
      <c r="E24" s="59">
        <f t="shared" si="24"/>
        <v>4545</v>
      </c>
      <c r="F24" s="59">
        <f t="shared" si="24"/>
        <v>4529</v>
      </c>
      <c r="G24" s="59">
        <f t="shared" si="24"/>
        <v>4539</v>
      </c>
      <c r="H24" s="59">
        <f t="shared" si="24"/>
        <v>4553</v>
      </c>
      <c r="I24" s="59">
        <f t="shared" si="24"/>
        <v>4562</v>
      </c>
      <c r="J24" s="59">
        <f t="shared" si="24"/>
        <v>4575</v>
      </c>
      <c r="K24" s="59">
        <f t="shared" si="24"/>
        <v>4583</v>
      </c>
      <c r="L24" s="59">
        <f t="shared" si="24"/>
        <v>4599</v>
      </c>
      <c r="M24" s="59">
        <f t="shared" si="24"/>
        <v>4616</v>
      </c>
      <c r="N24" s="59">
        <f t="shared" si="24"/>
        <v>4639</v>
      </c>
      <c r="O24" s="59">
        <f t="shared" si="24"/>
        <v>4692</v>
      </c>
      <c r="P24" s="59">
        <f t="shared" si="24"/>
        <v>4749</v>
      </c>
      <c r="Q24" s="59">
        <f t="shared" si="24"/>
        <v>4803</v>
      </c>
      <c r="R24" s="59">
        <f t="shared" si="24"/>
        <v>4860</v>
      </c>
      <c r="S24" s="59">
        <f t="shared" si="24"/>
        <v>4919</v>
      </c>
      <c r="T24" s="59">
        <f t="shared" si="24"/>
        <v>4985</v>
      </c>
      <c r="U24" s="59">
        <f t="shared" si="24"/>
        <v>5058</v>
      </c>
      <c r="V24" s="65">
        <f>U24*(1+V25)</f>
        <v>5108.1274173267129</v>
      </c>
      <c r="W24" s="65">
        <f t="shared" ref="W24" si="25">V24*(1+W25)</f>
        <v>5158.751623496416</v>
      </c>
      <c r="X24" s="65">
        <f t="shared" ref="X24" si="26">W24*(1+X25)</f>
        <v>5209.8775419455778</v>
      </c>
      <c r="Y24" s="65">
        <f t="shared" ref="Y24" si="27">X24*(1+Y25)</f>
        <v>5261.5101449044896</v>
      </c>
      <c r="Z24" s="65">
        <f t="shared" ref="Z24" si="28">Y24*(1+Z25)</f>
        <v>5313.6544538808357</v>
      </c>
      <c r="AA24" s="65">
        <f t="shared" ref="AA24" si="29">Z24*(1+AA25)</f>
        <v>5366.3155401480617</v>
      </c>
      <c r="AB24" s="65">
        <f t="shared" ref="AB24" si="30">AA24*(1+AB25)</f>
        <v>5419.4985252385768</v>
      </c>
      <c r="AC24" s="65">
        <f t="shared" ref="AC24" si="31">AB24*(1+AC25)</f>
        <v>5473.208581441846</v>
      </c>
      <c r="AD24" s="65">
        <f t="shared" ref="AD24" si="32">AC24*(1+AD25)</f>
        <v>5527.4509323074217</v>
      </c>
      <c r="AE24" s="65">
        <f t="shared" ref="AE24" si="33">AD24*(1+AE25)</f>
        <v>5582.2308531529534</v>
      </c>
      <c r="AF24" s="65">
        <f t="shared" ref="AF24" si="34">AE24*(1+AF25)</f>
        <v>5637.5536715772414</v>
      </c>
      <c r="AG24" s="65">
        <f t="shared" ref="AG24" si="35">AF24*(1+AG25)</f>
        <v>5693.4247679783666</v>
      </c>
      <c r="AH24" s="65">
        <f t="shared" ref="AH24" si="36">AG24*(1+AH25)</f>
        <v>5749.849576076962</v>
      </c>
      <c r="AI24" s="101" t="s">
        <v>1333</v>
      </c>
      <c r="AJ24" s="99" t="s">
        <v>1322</v>
      </c>
    </row>
    <row r="25" spans="2:36" ht="20" x14ac:dyDescent="0.2">
      <c r="B25" s="71" t="s">
        <v>523</v>
      </c>
      <c r="C25" s="35"/>
      <c r="D25" s="115"/>
      <c r="E25" s="115">
        <f t="shared" ref="E25:U25" si="37">(E24-D24)/D24</f>
        <v>-1.0019603572206491E-2</v>
      </c>
      <c r="F25" s="115">
        <f t="shared" si="37"/>
        <v>-3.5203520352035203E-3</v>
      </c>
      <c r="G25" s="115">
        <f t="shared" si="37"/>
        <v>2.2079929344226098E-3</v>
      </c>
      <c r="H25" s="115">
        <f t="shared" si="37"/>
        <v>3.0843798193434676E-3</v>
      </c>
      <c r="I25" s="115">
        <f t="shared" si="37"/>
        <v>1.976718647045904E-3</v>
      </c>
      <c r="J25" s="115">
        <f t="shared" si="37"/>
        <v>2.8496273564226219E-3</v>
      </c>
      <c r="K25" s="115">
        <f t="shared" si="37"/>
        <v>1.7486338797814208E-3</v>
      </c>
      <c r="L25" s="115">
        <f t="shared" si="37"/>
        <v>3.4911629936722672E-3</v>
      </c>
      <c r="M25" s="115">
        <f t="shared" si="37"/>
        <v>3.6964557512502716E-3</v>
      </c>
      <c r="N25" s="115">
        <f t="shared" si="37"/>
        <v>4.9826689774696703E-3</v>
      </c>
      <c r="O25" s="115">
        <f t="shared" si="37"/>
        <v>1.1424876050873034E-2</v>
      </c>
      <c r="P25" s="115">
        <f t="shared" si="37"/>
        <v>1.2148337595907928E-2</v>
      </c>
      <c r="Q25" s="115">
        <f t="shared" si="37"/>
        <v>1.1370814908401769E-2</v>
      </c>
      <c r="R25" s="115">
        <f t="shared" si="37"/>
        <v>1.1867582760774516E-2</v>
      </c>
      <c r="S25" s="115">
        <f t="shared" si="37"/>
        <v>1.213991769547325E-2</v>
      </c>
      <c r="T25" s="115">
        <f t="shared" si="37"/>
        <v>1.341736125228705E-2</v>
      </c>
      <c r="U25" s="115">
        <f t="shared" si="37"/>
        <v>1.4643931795386159E-2</v>
      </c>
      <c r="V25" s="274">
        <f>$AI25</f>
        <v>9.9105214169064038E-3</v>
      </c>
      <c r="W25" s="274">
        <f t="shared" ref="W25:AH25" si="38">$AI25</f>
        <v>9.9105214169064038E-3</v>
      </c>
      <c r="X25" s="274">
        <f t="shared" si="38"/>
        <v>9.9105214169064038E-3</v>
      </c>
      <c r="Y25" s="274">
        <f t="shared" si="38"/>
        <v>9.9105214169064038E-3</v>
      </c>
      <c r="Z25" s="274">
        <f t="shared" si="38"/>
        <v>9.9105214169064038E-3</v>
      </c>
      <c r="AA25" s="274">
        <f t="shared" si="38"/>
        <v>9.9105214169064038E-3</v>
      </c>
      <c r="AB25" s="274">
        <f t="shared" si="38"/>
        <v>9.9105214169064038E-3</v>
      </c>
      <c r="AC25" s="274">
        <f t="shared" si="38"/>
        <v>9.9105214169064038E-3</v>
      </c>
      <c r="AD25" s="274">
        <f t="shared" si="38"/>
        <v>9.9105214169064038E-3</v>
      </c>
      <c r="AE25" s="274">
        <f t="shared" si="38"/>
        <v>9.9105214169064038E-3</v>
      </c>
      <c r="AF25" s="274">
        <f t="shared" si="38"/>
        <v>9.9105214169064038E-3</v>
      </c>
      <c r="AG25" s="274">
        <f t="shared" si="38"/>
        <v>9.9105214169064038E-3</v>
      </c>
      <c r="AH25" s="274">
        <f t="shared" si="38"/>
        <v>9.9105214169064038E-3</v>
      </c>
      <c r="AI25" s="276">
        <f>(U24/K24)^(1/(10))-1</f>
        <v>9.9105214169064038E-3</v>
      </c>
      <c r="AJ25" s="99" t="s">
        <v>921</v>
      </c>
    </row>
    <row r="26" spans="2:36" ht="19" x14ac:dyDescent="0.2">
      <c r="B26" s="71"/>
      <c r="C26" s="35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115"/>
      <c r="AJ26" s="99"/>
    </row>
    <row r="27" spans="2:36" ht="20" x14ac:dyDescent="0.2">
      <c r="B27" s="71" t="s">
        <v>529</v>
      </c>
      <c r="C27" s="35"/>
      <c r="D27" s="59">
        <v>27179</v>
      </c>
      <c r="E27" s="59">
        <v>27508</v>
      </c>
      <c r="F27" s="59">
        <v>27852</v>
      </c>
      <c r="G27" s="59">
        <v>28267</v>
      </c>
      <c r="H27" s="59">
        <v>28672</v>
      </c>
      <c r="I27" s="59">
        <v>29047</v>
      </c>
      <c r="J27" s="59">
        <v>29436</v>
      </c>
      <c r="K27" s="59">
        <v>29791</v>
      </c>
      <c r="L27" s="59">
        <v>30170</v>
      </c>
      <c r="M27" s="59">
        <v>30556</v>
      </c>
      <c r="N27" s="59">
        <v>30949</v>
      </c>
      <c r="O27" s="59">
        <v>31358</v>
      </c>
      <c r="P27" s="59">
        <v>31779</v>
      </c>
      <c r="Q27" s="59">
        <v>32189</v>
      </c>
      <c r="R27" s="59">
        <v>32604</v>
      </c>
      <c r="S27" s="59">
        <v>33031</v>
      </c>
      <c r="T27" s="59">
        <v>33482</v>
      </c>
      <c r="U27" s="59">
        <v>33980</v>
      </c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115"/>
      <c r="AJ27" s="99"/>
    </row>
    <row r="28" spans="2:36" ht="20" x14ac:dyDescent="0.2">
      <c r="B28" s="71" t="s">
        <v>135</v>
      </c>
      <c r="C28" s="35" t="s">
        <v>43</v>
      </c>
      <c r="D28" s="59">
        <v>-169</v>
      </c>
      <c r="E28" s="59">
        <v>-238</v>
      </c>
      <c r="F28" s="59">
        <v>-283</v>
      </c>
      <c r="G28" s="59">
        <v>-319</v>
      </c>
      <c r="H28" s="59">
        <v>-352</v>
      </c>
      <c r="I28" s="59">
        <v>-386</v>
      </c>
      <c r="J28" s="59">
        <v>-421</v>
      </c>
      <c r="K28" s="59">
        <v>-455</v>
      </c>
      <c r="L28" s="59">
        <v>-487</v>
      </c>
      <c r="M28" s="59">
        <v>-521</v>
      </c>
      <c r="N28" s="59">
        <v>-552</v>
      </c>
      <c r="O28" s="59">
        <v>-557</v>
      </c>
      <c r="P28" s="59">
        <v>-561</v>
      </c>
      <c r="Q28" s="59">
        <v>-566</v>
      </c>
      <c r="R28" s="59">
        <v>-571</v>
      </c>
      <c r="S28" s="59">
        <v>-576</v>
      </c>
      <c r="T28" s="59">
        <v>-580</v>
      </c>
      <c r="U28" s="59">
        <v>-585</v>
      </c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59"/>
      <c r="AJ28" s="59" t="s">
        <v>528</v>
      </c>
    </row>
    <row r="29" spans="2:36" ht="20" x14ac:dyDescent="0.2">
      <c r="B29" s="71" t="s">
        <v>136</v>
      </c>
      <c r="C29" s="35" t="s">
        <v>43</v>
      </c>
      <c r="D29" s="59"/>
      <c r="E29" s="59">
        <f t="shared" ref="E29" si="39">E28-D28</f>
        <v>-69</v>
      </c>
      <c r="F29" s="59">
        <f t="shared" ref="F29" si="40">F28-E28</f>
        <v>-45</v>
      </c>
      <c r="G29" s="59">
        <f t="shared" ref="G29" si="41">G28-F28</f>
        <v>-36</v>
      </c>
      <c r="H29" s="59">
        <f t="shared" ref="H29" si="42">H28-G28</f>
        <v>-33</v>
      </c>
      <c r="I29" s="59">
        <f t="shared" ref="I29" si="43">I28-H28</f>
        <v>-34</v>
      </c>
      <c r="J29" s="59">
        <f t="shared" ref="J29" si="44">J28-I28</f>
        <v>-35</v>
      </c>
      <c r="K29" s="59">
        <f t="shared" ref="K29" si="45">K28-J28</f>
        <v>-34</v>
      </c>
      <c r="L29" s="59">
        <f t="shared" ref="L29" si="46">L28-K28</f>
        <v>-32</v>
      </c>
      <c r="M29" s="59">
        <f t="shared" ref="M29" si="47">M28-L28</f>
        <v>-34</v>
      </c>
      <c r="N29" s="59">
        <f t="shared" ref="N29" si="48">N28-M28</f>
        <v>-31</v>
      </c>
      <c r="O29" s="59">
        <f t="shared" ref="O29" si="49">O28-N28</f>
        <v>-5</v>
      </c>
      <c r="P29" s="59">
        <f t="shared" ref="P29" si="50">P28-O28</f>
        <v>-4</v>
      </c>
      <c r="Q29" s="59">
        <f t="shared" ref="Q29" si="51">Q28-P28</f>
        <v>-5</v>
      </c>
      <c r="R29" s="59">
        <f t="shared" ref="R29" si="52">R28-Q28</f>
        <v>-5</v>
      </c>
      <c r="S29" s="59">
        <f t="shared" ref="S29" si="53">S28-R28</f>
        <v>-5</v>
      </c>
      <c r="T29" s="59">
        <f t="shared" ref="T29" si="54">T28-S28</f>
        <v>-4</v>
      </c>
      <c r="U29" s="59">
        <f t="shared" ref="U29" si="55">U28-T28</f>
        <v>-5</v>
      </c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59"/>
      <c r="AJ29" s="59"/>
    </row>
    <row r="30" spans="2:36" ht="20" x14ac:dyDescent="0.2">
      <c r="B30" s="71" t="s">
        <v>530</v>
      </c>
      <c r="C30" s="35" t="s">
        <v>43</v>
      </c>
      <c r="D30" s="59">
        <f t="shared" ref="D30:U30" si="56">D27+D28</f>
        <v>27010</v>
      </c>
      <c r="E30" s="59">
        <f t="shared" si="56"/>
        <v>27270</v>
      </c>
      <c r="F30" s="59">
        <f t="shared" si="56"/>
        <v>27569</v>
      </c>
      <c r="G30" s="59">
        <f t="shared" si="56"/>
        <v>27948</v>
      </c>
      <c r="H30" s="59">
        <f t="shared" si="56"/>
        <v>28320</v>
      </c>
      <c r="I30" s="59">
        <f t="shared" si="56"/>
        <v>28661</v>
      </c>
      <c r="J30" s="59">
        <f t="shared" si="56"/>
        <v>29015</v>
      </c>
      <c r="K30" s="59">
        <f t="shared" si="56"/>
        <v>29336</v>
      </c>
      <c r="L30" s="59">
        <f t="shared" si="56"/>
        <v>29683</v>
      </c>
      <c r="M30" s="59">
        <f t="shared" si="56"/>
        <v>30035</v>
      </c>
      <c r="N30" s="59">
        <f t="shared" si="56"/>
        <v>30397</v>
      </c>
      <c r="O30" s="59">
        <f t="shared" si="56"/>
        <v>30801</v>
      </c>
      <c r="P30" s="59">
        <f t="shared" si="56"/>
        <v>31218</v>
      </c>
      <c r="Q30" s="59">
        <f t="shared" si="56"/>
        <v>31623</v>
      </c>
      <c r="R30" s="59">
        <f t="shared" si="56"/>
        <v>32033</v>
      </c>
      <c r="S30" s="59">
        <f t="shared" si="56"/>
        <v>32455</v>
      </c>
      <c r="T30" s="59">
        <f t="shared" si="56"/>
        <v>32902</v>
      </c>
      <c r="U30" s="59">
        <f t="shared" si="56"/>
        <v>33395</v>
      </c>
      <c r="V30" s="65">
        <f>U30*(1+V31)</f>
        <v>33830.584625538635</v>
      </c>
      <c r="W30" s="65">
        <f t="shared" ref="W30" si="57">V30*(1+W31)</f>
        <v>34271.85075926729</v>
      </c>
      <c r="X30" s="65">
        <f t="shared" ref="X30" si="58">W30*(1+X31)</f>
        <v>34718.872507417953</v>
      </c>
      <c r="Y30" s="65">
        <f t="shared" ref="Y30" si="59">X30*(1+Y31)</f>
        <v>35171.724942820474</v>
      </c>
      <c r="Z30" s="65">
        <f t="shared" ref="Z30" si="60">Y30*(1+Z31)</f>
        <v>35630.484117510285</v>
      </c>
      <c r="AA30" s="65">
        <f t="shared" ref="AA30" si="61">Z30*(1+AA31)</f>
        <v>36095.227075500581</v>
      </c>
      <c r="AB30" s="65">
        <f t="shared" ref="AB30" si="62">AA30*(1+AB31)</f>
        <v>36566.031865721088</v>
      </c>
      <c r="AC30" s="65">
        <f t="shared" ref="AC30" si="63">AB30*(1+AC31)</f>
        <v>37042.97755512561</v>
      </c>
      <c r="AD30" s="65">
        <f t="shared" ref="AD30" si="64">AC30*(1+AD31)</f>
        <v>37526.144241970513</v>
      </c>
      <c r="AE30" s="65">
        <f t="shared" ref="AE30" si="65">AD30*(1+AE31)</f>
        <v>38015.613069266445</v>
      </c>
      <c r="AF30" s="65">
        <f t="shared" ref="AF30" si="66">AE30*(1+AF31)</f>
        <v>38511.466238405483</v>
      </c>
      <c r="AG30" s="65">
        <f t="shared" ref="AG30" si="67">AF30*(1+AG31)</f>
        <v>39013.787022966033</v>
      </c>
      <c r="AH30" s="65">
        <f t="shared" ref="AH30" si="68">AG30*(1+AH31)</f>
        <v>39522.65978269781</v>
      </c>
      <c r="AI30" s="101" t="s">
        <v>1321</v>
      </c>
      <c r="AJ30" s="99" t="s">
        <v>1322</v>
      </c>
    </row>
    <row r="31" spans="2:36" ht="20" x14ac:dyDescent="0.2">
      <c r="B31" s="71" t="s">
        <v>523</v>
      </c>
      <c r="C31" s="35"/>
      <c r="D31" s="115"/>
      <c r="E31" s="115">
        <f t="shared" ref="E31:U31" si="69">(E30-D30)/D30</f>
        <v>9.626064420584968E-3</v>
      </c>
      <c r="F31" s="115">
        <f t="shared" si="69"/>
        <v>1.0964429776310965E-2</v>
      </c>
      <c r="G31" s="115">
        <f t="shared" si="69"/>
        <v>1.3747324893902572E-2</v>
      </c>
      <c r="H31" s="115">
        <f t="shared" si="69"/>
        <v>1.3310433662516101E-2</v>
      </c>
      <c r="I31" s="115">
        <f t="shared" si="69"/>
        <v>1.2040960451977402E-2</v>
      </c>
      <c r="J31" s="115">
        <f t="shared" si="69"/>
        <v>1.2351278741146506E-2</v>
      </c>
      <c r="K31" s="115">
        <f t="shared" si="69"/>
        <v>1.1063243150094779E-2</v>
      </c>
      <c r="L31" s="115">
        <f t="shared" si="69"/>
        <v>1.1828470139078265E-2</v>
      </c>
      <c r="M31" s="115">
        <f t="shared" si="69"/>
        <v>1.1858639625374794E-2</v>
      </c>
      <c r="N31" s="115">
        <f t="shared" si="69"/>
        <v>1.2052605293823872E-2</v>
      </c>
      <c r="O31" s="115">
        <f t="shared" si="69"/>
        <v>1.3290785274862651E-2</v>
      </c>
      <c r="P31" s="115">
        <f t="shared" si="69"/>
        <v>1.3538521476575437E-2</v>
      </c>
      <c r="Q31" s="115">
        <f t="shared" si="69"/>
        <v>1.2973284643474919E-2</v>
      </c>
      <c r="R31" s="115">
        <f t="shared" si="69"/>
        <v>1.2965246814027765E-2</v>
      </c>
      <c r="S31" s="115">
        <f t="shared" si="69"/>
        <v>1.3173914400774202E-2</v>
      </c>
      <c r="T31" s="115">
        <f t="shared" si="69"/>
        <v>1.3772916345709443E-2</v>
      </c>
      <c r="U31" s="115">
        <f t="shared" si="69"/>
        <v>1.4983891556744271E-2</v>
      </c>
      <c r="V31" s="274">
        <f>$AI31</f>
        <v>1.3043408460507111E-2</v>
      </c>
      <c r="W31" s="274">
        <f t="shared" ref="W31:AH31" si="70">$AI31</f>
        <v>1.3043408460507111E-2</v>
      </c>
      <c r="X31" s="274">
        <f t="shared" si="70"/>
        <v>1.3043408460507111E-2</v>
      </c>
      <c r="Y31" s="274">
        <f t="shared" si="70"/>
        <v>1.3043408460507111E-2</v>
      </c>
      <c r="Z31" s="274">
        <f t="shared" si="70"/>
        <v>1.3043408460507111E-2</v>
      </c>
      <c r="AA31" s="274">
        <f t="shared" si="70"/>
        <v>1.3043408460507111E-2</v>
      </c>
      <c r="AB31" s="274">
        <f t="shared" si="70"/>
        <v>1.3043408460507111E-2</v>
      </c>
      <c r="AC31" s="274">
        <f t="shared" si="70"/>
        <v>1.3043408460507111E-2</v>
      </c>
      <c r="AD31" s="274">
        <f t="shared" si="70"/>
        <v>1.3043408460507111E-2</v>
      </c>
      <c r="AE31" s="274">
        <f t="shared" si="70"/>
        <v>1.3043408460507111E-2</v>
      </c>
      <c r="AF31" s="274">
        <f t="shared" si="70"/>
        <v>1.3043408460507111E-2</v>
      </c>
      <c r="AG31" s="274">
        <f t="shared" si="70"/>
        <v>1.3043408460507111E-2</v>
      </c>
      <c r="AH31" s="274">
        <f t="shared" si="70"/>
        <v>1.3043408460507111E-2</v>
      </c>
      <c r="AI31" s="276">
        <f>(U30/K30)^(1/(10))-1</f>
        <v>1.3043408460507111E-2</v>
      </c>
      <c r="AJ31" s="99" t="s">
        <v>920</v>
      </c>
    </row>
    <row r="32" spans="2:36" ht="19" x14ac:dyDescent="0.2">
      <c r="B32" s="71"/>
      <c r="C32" s="35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115"/>
      <c r="AJ32" s="99"/>
    </row>
    <row r="34" spans="1:36" s="210" customFormat="1" x14ac:dyDescent="0.2"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</row>
    <row r="35" spans="1:36" s="210" customFormat="1" ht="20" x14ac:dyDescent="0.2">
      <c r="B35" s="11" t="s">
        <v>762</v>
      </c>
      <c r="C35" s="35" t="s">
        <v>43</v>
      </c>
      <c r="D35" s="59">
        <f t="shared" ref="D35:AH35" si="71">D18</f>
        <v>4749</v>
      </c>
      <c r="E35" s="59">
        <f t="shared" si="71"/>
        <v>4727</v>
      </c>
      <c r="F35" s="59">
        <f t="shared" si="71"/>
        <v>4732</v>
      </c>
      <c r="G35" s="59">
        <f t="shared" si="71"/>
        <v>4760</v>
      </c>
      <c r="H35" s="59">
        <f t="shared" si="71"/>
        <v>4791</v>
      </c>
      <c r="I35" s="59">
        <f t="shared" si="71"/>
        <v>4816</v>
      </c>
      <c r="J35" s="59">
        <f t="shared" si="71"/>
        <v>4843</v>
      </c>
      <c r="K35" s="59">
        <f t="shared" si="71"/>
        <v>4865</v>
      </c>
      <c r="L35" s="59">
        <f t="shared" si="71"/>
        <v>4894</v>
      </c>
      <c r="M35" s="59">
        <f t="shared" si="71"/>
        <v>4924</v>
      </c>
      <c r="N35" s="59">
        <f t="shared" si="71"/>
        <v>4959</v>
      </c>
      <c r="O35" s="59">
        <f t="shared" si="71"/>
        <v>5023</v>
      </c>
      <c r="P35" s="59">
        <f t="shared" si="71"/>
        <v>5091</v>
      </c>
      <c r="Q35" s="59">
        <f t="shared" si="71"/>
        <v>5156</v>
      </c>
      <c r="R35" s="59">
        <f t="shared" si="71"/>
        <v>5223</v>
      </c>
      <c r="S35" s="59">
        <f t="shared" si="71"/>
        <v>5293</v>
      </c>
      <c r="T35" s="59">
        <f t="shared" si="71"/>
        <v>5368</v>
      </c>
      <c r="U35" s="59">
        <f t="shared" si="71"/>
        <v>5450</v>
      </c>
      <c r="V35" s="65">
        <f t="shared" si="71"/>
        <v>5512.2368241299873</v>
      </c>
      <c r="W35" s="65">
        <f t="shared" si="71"/>
        <v>5575.1843679439717</v>
      </c>
      <c r="X35" s="65">
        <f t="shared" si="71"/>
        <v>5638.8507475769957</v>
      </c>
      <c r="Y35" s="65">
        <f t="shared" si="71"/>
        <v>5703.2441718471237</v>
      </c>
      <c r="Z35" s="65">
        <f t="shared" si="71"/>
        <v>5768.3729433138433</v>
      </c>
      <c r="AA35" s="65">
        <f t="shared" si="71"/>
        <v>5834.2454593485591</v>
      </c>
      <c r="AB35" s="65">
        <f t="shared" si="71"/>
        <v>5900.870213217303</v>
      </c>
      <c r="AC35" s="65">
        <f t="shared" si="71"/>
        <v>5968.2557951758135</v>
      </c>
      <c r="AD35" s="65">
        <f t="shared" si="71"/>
        <v>6036.4108935771228</v>
      </c>
      <c r="AE35" s="65">
        <f t="shared" si="71"/>
        <v>6105.3442959917829</v>
      </c>
      <c r="AF35" s="65">
        <f t="shared" si="71"/>
        <v>6175.0648903408946</v>
      </c>
      <c r="AG35" s="65">
        <f t="shared" si="71"/>
        <v>6245.5816660420696</v>
      </c>
      <c r="AH35" s="65">
        <f t="shared" si="71"/>
        <v>6316.9037151684788</v>
      </c>
    </row>
    <row r="36" spans="1:36" s="210" customFormat="1" x14ac:dyDescent="0.2"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</row>
    <row r="37" spans="1:36" s="210" customFormat="1" x14ac:dyDescent="0.2"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</row>
    <row r="38" spans="1:36" s="210" customFormat="1" x14ac:dyDescent="0.2"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</row>
    <row r="39" spans="1:36" ht="19" x14ac:dyDescent="0.2">
      <c r="A39" s="60" t="s">
        <v>35</v>
      </c>
      <c r="B39" s="38"/>
    </row>
    <row r="40" spans="1:36" ht="19" x14ac:dyDescent="0.25">
      <c r="A40" s="49" t="s">
        <v>137</v>
      </c>
      <c r="B40" s="50"/>
      <c r="D40" s="51"/>
      <c r="E40" s="51"/>
      <c r="F40" s="51"/>
      <c r="G40" s="51"/>
      <c r="H40" s="51"/>
      <c r="I40" s="51"/>
      <c r="J40" s="51"/>
      <c r="AI40" s="3"/>
      <c r="AJ40" s="3"/>
    </row>
    <row r="41" spans="1:36" x14ac:dyDescent="0.2">
      <c r="B41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EB82-7F39-AB47-9346-6E32E2C4AFC4}">
  <sheetPr codeName="Sheet14"/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4.83203125" style="42" customWidth="1"/>
    <col min="2" max="16384" width="10.83203125" style="42"/>
  </cols>
  <sheetData>
    <row r="1" spans="1:2" ht="21" x14ac:dyDescent="0.2">
      <c r="A1" s="12" t="s">
        <v>74</v>
      </c>
      <c r="B1" s="122" t="s">
        <v>540</v>
      </c>
    </row>
    <row r="3" spans="1:2" ht="19" x14ac:dyDescent="0.25">
      <c r="B3" s="3" t="s">
        <v>624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CC3-6DAA-C442-86C0-A2FB2138E2E4}">
  <dimension ref="A1:AH107"/>
  <sheetViews>
    <sheetView workbookViewId="0"/>
  </sheetViews>
  <sheetFormatPr baseColWidth="10" defaultRowHeight="19" x14ac:dyDescent="0.2"/>
  <cols>
    <col min="1" max="1" width="4.83203125" style="210" customWidth="1"/>
    <col min="2" max="4" width="12.83203125" style="210" customWidth="1"/>
    <col min="5" max="5" width="4.83203125" style="210" customWidth="1"/>
    <col min="6" max="7" width="10.83203125" style="210"/>
    <col min="8" max="11" width="12.83203125" style="210" customWidth="1"/>
    <col min="12" max="12" width="4.83203125" style="210" customWidth="1"/>
    <col min="13" max="20" width="12.83203125" style="210" customWidth="1"/>
    <col min="21" max="21" width="33.83203125" style="210" customWidth="1"/>
    <col min="22" max="22" width="4.83203125" style="210" customWidth="1"/>
    <col min="23" max="23" width="18.83203125" style="210" customWidth="1"/>
    <col min="24" max="24" width="18.33203125" style="210" customWidth="1"/>
    <col min="25" max="25" width="10.83203125" style="210"/>
    <col min="26" max="26" width="4.83203125" style="210" customWidth="1"/>
    <col min="27" max="27" width="10.83203125" style="54"/>
    <col min="28" max="30" width="10.83203125" style="52"/>
    <col min="31" max="16384" width="10.83203125" style="210"/>
  </cols>
  <sheetData>
    <row r="1" spans="1:34" ht="21" x14ac:dyDescent="0.2">
      <c r="A1" s="12" t="s">
        <v>74</v>
      </c>
      <c r="B1" s="12" t="s">
        <v>1003</v>
      </c>
    </row>
    <row r="2" spans="1:34" ht="21" x14ac:dyDescent="0.2">
      <c r="A2" s="12"/>
    </row>
    <row r="3" spans="1:34" ht="21" x14ac:dyDescent="0.2">
      <c r="B3" s="12" t="s">
        <v>943</v>
      </c>
      <c r="E3" s="12"/>
      <c r="F3" s="12" t="s">
        <v>944</v>
      </c>
      <c r="M3" s="12" t="s">
        <v>979</v>
      </c>
      <c r="N3" s="60"/>
      <c r="O3" s="60"/>
      <c r="P3" s="60"/>
      <c r="Q3" s="60"/>
      <c r="W3" s="12" t="s">
        <v>980</v>
      </c>
      <c r="X3" s="12"/>
      <c r="AA3" s="12" t="s">
        <v>945</v>
      </c>
    </row>
    <row r="4" spans="1:34" ht="60" x14ac:dyDescent="0.2">
      <c r="B4" s="10" t="s">
        <v>29</v>
      </c>
      <c r="C4" s="10" t="s">
        <v>29</v>
      </c>
      <c r="D4" s="10" t="s">
        <v>806</v>
      </c>
      <c r="F4" s="10" t="s">
        <v>29</v>
      </c>
      <c r="G4" s="10" t="s">
        <v>29</v>
      </c>
      <c r="H4" s="10" t="s">
        <v>946</v>
      </c>
      <c r="I4" s="10" t="s">
        <v>947</v>
      </c>
      <c r="J4" s="10" t="s">
        <v>948</v>
      </c>
      <c r="K4" s="10" t="s">
        <v>949</v>
      </c>
      <c r="M4" s="13" t="s">
        <v>29</v>
      </c>
      <c r="N4" s="13" t="s">
        <v>939</v>
      </c>
      <c r="O4" s="13" t="s">
        <v>940</v>
      </c>
      <c r="P4" s="13" t="s">
        <v>802</v>
      </c>
      <c r="Q4" s="13" t="s">
        <v>801</v>
      </c>
      <c r="R4" s="13" t="s">
        <v>981</v>
      </c>
      <c r="S4" s="13" t="s">
        <v>805</v>
      </c>
      <c r="T4" s="13" t="s">
        <v>804</v>
      </c>
      <c r="U4" s="13" t="s">
        <v>30</v>
      </c>
      <c r="W4" s="13" t="s">
        <v>982</v>
      </c>
      <c r="X4" s="13" t="s">
        <v>983</v>
      </c>
      <c r="Y4" s="13" t="s">
        <v>941</v>
      </c>
      <c r="AA4" s="13" t="s">
        <v>630</v>
      </c>
      <c r="AB4" s="13" t="s">
        <v>984</v>
      </c>
      <c r="AC4" s="13" t="s">
        <v>630</v>
      </c>
      <c r="AD4" s="13" t="s">
        <v>984</v>
      </c>
      <c r="AE4" s="13" t="s">
        <v>630</v>
      </c>
      <c r="AF4" s="13" t="s">
        <v>984</v>
      </c>
      <c r="AG4" s="13" t="s">
        <v>630</v>
      </c>
      <c r="AH4" s="13" t="s">
        <v>984</v>
      </c>
    </row>
    <row r="5" spans="1:34" ht="20" x14ac:dyDescent="0.2">
      <c r="B5" s="10" t="s">
        <v>950</v>
      </c>
      <c r="C5" s="10" t="s">
        <v>49</v>
      </c>
      <c r="D5" s="10" t="s">
        <v>951</v>
      </c>
      <c r="F5" s="10" t="s">
        <v>950</v>
      </c>
      <c r="G5" s="10" t="s">
        <v>49</v>
      </c>
      <c r="H5" s="10" t="s">
        <v>952</v>
      </c>
      <c r="I5" s="10" t="s">
        <v>952</v>
      </c>
      <c r="J5" s="10" t="s">
        <v>19</v>
      </c>
      <c r="K5" s="10" t="s">
        <v>19</v>
      </c>
      <c r="M5" s="10" t="s">
        <v>49</v>
      </c>
      <c r="N5" s="10" t="s">
        <v>50</v>
      </c>
      <c r="O5" s="10" t="s">
        <v>50</v>
      </c>
      <c r="P5" s="10" t="s">
        <v>803</v>
      </c>
      <c r="Q5" s="10" t="s">
        <v>803</v>
      </c>
      <c r="R5" s="10" t="s">
        <v>803</v>
      </c>
      <c r="S5" s="10" t="s">
        <v>19</v>
      </c>
      <c r="T5" s="10" t="s">
        <v>19</v>
      </c>
      <c r="U5" s="10"/>
      <c r="W5" s="10"/>
      <c r="X5" s="10"/>
      <c r="Y5" s="10"/>
    </row>
    <row r="6" spans="1:34" ht="20" x14ac:dyDescent="0.2">
      <c r="B6" s="219">
        <v>63000</v>
      </c>
      <c r="C6" s="219">
        <f t="shared" ref="C6:C23" si="0">B6/1000</f>
        <v>63</v>
      </c>
      <c r="D6" s="220">
        <v>0.38</v>
      </c>
      <c r="F6" s="219">
        <v>63000</v>
      </c>
      <c r="G6" s="219">
        <f t="shared" ref="G6:G23" si="1">F6/1000</f>
        <v>63</v>
      </c>
      <c r="H6" s="221">
        <v>400</v>
      </c>
      <c r="I6" s="221">
        <v>366</v>
      </c>
      <c r="J6" s="221">
        <f>$F6*$F6/H6/10^6</f>
        <v>9.9224999999999994</v>
      </c>
      <c r="K6" s="221">
        <f>$F6*$F6/I6/10^6</f>
        <v>10.844262295081968</v>
      </c>
      <c r="M6" s="232">
        <v>69</v>
      </c>
      <c r="N6" s="219">
        <v>500</v>
      </c>
      <c r="O6" s="219">
        <f>N6*$W$6</f>
        <v>650</v>
      </c>
      <c r="P6" s="219">
        <f t="shared" ref="P6:P17" si="2">(SQRT(3)*N6*M6)/1000</f>
        <v>59.755752861126261</v>
      </c>
      <c r="Q6" s="219">
        <f t="shared" ref="Q6:Q17" si="3">(SQRT(3)*O6*$M6)/1000</f>
        <v>77.682478719464143</v>
      </c>
      <c r="R6" s="233"/>
      <c r="S6" s="219">
        <f>P6*$Y$6</f>
        <v>53.780177575013639</v>
      </c>
      <c r="T6" s="219">
        <f>Q6*$Y$6</f>
        <v>69.914230847517729</v>
      </c>
      <c r="U6" s="11" t="s">
        <v>985</v>
      </c>
      <c r="W6" s="94">
        <v>1.3</v>
      </c>
      <c r="X6" s="94">
        <v>1.2</v>
      </c>
      <c r="Y6" s="94">
        <v>0.9</v>
      </c>
      <c r="AA6" s="10">
        <v>1980</v>
      </c>
      <c r="AB6" s="234">
        <v>44.033333333333331</v>
      </c>
      <c r="AC6" s="10">
        <v>1990</v>
      </c>
      <c r="AD6" s="234">
        <v>78.358333333333334</v>
      </c>
      <c r="AE6" s="10">
        <v>2000</v>
      </c>
      <c r="AF6" s="234">
        <v>95.375</v>
      </c>
      <c r="AG6" s="10">
        <v>2010</v>
      </c>
      <c r="AH6" s="234">
        <v>116.46666666666668</v>
      </c>
    </row>
    <row r="7" spans="1:34" x14ac:dyDescent="0.2">
      <c r="B7" s="219">
        <v>66000</v>
      </c>
      <c r="C7" s="219">
        <f t="shared" si="0"/>
        <v>66</v>
      </c>
      <c r="D7" s="220">
        <f>(D$14-D$6)*(C7-C$6)/(C$14-C$6)+D$6</f>
        <v>0.38214285714285717</v>
      </c>
      <c r="F7" s="219">
        <v>66000</v>
      </c>
      <c r="G7" s="219">
        <f t="shared" si="1"/>
        <v>66</v>
      </c>
      <c r="H7" s="221">
        <v>400</v>
      </c>
      <c r="I7" s="221">
        <v>366</v>
      </c>
      <c r="J7" s="221">
        <f>$F7*$F7/H7/10^6</f>
        <v>10.89</v>
      </c>
      <c r="K7" s="221">
        <f>$F7*$F7/I7/10^6</f>
        <v>11.901639344262295</v>
      </c>
      <c r="M7" s="219">
        <v>115</v>
      </c>
      <c r="N7" s="219">
        <v>600</v>
      </c>
      <c r="O7" s="219">
        <f t="shared" ref="O7:O17" si="4">N7*$W$6</f>
        <v>780</v>
      </c>
      <c r="P7" s="219">
        <f t="shared" si="2"/>
        <v>119.51150572225254</v>
      </c>
      <c r="Q7" s="219">
        <f t="shared" si="3"/>
        <v>155.36495743892829</v>
      </c>
      <c r="R7" s="233">
        <v>125</v>
      </c>
      <c r="S7" s="219">
        <f t="shared" ref="S7:T17" si="5">P7*$Y$6</f>
        <v>107.56035515002729</v>
      </c>
      <c r="T7" s="219">
        <f t="shared" si="5"/>
        <v>139.82846169503546</v>
      </c>
      <c r="U7" s="11"/>
      <c r="AA7" s="10">
        <v>1981</v>
      </c>
      <c r="AB7" s="234">
        <v>49.524999999999999</v>
      </c>
      <c r="AC7" s="10">
        <v>1991</v>
      </c>
      <c r="AD7" s="234">
        <v>82.766666666666666</v>
      </c>
      <c r="AE7" s="10">
        <v>2001</v>
      </c>
      <c r="AF7" s="234">
        <v>97.783333333333346</v>
      </c>
      <c r="AG7" s="10">
        <v>2011</v>
      </c>
      <c r="AH7" s="234">
        <v>119.85833333333333</v>
      </c>
    </row>
    <row r="8" spans="1:34" x14ac:dyDescent="0.2">
      <c r="B8" s="219">
        <v>69000</v>
      </c>
      <c r="C8" s="219">
        <f t="shared" si="0"/>
        <v>69</v>
      </c>
      <c r="D8" s="220">
        <f t="shared" ref="D8:D13" si="6">(D$14-D$6)*(C8-C$6)/(C$14-C$6)+D$6</f>
        <v>0.38428571428571429</v>
      </c>
      <c r="F8" s="222">
        <v>69000</v>
      </c>
      <c r="G8" s="222">
        <f t="shared" si="1"/>
        <v>69</v>
      </c>
      <c r="H8" s="222">
        <v>400</v>
      </c>
      <c r="I8" s="222">
        <v>366</v>
      </c>
      <c r="J8" s="222">
        <v>12</v>
      </c>
      <c r="K8" s="222">
        <v>13</v>
      </c>
      <c r="M8" s="219">
        <v>120</v>
      </c>
      <c r="N8" s="219">
        <v>610</v>
      </c>
      <c r="O8" s="219">
        <f t="shared" si="4"/>
        <v>793</v>
      </c>
      <c r="P8" s="219">
        <f t="shared" si="2"/>
        <v>126.78611911404181</v>
      </c>
      <c r="Q8" s="219">
        <f t="shared" si="3"/>
        <v>164.82195484825436</v>
      </c>
      <c r="R8" s="233"/>
      <c r="S8" s="219">
        <f t="shared" si="5"/>
        <v>114.10750720263763</v>
      </c>
      <c r="T8" s="219">
        <f t="shared" si="5"/>
        <v>148.33975936342893</v>
      </c>
      <c r="U8" s="11"/>
      <c r="AA8" s="10">
        <v>1982</v>
      </c>
      <c r="AB8" s="234">
        <v>54.858333333333341</v>
      </c>
      <c r="AC8" s="10">
        <v>1992</v>
      </c>
      <c r="AD8" s="234">
        <v>84.000000000000014</v>
      </c>
      <c r="AE8" s="10">
        <v>2002</v>
      </c>
      <c r="AF8" s="234">
        <v>99.991666666666674</v>
      </c>
      <c r="AG8" s="10">
        <v>2012</v>
      </c>
      <c r="AH8" s="234">
        <v>121.67500000000001</v>
      </c>
    </row>
    <row r="9" spans="1:34" x14ac:dyDescent="0.2">
      <c r="B9" s="219">
        <v>72000</v>
      </c>
      <c r="C9" s="219">
        <f t="shared" si="0"/>
        <v>72</v>
      </c>
      <c r="D9" s="220">
        <f t="shared" si="6"/>
        <v>0.38642857142857145</v>
      </c>
      <c r="F9" s="219">
        <v>72000</v>
      </c>
      <c r="G9" s="219">
        <f t="shared" si="1"/>
        <v>72</v>
      </c>
      <c r="H9" s="221">
        <v>400</v>
      </c>
      <c r="I9" s="221">
        <v>366</v>
      </c>
      <c r="J9" s="221">
        <f t="shared" ref="J9:K11" si="7">$F9*$F9/H9/10^6</f>
        <v>12.96</v>
      </c>
      <c r="K9" s="221">
        <f t="shared" si="7"/>
        <v>14.163934426229508</v>
      </c>
      <c r="M9" s="219">
        <v>138</v>
      </c>
      <c r="N9" s="219">
        <v>650</v>
      </c>
      <c r="O9" s="219">
        <f t="shared" si="4"/>
        <v>845</v>
      </c>
      <c r="P9" s="219">
        <f t="shared" si="2"/>
        <v>155.36495743892829</v>
      </c>
      <c r="Q9" s="219">
        <f t="shared" si="3"/>
        <v>201.97444467060674</v>
      </c>
      <c r="R9" s="233">
        <v>150</v>
      </c>
      <c r="S9" s="219">
        <f t="shared" si="5"/>
        <v>139.82846169503546</v>
      </c>
      <c r="T9" s="219">
        <f t="shared" si="5"/>
        <v>181.77700020354607</v>
      </c>
      <c r="U9" s="11"/>
      <c r="AA9" s="10">
        <v>1983</v>
      </c>
      <c r="AB9" s="234">
        <v>58.07500000000001</v>
      </c>
      <c r="AC9" s="10">
        <v>1993</v>
      </c>
      <c r="AD9" s="234">
        <v>85.566666666666663</v>
      </c>
      <c r="AE9" s="10">
        <v>2003</v>
      </c>
      <c r="AF9" s="234">
        <v>102.75</v>
      </c>
      <c r="AG9" s="10">
        <v>2013</v>
      </c>
      <c r="AH9" s="234">
        <v>122.81666666666666</v>
      </c>
    </row>
    <row r="10" spans="1:34" x14ac:dyDescent="0.2">
      <c r="B10" s="219">
        <v>115000</v>
      </c>
      <c r="C10" s="219">
        <f t="shared" si="0"/>
        <v>115</v>
      </c>
      <c r="D10" s="220">
        <f t="shared" si="6"/>
        <v>0.41714285714285715</v>
      </c>
      <c r="F10" s="219">
        <v>115000</v>
      </c>
      <c r="G10" s="219">
        <f t="shared" si="1"/>
        <v>115</v>
      </c>
      <c r="H10" s="221">
        <v>403</v>
      </c>
      <c r="I10" s="221">
        <v>366</v>
      </c>
      <c r="J10" s="221">
        <f t="shared" si="7"/>
        <v>32.816377171215883</v>
      </c>
      <c r="K10" s="221">
        <f t="shared" si="7"/>
        <v>36.133879781420767</v>
      </c>
      <c r="M10" s="219">
        <v>161</v>
      </c>
      <c r="N10" s="219">
        <v>700</v>
      </c>
      <c r="O10" s="219">
        <f t="shared" si="4"/>
        <v>910</v>
      </c>
      <c r="P10" s="219">
        <f t="shared" si="2"/>
        <v>195.20212601301245</v>
      </c>
      <c r="Q10" s="219">
        <f t="shared" si="3"/>
        <v>253.76276381691622</v>
      </c>
      <c r="R10" s="233"/>
      <c r="S10" s="219">
        <f t="shared" si="5"/>
        <v>175.68191341171121</v>
      </c>
      <c r="T10" s="219">
        <f t="shared" si="5"/>
        <v>228.38648743522461</v>
      </c>
      <c r="U10" s="11"/>
      <c r="AA10" s="10">
        <v>1984</v>
      </c>
      <c r="AB10" s="234">
        <v>60.574999999999996</v>
      </c>
      <c r="AC10" s="10">
        <v>1994</v>
      </c>
      <c r="AD10" s="234">
        <v>85.708333333333329</v>
      </c>
      <c r="AE10" s="10">
        <v>2004</v>
      </c>
      <c r="AF10" s="234">
        <v>104.65833333333335</v>
      </c>
      <c r="AG10" s="10">
        <v>2014</v>
      </c>
      <c r="AH10" s="234">
        <v>125.15833333333336</v>
      </c>
    </row>
    <row r="11" spans="1:34" x14ac:dyDescent="0.2">
      <c r="B11" s="219">
        <v>120000</v>
      </c>
      <c r="C11" s="219">
        <f t="shared" si="0"/>
        <v>120</v>
      </c>
      <c r="D11" s="220">
        <f t="shared" si="6"/>
        <v>0.42071428571428571</v>
      </c>
      <c r="F11" s="219">
        <v>120000</v>
      </c>
      <c r="G11" s="219">
        <f t="shared" si="1"/>
        <v>120</v>
      </c>
      <c r="H11" s="221">
        <v>403</v>
      </c>
      <c r="I11" s="221">
        <v>366</v>
      </c>
      <c r="J11" s="221">
        <f t="shared" si="7"/>
        <v>35.732009925558316</v>
      </c>
      <c r="K11" s="221">
        <f t="shared" si="7"/>
        <v>39.344262295081968</v>
      </c>
      <c r="M11" s="219">
        <v>230</v>
      </c>
      <c r="N11" s="219">
        <v>1000</v>
      </c>
      <c r="O11" s="219">
        <f t="shared" si="4"/>
        <v>1300</v>
      </c>
      <c r="P11" s="219">
        <f t="shared" si="2"/>
        <v>398.37168574084171</v>
      </c>
      <c r="Q11" s="219">
        <f t="shared" si="3"/>
        <v>517.88319146309425</v>
      </c>
      <c r="R11" s="233">
        <v>400</v>
      </c>
      <c r="S11" s="219">
        <f t="shared" si="5"/>
        <v>358.53451716675755</v>
      </c>
      <c r="T11" s="219">
        <f t="shared" si="5"/>
        <v>466.09487231678486</v>
      </c>
      <c r="U11" s="11"/>
      <c r="AA11" s="10">
        <v>1985</v>
      </c>
      <c r="AB11" s="234">
        <v>62.975000000000001</v>
      </c>
      <c r="AC11" s="10">
        <v>1995</v>
      </c>
      <c r="AD11" s="234">
        <v>87.550000000000011</v>
      </c>
      <c r="AE11" s="10">
        <v>2005</v>
      </c>
      <c r="AF11" s="234">
        <v>106.97500000000001</v>
      </c>
      <c r="AG11" s="10">
        <v>2015</v>
      </c>
      <c r="AH11" s="234">
        <v>126.6</v>
      </c>
    </row>
    <row r="12" spans="1:34" x14ac:dyDescent="0.2">
      <c r="B12" s="219">
        <v>138000</v>
      </c>
      <c r="C12" s="219">
        <f t="shared" si="0"/>
        <v>138</v>
      </c>
      <c r="D12" s="220">
        <f t="shared" si="6"/>
        <v>0.43357142857142861</v>
      </c>
      <c r="F12" s="222">
        <v>138000</v>
      </c>
      <c r="G12" s="222">
        <f t="shared" si="1"/>
        <v>138</v>
      </c>
      <c r="H12" s="222">
        <v>405</v>
      </c>
      <c r="I12" s="222">
        <v>366</v>
      </c>
      <c r="J12" s="222">
        <v>47</v>
      </c>
      <c r="K12" s="222">
        <v>52</v>
      </c>
      <c r="M12" s="219">
        <v>240</v>
      </c>
      <c r="N12" s="219">
        <v>1025</v>
      </c>
      <c r="O12" s="219">
        <f t="shared" si="4"/>
        <v>1332.5</v>
      </c>
      <c r="P12" s="219">
        <f t="shared" si="2"/>
        <v>426.08449866194377</v>
      </c>
      <c r="Q12" s="219">
        <f t="shared" si="3"/>
        <v>553.90984826052693</v>
      </c>
      <c r="R12" s="233"/>
      <c r="S12" s="219">
        <f t="shared" si="5"/>
        <v>383.47604879574942</v>
      </c>
      <c r="T12" s="219">
        <f t="shared" si="5"/>
        <v>498.51886343447427</v>
      </c>
      <c r="U12" s="11"/>
      <c r="AA12" s="10">
        <v>1986</v>
      </c>
      <c r="AB12" s="234">
        <v>65.61666666666666</v>
      </c>
      <c r="AC12" s="10">
        <v>1996</v>
      </c>
      <c r="AD12" s="234">
        <v>88.924999999999997</v>
      </c>
      <c r="AE12" s="10">
        <v>2006</v>
      </c>
      <c r="AF12" s="234">
        <v>109.11666666666667</v>
      </c>
      <c r="AG12" s="10">
        <v>2016</v>
      </c>
      <c r="AH12" s="234">
        <v>128.37499999999997</v>
      </c>
    </row>
    <row r="13" spans="1:34" x14ac:dyDescent="0.2">
      <c r="B13" s="219">
        <v>144000</v>
      </c>
      <c r="C13" s="219">
        <f t="shared" si="0"/>
        <v>144</v>
      </c>
      <c r="D13" s="220">
        <f t="shared" si="6"/>
        <v>0.43785714285714289</v>
      </c>
      <c r="F13" s="219">
        <v>144000</v>
      </c>
      <c r="G13" s="219">
        <f t="shared" si="1"/>
        <v>144</v>
      </c>
      <c r="H13" s="221">
        <v>405</v>
      </c>
      <c r="I13" s="221">
        <v>366</v>
      </c>
      <c r="J13" s="221">
        <f>$F13*$F13/H13/10^6</f>
        <v>51.2</v>
      </c>
      <c r="K13" s="221">
        <f>$F13*$F13/I13/10^6</f>
        <v>56.655737704918032</v>
      </c>
      <c r="M13" s="219">
        <v>315</v>
      </c>
      <c r="N13" s="219">
        <v>1150</v>
      </c>
      <c r="O13" s="219">
        <f t="shared" si="4"/>
        <v>1495</v>
      </c>
      <c r="P13" s="219">
        <f t="shared" si="2"/>
        <v>627.43540504182567</v>
      </c>
      <c r="Q13" s="219">
        <f t="shared" si="3"/>
        <v>815.6660265543735</v>
      </c>
      <c r="R13" s="233"/>
      <c r="S13" s="219">
        <f t="shared" si="5"/>
        <v>564.69186453764314</v>
      </c>
      <c r="T13" s="219">
        <f t="shared" si="5"/>
        <v>734.09942389893615</v>
      </c>
      <c r="U13" s="11"/>
      <c r="AA13" s="10">
        <v>1987</v>
      </c>
      <c r="AB13" s="234">
        <v>68.475000000000009</v>
      </c>
      <c r="AC13" s="10">
        <v>1997</v>
      </c>
      <c r="AD13" s="234">
        <v>90.366666666666674</v>
      </c>
      <c r="AE13" s="10">
        <v>2007</v>
      </c>
      <c r="AF13" s="234">
        <v>111.45</v>
      </c>
      <c r="AG13" s="10">
        <v>2017</v>
      </c>
      <c r="AH13" s="234">
        <v>130.42499999999998</v>
      </c>
    </row>
    <row r="14" spans="1:34" x14ac:dyDescent="0.2">
      <c r="B14" s="219">
        <v>161000</v>
      </c>
      <c r="C14" s="219">
        <f t="shared" si="0"/>
        <v>161</v>
      </c>
      <c r="D14" s="220">
        <v>0.45</v>
      </c>
      <c r="F14" s="219">
        <v>161000</v>
      </c>
      <c r="G14" s="219">
        <f t="shared" si="1"/>
        <v>161</v>
      </c>
      <c r="H14" s="221">
        <v>403</v>
      </c>
      <c r="I14" s="221">
        <v>366</v>
      </c>
      <c r="J14" s="221">
        <f>$F14*$F14/H14/10^6</f>
        <v>64.320099255583131</v>
      </c>
      <c r="K14" s="221">
        <f>$F14*$F14/I14/10^6</f>
        <v>70.822404371584696</v>
      </c>
      <c r="M14" s="219">
        <v>345</v>
      </c>
      <c r="N14" s="219">
        <v>1300</v>
      </c>
      <c r="O14" s="219">
        <f t="shared" si="4"/>
        <v>1690</v>
      </c>
      <c r="P14" s="219">
        <f t="shared" si="2"/>
        <v>776.82478719464143</v>
      </c>
      <c r="Q14" s="219">
        <f t="shared" si="3"/>
        <v>1009.8722233530337</v>
      </c>
      <c r="R14" s="233">
        <v>800</v>
      </c>
      <c r="S14" s="219">
        <f t="shared" si="5"/>
        <v>699.14230847517729</v>
      </c>
      <c r="T14" s="219">
        <f t="shared" si="5"/>
        <v>908.88500101773036</v>
      </c>
      <c r="U14" s="11"/>
      <c r="AA14" s="10">
        <v>1988</v>
      </c>
      <c r="AB14" s="234">
        <v>71.233333333333334</v>
      </c>
      <c r="AC14" s="10">
        <v>1998</v>
      </c>
      <c r="AD14" s="234">
        <v>91.266666666666666</v>
      </c>
      <c r="AE14" s="10">
        <v>2008</v>
      </c>
      <c r="AF14" s="234">
        <v>114.09166666666665</v>
      </c>
      <c r="AG14" s="10">
        <v>2018</v>
      </c>
      <c r="AH14" s="234">
        <v>133.38333333333335</v>
      </c>
    </row>
    <row r="15" spans="1:34" x14ac:dyDescent="0.2">
      <c r="B15" s="219">
        <v>230000</v>
      </c>
      <c r="C15" s="219">
        <f t="shared" si="0"/>
        <v>230</v>
      </c>
      <c r="D15" s="220">
        <v>0.48</v>
      </c>
      <c r="F15" s="222">
        <v>230000</v>
      </c>
      <c r="G15" s="222">
        <f t="shared" si="1"/>
        <v>230</v>
      </c>
      <c r="H15" s="222">
        <v>395</v>
      </c>
      <c r="I15" s="222">
        <v>365</v>
      </c>
      <c r="J15" s="222">
        <v>134</v>
      </c>
      <c r="K15" s="222">
        <v>145</v>
      </c>
      <c r="M15" s="219">
        <v>500</v>
      </c>
      <c r="N15" s="219">
        <v>1800</v>
      </c>
      <c r="O15" s="219">
        <f t="shared" si="4"/>
        <v>2340</v>
      </c>
      <c r="P15" s="219">
        <f t="shared" si="2"/>
        <v>1558.8457268119894</v>
      </c>
      <c r="Q15" s="219">
        <f t="shared" si="3"/>
        <v>2026.4994448555863</v>
      </c>
      <c r="R15" s="233">
        <v>1600</v>
      </c>
      <c r="S15" s="219">
        <f t="shared" si="5"/>
        <v>1402.9611541307904</v>
      </c>
      <c r="T15" s="219">
        <f t="shared" si="5"/>
        <v>1823.8495003700277</v>
      </c>
      <c r="U15" s="11"/>
      <c r="AA15" s="10">
        <v>1989</v>
      </c>
      <c r="AB15" s="234">
        <v>74.783333333333331</v>
      </c>
      <c r="AC15" s="10">
        <v>1999</v>
      </c>
      <c r="AD15" s="234">
        <v>92.850000000000009</v>
      </c>
      <c r="AE15" s="10">
        <v>2009</v>
      </c>
      <c r="AF15" s="234">
        <v>114.43333333333334</v>
      </c>
      <c r="AG15" s="10">
        <v>2019</v>
      </c>
      <c r="AH15" s="234">
        <v>136</v>
      </c>
    </row>
    <row r="16" spans="1:34" x14ac:dyDescent="0.2">
      <c r="B16" s="219">
        <v>240000</v>
      </c>
      <c r="C16" s="219">
        <f t="shared" si="0"/>
        <v>240</v>
      </c>
      <c r="D16" s="220">
        <f>(D$21-D$15)*(C16-C$15)/(C$21-C$15)+D$15</f>
        <v>0.47685185185185186</v>
      </c>
      <c r="F16" s="219">
        <v>240000</v>
      </c>
      <c r="G16" s="219">
        <f t="shared" si="1"/>
        <v>240</v>
      </c>
      <c r="H16" s="221">
        <v>394</v>
      </c>
      <c r="I16" s="221">
        <v>363</v>
      </c>
      <c r="J16" s="221">
        <f t="shared" ref="J16:K18" si="8">$F16*$F16/H16/10^6</f>
        <v>146.19289340101523</v>
      </c>
      <c r="K16" s="221">
        <f t="shared" si="8"/>
        <v>158.67768595041323</v>
      </c>
      <c r="M16" s="219">
        <v>735</v>
      </c>
      <c r="N16" s="219">
        <v>2500</v>
      </c>
      <c r="O16" s="219">
        <f t="shared" si="4"/>
        <v>3250</v>
      </c>
      <c r="P16" s="219">
        <f t="shared" si="2"/>
        <v>3182.6433589078119</v>
      </c>
      <c r="Q16" s="219">
        <f t="shared" si="3"/>
        <v>4137.4363665801557</v>
      </c>
      <c r="R16" s="233">
        <v>3200</v>
      </c>
      <c r="S16" s="219">
        <f t="shared" si="5"/>
        <v>2864.3790230170307</v>
      </c>
      <c r="T16" s="219">
        <f t="shared" si="5"/>
        <v>3723.6927299221402</v>
      </c>
      <c r="U16" s="11"/>
    </row>
    <row r="17" spans="1:30" x14ac:dyDescent="0.2">
      <c r="B17" s="219">
        <v>287000</v>
      </c>
      <c r="C17" s="219">
        <f t="shared" si="0"/>
        <v>287</v>
      </c>
      <c r="D17" s="220">
        <f t="shared" ref="D17:D20" si="9">(D$21-D$15)*(C17-C$15)/(C$21-C$15)+D$15</f>
        <v>0.46205555555555555</v>
      </c>
      <c r="F17" s="219">
        <v>287000</v>
      </c>
      <c r="G17" s="219">
        <f t="shared" si="1"/>
        <v>287</v>
      </c>
      <c r="H17" s="221">
        <v>385</v>
      </c>
      <c r="I17" s="221">
        <v>340</v>
      </c>
      <c r="J17" s="221">
        <f t="shared" si="8"/>
        <v>213.94545454545454</v>
      </c>
      <c r="K17" s="221">
        <f t="shared" si="8"/>
        <v>242.26176470588234</v>
      </c>
      <c r="M17" s="219">
        <v>765</v>
      </c>
      <c r="N17" s="219">
        <v>2600</v>
      </c>
      <c r="O17" s="219">
        <f t="shared" si="4"/>
        <v>3380</v>
      </c>
      <c r="P17" s="219">
        <f t="shared" si="2"/>
        <v>3445.0490562544969</v>
      </c>
      <c r="Q17" s="219">
        <f t="shared" si="3"/>
        <v>4478.5637731308452</v>
      </c>
      <c r="R17" s="233"/>
      <c r="S17" s="219">
        <f t="shared" si="5"/>
        <v>3100.5441506290472</v>
      </c>
      <c r="T17" s="219">
        <f t="shared" si="5"/>
        <v>4030.7073958177607</v>
      </c>
      <c r="U17" s="11"/>
      <c r="AA17" s="60" t="s">
        <v>35</v>
      </c>
    </row>
    <row r="18" spans="1:30" x14ac:dyDescent="0.25">
      <c r="B18" s="219">
        <v>315000</v>
      </c>
      <c r="C18" s="219">
        <f t="shared" si="0"/>
        <v>315</v>
      </c>
      <c r="D18" s="220">
        <f t="shared" si="9"/>
        <v>0.45324074074074072</v>
      </c>
      <c r="F18" s="219">
        <v>315000</v>
      </c>
      <c r="G18" s="219">
        <f t="shared" si="1"/>
        <v>315</v>
      </c>
      <c r="H18" s="221">
        <v>375</v>
      </c>
      <c r="I18" s="221">
        <v>310</v>
      </c>
      <c r="J18" s="221">
        <f t="shared" si="8"/>
        <v>264.60000000000002</v>
      </c>
      <c r="K18" s="221">
        <f t="shared" si="8"/>
        <v>320.08064516129036</v>
      </c>
      <c r="M18" s="7"/>
      <c r="N18" s="7"/>
      <c r="O18" s="7"/>
      <c r="P18" s="7"/>
      <c r="Q18" s="7"/>
      <c r="R18" s="7"/>
      <c r="S18" s="7"/>
      <c r="T18" s="7"/>
      <c r="U18" s="7"/>
      <c r="X18" s="7"/>
      <c r="AA18" s="3" t="s">
        <v>986</v>
      </c>
    </row>
    <row r="19" spans="1:30" x14ac:dyDescent="0.2">
      <c r="B19" s="219">
        <v>345000</v>
      </c>
      <c r="C19" s="219">
        <f t="shared" si="0"/>
        <v>345</v>
      </c>
      <c r="D19" s="220">
        <f t="shared" si="9"/>
        <v>0.4437962962962963</v>
      </c>
      <c r="F19" s="222">
        <v>345000</v>
      </c>
      <c r="G19" s="222">
        <f t="shared" si="1"/>
        <v>345</v>
      </c>
      <c r="H19" s="222">
        <v>366</v>
      </c>
      <c r="I19" s="222">
        <v>280</v>
      </c>
      <c r="J19" s="222">
        <v>325</v>
      </c>
      <c r="K19" s="222">
        <v>425</v>
      </c>
      <c r="M19" s="60" t="s">
        <v>554</v>
      </c>
      <c r="N19" s="7"/>
      <c r="O19" s="7"/>
      <c r="P19" s="7"/>
      <c r="Q19" s="7"/>
      <c r="R19" s="7"/>
      <c r="S19" s="7"/>
      <c r="T19" s="7"/>
      <c r="U19" s="7"/>
      <c r="X19" s="7"/>
    </row>
    <row r="20" spans="1:30" x14ac:dyDescent="0.25">
      <c r="B20" s="219">
        <v>360000</v>
      </c>
      <c r="C20" s="219">
        <f t="shared" si="0"/>
        <v>360</v>
      </c>
      <c r="D20" s="220">
        <f t="shared" si="9"/>
        <v>0.43907407407407406</v>
      </c>
      <c r="F20" s="219">
        <v>360000</v>
      </c>
      <c r="G20" s="219">
        <f t="shared" si="1"/>
        <v>360</v>
      </c>
      <c r="H20" s="221">
        <v>360</v>
      </c>
      <c r="I20" s="221">
        <v>275</v>
      </c>
      <c r="J20" s="221">
        <f>$F20*$F20/H20/10^6</f>
        <v>360</v>
      </c>
      <c r="K20" s="221">
        <f>$F20*$F20/I20/10^6</f>
        <v>471.27272727272725</v>
      </c>
      <c r="M20" s="3" t="s">
        <v>987</v>
      </c>
    </row>
    <row r="21" spans="1:30" x14ac:dyDescent="0.25">
      <c r="B21" s="219">
        <v>500000</v>
      </c>
      <c r="C21" s="219">
        <f t="shared" si="0"/>
        <v>500</v>
      </c>
      <c r="D21" s="220">
        <v>0.39500000000000002</v>
      </c>
      <c r="F21" s="222">
        <v>500000</v>
      </c>
      <c r="G21" s="222">
        <f t="shared" si="1"/>
        <v>500</v>
      </c>
      <c r="H21" s="222">
        <v>294</v>
      </c>
      <c r="I21" s="222">
        <v>233</v>
      </c>
      <c r="J21" s="222">
        <v>850</v>
      </c>
      <c r="K21" s="222">
        <v>1075</v>
      </c>
      <c r="M21" s="3" t="s">
        <v>988</v>
      </c>
    </row>
    <row r="22" spans="1:30" x14ac:dyDescent="0.2">
      <c r="B22" s="219">
        <v>735000</v>
      </c>
      <c r="C22" s="219">
        <f t="shared" si="0"/>
        <v>735</v>
      </c>
      <c r="D22" s="220">
        <v>0.38</v>
      </c>
      <c r="F22" s="219">
        <v>735000</v>
      </c>
      <c r="G22" s="219">
        <f t="shared" si="1"/>
        <v>735</v>
      </c>
      <c r="H22" s="221">
        <v>270</v>
      </c>
      <c r="I22" s="221">
        <v>250</v>
      </c>
      <c r="J22" s="221">
        <f>$F22*$F22/H22/10^6</f>
        <v>2000.8333333333333</v>
      </c>
      <c r="K22" s="221">
        <f>$F22*$F22/I22/10^6</f>
        <v>2160.9</v>
      </c>
    </row>
    <row r="23" spans="1:30" x14ac:dyDescent="0.2">
      <c r="B23" s="219">
        <v>765000</v>
      </c>
      <c r="C23" s="219">
        <f t="shared" si="0"/>
        <v>765</v>
      </c>
      <c r="D23" s="220">
        <f>((C$23-C$21)/(C$22-C$21))*(D$22-D$21)+D$21</f>
        <v>0.37808510638297871</v>
      </c>
      <c r="F23" s="222">
        <v>765000</v>
      </c>
      <c r="G23" s="222">
        <f t="shared" si="1"/>
        <v>765</v>
      </c>
      <c r="H23" s="222">
        <v>266</v>
      </c>
      <c r="I23" s="222">
        <v>254</v>
      </c>
      <c r="J23" s="222">
        <v>2200</v>
      </c>
      <c r="K23" s="222">
        <v>2300</v>
      </c>
    </row>
    <row r="25" spans="1:30" x14ac:dyDescent="0.2">
      <c r="A25" s="60" t="s">
        <v>35</v>
      </c>
      <c r="AA25" s="52"/>
      <c r="AB25" s="210"/>
      <c r="AC25" s="210"/>
      <c r="AD25" s="210"/>
    </row>
    <row r="26" spans="1:30" x14ac:dyDescent="0.25">
      <c r="A26" s="3" t="s">
        <v>953</v>
      </c>
      <c r="AA26" s="52"/>
      <c r="AB26" s="210"/>
      <c r="AC26" s="210"/>
      <c r="AD26" s="210"/>
    </row>
    <row r="27" spans="1:30" x14ac:dyDescent="0.25">
      <c r="A27" s="3" t="s">
        <v>954</v>
      </c>
    </row>
    <row r="28" spans="1:30" x14ac:dyDescent="0.25">
      <c r="A28" s="3" t="s">
        <v>955</v>
      </c>
    </row>
    <row r="29" spans="1:30" x14ac:dyDescent="0.25">
      <c r="A29" s="3" t="s">
        <v>956</v>
      </c>
    </row>
    <row r="30" spans="1:30" x14ac:dyDescent="0.25">
      <c r="A30" s="3" t="s">
        <v>957</v>
      </c>
    </row>
    <row r="32" spans="1:30" x14ac:dyDescent="0.25">
      <c r="B32" s="3"/>
      <c r="C32" s="3"/>
      <c r="F32" s="3"/>
    </row>
    <row r="46" spans="27:30" x14ac:dyDescent="0.25">
      <c r="AA46" s="3"/>
      <c r="AB46" s="3"/>
      <c r="AC46" s="3"/>
      <c r="AD46" s="3"/>
    </row>
    <row r="102" spans="1:31" x14ac:dyDescent="0.2">
      <c r="A102" s="53"/>
      <c r="AE102" s="53"/>
    </row>
    <row r="103" spans="1:31" x14ac:dyDescent="0.2">
      <c r="A103" s="53"/>
      <c r="AE103" s="53"/>
    </row>
    <row r="104" spans="1:31" x14ac:dyDescent="0.25">
      <c r="Z104" s="3"/>
    </row>
    <row r="105" spans="1:31" x14ac:dyDescent="0.25">
      <c r="Z105" s="3"/>
    </row>
    <row r="106" spans="1:31" s="3" customFormat="1" x14ac:dyDescent="0.25"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W106" s="210"/>
      <c r="X106" s="210"/>
      <c r="Y106" s="210"/>
      <c r="Z106" s="210"/>
      <c r="AA106" s="54"/>
      <c r="AB106" s="52"/>
      <c r="AC106" s="52"/>
      <c r="AD106" s="52"/>
    </row>
    <row r="107" spans="1:31" s="3" customFormat="1" x14ac:dyDescent="0.25"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W107" s="210"/>
      <c r="X107" s="210"/>
      <c r="Y107" s="210"/>
      <c r="Z107" s="210"/>
      <c r="AA107" s="54"/>
      <c r="AB107" s="52"/>
      <c r="AC107" s="52"/>
      <c r="AD107" s="5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85CD-C35E-964D-8D40-CC2B3AE9A51A}">
  <dimension ref="A1:AK35"/>
  <sheetViews>
    <sheetView topLeftCell="A18" zoomScaleNormal="100" workbookViewId="0">
      <selection activeCell="B34" sqref="B34"/>
    </sheetView>
  </sheetViews>
  <sheetFormatPr baseColWidth="10" defaultRowHeight="19" x14ac:dyDescent="0.25"/>
  <cols>
    <col min="1" max="1" width="4.83203125" style="3" customWidth="1"/>
    <col min="2" max="2" width="63.5" style="3" customWidth="1"/>
    <col min="3" max="3" width="13.5" style="163" customWidth="1"/>
    <col min="4" max="4" width="100.6640625" style="164" customWidth="1"/>
    <col min="5" max="5" width="165.6640625" style="165" customWidth="1"/>
    <col min="6" max="7" width="57.6640625" style="165" customWidth="1"/>
    <col min="8" max="8" width="100.83203125" style="165" customWidth="1"/>
    <col min="9" max="16384" width="10.83203125" style="3"/>
  </cols>
  <sheetData>
    <row r="1" spans="1:9" s="12" customFormat="1" ht="21" x14ac:dyDescent="0.2">
      <c r="A1" s="12" t="s">
        <v>74</v>
      </c>
      <c r="B1" s="12" t="s">
        <v>925</v>
      </c>
    </row>
    <row r="2" spans="1:9" s="166" customFormat="1" ht="21" x14ac:dyDescent="0.25">
      <c r="B2" s="10" t="s">
        <v>629</v>
      </c>
      <c r="C2" s="10" t="s">
        <v>630</v>
      </c>
      <c r="D2" s="10" t="s">
        <v>631</v>
      </c>
      <c r="E2" s="10" t="s">
        <v>632</v>
      </c>
      <c r="F2" s="10" t="s">
        <v>633</v>
      </c>
      <c r="G2" s="10" t="s">
        <v>634</v>
      </c>
      <c r="H2" s="10" t="s">
        <v>30</v>
      </c>
    </row>
    <row r="3" spans="1:9" ht="20" x14ac:dyDescent="0.25">
      <c r="B3" s="173" t="s">
        <v>75</v>
      </c>
      <c r="C3" s="35">
        <v>2015</v>
      </c>
      <c r="D3" s="11" t="s">
        <v>777</v>
      </c>
      <c r="E3" s="11" t="s">
        <v>778</v>
      </c>
      <c r="F3" s="11"/>
      <c r="G3" s="11" t="s">
        <v>762</v>
      </c>
      <c r="H3" s="11"/>
      <c r="I3" s="59">
        <v>1</v>
      </c>
    </row>
    <row r="4" spans="1:9" ht="20" x14ac:dyDescent="0.25">
      <c r="B4" s="174" t="s">
        <v>75</v>
      </c>
      <c r="C4" s="35">
        <v>2015</v>
      </c>
      <c r="D4" s="11" t="s">
        <v>780</v>
      </c>
      <c r="E4" s="11" t="s">
        <v>779</v>
      </c>
      <c r="F4" s="11"/>
      <c r="G4" s="11" t="s">
        <v>762</v>
      </c>
      <c r="H4" s="11"/>
    </row>
    <row r="5" spans="1:9" ht="20" x14ac:dyDescent="0.25">
      <c r="B5" s="175" t="s">
        <v>75</v>
      </c>
      <c r="C5" s="35">
        <v>2014</v>
      </c>
      <c r="D5" s="11" t="s">
        <v>781</v>
      </c>
      <c r="E5" s="11" t="s">
        <v>779</v>
      </c>
      <c r="F5" s="11"/>
      <c r="G5" s="11" t="s">
        <v>762</v>
      </c>
      <c r="H5" s="11"/>
    </row>
    <row r="6" spans="1:9" s="167" customFormat="1" ht="20" x14ac:dyDescent="0.2">
      <c r="B6" s="206" t="s">
        <v>913</v>
      </c>
      <c r="C6" s="35">
        <v>2017</v>
      </c>
      <c r="D6" s="11" t="s">
        <v>914</v>
      </c>
      <c r="E6" s="11" t="s">
        <v>915</v>
      </c>
      <c r="F6" s="11"/>
      <c r="G6" s="11" t="s">
        <v>916</v>
      </c>
      <c r="H6" s="11"/>
    </row>
    <row r="7" spans="1:9" s="167" customFormat="1" ht="20" x14ac:dyDescent="0.2">
      <c r="B7" s="176" t="s">
        <v>639</v>
      </c>
      <c r="C7" s="35">
        <v>2019</v>
      </c>
      <c r="D7" s="11" t="s">
        <v>640</v>
      </c>
      <c r="E7" s="11" t="s">
        <v>641</v>
      </c>
      <c r="F7" s="11"/>
      <c r="G7" s="11"/>
      <c r="H7" s="11"/>
    </row>
    <row r="8" spans="1:9" ht="20" x14ac:dyDescent="0.25">
      <c r="B8" s="177" t="s">
        <v>642</v>
      </c>
      <c r="C8" s="35">
        <v>2020</v>
      </c>
      <c r="D8" s="11"/>
      <c r="E8" s="11"/>
      <c r="F8" s="11"/>
      <c r="G8" s="11"/>
      <c r="H8" s="11"/>
    </row>
    <row r="9" spans="1:9" ht="20" x14ac:dyDescent="0.25">
      <c r="B9" s="178" t="s">
        <v>643</v>
      </c>
      <c r="C9" s="35"/>
      <c r="D9" s="11"/>
      <c r="E9" s="11"/>
      <c r="F9" s="11"/>
      <c r="G9" s="11"/>
      <c r="H9" s="11"/>
    </row>
    <row r="10" spans="1:9" ht="20" x14ac:dyDescent="0.25">
      <c r="B10" s="180" t="s">
        <v>75</v>
      </c>
      <c r="C10" s="35">
        <v>2011</v>
      </c>
      <c r="D10" s="11" t="s">
        <v>934</v>
      </c>
      <c r="E10" s="11" t="s">
        <v>933</v>
      </c>
      <c r="F10" s="11"/>
      <c r="G10" s="11" t="s">
        <v>762</v>
      </c>
      <c r="H10" s="11"/>
    </row>
    <row r="11" spans="1:9" ht="20" x14ac:dyDescent="0.25">
      <c r="B11" s="1" t="s">
        <v>75</v>
      </c>
      <c r="C11" s="35">
        <v>2019</v>
      </c>
      <c r="D11" s="11" t="s">
        <v>782</v>
      </c>
      <c r="E11" s="11" t="s">
        <v>783</v>
      </c>
      <c r="F11" s="11"/>
      <c r="G11" s="11" t="s">
        <v>762</v>
      </c>
      <c r="H11" s="11"/>
    </row>
    <row r="12" spans="1:9" ht="20" x14ac:dyDescent="0.25">
      <c r="B12" s="181" t="s">
        <v>75</v>
      </c>
      <c r="C12" s="35">
        <v>2011</v>
      </c>
      <c r="D12" s="11" t="s">
        <v>784</v>
      </c>
      <c r="E12" s="11" t="s">
        <v>785</v>
      </c>
      <c r="F12" s="11"/>
      <c r="G12" s="11" t="s">
        <v>762</v>
      </c>
      <c r="H12" s="11"/>
    </row>
    <row r="13" spans="1:9" ht="20" x14ac:dyDescent="0.25">
      <c r="B13" s="183" t="s">
        <v>75</v>
      </c>
      <c r="C13" s="35">
        <v>2007</v>
      </c>
      <c r="D13" s="11" t="s">
        <v>787</v>
      </c>
      <c r="E13" s="11" t="s">
        <v>778</v>
      </c>
      <c r="F13" s="11"/>
      <c r="G13" s="11" t="s">
        <v>762</v>
      </c>
      <c r="H13" s="11"/>
    </row>
    <row r="14" spans="1:9" ht="20" x14ac:dyDescent="0.25">
      <c r="B14" s="184" t="s">
        <v>75</v>
      </c>
      <c r="C14" s="35">
        <v>2017</v>
      </c>
      <c r="D14" s="11" t="s">
        <v>834</v>
      </c>
      <c r="E14" s="11" t="s">
        <v>835</v>
      </c>
      <c r="F14" s="11"/>
      <c r="G14" s="11" t="s">
        <v>762</v>
      </c>
      <c r="H14" s="11"/>
    </row>
    <row r="15" spans="1:9" ht="20" x14ac:dyDescent="0.25">
      <c r="B15" s="191" t="s">
        <v>75</v>
      </c>
      <c r="C15" s="35">
        <v>2013</v>
      </c>
      <c r="D15" s="11" t="s">
        <v>837</v>
      </c>
      <c r="E15" s="11" t="s">
        <v>838</v>
      </c>
      <c r="F15" s="11"/>
      <c r="G15" s="11" t="s">
        <v>762</v>
      </c>
      <c r="H15" s="11"/>
    </row>
    <row r="16" spans="1:9" ht="20" x14ac:dyDescent="0.25">
      <c r="B16" s="204" t="s">
        <v>75</v>
      </c>
      <c r="C16" s="35">
        <v>2010</v>
      </c>
      <c r="D16" s="11" t="s">
        <v>919</v>
      </c>
      <c r="E16" s="11" t="s">
        <v>923</v>
      </c>
      <c r="F16" s="11"/>
      <c r="G16" s="11" t="s">
        <v>762</v>
      </c>
      <c r="H16" s="11"/>
    </row>
    <row r="17" spans="1:19" s="167" customFormat="1" ht="20" x14ac:dyDescent="0.2">
      <c r="B17" s="168" t="s">
        <v>75</v>
      </c>
      <c r="C17" s="35">
        <v>2019</v>
      </c>
      <c r="D17" s="11" t="s">
        <v>760</v>
      </c>
      <c r="E17" s="11" t="s">
        <v>761</v>
      </c>
      <c r="F17" s="11"/>
      <c r="G17" s="11" t="s">
        <v>762</v>
      </c>
      <c r="H17" s="11"/>
    </row>
    <row r="18" spans="1:19" s="167" customFormat="1" ht="20" x14ac:dyDescent="0.2">
      <c r="B18" s="116" t="s">
        <v>75</v>
      </c>
      <c r="C18" s="35">
        <v>2013</v>
      </c>
      <c r="D18" s="11" t="s">
        <v>763</v>
      </c>
      <c r="E18" s="11" t="s">
        <v>815</v>
      </c>
      <c r="F18" s="11"/>
      <c r="G18" s="11" t="s">
        <v>762</v>
      </c>
      <c r="H18" s="11"/>
    </row>
    <row r="19" spans="1:19" ht="20" x14ac:dyDescent="0.25">
      <c r="B19" s="169" t="s">
        <v>635</v>
      </c>
      <c r="C19" s="35">
        <v>2019</v>
      </c>
      <c r="D19" s="11" t="s">
        <v>636</v>
      </c>
      <c r="E19" s="11" t="s">
        <v>637</v>
      </c>
      <c r="F19" s="11"/>
      <c r="G19" s="11" t="s">
        <v>638</v>
      </c>
      <c r="H19" s="11"/>
    </row>
    <row r="20" spans="1:19" s="167" customFormat="1" ht="20" x14ac:dyDescent="0.2">
      <c r="B20" s="170" t="s">
        <v>75</v>
      </c>
      <c r="C20" s="35">
        <v>2018</v>
      </c>
      <c r="D20" s="11" t="s">
        <v>765</v>
      </c>
      <c r="E20" s="11" t="s">
        <v>764</v>
      </c>
      <c r="F20" s="11"/>
      <c r="G20" s="11" t="s">
        <v>762</v>
      </c>
      <c r="H20" s="11"/>
    </row>
    <row r="21" spans="1:19" s="167" customFormat="1" ht="20" x14ac:dyDescent="0.2">
      <c r="B21" s="67" t="s">
        <v>75</v>
      </c>
      <c r="C21" s="35">
        <v>2016</v>
      </c>
      <c r="D21" s="11" t="s">
        <v>766</v>
      </c>
      <c r="E21" s="11" t="s">
        <v>767</v>
      </c>
      <c r="F21" s="11"/>
      <c r="G21" s="11" t="s">
        <v>762</v>
      </c>
      <c r="H21" s="11"/>
    </row>
    <row r="22" spans="1:19" s="167" customFormat="1" ht="20" x14ac:dyDescent="0.25">
      <c r="A22" s="271"/>
      <c r="B22" s="250" t="s">
        <v>75</v>
      </c>
      <c r="C22" s="35">
        <v>2018</v>
      </c>
      <c r="D22" s="11" t="s">
        <v>768</v>
      </c>
      <c r="E22" s="11" t="s">
        <v>769</v>
      </c>
      <c r="F22" s="11"/>
      <c r="G22" s="11" t="s">
        <v>762</v>
      </c>
      <c r="H22" s="11"/>
    </row>
    <row r="23" spans="1:19" s="42" customFormat="1" ht="20" x14ac:dyDescent="0.25">
      <c r="B23" s="247" t="s">
        <v>770</v>
      </c>
      <c r="C23" s="35">
        <v>2020</v>
      </c>
      <c r="D23" s="104" t="s">
        <v>816</v>
      </c>
      <c r="E23" s="104" t="s">
        <v>813</v>
      </c>
      <c r="F23" s="11"/>
      <c r="G23" s="11" t="s">
        <v>762</v>
      </c>
      <c r="H23" s="11"/>
      <c r="K23" s="3"/>
      <c r="L23" s="3"/>
      <c r="M23" s="3"/>
      <c r="N23" s="3"/>
      <c r="O23" s="3"/>
      <c r="P23" s="3"/>
      <c r="Q23" s="3"/>
      <c r="R23" s="3"/>
      <c r="S23" s="18"/>
    </row>
    <row r="24" spans="1:19" s="167" customFormat="1" ht="20" x14ac:dyDescent="0.2">
      <c r="B24" s="249" t="s">
        <v>75</v>
      </c>
      <c r="C24" s="35">
        <v>2012</v>
      </c>
      <c r="D24" s="11" t="s">
        <v>771</v>
      </c>
      <c r="E24" s="11" t="s">
        <v>778</v>
      </c>
      <c r="F24" s="11"/>
      <c r="G24" s="11" t="s">
        <v>762</v>
      </c>
      <c r="H24" s="11"/>
    </row>
    <row r="25" spans="1:19" ht="20" x14ac:dyDescent="0.25">
      <c r="B25" s="248" t="s">
        <v>1155</v>
      </c>
      <c r="C25" s="35">
        <v>1988</v>
      </c>
      <c r="D25" s="251" t="s">
        <v>495</v>
      </c>
      <c r="E25" s="252" t="s">
        <v>814</v>
      </c>
      <c r="F25" s="11"/>
      <c r="G25" s="11" t="s">
        <v>762</v>
      </c>
      <c r="H25" s="11"/>
    </row>
    <row r="26" spans="1:19" ht="20" x14ac:dyDescent="0.25">
      <c r="B26" s="171" t="s">
        <v>75</v>
      </c>
      <c r="C26" s="35">
        <v>2014</v>
      </c>
      <c r="D26" s="11" t="s">
        <v>772</v>
      </c>
      <c r="E26" s="11" t="s">
        <v>623</v>
      </c>
      <c r="F26" s="11"/>
      <c r="G26" s="11" t="s">
        <v>762</v>
      </c>
      <c r="H26" s="11"/>
    </row>
    <row r="27" spans="1:19" ht="20" x14ac:dyDescent="0.25">
      <c r="B27" s="172" t="s">
        <v>75</v>
      </c>
      <c r="C27" s="35">
        <v>2012</v>
      </c>
      <c r="D27" s="11" t="s">
        <v>773</v>
      </c>
      <c r="E27" s="11" t="s">
        <v>774</v>
      </c>
      <c r="F27" s="11"/>
      <c r="G27" s="11" t="s">
        <v>762</v>
      </c>
      <c r="H27" s="11"/>
    </row>
    <row r="28" spans="1:19" ht="20" x14ac:dyDescent="0.25">
      <c r="B28" s="179" t="s">
        <v>75</v>
      </c>
      <c r="C28" s="35">
        <v>2018</v>
      </c>
      <c r="D28" s="11" t="s">
        <v>775</v>
      </c>
      <c r="E28" s="11" t="s">
        <v>776</v>
      </c>
      <c r="F28" s="11"/>
      <c r="G28" s="11" t="s">
        <v>762</v>
      </c>
      <c r="H28" s="11"/>
    </row>
    <row r="29" spans="1:19" ht="20" x14ac:dyDescent="0.25">
      <c r="B29" s="203" t="s">
        <v>910</v>
      </c>
      <c r="C29" s="35">
        <v>2020</v>
      </c>
      <c r="D29" s="11" t="s">
        <v>911</v>
      </c>
      <c r="E29" s="11" t="s">
        <v>912</v>
      </c>
      <c r="F29" s="11"/>
      <c r="G29" s="11" t="s">
        <v>762</v>
      </c>
      <c r="H29" s="11"/>
    </row>
    <row r="30" spans="1:19" ht="20" x14ac:dyDescent="0.25">
      <c r="B30" s="226" t="s">
        <v>963</v>
      </c>
      <c r="C30" s="35">
        <v>2017</v>
      </c>
      <c r="D30" s="11" t="s">
        <v>964</v>
      </c>
      <c r="E30" s="11"/>
      <c r="F30" s="11"/>
      <c r="G30" s="11"/>
      <c r="H30" s="11"/>
    </row>
    <row r="31" spans="1:19" ht="40" x14ac:dyDescent="0.25">
      <c r="B31" s="227" t="s">
        <v>965</v>
      </c>
      <c r="C31" s="35">
        <v>2017</v>
      </c>
      <c r="D31" s="11" t="s">
        <v>966</v>
      </c>
      <c r="E31" s="11" t="s">
        <v>967</v>
      </c>
      <c r="F31" s="11"/>
      <c r="G31" s="11"/>
      <c r="H31" s="11"/>
    </row>
    <row r="32" spans="1:19" ht="20" x14ac:dyDescent="0.25">
      <c r="B32" s="228" t="s">
        <v>968</v>
      </c>
      <c r="C32" s="35">
        <v>1979</v>
      </c>
      <c r="D32" s="11" t="s">
        <v>969</v>
      </c>
      <c r="E32" s="11" t="s">
        <v>970</v>
      </c>
      <c r="F32" s="11"/>
      <c r="G32" s="11"/>
      <c r="H32" s="11"/>
    </row>
    <row r="33" spans="2:37" x14ac:dyDescent="0.25">
      <c r="B33" s="229"/>
      <c r="C33" s="35"/>
      <c r="D33" s="11"/>
      <c r="E33" s="11"/>
      <c r="F33" s="11"/>
      <c r="G33" s="11"/>
      <c r="H33" s="11"/>
    </row>
    <row r="34" spans="2:37" x14ac:dyDescent="0.25">
      <c r="B34" s="257"/>
      <c r="C34" s="35"/>
      <c r="D34" s="11"/>
      <c r="E34" s="11"/>
      <c r="F34" s="11"/>
      <c r="G34" s="11"/>
      <c r="H34" s="11"/>
      <c r="J34" s="210"/>
      <c r="K34" s="31"/>
      <c r="L34" s="19"/>
      <c r="M34" s="31"/>
      <c r="N34" s="31"/>
      <c r="O34" s="31"/>
      <c r="P34" s="31"/>
      <c r="Q34" s="19"/>
      <c r="R34" s="31"/>
      <c r="S34" s="31"/>
      <c r="T34" s="18"/>
      <c r="U34" s="18"/>
      <c r="V34" s="24"/>
      <c r="W34" s="24"/>
      <c r="Y34" s="9"/>
      <c r="AF34" s="5"/>
      <c r="AJ34" s="210"/>
      <c r="AK34" s="210"/>
    </row>
    <row r="35" spans="2:37" ht="20" x14ac:dyDescent="0.25">
      <c r="B35" s="230" t="s">
        <v>1296</v>
      </c>
      <c r="C35" s="35">
        <v>2021</v>
      </c>
      <c r="D35" s="11" t="s">
        <v>1297</v>
      </c>
      <c r="E35" s="11" t="s">
        <v>1298</v>
      </c>
      <c r="F35" s="11"/>
      <c r="G35" s="11" t="s">
        <v>1299</v>
      </c>
      <c r="H35" s="11"/>
    </row>
  </sheetData>
  <autoFilter ref="B2:H2" xr:uid="{4394770A-2345-D74B-BD81-DB7567B27015}">
    <sortState xmlns:xlrd2="http://schemas.microsoft.com/office/spreadsheetml/2017/richdata2" ref="B3:H205">
      <sortCondition ref="G2:G2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DF20-10D6-F646-8865-6EC8CB276D84}">
  <sheetPr codeName="Sheet3"/>
  <dimension ref="A1:BK274"/>
  <sheetViews>
    <sheetView workbookViewId="0">
      <pane xSplit="2" ySplit="3" topLeftCell="E109" activePane="bottomRight" state="frozen"/>
      <selection activeCell="AW23" sqref="AW23"/>
      <selection pane="topRight" activeCell="AW23" sqref="AW23"/>
      <selection pane="bottomLeft" activeCell="AW23" sqref="AW23"/>
      <selection pane="bottomRight" activeCell="A119" sqref="A119:XFD126"/>
    </sheetView>
  </sheetViews>
  <sheetFormatPr baseColWidth="10" defaultRowHeight="19" x14ac:dyDescent="0.25"/>
  <cols>
    <col min="1" max="1" width="4.83203125" style="3" customWidth="1"/>
    <col min="2" max="2" width="53.5" style="3" customWidth="1"/>
    <col min="3" max="3" width="20.83203125" style="3" customWidth="1"/>
    <col min="4" max="4" width="50.83203125" style="3" customWidth="1"/>
    <col min="5" max="5" width="20.83203125" style="5" customWidth="1"/>
    <col min="6" max="6" width="14.83203125" style="34" customWidth="1"/>
    <col min="7" max="7" width="14.83203125" style="3" customWidth="1"/>
    <col min="8" max="8" width="18.83203125" style="3" customWidth="1"/>
    <col min="9" max="9" width="20.83203125" style="83" customWidth="1"/>
    <col min="10" max="10" width="35.83203125" style="3" customWidth="1"/>
    <col min="11" max="11" width="22.83203125" style="3" customWidth="1"/>
    <col min="12" max="12" width="12.83203125" style="3" customWidth="1"/>
    <col min="13" max="14" width="12.83203125" style="5" customWidth="1"/>
    <col min="15" max="15" width="4.6640625" style="42" customWidth="1"/>
    <col min="16" max="16" width="20.83203125" style="5" customWidth="1"/>
    <col min="17" max="17" width="20.83203125" style="216" customWidth="1"/>
    <col min="18" max="19" width="14.83203125" style="3" customWidth="1"/>
    <col min="20" max="20" width="13.83203125" style="3" customWidth="1"/>
    <col min="21" max="21" width="16.83203125" style="3" customWidth="1"/>
    <col min="22" max="22" width="17.83203125" style="3" customWidth="1"/>
    <col min="23" max="23" width="16.83203125" style="3" customWidth="1"/>
    <col min="24" max="24" width="4.83203125" style="42" customWidth="1"/>
    <col min="25" max="25" width="70.83203125" style="3" customWidth="1"/>
    <col min="26" max="26" width="57.83203125" style="3" customWidth="1"/>
    <col min="27" max="16384" width="10.83203125" style="3"/>
  </cols>
  <sheetData>
    <row r="1" spans="1:26" s="12" customFormat="1" ht="21" x14ac:dyDescent="0.2">
      <c r="A1" s="12" t="s">
        <v>74</v>
      </c>
      <c r="B1" s="12" t="s">
        <v>139</v>
      </c>
      <c r="F1" s="270"/>
      <c r="G1" s="270"/>
      <c r="P1" s="12" t="s">
        <v>28</v>
      </c>
    </row>
    <row r="2" spans="1:26" s="6" customFormat="1" ht="40" x14ac:dyDescent="0.2">
      <c r="A2" s="4"/>
      <c r="B2" s="13" t="s">
        <v>18</v>
      </c>
      <c r="C2" s="13" t="s">
        <v>1007</v>
      </c>
      <c r="D2" s="13" t="s">
        <v>13</v>
      </c>
      <c r="E2" s="13" t="s">
        <v>21</v>
      </c>
      <c r="F2" s="13" t="s">
        <v>14</v>
      </c>
      <c r="G2" s="13" t="s">
        <v>15</v>
      </c>
      <c r="H2" s="13" t="s">
        <v>928</v>
      </c>
      <c r="I2" s="13" t="s">
        <v>1283</v>
      </c>
      <c r="J2" s="13" t="s">
        <v>892</v>
      </c>
      <c r="K2" s="13" t="s">
        <v>893</v>
      </c>
      <c r="L2" s="13" t="s">
        <v>891</v>
      </c>
      <c r="M2" s="13" t="s">
        <v>17</v>
      </c>
      <c r="N2" s="13" t="s">
        <v>69</v>
      </c>
      <c r="O2" s="42"/>
      <c r="P2" s="13" t="s">
        <v>608</v>
      </c>
      <c r="Q2" s="13" t="s">
        <v>924</v>
      </c>
      <c r="R2" s="13" t="s">
        <v>16</v>
      </c>
      <c r="S2" s="13" t="s">
        <v>903</v>
      </c>
      <c r="T2" s="13" t="s">
        <v>902</v>
      </c>
      <c r="U2" s="13" t="s">
        <v>377</v>
      </c>
      <c r="V2" s="13" t="s">
        <v>386</v>
      </c>
      <c r="W2" s="13" t="s">
        <v>542</v>
      </c>
      <c r="X2" s="42"/>
      <c r="Y2" s="13" t="s">
        <v>611</v>
      </c>
      <c r="Z2" s="13" t="s">
        <v>30</v>
      </c>
    </row>
    <row r="3" spans="1:26" s="4" customFormat="1" ht="20" x14ac:dyDescent="0.2">
      <c r="B3" s="10"/>
      <c r="C3" s="10"/>
      <c r="D3" s="10"/>
      <c r="E3" s="10"/>
      <c r="F3" s="10"/>
      <c r="G3" s="10"/>
      <c r="H3" s="10"/>
      <c r="I3" s="80"/>
      <c r="J3" s="10"/>
      <c r="K3" s="10"/>
      <c r="L3" s="10"/>
      <c r="M3" s="10"/>
      <c r="N3" s="10"/>
      <c r="O3" s="42"/>
      <c r="P3" s="10"/>
      <c r="Q3" s="80"/>
      <c r="R3" s="10" t="s">
        <v>19</v>
      </c>
      <c r="S3" s="10"/>
      <c r="T3" s="10" t="s">
        <v>19</v>
      </c>
      <c r="U3" s="10" t="s">
        <v>25</v>
      </c>
      <c r="V3" s="10" t="s">
        <v>20</v>
      </c>
      <c r="W3" s="10"/>
      <c r="X3" s="42"/>
      <c r="Y3" s="10"/>
      <c r="Z3" s="10"/>
    </row>
    <row r="4" spans="1:26" ht="20" x14ac:dyDescent="0.25">
      <c r="B4" s="1" t="s">
        <v>1304</v>
      </c>
      <c r="C4" s="107" t="s">
        <v>1160</v>
      </c>
      <c r="D4" s="1" t="s">
        <v>75</v>
      </c>
      <c r="E4" s="155" t="s">
        <v>1014</v>
      </c>
      <c r="F4" s="87">
        <v>54.794728543283199</v>
      </c>
      <c r="G4" s="87">
        <v>-101.885936768498</v>
      </c>
      <c r="H4" s="107" t="s">
        <v>604</v>
      </c>
      <c r="I4" s="35" t="s">
        <v>762</v>
      </c>
      <c r="J4" s="108" t="s">
        <v>812</v>
      </c>
      <c r="K4" s="107" t="s">
        <v>822</v>
      </c>
      <c r="L4" s="155">
        <v>115</v>
      </c>
      <c r="M4" s="155">
        <v>2015</v>
      </c>
      <c r="N4" s="155">
        <v>2022</v>
      </c>
      <c r="P4" s="155" t="s">
        <v>590</v>
      </c>
      <c r="Q4" s="35" t="s">
        <v>592</v>
      </c>
      <c r="R4" s="156">
        <v>-25</v>
      </c>
      <c r="S4" s="208">
        <f>System!$E$6</f>
        <v>0.98099999999999998</v>
      </c>
      <c r="T4" s="209">
        <f>R4*S4</f>
        <v>-24.524999999999999</v>
      </c>
      <c r="U4" s="160">
        <v>0.9</v>
      </c>
      <c r="V4" s="157">
        <f>R4*24*365*U4/1000</f>
        <v>-197.1</v>
      </c>
      <c r="W4" s="59">
        <v>1</v>
      </c>
      <c r="Y4" s="11"/>
      <c r="Z4" s="11"/>
    </row>
    <row r="5" spans="1:26" ht="20" x14ac:dyDescent="0.25">
      <c r="B5" s="11" t="s">
        <v>452</v>
      </c>
      <c r="C5" s="35" t="s">
        <v>1198</v>
      </c>
      <c r="D5" s="11" t="s">
        <v>75</v>
      </c>
      <c r="E5" s="158" t="s">
        <v>81</v>
      </c>
      <c r="F5" s="87">
        <v>50.398146241654501</v>
      </c>
      <c r="G5" s="87">
        <v>-95.9979196840779</v>
      </c>
      <c r="H5" s="107" t="s">
        <v>604</v>
      </c>
      <c r="I5" s="35" t="s">
        <v>762</v>
      </c>
      <c r="J5" s="108" t="s">
        <v>820</v>
      </c>
      <c r="K5" s="107" t="s">
        <v>1029</v>
      </c>
      <c r="L5" s="108">
        <v>115</v>
      </c>
      <c r="M5" s="78">
        <v>1955</v>
      </c>
      <c r="N5" s="89">
        <f>M5+70</f>
        <v>2025</v>
      </c>
      <c r="P5" s="78" t="s">
        <v>590</v>
      </c>
      <c r="Q5" s="35" t="s">
        <v>592</v>
      </c>
      <c r="R5" s="126">
        <v>7</v>
      </c>
      <c r="S5" s="208">
        <f>System!$E$6</f>
        <v>0.98099999999999998</v>
      </c>
      <c r="T5" s="209">
        <f>R5*S5</f>
        <v>6.867</v>
      </c>
      <c r="U5" s="115">
        <f>V5*1000/(R5*24*365)</f>
        <v>0.79500978473581219</v>
      </c>
      <c r="V5" s="154">
        <v>48.75</v>
      </c>
      <c r="W5" s="65">
        <v>8</v>
      </c>
      <c r="Y5" s="11"/>
      <c r="Z5" s="11"/>
    </row>
    <row r="6" spans="1:26" ht="20" x14ac:dyDescent="0.25">
      <c r="B6" s="11" t="s">
        <v>453</v>
      </c>
      <c r="C6" s="35" t="s">
        <v>1213</v>
      </c>
      <c r="D6" s="11" t="s">
        <v>75</v>
      </c>
      <c r="E6" s="158" t="s">
        <v>81</v>
      </c>
      <c r="F6" s="87">
        <v>50.398146241654501</v>
      </c>
      <c r="G6" s="87">
        <v>-95.9979196840779</v>
      </c>
      <c r="H6" s="107" t="s">
        <v>604</v>
      </c>
      <c r="I6" s="35" t="s">
        <v>762</v>
      </c>
      <c r="J6" s="108" t="s">
        <v>820</v>
      </c>
      <c r="K6" s="107" t="s">
        <v>1029</v>
      </c>
      <c r="L6" s="108">
        <v>115</v>
      </c>
      <c r="M6" s="78">
        <v>1955</v>
      </c>
      <c r="N6" s="89">
        <f>M6+70</f>
        <v>2025</v>
      </c>
      <c r="P6" s="78" t="s">
        <v>590</v>
      </c>
      <c r="Q6" s="35" t="s">
        <v>592</v>
      </c>
      <c r="R6" s="126">
        <v>7</v>
      </c>
      <c r="S6" s="208">
        <f>System!$E$6</f>
        <v>0.98099999999999998</v>
      </c>
      <c r="T6" s="209">
        <f>R6*S6</f>
        <v>6.867</v>
      </c>
      <c r="U6" s="115">
        <f>V6*1000/(R6*24*365)</f>
        <v>0.79500978473581219</v>
      </c>
      <c r="V6" s="154">
        <v>48.75</v>
      </c>
      <c r="W6" s="65">
        <v>8</v>
      </c>
      <c r="Y6" s="11"/>
      <c r="Z6" s="11"/>
    </row>
    <row r="7" spans="1:26" ht="20" x14ac:dyDescent="0.25">
      <c r="B7" s="11" t="s">
        <v>454</v>
      </c>
      <c r="C7" s="35" t="s">
        <v>1227</v>
      </c>
      <c r="D7" s="11" t="s">
        <v>75</v>
      </c>
      <c r="E7" s="158" t="s">
        <v>81</v>
      </c>
      <c r="F7" s="87">
        <v>50.398146241654501</v>
      </c>
      <c r="G7" s="87">
        <v>-95.9979196840779</v>
      </c>
      <c r="H7" s="107" t="s">
        <v>604</v>
      </c>
      <c r="I7" s="35" t="s">
        <v>762</v>
      </c>
      <c r="J7" s="108" t="s">
        <v>820</v>
      </c>
      <c r="K7" s="107" t="s">
        <v>1029</v>
      </c>
      <c r="L7" s="108">
        <v>115</v>
      </c>
      <c r="M7" s="78">
        <v>1955</v>
      </c>
      <c r="N7" s="89">
        <f>M7+70</f>
        <v>2025</v>
      </c>
      <c r="P7" s="78" t="s">
        <v>590</v>
      </c>
      <c r="Q7" s="35" t="s">
        <v>592</v>
      </c>
      <c r="R7" s="126">
        <v>7</v>
      </c>
      <c r="S7" s="208">
        <f>System!$E$6</f>
        <v>0.98099999999999998</v>
      </c>
      <c r="T7" s="209">
        <f>R7*S7</f>
        <v>6.867</v>
      </c>
      <c r="U7" s="115">
        <f>V7*1000/(R7*24*365)</f>
        <v>0.79500978473581219</v>
      </c>
      <c r="V7" s="154">
        <v>48.75</v>
      </c>
      <c r="W7" s="65">
        <v>8</v>
      </c>
      <c r="Y7" s="11"/>
      <c r="Z7" s="11"/>
    </row>
    <row r="8" spans="1:26" ht="20" x14ac:dyDescent="0.25">
      <c r="B8" s="11" t="s">
        <v>455</v>
      </c>
      <c r="C8" s="35" t="s">
        <v>1240</v>
      </c>
      <c r="D8" s="11" t="s">
        <v>75</v>
      </c>
      <c r="E8" s="35" t="s">
        <v>81</v>
      </c>
      <c r="F8" s="87">
        <v>50.398146241654501</v>
      </c>
      <c r="G8" s="87">
        <v>-95.9979196840779</v>
      </c>
      <c r="H8" s="107" t="s">
        <v>604</v>
      </c>
      <c r="I8" s="35" t="s">
        <v>762</v>
      </c>
      <c r="J8" s="108" t="s">
        <v>820</v>
      </c>
      <c r="K8" s="107" t="s">
        <v>1029</v>
      </c>
      <c r="L8" s="108">
        <v>115</v>
      </c>
      <c r="M8" s="78">
        <v>1955</v>
      </c>
      <c r="N8" s="89">
        <f>M8+70</f>
        <v>2025</v>
      </c>
      <c r="P8" s="78" t="s">
        <v>590</v>
      </c>
      <c r="Q8" s="35" t="s">
        <v>592</v>
      </c>
      <c r="R8" s="126">
        <v>7</v>
      </c>
      <c r="S8" s="208">
        <f>System!$E$6</f>
        <v>0.98099999999999998</v>
      </c>
      <c r="T8" s="209">
        <f>R8*S8</f>
        <v>6.867</v>
      </c>
      <c r="U8" s="115">
        <f>V8*1000/(R8*24*365)</f>
        <v>0.79500978473581219</v>
      </c>
      <c r="V8" s="154">
        <v>48.75</v>
      </c>
      <c r="W8" s="65">
        <v>8</v>
      </c>
      <c r="Y8" s="11"/>
      <c r="Z8" s="11"/>
    </row>
    <row r="9" spans="1:26" ht="20" x14ac:dyDescent="0.25">
      <c r="B9" s="11" t="s">
        <v>456</v>
      </c>
      <c r="C9" s="35" t="s">
        <v>1251</v>
      </c>
      <c r="D9" s="11" t="s">
        <v>75</v>
      </c>
      <c r="E9" s="35" t="s">
        <v>81</v>
      </c>
      <c r="F9" s="87">
        <v>50.398146241654501</v>
      </c>
      <c r="G9" s="87">
        <v>-95.9979196840779</v>
      </c>
      <c r="H9" s="107" t="s">
        <v>604</v>
      </c>
      <c r="I9" s="35" t="s">
        <v>762</v>
      </c>
      <c r="J9" s="108" t="s">
        <v>820</v>
      </c>
      <c r="K9" s="107" t="s">
        <v>1029</v>
      </c>
      <c r="L9" s="108">
        <v>115</v>
      </c>
      <c r="M9" s="78">
        <v>1955</v>
      </c>
      <c r="N9" s="89">
        <f>M9+70</f>
        <v>2025</v>
      </c>
      <c r="P9" s="78" t="s">
        <v>590</v>
      </c>
      <c r="Q9" s="35" t="s">
        <v>592</v>
      </c>
      <c r="R9" s="126">
        <v>7</v>
      </c>
      <c r="S9" s="208">
        <f>System!$E$6</f>
        <v>0.98099999999999998</v>
      </c>
      <c r="T9" s="209">
        <f>R9*S9</f>
        <v>6.867</v>
      </c>
      <c r="U9" s="115">
        <f>V9*1000/(R9*24*365)</f>
        <v>0.79500978473581219</v>
      </c>
      <c r="V9" s="154">
        <v>48.75</v>
      </c>
      <c r="W9" s="65">
        <v>8</v>
      </c>
      <c r="Y9" s="11"/>
      <c r="Z9" s="11"/>
    </row>
    <row r="10" spans="1:26" ht="20" x14ac:dyDescent="0.25">
      <c r="B10" s="11" t="s">
        <v>457</v>
      </c>
      <c r="C10" s="35" t="s">
        <v>1263</v>
      </c>
      <c r="D10" s="11" t="s">
        <v>75</v>
      </c>
      <c r="E10" s="35" t="s">
        <v>81</v>
      </c>
      <c r="F10" s="87">
        <v>50.398146241654501</v>
      </c>
      <c r="G10" s="87">
        <v>-95.9979196840779</v>
      </c>
      <c r="H10" s="107" t="s">
        <v>604</v>
      </c>
      <c r="I10" s="35" t="s">
        <v>762</v>
      </c>
      <c r="J10" s="108" t="s">
        <v>820</v>
      </c>
      <c r="K10" s="107" t="s">
        <v>1029</v>
      </c>
      <c r="L10" s="108">
        <v>115</v>
      </c>
      <c r="M10" s="78">
        <v>1955</v>
      </c>
      <c r="N10" s="89">
        <f>M10+70</f>
        <v>2025</v>
      </c>
      <c r="P10" s="78" t="s">
        <v>590</v>
      </c>
      <c r="Q10" s="35" t="s">
        <v>592</v>
      </c>
      <c r="R10" s="126">
        <v>7</v>
      </c>
      <c r="S10" s="208">
        <f>System!$E$6</f>
        <v>0.98099999999999998</v>
      </c>
      <c r="T10" s="209">
        <f>R10*S10</f>
        <v>6.867</v>
      </c>
      <c r="U10" s="115">
        <f>V10*1000/(R10*24*365)</f>
        <v>0.79500978473581219</v>
      </c>
      <c r="V10" s="154">
        <v>48.75</v>
      </c>
      <c r="W10" s="65">
        <v>8</v>
      </c>
      <c r="Y10" s="11"/>
      <c r="Z10" s="11"/>
    </row>
    <row r="11" spans="1:26" ht="20" x14ac:dyDescent="0.25">
      <c r="B11" s="11" t="s">
        <v>458</v>
      </c>
      <c r="C11" s="35" t="s">
        <v>1273</v>
      </c>
      <c r="D11" s="11" t="s">
        <v>75</v>
      </c>
      <c r="E11" s="35" t="s">
        <v>81</v>
      </c>
      <c r="F11" s="87">
        <v>50.398146241654501</v>
      </c>
      <c r="G11" s="87">
        <v>-95.9979196840779</v>
      </c>
      <c r="H11" s="107" t="s">
        <v>604</v>
      </c>
      <c r="I11" s="35" t="s">
        <v>762</v>
      </c>
      <c r="J11" s="108" t="s">
        <v>820</v>
      </c>
      <c r="K11" s="107" t="s">
        <v>1029</v>
      </c>
      <c r="L11" s="108">
        <v>115</v>
      </c>
      <c r="M11" s="78">
        <v>1955</v>
      </c>
      <c r="N11" s="89">
        <f>M11+70</f>
        <v>2025</v>
      </c>
      <c r="P11" s="78" t="s">
        <v>590</v>
      </c>
      <c r="Q11" s="35" t="s">
        <v>592</v>
      </c>
      <c r="R11" s="126">
        <v>7</v>
      </c>
      <c r="S11" s="208">
        <f>System!$E$6</f>
        <v>0.98099999999999998</v>
      </c>
      <c r="T11" s="209">
        <f>R11*S11</f>
        <v>6.867</v>
      </c>
      <c r="U11" s="115">
        <f>V11*1000/(R11*24*365)</f>
        <v>0.79500978473581219</v>
      </c>
      <c r="V11" s="154">
        <v>48.75</v>
      </c>
      <c r="W11" s="65">
        <v>8</v>
      </c>
      <c r="Y11" s="11"/>
      <c r="Z11" s="11"/>
    </row>
    <row r="12" spans="1:26" ht="20" x14ac:dyDescent="0.25">
      <c r="B12" s="11" t="s">
        <v>459</v>
      </c>
      <c r="C12" s="35" t="s">
        <v>1278</v>
      </c>
      <c r="D12" s="11" t="s">
        <v>75</v>
      </c>
      <c r="E12" s="35" t="s">
        <v>81</v>
      </c>
      <c r="F12" s="87">
        <v>50.398146241654501</v>
      </c>
      <c r="G12" s="87">
        <v>-95.9979196840779</v>
      </c>
      <c r="H12" s="107" t="s">
        <v>604</v>
      </c>
      <c r="I12" s="35" t="s">
        <v>762</v>
      </c>
      <c r="J12" s="108" t="s">
        <v>820</v>
      </c>
      <c r="K12" s="107" t="s">
        <v>1029</v>
      </c>
      <c r="L12" s="108">
        <v>115</v>
      </c>
      <c r="M12" s="78">
        <v>1955</v>
      </c>
      <c r="N12" s="89">
        <f>M12+70</f>
        <v>2025</v>
      </c>
      <c r="P12" s="78" t="s">
        <v>590</v>
      </c>
      <c r="Q12" s="35" t="s">
        <v>592</v>
      </c>
      <c r="R12" s="126">
        <v>7</v>
      </c>
      <c r="S12" s="208">
        <f>System!$E$6</f>
        <v>0.98099999999999998</v>
      </c>
      <c r="T12" s="209">
        <f>R12*S12</f>
        <v>6.867</v>
      </c>
      <c r="U12" s="115">
        <f>V12*1000/(R12*24*365)</f>
        <v>0.79500978473581219</v>
      </c>
      <c r="V12" s="154">
        <v>48.75</v>
      </c>
      <c r="W12" s="65">
        <v>8</v>
      </c>
      <c r="Y12" s="11"/>
      <c r="Z12" s="11"/>
    </row>
    <row r="13" spans="1:26" ht="20" x14ac:dyDescent="0.25">
      <c r="B13" s="1" t="s">
        <v>1307</v>
      </c>
      <c r="C13" s="35" t="s">
        <v>1163</v>
      </c>
      <c r="D13" s="1" t="s">
        <v>75</v>
      </c>
      <c r="E13" s="155" t="s">
        <v>1013</v>
      </c>
      <c r="F13" s="244">
        <v>48.999251999999998</v>
      </c>
      <c r="G13" s="244">
        <v>-95.539420000000007</v>
      </c>
      <c r="H13" s="107" t="s">
        <v>604</v>
      </c>
      <c r="I13" s="35" t="s">
        <v>762</v>
      </c>
      <c r="J13" s="108" t="s">
        <v>896</v>
      </c>
      <c r="K13" s="107" t="s">
        <v>827</v>
      </c>
      <c r="L13" s="108">
        <v>500</v>
      </c>
      <c r="M13" s="155">
        <v>2015</v>
      </c>
      <c r="N13" s="155">
        <v>2025</v>
      </c>
      <c r="P13" s="155" t="s">
        <v>590</v>
      </c>
      <c r="Q13" s="35" t="s">
        <v>592</v>
      </c>
      <c r="R13" s="156">
        <v>-375</v>
      </c>
      <c r="S13" s="208">
        <f>System!$E$6</f>
        <v>0.98099999999999998</v>
      </c>
      <c r="T13" s="209">
        <f>R13*S13</f>
        <v>-367.875</v>
      </c>
      <c r="U13" s="160">
        <v>0.9</v>
      </c>
      <c r="V13" s="157">
        <f>R13*24*365*U13/1000</f>
        <v>-2956.5</v>
      </c>
      <c r="W13" s="59">
        <v>1</v>
      </c>
      <c r="Y13" s="11"/>
      <c r="Z13" s="11"/>
    </row>
    <row r="14" spans="1:26" ht="20" x14ac:dyDescent="0.25">
      <c r="B14" s="1" t="s">
        <v>1308</v>
      </c>
      <c r="C14" s="35" t="s">
        <v>1165</v>
      </c>
      <c r="D14" s="1" t="s">
        <v>75</v>
      </c>
      <c r="E14" s="155" t="s">
        <v>1013</v>
      </c>
      <c r="F14" s="87">
        <v>49.000378986758797</v>
      </c>
      <c r="G14" s="87">
        <v>-95.912972109943794</v>
      </c>
      <c r="H14" s="107" t="s">
        <v>604</v>
      </c>
      <c r="I14" s="35" t="s">
        <v>762</v>
      </c>
      <c r="J14" s="145" t="s">
        <v>897</v>
      </c>
      <c r="K14" s="107" t="s">
        <v>828</v>
      </c>
      <c r="L14" s="145">
        <v>500</v>
      </c>
      <c r="M14" s="155">
        <v>2021</v>
      </c>
      <c r="N14" s="155">
        <v>2025</v>
      </c>
      <c r="P14" s="155" t="s">
        <v>590</v>
      </c>
      <c r="Q14" s="35" t="s">
        <v>592</v>
      </c>
      <c r="R14" s="156">
        <v>-125</v>
      </c>
      <c r="S14" s="208">
        <f>System!$E$6</f>
        <v>0.98099999999999998</v>
      </c>
      <c r="T14" s="209">
        <f>R14*S14</f>
        <v>-122.625</v>
      </c>
      <c r="U14" s="160">
        <v>0.9</v>
      </c>
      <c r="V14" s="157">
        <f>R14*24*365*U14/1000</f>
        <v>-985.5</v>
      </c>
      <c r="W14" s="59">
        <v>1</v>
      </c>
      <c r="Y14" s="11"/>
      <c r="Z14" s="11"/>
    </row>
    <row r="15" spans="1:26" ht="20" x14ac:dyDescent="0.25">
      <c r="B15" s="1" t="s">
        <v>1306</v>
      </c>
      <c r="C15" s="35" t="s">
        <v>1166</v>
      </c>
      <c r="D15" s="1" t="s">
        <v>75</v>
      </c>
      <c r="E15" s="155" t="s">
        <v>1013</v>
      </c>
      <c r="F15" s="87">
        <v>49.000378986758797</v>
      </c>
      <c r="G15" s="87">
        <v>-95.912972109943794</v>
      </c>
      <c r="H15" s="107" t="s">
        <v>604</v>
      </c>
      <c r="I15" s="35" t="s">
        <v>762</v>
      </c>
      <c r="J15" s="145" t="s">
        <v>897</v>
      </c>
      <c r="K15" s="107" t="s">
        <v>828</v>
      </c>
      <c r="L15" s="145">
        <v>500</v>
      </c>
      <c r="M15" s="155">
        <v>2021</v>
      </c>
      <c r="N15" s="155">
        <v>2027</v>
      </c>
      <c r="P15" s="155" t="s">
        <v>590</v>
      </c>
      <c r="Q15" s="35" t="s">
        <v>592</v>
      </c>
      <c r="R15" s="156">
        <v>-100</v>
      </c>
      <c r="S15" s="208">
        <f>System!$E$6</f>
        <v>0.98099999999999998</v>
      </c>
      <c r="T15" s="209">
        <f>R15*S15</f>
        <v>-98.1</v>
      </c>
      <c r="U15" s="160">
        <v>0.9</v>
      </c>
      <c r="V15" s="157">
        <f>R15*24*365*U15/1000</f>
        <v>-788.4</v>
      </c>
      <c r="W15" s="59">
        <v>1</v>
      </c>
      <c r="Y15" s="11"/>
      <c r="Z15" s="11"/>
    </row>
    <row r="16" spans="1:26" ht="20" x14ac:dyDescent="0.25">
      <c r="B16" s="11" t="s">
        <v>89</v>
      </c>
      <c r="C16" s="35" t="s">
        <v>1211</v>
      </c>
      <c r="D16" s="11" t="s">
        <v>75</v>
      </c>
      <c r="E16" s="158" t="s">
        <v>430</v>
      </c>
      <c r="F16" s="87">
        <v>56.250728257154897</v>
      </c>
      <c r="G16" s="87">
        <v>-101.117210205232</v>
      </c>
      <c r="H16" s="107" t="s">
        <v>604</v>
      </c>
      <c r="I16" s="35" t="s">
        <v>762</v>
      </c>
      <c r="J16" s="111" t="s">
        <v>1017</v>
      </c>
      <c r="K16" s="107" t="s">
        <v>1027</v>
      </c>
      <c r="L16" s="108">
        <v>138</v>
      </c>
      <c r="M16" s="78">
        <v>1958</v>
      </c>
      <c r="N16" s="89">
        <f>M16+70</f>
        <v>2028</v>
      </c>
      <c r="P16" s="78" t="s">
        <v>150</v>
      </c>
      <c r="Q16" s="35" t="s">
        <v>930</v>
      </c>
      <c r="R16" s="126">
        <v>5</v>
      </c>
      <c r="S16" s="208">
        <f>System!$E$5</f>
        <v>0.65</v>
      </c>
      <c r="T16" s="209">
        <f>R16*S16</f>
        <v>3.25</v>
      </c>
      <c r="U16" s="115">
        <f>V16*1000/(R16*24*365)</f>
        <v>0.68493150684931503</v>
      </c>
      <c r="V16" s="154">
        <v>30</v>
      </c>
      <c r="W16" s="59">
        <v>2</v>
      </c>
      <c r="Y16" s="11"/>
      <c r="Z16" s="11"/>
    </row>
    <row r="17" spans="2:26" ht="20" x14ac:dyDescent="0.25">
      <c r="B17" s="1" t="s">
        <v>1303</v>
      </c>
      <c r="C17" s="35" t="s">
        <v>1167</v>
      </c>
      <c r="D17" s="1" t="s">
        <v>75</v>
      </c>
      <c r="E17" s="155" t="s">
        <v>1013</v>
      </c>
      <c r="F17" s="244">
        <v>48.999389000000001</v>
      </c>
      <c r="G17" s="244">
        <v>-99.559235400000006</v>
      </c>
      <c r="H17" s="107" t="s">
        <v>604</v>
      </c>
      <c r="I17" s="35" t="s">
        <v>762</v>
      </c>
      <c r="J17" s="108" t="s">
        <v>899</v>
      </c>
      <c r="K17" s="107" t="s">
        <v>830</v>
      </c>
      <c r="L17" s="108">
        <v>230</v>
      </c>
      <c r="M17" s="155">
        <v>2023</v>
      </c>
      <c r="N17" s="155">
        <v>2028</v>
      </c>
      <c r="P17" s="155" t="s">
        <v>590</v>
      </c>
      <c r="Q17" s="35" t="s">
        <v>592</v>
      </c>
      <c r="R17" s="156">
        <v>-80</v>
      </c>
      <c r="S17" s="208">
        <f>System!$E$6</f>
        <v>0.98099999999999998</v>
      </c>
      <c r="T17" s="209">
        <f>R17*S17</f>
        <v>-78.48</v>
      </c>
      <c r="U17" s="160">
        <v>0.9</v>
      </c>
      <c r="V17" s="157">
        <f>R17*24*365*U17/1000</f>
        <v>-630.72</v>
      </c>
      <c r="W17" s="59">
        <v>1</v>
      </c>
      <c r="Y17" s="11"/>
      <c r="Z17" s="11"/>
    </row>
    <row r="18" spans="2:26" ht="20" x14ac:dyDescent="0.25">
      <c r="B18" s="11" t="s">
        <v>466</v>
      </c>
      <c r="C18" s="35" t="s">
        <v>1200</v>
      </c>
      <c r="D18" s="11" t="s">
        <v>75</v>
      </c>
      <c r="E18" s="35" t="s">
        <v>96</v>
      </c>
      <c r="F18" s="87">
        <v>50.134731000000002</v>
      </c>
      <c r="G18" s="87">
        <v>-96.852007999999998</v>
      </c>
      <c r="H18" s="107" t="s">
        <v>604</v>
      </c>
      <c r="I18" s="35" t="s">
        <v>762</v>
      </c>
      <c r="J18" s="108" t="s">
        <v>751</v>
      </c>
      <c r="K18" s="107" t="s">
        <v>1033</v>
      </c>
      <c r="L18" s="108">
        <v>115</v>
      </c>
      <c r="M18" s="78">
        <v>1960</v>
      </c>
      <c r="N18" s="89">
        <f>M18+70</f>
        <v>2030</v>
      </c>
      <c r="P18" s="78" t="s">
        <v>149</v>
      </c>
      <c r="Q18" s="101" t="s">
        <v>1309</v>
      </c>
      <c r="R18" s="126">
        <v>66</v>
      </c>
      <c r="S18" s="208">
        <f>System!$E$4</f>
        <v>0.95299999999999996</v>
      </c>
      <c r="T18" s="209">
        <f>R18*S18</f>
        <v>62.897999999999996</v>
      </c>
      <c r="U18" s="115">
        <f>V18*1000/(R18*24*365)</f>
        <v>9.3514626862229618E-3</v>
      </c>
      <c r="V18" s="126">
        <v>5.4066416666666672</v>
      </c>
      <c r="W18" s="65">
        <v>2</v>
      </c>
      <c r="Y18" s="11"/>
      <c r="Z18" s="11"/>
    </row>
    <row r="19" spans="2:26" ht="20" x14ac:dyDescent="0.25">
      <c r="B19" s="11" t="s">
        <v>467</v>
      </c>
      <c r="C19" s="35" t="s">
        <v>1215</v>
      </c>
      <c r="D19" s="11" t="s">
        <v>75</v>
      </c>
      <c r="E19" s="35" t="s">
        <v>96</v>
      </c>
      <c r="F19" s="87">
        <v>50.134731000000002</v>
      </c>
      <c r="G19" s="87">
        <v>-96.852007999999998</v>
      </c>
      <c r="H19" s="107" t="s">
        <v>604</v>
      </c>
      <c r="I19" s="35" t="s">
        <v>762</v>
      </c>
      <c r="J19" s="108" t="s">
        <v>751</v>
      </c>
      <c r="K19" s="107" t="s">
        <v>1033</v>
      </c>
      <c r="L19" s="108">
        <v>115</v>
      </c>
      <c r="M19" s="78">
        <v>1960</v>
      </c>
      <c r="N19" s="89">
        <f>M19+70</f>
        <v>2030</v>
      </c>
      <c r="P19" s="78" t="s">
        <v>149</v>
      </c>
      <c r="Q19" s="101" t="s">
        <v>1309</v>
      </c>
      <c r="R19" s="126">
        <v>66</v>
      </c>
      <c r="S19" s="208">
        <f>System!$E$4</f>
        <v>0.95299999999999996</v>
      </c>
      <c r="T19" s="209">
        <f>R19*S19</f>
        <v>62.897999999999996</v>
      </c>
      <c r="U19" s="115">
        <f>V19*1000/(R19*24*365)</f>
        <v>9.3514626862229618E-3</v>
      </c>
      <c r="V19" s="126">
        <v>5.4066416666666672</v>
      </c>
      <c r="W19" s="59">
        <v>2</v>
      </c>
      <c r="Y19" s="11"/>
      <c r="Z19" s="11"/>
    </row>
    <row r="20" spans="2:26" ht="20" x14ac:dyDescent="0.25">
      <c r="B20" s="11" t="s">
        <v>409</v>
      </c>
      <c r="C20" s="35" t="s">
        <v>1192</v>
      </c>
      <c r="D20" s="11" t="s">
        <v>75</v>
      </c>
      <c r="E20" s="35" t="s">
        <v>83</v>
      </c>
      <c r="F20" s="87">
        <v>56.040452980633098</v>
      </c>
      <c r="G20" s="87">
        <v>-96.537730797842201</v>
      </c>
      <c r="H20" s="107" t="s">
        <v>604</v>
      </c>
      <c r="I20" s="35" t="s">
        <v>762</v>
      </c>
      <c r="J20" s="111" t="s">
        <v>754</v>
      </c>
      <c r="K20" s="107" t="s">
        <v>1024</v>
      </c>
      <c r="L20" s="108">
        <v>138</v>
      </c>
      <c r="M20" s="78">
        <v>1961</v>
      </c>
      <c r="N20" s="89">
        <f>M20+70</f>
        <v>2031</v>
      </c>
      <c r="P20" s="78" t="s">
        <v>152</v>
      </c>
      <c r="Q20" s="35" t="s">
        <v>591</v>
      </c>
      <c r="R20" s="126">
        <v>41</v>
      </c>
      <c r="S20" s="208">
        <f>System!$E$7</f>
        <v>0.98099999999999998</v>
      </c>
      <c r="T20" s="209">
        <f>R20*S20</f>
        <v>40.220999999999997</v>
      </c>
      <c r="U20" s="115">
        <f>V20*1000/(R20*24*365)</f>
        <v>0.71993381381954713</v>
      </c>
      <c r="V20" s="154">
        <v>258.57142857142856</v>
      </c>
      <c r="W20" s="65">
        <v>7</v>
      </c>
      <c r="Y20" s="11"/>
      <c r="Z20" s="11"/>
    </row>
    <row r="21" spans="2:26" ht="20" x14ac:dyDescent="0.25">
      <c r="B21" s="11" t="s">
        <v>410</v>
      </c>
      <c r="C21" s="35" t="s">
        <v>1207</v>
      </c>
      <c r="D21" s="11" t="s">
        <v>75</v>
      </c>
      <c r="E21" s="35" t="s">
        <v>83</v>
      </c>
      <c r="F21" s="87">
        <v>56.040452980633098</v>
      </c>
      <c r="G21" s="87">
        <v>-96.537730797842201</v>
      </c>
      <c r="H21" s="107" t="s">
        <v>604</v>
      </c>
      <c r="I21" s="35" t="s">
        <v>762</v>
      </c>
      <c r="J21" s="111" t="s">
        <v>754</v>
      </c>
      <c r="K21" s="107" t="s">
        <v>1024</v>
      </c>
      <c r="L21" s="108">
        <v>138</v>
      </c>
      <c r="M21" s="78">
        <v>1961</v>
      </c>
      <c r="N21" s="89">
        <f>M21+70</f>
        <v>2031</v>
      </c>
      <c r="P21" s="78" t="s">
        <v>152</v>
      </c>
      <c r="Q21" s="35" t="s">
        <v>591</v>
      </c>
      <c r="R21" s="126">
        <v>41</v>
      </c>
      <c r="S21" s="208">
        <f>System!$E$7</f>
        <v>0.98099999999999998</v>
      </c>
      <c r="T21" s="209">
        <f>R21*S21</f>
        <v>40.220999999999997</v>
      </c>
      <c r="U21" s="115">
        <f>V21*1000/(R21*24*365)</f>
        <v>0.71993381381954713</v>
      </c>
      <c r="V21" s="154">
        <v>258.57142857142856</v>
      </c>
      <c r="W21" s="65">
        <v>7</v>
      </c>
      <c r="Y21" s="11"/>
      <c r="Z21" s="11"/>
    </row>
    <row r="22" spans="2:26" ht="20" x14ac:dyDescent="0.25">
      <c r="B22" s="11" t="s">
        <v>411</v>
      </c>
      <c r="C22" s="35" t="s">
        <v>1222</v>
      </c>
      <c r="D22" s="11" t="s">
        <v>75</v>
      </c>
      <c r="E22" s="35" t="s">
        <v>83</v>
      </c>
      <c r="F22" s="87">
        <v>56.040452980633098</v>
      </c>
      <c r="G22" s="87">
        <v>-96.537730797842201</v>
      </c>
      <c r="H22" s="107" t="s">
        <v>604</v>
      </c>
      <c r="I22" s="35" t="s">
        <v>762</v>
      </c>
      <c r="J22" s="111" t="s">
        <v>754</v>
      </c>
      <c r="K22" s="107" t="s">
        <v>1024</v>
      </c>
      <c r="L22" s="108">
        <v>138</v>
      </c>
      <c r="M22" s="78">
        <v>1961</v>
      </c>
      <c r="N22" s="89">
        <f>M22+70</f>
        <v>2031</v>
      </c>
      <c r="P22" s="78" t="s">
        <v>152</v>
      </c>
      <c r="Q22" s="35" t="s">
        <v>591</v>
      </c>
      <c r="R22" s="126">
        <v>41</v>
      </c>
      <c r="S22" s="208">
        <f>System!$E$7</f>
        <v>0.98099999999999998</v>
      </c>
      <c r="T22" s="209">
        <f>R22*S22</f>
        <v>40.220999999999997</v>
      </c>
      <c r="U22" s="115">
        <f>V22*1000/(R22*24*365)</f>
        <v>0.71993381381954713</v>
      </c>
      <c r="V22" s="154">
        <v>258.57142857142856</v>
      </c>
      <c r="W22" s="65">
        <v>7</v>
      </c>
      <c r="Y22" s="11"/>
      <c r="Z22" s="11"/>
    </row>
    <row r="23" spans="2:26" ht="20" x14ac:dyDescent="0.25">
      <c r="B23" s="11" t="s">
        <v>412</v>
      </c>
      <c r="C23" s="35" t="s">
        <v>1235</v>
      </c>
      <c r="D23" s="11" t="s">
        <v>75</v>
      </c>
      <c r="E23" s="35" t="s">
        <v>83</v>
      </c>
      <c r="F23" s="87">
        <v>56.040452980633098</v>
      </c>
      <c r="G23" s="87">
        <v>-96.537730797842201</v>
      </c>
      <c r="H23" s="107" t="s">
        <v>604</v>
      </c>
      <c r="I23" s="35" t="s">
        <v>762</v>
      </c>
      <c r="J23" s="111" t="s">
        <v>754</v>
      </c>
      <c r="K23" s="107" t="s">
        <v>1024</v>
      </c>
      <c r="L23" s="108">
        <v>138</v>
      </c>
      <c r="M23" s="78">
        <v>1961</v>
      </c>
      <c r="N23" s="89">
        <f>M23+70</f>
        <v>2031</v>
      </c>
      <c r="P23" s="78" t="s">
        <v>152</v>
      </c>
      <c r="Q23" s="35" t="s">
        <v>591</v>
      </c>
      <c r="R23" s="126">
        <v>41</v>
      </c>
      <c r="S23" s="208">
        <f>System!$E$7</f>
        <v>0.98099999999999998</v>
      </c>
      <c r="T23" s="209">
        <f>R23*S23</f>
        <v>40.220999999999997</v>
      </c>
      <c r="U23" s="115">
        <f>V23*1000/(R23*24*365)</f>
        <v>0.71993381381954713</v>
      </c>
      <c r="V23" s="154">
        <v>258.57142857142856</v>
      </c>
      <c r="W23" s="65">
        <v>7</v>
      </c>
      <c r="Y23" s="11"/>
      <c r="Z23" s="11"/>
    </row>
    <row r="24" spans="2:26" ht="20" x14ac:dyDescent="0.25">
      <c r="B24" s="11" t="s">
        <v>413</v>
      </c>
      <c r="C24" s="35" t="s">
        <v>1246</v>
      </c>
      <c r="D24" s="11" t="s">
        <v>75</v>
      </c>
      <c r="E24" s="35" t="s">
        <v>83</v>
      </c>
      <c r="F24" s="87">
        <v>56.040452980633098</v>
      </c>
      <c r="G24" s="87">
        <v>-96.537730797842201</v>
      </c>
      <c r="H24" s="107" t="s">
        <v>604</v>
      </c>
      <c r="I24" s="35" t="s">
        <v>762</v>
      </c>
      <c r="J24" s="111" t="s">
        <v>754</v>
      </c>
      <c r="K24" s="107" t="s">
        <v>1024</v>
      </c>
      <c r="L24" s="108">
        <v>138</v>
      </c>
      <c r="M24" s="78">
        <v>1961</v>
      </c>
      <c r="N24" s="89">
        <f>M24+70</f>
        <v>2031</v>
      </c>
      <c r="P24" s="78" t="s">
        <v>152</v>
      </c>
      <c r="Q24" s="35" t="s">
        <v>591</v>
      </c>
      <c r="R24" s="126">
        <v>41</v>
      </c>
      <c r="S24" s="208">
        <f>System!$E$7</f>
        <v>0.98099999999999998</v>
      </c>
      <c r="T24" s="209">
        <f>R24*S24</f>
        <v>40.220999999999997</v>
      </c>
      <c r="U24" s="115">
        <f>V24*1000/(R24*24*365)</f>
        <v>0.71993381381954713</v>
      </c>
      <c r="V24" s="154">
        <v>258.57142857142856</v>
      </c>
      <c r="W24" s="65">
        <v>7</v>
      </c>
      <c r="Y24" s="11"/>
      <c r="Z24" s="11"/>
    </row>
    <row r="25" spans="2:26" ht="20" x14ac:dyDescent="0.25">
      <c r="B25" s="11" t="s">
        <v>414</v>
      </c>
      <c r="C25" s="35" t="s">
        <v>1258</v>
      </c>
      <c r="D25" s="11" t="s">
        <v>75</v>
      </c>
      <c r="E25" s="35" t="s">
        <v>83</v>
      </c>
      <c r="F25" s="87">
        <v>56.040452980633098</v>
      </c>
      <c r="G25" s="87">
        <v>-96.537730797842201</v>
      </c>
      <c r="H25" s="107" t="s">
        <v>604</v>
      </c>
      <c r="I25" s="35" t="s">
        <v>762</v>
      </c>
      <c r="J25" s="111" t="s">
        <v>754</v>
      </c>
      <c r="K25" s="107" t="s">
        <v>1024</v>
      </c>
      <c r="L25" s="108">
        <v>138</v>
      </c>
      <c r="M25" s="78">
        <v>1961</v>
      </c>
      <c r="N25" s="89">
        <f>M25+70</f>
        <v>2031</v>
      </c>
      <c r="P25" s="78" t="s">
        <v>152</v>
      </c>
      <c r="Q25" s="35" t="s">
        <v>591</v>
      </c>
      <c r="R25" s="126">
        <v>41</v>
      </c>
      <c r="S25" s="208">
        <f>System!$E$7</f>
        <v>0.98099999999999998</v>
      </c>
      <c r="T25" s="209">
        <f>R25*S25</f>
        <v>40.220999999999997</v>
      </c>
      <c r="U25" s="115">
        <f>V25*1000/(R25*24*365)</f>
        <v>0.71993381381954713</v>
      </c>
      <c r="V25" s="154">
        <v>258.57142857142856</v>
      </c>
      <c r="W25" s="65">
        <v>7</v>
      </c>
      <c r="Y25" s="11"/>
      <c r="Z25" s="11"/>
    </row>
    <row r="26" spans="2:26" ht="20" x14ac:dyDescent="0.25">
      <c r="B26" s="11" t="s">
        <v>415</v>
      </c>
      <c r="C26" s="35" t="s">
        <v>1268</v>
      </c>
      <c r="D26" s="11" t="s">
        <v>75</v>
      </c>
      <c r="E26" s="35" t="s">
        <v>83</v>
      </c>
      <c r="F26" s="87">
        <v>56.040452980633098</v>
      </c>
      <c r="G26" s="87">
        <v>-96.537730797842201</v>
      </c>
      <c r="H26" s="107" t="s">
        <v>604</v>
      </c>
      <c r="I26" s="35" t="s">
        <v>762</v>
      </c>
      <c r="J26" s="111" t="s">
        <v>754</v>
      </c>
      <c r="K26" s="107" t="s">
        <v>1024</v>
      </c>
      <c r="L26" s="108">
        <v>138</v>
      </c>
      <c r="M26" s="78">
        <v>1961</v>
      </c>
      <c r="N26" s="89">
        <f>M26+70</f>
        <v>2031</v>
      </c>
      <c r="P26" s="78" t="s">
        <v>152</v>
      </c>
      <c r="Q26" s="35" t="s">
        <v>591</v>
      </c>
      <c r="R26" s="126">
        <v>41</v>
      </c>
      <c r="S26" s="208">
        <f>System!$E$7</f>
        <v>0.98099999999999998</v>
      </c>
      <c r="T26" s="209">
        <f>R26*S26</f>
        <v>40.220999999999997</v>
      </c>
      <c r="U26" s="115">
        <f>V26*1000/(R26*24*365)</f>
        <v>0.71993381381954713</v>
      </c>
      <c r="V26" s="154">
        <v>258.57142857142856</v>
      </c>
      <c r="W26" s="59">
        <v>7</v>
      </c>
      <c r="Y26" s="11"/>
      <c r="Z26" s="11"/>
    </row>
    <row r="27" spans="2:26" ht="20" x14ac:dyDescent="0.25">
      <c r="B27" s="11" t="s">
        <v>145</v>
      </c>
      <c r="C27" s="35" t="s">
        <v>1301</v>
      </c>
      <c r="D27" s="11" t="s">
        <v>147</v>
      </c>
      <c r="E27" s="35" t="s">
        <v>99</v>
      </c>
      <c r="F27" s="87">
        <v>49.140340416168698</v>
      </c>
      <c r="G27" s="87">
        <v>-97.367257129357597</v>
      </c>
      <c r="H27" s="107" t="s">
        <v>604</v>
      </c>
      <c r="I27" s="35" t="s">
        <v>762</v>
      </c>
      <c r="J27" s="108" t="s">
        <v>753</v>
      </c>
      <c r="K27" s="107" t="s">
        <v>1035</v>
      </c>
      <c r="L27" s="108">
        <v>230</v>
      </c>
      <c r="M27" s="78">
        <v>2012</v>
      </c>
      <c r="N27" s="78">
        <v>2032</v>
      </c>
      <c r="P27" s="78" t="s">
        <v>151</v>
      </c>
      <c r="Q27" s="101" t="s">
        <v>931</v>
      </c>
      <c r="R27" s="128">
        <v>138</v>
      </c>
      <c r="S27" s="242">
        <f>System!$E$8</f>
        <v>0.2</v>
      </c>
      <c r="T27" s="127">
        <f>R27*S27</f>
        <v>27.6</v>
      </c>
      <c r="U27" s="115">
        <f>System!$F$8</f>
        <v>0.35</v>
      </c>
      <c r="V27" s="127">
        <f>R27*24*365*U27/1000</f>
        <v>423.108</v>
      </c>
      <c r="W27" s="123"/>
      <c r="Y27" s="99"/>
      <c r="Z27" s="99"/>
    </row>
    <row r="28" spans="2:26" ht="20" x14ac:dyDescent="0.25">
      <c r="B28" s="11" t="s">
        <v>146</v>
      </c>
      <c r="C28" s="35" t="s">
        <v>1302</v>
      </c>
      <c r="D28" s="11" t="s">
        <v>148</v>
      </c>
      <c r="E28" s="35" t="s">
        <v>99</v>
      </c>
      <c r="F28" s="87">
        <v>49.346048260805802</v>
      </c>
      <c r="G28" s="87">
        <v>-98.632345597899501</v>
      </c>
      <c r="H28" s="107" t="s">
        <v>604</v>
      </c>
      <c r="I28" s="35" t="s">
        <v>762</v>
      </c>
      <c r="J28" s="108" t="s">
        <v>747</v>
      </c>
      <c r="K28" s="107" t="s">
        <v>1036</v>
      </c>
      <c r="L28" s="108">
        <v>230</v>
      </c>
      <c r="M28" s="78">
        <v>2012</v>
      </c>
      <c r="N28" s="78">
        <v>2032</v>
      </c>
      <c r="P28" s="78" t="s">
        <v>151</v>
      </c>
      <c r="Q28" s="101" t="s">
        <v>931</v>
      </c>
      <c r="R28" s="128">
        <v>120</v>
      </c>
      <c r="S28" s="242">
        <f>System!$E$8</f>
        <v>0.2</v>
      </c>
      <c r="T28" s="127">
        <f>R28*S28</f>
        <v>24</v>
      </c>
      <c r="U28" s="115">
        <f>System!$F$8</f>
        <v>0.35</v>
      </c>
      <c r="V28" s="127">
        <f>R28*24*365*U28/1000</f>
        <v>367.92</v>
      </c>
      <c r="W28" s="59"/>
      <c r="Y28" s="99"/>
      <c r="Z28" s="99"/>
    </row>
    <row r="29" spans="2:26" ht="20" x14ac:dyDescent="0.25">
      <c r="B29" s="1" t="s">
        <v>1305</v>
      </c>
      <c r="C29" s="35" t="s">
        <v>1164</v>
      </c>
      <c r="D29" s="1" t="s">
        <v>75</v>
      </c>
      <c r="E29" s="155" t="s">
        <v>1013</v>
      </c>
      <c r="F29" s="87">
        <v>49.000378986758797</v>
      </c>
      <c r="G29" s="87">
        <v>-95.912972109943794</v>
      </c>
      <c r="H29" s="107" t="s">
        <v>604</v>
      </c>
      <c r="I29" s="35" t="s">
        <v>762</v>
      </c>
      <c r="J29" s="145" t="s">
        <v>897</v>
      </c>
      <c r="K29" s="107" t="s">
        <v>828</v>
      </c>
      <c r="L29" s="145">
        <v>500</v>
      </c>
      <c r="M29" s="155">
        <v>2020</v>
      </c>
      <c r="N29" s="155">
        <v>2035</v>
      </c>
      <c r="P29" s="155" t="s">
        <v>590</v>
      </c>
      <c r="Q29" s="35" t="s">
        <v>592</v>
      </c>
      <c r="R29" s="156">
        <v>-250</v>
      </c>
      <c r="S29" s="208">
        <f>System!$E$6</f>
        <v>0.98099999999999998</v>
      </c>
      <c r="T29" s="209">
        <f>R29*S29</f>
        <v>-245.25</v>
      </c>
      <c r="U29" s="160">
        <v>0.9</v>
      </c>
      <c r="V29" s="157">
        <f>R29*24*365*U29/1000</f>
        <v>-1971</v>
      </c>
      <c r="W29" s="59">
        <v>1</v>
      </c>
      <c r="Y29" s="104"/>
      <c r="Z29" s="11"/>
    </row>
    <row r="30" spans="2:26" ht="20" x14ac:dyDescent="0.25">
      <c r="B30" s="11" t="s">
        <v>94</v>
      </c>
      <c r="C30" s="35" t="s">
        <v>1300</v>
      </c>
      <c r="D30" s="11" t="s">
        <v>75</v>
      </c>
      <c r="E30" s="35" t="s">
        <v>81</v>
      </c>
      <c r="F30" s="87">
        <v>50.298138412396703</v>
      </c>
      <c r="G30" s="87">
        <v>-95.547967683073594</v>
      </c>
      <c r="H30" s="107" t="s">
        <v>604</v>
      </c>
      <c r="I30" s="35" t="s">
        <v>762</v>
      </c>
      <c r="J30" s="108" t="s">
        <v>740</v>
      </c>
      <c r="K30" s="107" t="s">
        <v>1030</v>
      </c>
      <c r="L30" s="108">
        <v>115</v>
      </c>
      <c r="M30" s="78">
        <v>1926</v>
      </c>
      <c r="N30" s="89">
        <f>M30+70+40</f>
        <v>2036</v>
      </c>
      <c r="P30" s="78" t="s">
        <v>590</v>
      </c>
      <c r="Q30" s="35" t="s">
        <v>592</v>
      </c>
      <c r="R30" s="127">
        <v>33</v>
      </c>
      <c r="S30" s="208">
        <f>System!$E$6</f>
        <v>0.98099999999999998</v>
      </c>
      <c r="T30" s="209">
        <f>R30*S30</f>
        <v>32.372999999999998</v>
      </c>
      <c r="U30" s="115">
        <f>V30*1000/(R30*24*365)</f>
        <v>0.80600525806005263</v>
      </c>
      <c r="V30" s="127">
        <v>233</v>
      </c>
      <c r="W30" s="125">
        <v>1</v>
      </c>
      <c r="Y30" s="11"/>
      <c r="Z30" s="67" t="s">
        <v>95</v>
      </c>
    </row>
    <row r="31" spans="2:26" ht="20" x14ac:dyDescent="0.25">
      <c r="B31" s="11" t="s">
        <v>391</v>
      </c>
      <c r="C31" s="35" t="s">
        <v>1189</v>
      </c>
      <c r="D31" s="11" t="s">
        <v>75</v>
      </c>
      <c r="E31" s="35" t="s">
        <v>81</v>
      </c>
      <c r="F31" s="87">
        <v>50.461846213568997</v>
      </c>
      <c r="G31" s="87">
        <v>-96.009488255597404</v>
      </c>
      <c r="H31" s="107" t="s">
        <v>604</v>
      </c>
      <c r="I31" s="35" t="s">
        <v>762</v>
      </c>
      <c r="J31" s="108" t="s">
        <v>758</v>
      </c>
      <c r="K31" s="107" t="s">
        <v>1021</v>
      </c>
      <c r="L31" s="108">
        <v>115</v>
      </c>
      <c r="M31" s="78">
        <v>1928</v>
      </c>
      <c r="N31" s="89">
        <f>M31+70+40</f>
        <v>2038</v>
      </c>
      <c r="P31" s="78" t="s">
        <v>590</v>
      </c>
      <c r="Q31" s="35" t="s">
        <v>592</v>
      </c>
      <c r="R31" s="126">
        <v>21.5</v>
      </c>
      <c r="S31" s="208">
        <f>System!$E$6</f>
        <v>0.98099999999999998</v>
      </c>
      <c r="T31" s="209">
        <f>R31*S31</f>
        <v>21.0915</v>
      </c>
      <c r="U31" s="115">
        <f>V31*1000/(R31*24*365)</f>
        <v>0.80970585112031435</v>
      </c>
      <c r="V31" s="154">
        <v>152.5</v>
      </c>
      <c r="W31" s="65">
        <v>6</v>
      </c>
      <c r="Y31" s="11"/>
      <c r="Z31" s="11"/>
    </row>
    <row r="32" spans="2:26" ht="20" x14ac:dyDescent="0.25">
      <c r="B32" s="11" t="s">
        <v>392</v>
      </c>
      <c r="C32" s="35" t="s">
        <v>1204</v>
      </c>
      <c r="D32" s="11" t="s">
        <v>75</v>
      </c>
      <c r="E32" s="35" t="s">
        <v>81</v>
      </c>
      <c r="F32" s="87">
        <v>50.461846213568997</v>
      </c>
      <c r="G32" s="87">
        <v>-96.009488255597404</v>
      </c>
      <c r="H32" s="107" t="s">
        <v>604</v>
      </c>
      <c r="I32" s="35" t="s">
        <v>762</v>
      </c>
      <c r="J32" s="108" t="s">
        <v>758</v>
      </c>
      <c r="K32" s="107" t="s">
        <v>1021</v>
      </c>
      <c r="L32" s="108">
        <v>115</v>
      </c>
      <c r="M32" s="78">
        <v>1928</v>
      </c>
      <c r="N32" s="89">
        <f>M32+70+40</f>
        <v>2038</v>
      </c>
      <c r="P32" s="78" t="s">
        <v>590</v>
      </c>
      <c r="Q32" s="35" t="s">
        <v>592</v>
      </c>
      <c r="R32" s="126">
        <v>21.5</v>
      </c>
      <c r="S32" s="208">
        <f>System!$E$6</f>
        <v>0.98099999999999998</v>
      </c>
      <c r="T32" s="209">
        <f>R32*S32</f>
        <v>21.0915</v>
      </c>
      <c r="U32" s="115">
        <f>V32*1000/(R32*24*365)</f>
        <v>0.80970585112031435</v>
      </c>
      <c r="V32" s="154">
        <v>152.5</v>
      </c>
      <c r="W32" s="65">
        <v>6</v>
      </c>
      <c r="Y32" s="11"/>
      <c r="Z32" s="11"/>
    </row>
    <row r="33" spans="2:26" ht="20" x14ac:dyDescent="0.25">
      <c r="B33" s="11" t="s">
        <v>393</v>
      </c>
      <c r="C33" s="35" t="s">
        <v>1219</v>
      </c>
      <c r="D33" s="11" t="s">
        <v>75</v>
      </c>
      <c r="E33" s="35" t="s">
        <v>81</v>
      </c>
      <c r="F33" s="87">
        <v>50.461846213568997</v>
      </c>
      <c r="G33" s="87">
        <v>-96.009488255597404</v>
      </c>
      <c r="H33" s="107" t="s">
        <v>604</v>
      </c>
      <c r="I33" s="35" t="s">
        <v>762</v>
      </c>
      <c r="J33" s="108" t="s">
        <v>758</v>
      </c>
      <c r="K33" s="107" t="s">
        <v>1021</v>
      </c>
      <c r="L33" s="108">
        <v>115</v>
      </c>
      <c r="M33" s="78">
        <v>1928</v>
      </c>
      <c r="N33" s="89">
        <f>M33+70+40</f>
        <v>2038</v>
      </c>
      <c r="P33" s="78" t="s">
        <v>590</v>
      </c>
      <c r="Q33" s="35" t="s">
        <v>592</v>
      </c>
      <c r="R33" s="126">
        <v>21.5</v>
      </c>
      <c r="S33" s="208">
        <f>System!$E$6</f>
        <v>0.98099999999999998</v>
      </c>
      <c r="T33" s="209">
        <f>R33*S33</f>
        <v>21.0915</v>
      </c>
      <c r="U33" s="115">
        <f>V33*1000/(R33*24*365)</f>
        <v>0.80970585112031435</v>
      </c>
      <c r="V33" s="154">
        <v>152.5</v>
      </c>
      <c r="W33" s="65">
        <v>6</v>
      </c>
      <c r="Y33" s="11"/>
      <c r="Z33" s="11"/>
    </row>
    <row r="34" spans="2:26" ht="20" x14ac:dyDescent="0.25">
      <c r="B34" s="11" t="s">
        <v>384</v>
      </c>
      <c r="C34" s="35" t="s">
        <v>1232</v>
      </c>
      <c r="D34" s="11" t="s">
        <v>75</v>
      </c>
      <c r="E34" s="35" t="s">
        <v>81</v>
      </c>
      <c r="F34" s="87">
        <v>50.461846213568997</v>
      </c>
      <c r="G34" s="87">
        <v>-96.009488255597404</v>
      </c>
      <c r="H34" s="107" t="s">
        <v>604</v>
      </c>
      <c r="I34" s="35" t="s">
        <v>762</v>
      </c>
      <c r="J34" s="108" t="s">
        <v>758</v>
      </c>
      <c r="K34" s="107" t="s">
        <v>1021</v>
      </c>
      <c r="L34" s="108">
        <v>115</v>
      </c>
      <c r="M34" s="78">
        <v>1928</v>
      </c>
      <c r="N34" s="89">
        <f>M34+70+40</f>
        <v>2038</v>
      </c>
      <c r="P34" s="78" t="s">
        <v>590</v>
      </c>
      <c r="Q34" s="35" t="s">
        <v>592</v>
      </c>
      <c r="R34" s="126">
        <v>21.5</v>
      </c>
      <c r="S34" s="208">
        <f>System!$E$6</f>
        <v>0.98099999999999998</v>
      </c>
      <c r="T34" s="209">
        <f>R34*S34</f>
        <v>21.0915</v>
      </c>
      <c r="U34" s="115">
        <f>V34*1000/(R34*24*365)</f>
        <v>0.80970585112031435</v>
      </c>
      <c r="V34" s="154">
        <v>152.5</v>
      </c>
      <c r="W34" s="65">
        <v>6</v>
      </c>
      <c r="Y34" s="11"/>
      <c r="Z34" s="11"/>
    </row>
    <row r="35" spans="2:26" ht="20" x14ac:dyDescent="0.25">
      <c r="B35" s="11" t="s">
        <v>394</v>
      </c>
      <c r="C35" s="35" t="s">
        <v>1244</v>
      </c>
      <c r="D35" s="11" t="s">
        <v>75</v>
      </c>
      <c r="E35" s="35" t="s">
        <v>81</v>
      </c>
      <c r="F35" s="87">
        <v>50.461846213568997</v>
      </c>
      <c r="G35" s="87">
        <v>-96.009488255597404</v>
      </c>
      <c r="H35" s="107" t="s">
        <v>604</v>
      </c>
      <c r="I35" s="35" t="s">
        <v>762</v>
      </c>
      <c r="J35" s="108" t="s">
        <v>758</v>
      </c>
      <c r="K35" s="107" t="s">
        <v>1021</v>
      </c>
      <c r="L35" s="108">
        <v>115</v>
      </c>
      <c r="M35" s="78">
        <v>1928</v>
      </c>
      <c r="N35" s="89">
        <f>M35+70+40</f>
        <v>2038</v>
      </c>
      <c r="P35" s="78" t="s">
        <v>590</v>
      </c>
      <c r="Q35" s="35" t="s">
        <v>592</v>
      </c>
      <c r="R35" s="126">
        <v>21.5</v>
      </c>
      <c r="S35" s="208">
        <f>System!$E$6</f>
        <v>0.98099999999999998</v>
      </c>
      <c r="T35" s="209">
        <f>R35*S35</f>
        <v>21.0915</v>
      </c>
      <c r="U35" s="115">
        <f>V35*1000/(R35*24*365)</f>
        <v>0.80970585112031435</v>
      </c>
      <c r="V35" s="154">
        <v>152.5</v>
      </c>
      <c r="W35" s="65">
        <v>6</v>
      </c>
      <c r="Y35" s="11"/>
      <c r="Z35" s="11"/>
    </row>
    <row r="36" spans="2:26" ht="20" x14ac:dyDescent="0.25">
      <c r="B36" s="11" t="s">
        <v>395</v>
      </c>
      <c r="C36" s="35" t="s">
        <v>1256</v>
      </c>
      <c r="D36" s="11" t="s">
        <v>75</v>
      </c>
      <c r="E36" s="35" t="s">
        <v>81</v>
      </c>
      <c r="F36" s="87">
        <v>50.461846213568997</v>
      </c>
      <c r="G36" s="87">
        <v>-96.009488255597404</v>
      </c>
      <c r="H36" s="107" t="s">
        <v>604</v>
      </c>
      <c r="I36" s="35" t="s">
        <v>762</v>
      </c>
      <c r="J36" s="108" t="s">
        <v>758</v>
      </c>
      <c r="K36" s="107" t="s">
        <v>1021</v>
      </c>
      <c r="L36" s="108">
        <v>115</v>
      </c>
      <c r="M36" s="78">
        <v>1928</v>
      </c>
      <c r="N36" s="89">
        <f>M36+70+40</f>
        <v>2038</v>
      </c>
      <c r="P36" s="78" t="s">
        <v>590</v>
      </c>
      <c r="Q36" s="35" t="s">
        <v>592</v>
      </c>
      <c r="R36" s="126">
        <v>21.5</v>
      </c>
      <c r="S36" s="208">
        <f>System!$E$6</f>
        <v>0.98099999999999998</v>
      </c>
      <c r="T36" s="209">
        <f>R36*S36</f>
        <v>21.0915</v>
      </c>
      <c r="U36" s="115">
        <f>V36*1000/(R36*24*365)</f>
        <v>0.80970585112031435</v>
      </c>
      <c r="V36" s="154">
        <v>152.5</v>
      </c>
      <c r="W36" s="59">
        <v>6</v>
      </c>
      <c r="Y36" s="11"/>
      <c r="Z36" s="11"/>
    </row>
    <row r="37" spans="2:26" ht="20" x14ac:dyDescent="0.25">
      <c r="B37" s="11" t="s">
        <v>387</v>
      </c>
      <c r="C37" s="35" t="s">
        <v>1190</v>
      </c>
      <c r="D37" s="11" t="s">
        <v>75</v>
      </c>
      <c r="E37" s="35" t="s">
        <v>79</v>
      </c>
      <c r="F37" s="87">
        <v>53.160034939412199</v>
      </c>
      <c r="G37" s="87">
        <v>-99.286280511903797</v>
      </c>
      <c r="H37" s="107" t="s">
        <v>604</v>
      </c>
      <c r="I37" s="35" t="s">
        <v>762</v>
      </c>
      <c r="J37" s="108" t="s">
        <v>748</v>
      </c>
      <c r="K37" s="107" t="s">
        <v>1022</v>
      </c>
      <c r="L37" s="108">
        <v>230</v>
      </c>
      <c r="M37" s="78">
        <v>1968</v>
      </c>
      <c r="N37" s="89">
        <f>M37+70</f>
        <v>2038</v>
      </c>
      <c r="P37" s="78" t="s">
        <v>590</v>
      </c>
      <c r="Q37" s="35" t="s">
        <v>592</v>
      </c>
      <c r="R37" s="126">
        <v>120</v>
      </c>
      <c r="S37" s="208">
        <f>System!$E$6</f>
        <v>0.98099999999999998</v>
      </c>
      <c r="T37" s="209">
        <f>R37*S37</f>
        <v>117.72</v>
      </c>
      <c r="U37" s="115">
        <f>V37*1000/(R37*24*365)</f>
        <v>0.3698154490106545</v>
      </c>
      <c r="V37" s="154">
        <f>1555/4</f>
        <v>388.75</v>
      </c>
      <c r="W37" s="65">
        <v>4</v>
      </c>
      <c r="Y37" s="11"/>
      <c r="Z37" s="11"/>
    </row>
    <row r="38" spans="2:26" ht="20" x14ac:dyDescent="0.25">
      <c r="B38" s="11" t="s">
        <v>388</v>
      </c>
      <c r="C38" s="35" t="s">
        <v>1205</v>
      </c>
      <c r="D38" s="11" t="s">
        <v>75</v>
      </c>
      <c r="E38" s="35" t="s">
        <v>79</v>
      </c>
      <c r="F38" s="87">
        <v>53.160034939412199</v>
      </c>
      <c r="G38" s="87">
        <v>-99.286280511903797</v>
      </c>
      <c r="H38" s="107" t="s">
        <v>604</v>
      </c>
      <c r="I38" s="35" t="s">
        <v>762</v>
      </c>
      <c r="J38" s="108" t="s">
        <v>748</v>
      </c>
      <c r="K38" s="107" t="s">
        <v>1022</v>
      </c>
      <c r="L38" s="108">
        <v>230</v>
      </c>
      <c r="M38" s="78">
        <v>1968</v>
      </c>
      <c r="N38" s="89">
        <f>M38+70</f>
        <v>2038</v>
      </c>
      <c r="P38" s="78" t="s">
        <v>590</v>
      </c>
      <c r="Q38" s="35" t="s">
        <v>592</v>
      </c>
      <c r="R38" s="126">
        <v>120</v>
      </c>
      <c r="S38" s="208">
        <f>System!$E$6</f>
        <v>0.98099999999999998</v>
      </c>
      <c r="T38" s="209">
        <f>R38*S38</f>
        <v>117.72</v>
      </c>
      <c r="U38" s="115">
        <f>V38*1000/(R38*24*365)</f>
        <v>0.3698154490106545</v>
      </c>
      <c r="V38" s="154">
        <f>1555/4</f>
        <v>388.75</v>
      </c>
      <c r="W38" s="65">
        <v>4</v>
      </c>
      <c r="Y38" s="104"/>
      <c r="Z38" s="11"/>
    </row>
    <row r="39" spans="2:26" ht="20" x14ac:dyDescent="0.25">
      <c r="B39" s="11" t="s">
        <v>389</v>
      </c>
      <c r="C39" s="35" t="s">
        <v>1220</v>
      </c>
      <c r="D39" s="11" t="s">
        <v>75</v>
      </c>
      <c r="E39" s="35" t="s">
        <v>79</v>
      </c>
      <c r="F39" s="87">
        <v>53.160034939412199</v>
      </c>
      <c r="G39" s="87">
        <v>-99.286280511903797</v>
      </c>
      <c r="H39" s="107" t="s">
        <v>604</v>
      </c>
      <c r="I39" s="35" t="s">
        <v>762</v>
      </c>
      <c r="J39" s="108" t="s">
        <v>748</v>
      </c>
      <c r="K39" s="107" t="s">
        <v>1022</v>
      </c>
      <c r="L39" s="108">
        <v>230</v>
      </c>
      <c r="M39" s="78">
        <v>1968</v>
      </c>
      <c r="N39" s="89">
        <f>M39+70</f>
        <v>2038</v>
      </c>
      <c r="P39" s="78" t="s">
        <v>590</v>
      </c>
      <c r="Q39" s="35" t="s">
        <v>592</v>
      </c>
      <c r="R39" s="126">
        <v>120</v>
      </c>
      <c r="S39" s="208">
        <f>System!$E$6</f>
        <v>0.98099999999999998</v>
      </c>
      <c r="T39" s="209">
        <f>R39*S39</f>
        <v>117.72</v>
      </c>
      <c r="U39" s="115">
        <f>V39*1000/(R39*24*365)</f>
        <v>0.3698154490106545</v>
      </c>
      <c r="V39" s="154">
        <f>1555/4</f>
        <v>388.75</v>
      </c>
      <c r="W39" s="65">
        <v>4</v>
      </c>
      <c r="Y39" s="11"/>
      <c r="Z39" s="11"/>
    </row>
    <row r="40" spans="2:26" ht="20" x14ac:dyDescent="0.25">
      <c r="B40" s="11" t="s">
        <v>390</v>
      </c>
      <c r="C40" s="35" t="s">
        <v>1233</v>
      </c>
      <c r="D40" s="11" t="s">
        <v>75</v>
      </c>
      <c r="E40" s="35" t="s">
        <v>79</v>
      </c>
      <c r="F40" s="87">
        <v>53.160034939412199</v>
      </c>
      <c r="G40" s="87">
        <v>-99.286280511903797</v>
      </c>
      <c r="H40" s="107" t="s">
        <v>604</v>
      </c>
      <c r="I40" s="35" t="s">
        <v>762</v>
      </c>
      <c r="J40" s="108" t="s">
        <v>748</v>
      </c>
      <c r="K40" s="107" t="s">
        <v>1022</v>
      </c>
      <c r="L40" s="108">
        <v>230</v>
      </c>
      <c r="M40" s="78">
        <v>1968</v>
      </c>
      <c r="N40" s="89">
        <f>M40+70</f>
        <v>2038</v>
      </c>
      <c r="P40" s="78" t="s">
        <v>590</v>
      </c>
      <c r="Q40" s="35" t="s">
        <v>592</v>
      </c>
      <c r="R40" s="126">
        <v>120</v>
      </c>
      <c r="S40" s="208">
        <f>System!$E$6</f>
        <v>0.98099999999999998</v>
      </c>
      <c r="T40" s="209">
        <f>R40*S40</f>
        <v>117.72</v>
      </c>
      <c r="U40" s="115">
        <f>V40*1000/(R40*24*365)</f>
        <v>0.3698154490106545</v>
      </c>
      <c r="V40" s="154">
        <f>1555/4</f>
        <v>388.75</v>
      </c>
      <c r="W40" s="59">
        <v>4</v>
      </c>
      <c r="Y40" s="11"/>
      <c r="Z40" s="11"/>
    </row>
    <row r="41" spans="2:26" ht="20" x14ac:dyDescent="0.25">
      <c r="B41" s="1" t="s">
        <v>1304</v>
      </c>
      <c r="C41" s="107" t="s">
        <v>1162</v>
      </c>
      <c r="D41" s="1" t="s">
        <v>75</v>
      </c>
      <c r="E41" s="155" t="s">
        <v>1014</v>
      </c>
      <c r="F41" s="87">
        <v>50.544463130550298</v>
      </c>
      <c r="G41" s="87">
        <v>-101.474715411651</v>
      </c>
      <c r="H41" s="107" t="s">
        <v>604</v>
      </c>
      <c r="I41" s="35" t="s">
        <v>762</v>
      </c>
      <c r="J41" s="136" t="s">
        <v>901</v>
      </c>
      <c r="K41" s="107" t="s">
        <v>825</v>
      </c>
      <c r="L41" s="136">
        <v>230</v>
      </c>
      <c r="M41" s="155">
        <v>2022</v>
      </c>
      <c r="N41" s="155">
        <v>2038</v>
      </c>
      <c r="P41" s="155" t="s">
        <v>590</v>
      </c>
      <c r="Q41" s="35" t="s">
        <v>592</v>
      </c>
      <c r="R41" s="156">
        <v>-215</v>
      </c>
      <c r="S41" s="208">
        <f>System!$E$6</f>
        <v>0.98099999999999998</v>
      </c>
      <c r="T41" s="209">
        <f>R41*S41</f>
        <v>-210.91499999999999</v>
      </c>
      <c r="U41" s="160">
        <v>0.9</v>
      </c>
      <c r="V41" s="157">
        <f>R41*24*365*U41/1000</f>
        <v>-1695.06</v>
      </c>
      <c r="W41" s="59">
        <v>1</v>
      </c>
      <c r="Y41" s="11"/>
      <c r="Z41" s="11"/>
    </row>
    <row r="42" spans="2:26" ht="20" x14ac:dyDescent="0.25">
      <c r="B42" s="1" t="s">
        <v>1304</v>
      </c>
      <c r="C42" s="107" t="s">
        <v>1161</v>
      </c>
      <c r="D42" s="1" t="s">
        <v>75</v>
      </c>
      <c r="E42" s="155" t="s">
        <v>1014</v>
      </c>
      <c r="F42" s="87">
        <v>53.722667595762601</v>
      </c>
      <c r="G42" s="87">
        <v>-101.76956512251699</v>
      </c>
      <c r="H42" s="107" t="s">
        <v>604</v>
      </c>
      <c r="I42" s="35" t="s">
        <v>762</v>
      </c>
      <c r="J42" s="112" t="s">
        <v>900</v>
      </c>
      <c r="K42" s="107" t="s">
        <v>823</v>
      </c>
      <c r="L42" s="108">
        <v>230</v>
      </c>
      <c r="M42" s="155">
        <v>2020</v>
      </c>
      <c r="N42" s="155">
        <v>2040</v>
      </c>
      <c r="P42" s="155" t="s">
        <v>590</v>
      </c>
      <c r="Q42" s="35" t="s">
        <v>592</v>
      </c>
      <c r="R42" s="156">
        <v>-100</v>
      </c>
      <c r="S42" s="208">
        <f>System!$E$6</f>
        <v>0.98099999999999998</v>
      </c>
      <c r="T42" s="209">
        <f>R42*S42</f>
        <v>-98.1</v>
      </c>
      <c r="U42" s="160">
        <v>0.9</v>
      </c>
      <c r="V42" s="157">
        <f>R42*24*365*U42/1000</f>
        <v>-788.4</v>
      </c>
      <c r="W42" s="59">
        <v>1</v>
      </c>
      <c r="Y42" s="11"/>
      <c r="Z42" s="11"/>
    </row>
    <row r="43" spans="2:26" ht="20" x14ac:dyDescent="0.25">
      <c r="B43" s="11" t="s">
        <v>416</v>
      </c>
      <c r="C43" s="35" t="s">
        <v>1194</v>
      </c>
      <c r="D43" s="11" t="s">
        <v>75</v>
      </c>
      <c r="E43" s="35" t="s">
        <v>83</v>
      </c>
      <c r="F43" s="87">
        <v>56.381430375747598</v>
      </c>
      <c r="G43" s="87">
        <v>-94.634780476392606</v>
      </c>
      <c r="H43" s="107" t="s">
        <v>604</v>
      </c>
      <c r="I43" s="35" t="s">
        <v>762</v>
      </c>
      <c r="J43" s="108" t="s">
        <v>786</v>
      </c>
      <c r="K43" s="107" t="s">
        <v>1032</v>
      </c>
      <c r="L43" s="108">
        <v>138</v>
      </c>
      <c r="M43" s="78">
        <v>1974</v>
      </c>
      <c r="N43" s="89">
        <f>M43+70</f>
        <v>2044</v>
      </c>
      <c r="P43" s="78" t="s">
        <v>152</v>
      </c>
      <c r="Q43" s="35" t="s">
        <v>591</v>
      </c>
      <c r="R43" s="126">
        <v>102</v>
      </c>
      <c r="S43" s="208">
        <f>System!$E$7</f>
        <v>0.98099999999999998</v>
      </c>
      <c r="T43" s="209">
        <f>R43*S43</f>
        <v>100.062</v>
      </c>
      <c r="U43" s="115">
        <f>V43*1000/(R43*24*365)</f>
        <v>0.66497299071835736</v>
      </c>
      <c r="V43" s="154">
        <v>594.16666666666663</v>
      </c>
      <c r="W43" s="65">
        <v>12</v>
      </c>
      <c r="Y43" s="11"/>
      <c r="Z43" s="11"/>
    </row>
    <row r="44" spans="2:26" ht="20" x14ac:dyDescent="0.25">
      <c r="B44" s="11" t="s">
        <v>417</v>
      </c>
      <c r="C44" s="35" t="s">
        <v>1209</v>
      </c>
      <c r="D44" s="11" t="s">
        <v>75</v>
      </c>
      <c r="E44" s="158" t="s">
        <v>83</v>
      </c>
      <c r="F44" s="87">
        <v>56.381430375747598</v>
      </c>
      <c r="G44" s="87">
        <v>-94.634780476392606</v>
      </c>
      <c r="H44" s="107" t="s">
        <v>604</v>
      </c>
      <c r="I44" s="35" t="s">
        <v>762</v>
      </c>
      <c r="J44" s="108" t="s">
        <v>786</v>
      </c>
      <c r="K44" s="107" t="s">
        <v>1032</v>
      </c>
      <c r="L44" s="108">
        <v>138</v>
      </c>
      <c r="M44" s="78">
        <v>1974</v>
      </c>
      <c r="N44" s="89">
        <f>M44+70</f>
        <v>2044</v>
      </c>
      <c r="P44" s="78" t="s">
        <v>152</v>
      </c>
      <c r="Q44" s="35" t="s">
        <v>591</v>
      </c>
      <c r="R44" s="126">
        <v>102</v>
      </c>
      <c r="S44" s="208">
        <f>System!$E$7</f>
        <v>0.98099999999999998</v>
      </c>
      <c r="T44" s="209">
        <f>R44*S44</f>
        <v>100.062</v>
      </c>
      <c r="U44" s="115">
        <f>V44*1000/(R44*24*365)</f>
        <v>0.66497299071835736</v>
      </c>
      <c r="V44" s="154">
        <v>594.16666666666663</v>
      </c>
      <c r="W44" s="65">
        <v>12</v>
      </c>
      <c r="Y44" s="11"/>
      <c r="Z44" s="11"/>
    </row>
    <row r="45" spans="2:26" ht="20" x14ac:dyDescent="0.25">
      <c r="B45" s="11" t="s">
        <v>418</v>
      </c>
      <c r="C45" s="35" t="s">
        <v>1224</v>
      </c>
      <c r="D45" s="11" t="s">
        <v>75</v>
      </c>
      <c r="E45" s="158" t="s">
        <v>83</v>
      </c>
      <c r="F45" s="87">
        <v>56.381430375747598</v>
      </c>
      <c r="G45" s="87">
        <v>-94.634780476392606</v>
      </c>
      <c r="H45" s="107" t="s">
        <v>604</v>
      </c>
      <c r="I45" s="35" t="s">
        <v>762</v>
      </c>
      <c r="J45" s="108" t="s">
        <v>786</v>
      </c>
      <c r="K45" s="107" t="s">
        <v>1032</v>
      </c>
      <c r="L45" s="108">
        <v>138</v>
      </c>
      <c r="M45" s="78">
        <v>1974</v>
      </c>
      <c r="N45" s="89">
        <f>M45+70</f>
        <v>2044</v>
      </c>
      <c r="P45" s="78" t="s">
        <v>152</v>
      </c>
      <c r="Q45" s="35" t="s">
        <v>591</v>
      </c>
      <c r="R45" s="126">
        <v>102</v>
      </c>
      <c r="S45" s="208">
        <f>System!$E$7</f>
        <v>0.98099999999999998</v>
      </c>
      <c r="T45" s="209">
        <f>R45*S45</f>
        <v>100.062</v>
      </c>
      <c r="U45" s="115">
        <f>V45*1000/(R45*24*365)</f>
        <v>0.66497299071835736</v>
      </c>
      <c r="V45" s="154">
        <v>594.16666666666663</v>
      </c>
      <c r="W45" s="65">
        <v>12</v>
      </c>
      <c r="Y45" s="11"/>
      <c r="Z45" s="11"/>
    </row>
    <row r="46" spans="2:26" ht="20" x14ac:dyDescent="0.25">
      <c r="B46" s="11" t="s">
        <v>419</v>
      </c>
      <c r="C46" s="35" t="s">
        <v>1237</v>
      </c>
      <c r="D46" s="11" t="s">
        <v>75</v>
      </c>
      <c r="E46" s="158" t="s">
        <v>83</v>
      </c>
      <c r="F46" s="87">
        <v>56.381430375747598</v>
      </c>
      <c r="G46" s="87">
        <v>-94.634780476392606</v>
      </c>
      <c r="H46" s="107" t="s">
        <v>604</v>
      </c>
      <c r="I46" s="35" t="s">
        <v>762</v>
      </c>
      <c r="J46" s="108" t="s">
        <v>786</v>
      </c>
      <c r="K46" s="107" t="s">
        <v>1032</v>
      </c>
      <c r="L46" s="108">
        <v>138</v>
      </c>
      <c r="M46" s="78">
        <v>1974</v>
      </c>
      <c r="N46" s="89">
        <f>M46+70</f>
        <v>2044</v>
      </c>
      <c r="P46" s="78" t="s">
        <v>152</v>
      </c>
      <c r="Q46" s="35" t="s">
        <v>591</v>
      </c>
      <c r="R46" s="126">
        <v>102</v>
      </c>
      <c r="S46" s="208">
        <f>System!$E$7</f>
        <v>0.98099999999999998</v>
      </c>
      <c r="T46" s="209">
        <f>R46*S46</f>
        <v>100.062</v>
      </c>
      <c r="U46" s="115">
        <f>V46*1000/(R46*24*365)</f>
        <v>0.66497299071835736</v>
      </c>
      <c r="V46" s="154">
        <v>594.16666666666663</v>
      </c>
      <c r="W46" s="65">
        <v>12</v>
      </c>
      <c r="Y46" s="11"/>
      <c r="Z46" s="11"/>
    </row>
    <row r="47" spans="2:26" ht="20" x14ac:dyDescent="0.25">
      <c r="B47" s="11" t="s">
        <v>420</v>
      </c>
      <c r="C47" s="35" t="s">
        <v>1248</v>
      </c>
      <c r="D47" s="11" t="s">
        <v>75</v>
      </c>
      <c r="E47" s="158" t="s">
        <v>83</v>
      </c>
      <c r="F47" s="87">
        <v>56.381430375747598</v>
      </c>
      <c r="G47" s="87">
        <v>-94.634780476392606</v>
      </c>
      <c r="H47" s="107" t="s">
        <v>604</v>
      </c>
      <c r="I47" s="35" t="s">
        <v>762</v>
      </c>
      <c r="J47" s="108" t="s">
        <v>786</v>
      </c>
      <c r="K47" s="107" t="s">
        <v>1032</v>
      </c>
      <c r="L47" s="108">
        <v>138</v>
      </c>
      <c r="M47" s="78">
        <v>1974</v>
      </c>
      <c r="N47" s="89">
        <f>M47+70</f>
        <v>2044</v>
      </c>
      <c r="P47" s="78" t="s">
        <v>152</v>
      </c>
      <c r="Q47" s="35" t="s">
        <v>591</v>
      </c>
      <c r="R47" s="126">
        <v>102</v>
      </c>
      <c r="S47" s="208">
        <f>System!$E$7</f>
        <v>0.98099999999999998</v>
      </c>
      <c r="T47" s="209">
        <f>R47*S47</f>
        <v>100.062</v>
      </c>
      <c r="U47" s="115">
        <f>V47*1000/(R47*24*365)</f>
        <v>0.66497299071835736</v>
      </c>
      <c r="V47" s="154">
        <v>594.16666666666663</v>
      </c>
      <c r="W47" s="65">
        <v>12</v>
      </c>
      <c r="Y47" s="11"/>
      <c r="Z47" s="11"/>
    </row>
    <row r="48" spans="2:26" ht="20" x14ac:dyDescent="0.25">
      <c r="B48" s="11" t="s">
        <v>421</v>
      </c>
      <c r="C48" s="35" t="s">
        <v>1260</v>
      </c>
      <c r="D48" s="11" t="s">
        <v>75</v>
      </c>
      <c r="E48" s="158" t="s">
        <v>83</v>
      </c>
      <c r="F48" s="87">
        <v>56.381430375747598</v>
      </c>
      <c r="G48" s="87">
        <v>-94.634780476392606</v>
      </c>
      <c r="H48" s="107" t="s">
        <v>604</v>
      </c>
      <c r="I48" s="35" t="s">
        <v>762</v>
      </c>
      <c r="J48" s="108" t="s">
        <v>786</v>
      </c>
      <c r="K48" s="107" t="s">
        <v>1032</v>
      </c>
      <c r="L48" s="108">
        <v>138</v>
      </c>
      <c r="M48" s="78">
        <v>1974</v>
      </c>
      <c r="N48" s="89">
        <f>M48+70</f>
        <v>2044</v>
      </c>
      <c r="P48" s="78" t="s">
        <v>152</v>
      </c>
      <c r="Q48" s="35" t="s">
        <v>591</v>
      </c>
      <c r="R48" s="126">
        <v>102</v>
      </c>
      <c r="S48" s="208">
        <f>System!$E$7</f>
        <v>0.98099999999999998</v>
      </c>
      <c r="T48" s="209">
        <f>R48*S48</f>
        <v>100.062</v>
      </c>
      <c r="U48" s="115">
        <f>V48*1000/(R48*24*365)</f>
        <v>0.66497299071835736</v>
      </c>
      <c r="V48" s="154">
        <v>594.16666666666663</v>
      </c>
      <c r="W48" s="65">
        <v>12</v>
      </c>
      <c r="Y48" s="11"/>
      <c r="Z48" s="11"/>
    </row>
    <row r="49" spans="2:26" ht="20" x14ac:dyDescent="0.25">
      <c r="B49" s="11" t="s">
        <v>422</v>
      </c>
      <c r="C49" s="35" t="s">
        <v>1270</v>
      </c>
      <c r="D49" s="11" t="s">
        <v>75</v>
      </c>
      <c r="E49" s="158" t="s">
        <v>83</v>
      </c>
      <c r="F49" s="87">
        <v>56.381430375747598</v>
      </c>
      <c r="G49" s="87">
        <v>-94.634780476392606</v>
      </c>
      <c r="H49" s="107" t="s">
        <v>604</v>
      </c>
      <c r="I49" s="35" t="s">
        <v>762</v>
      </c>
      <c r="J49" s="108" t="s">
        <v>786</v>
      </c>
      <c r="K49" s="107" t="s">
        <v>1032</v>
      </c>
      <c r="L49" s="108">
        <v>138</v>
      </c>
      <c r="M49" s="78">
        <v>1974</v>
      </c>
      <c r="N49" s="89">
        <f>M49+70</f>
        <v>2044</v>
      </c>
      <c r="P49" s="78" t="s">
        <v>152</v>
      </c>
      <c r="Q49" s="35" t="s">
        <v>591</v>
      </c>
      <c r="R49" s="126">
        <v>102</v>
      </c>
      <c r="S49" s="208">
        <f>System!$E$7</f>
        <v>0.98099999999999998</v>
      </c>
      <c r="T49" s="209">
        <f>R49*S49</f>
        <v>100.062</v>
      </c>
      <c r="U49" s="115">
        <f>V49*1000/(R49*24*365)</f>
        <v>0.66497299071835736</v>
      </c>
      <c r="V49" s="154">
        <v>594.16666666666663</v>
      </c>
      <c r="W49" s="65">
        <v>12</v>
      </c>
      <c r="Y49" s="11"/>
      <c r="Z49" s="11"/>
    </row>
    <row r="50" spans="2:26" ht="20" x14ac:dyDescent="0.25">
      <c r="B50" s="11" t="s">
        <v>423</v>
      </c>
      <c r="C50" s="35" t="s">
        <v>1275</v>
      </c>
      <c r="D50" s="11" t="s">
        <v>75</v>
      </c>
      <c r="E50" s="35" t="s">
        <v>83</v>
      </c>
      <c r="F50" s="87">
        <v>56.381430375747598</v>
      </c>
      <c r="G50" s="87">
        <v>-94.634780476392606</v>
      </c>
      <c r="H50" s="107" t="s">
        <v>604</v>
      </c>
      <c r="I50" s="35" t="s">
        <v>762</v>
      </c>
      <c r="J50" s="108" t="s">
        <v>786</v>
      </c>
      <c r="K50" s="107" t="s">
        <v>1032</v>
      </c>
      <c r="L50" s="108">
        <v>138</v>
      </c>
      <c r="M50" s="78">
        <v>1974</v>
      </c>
      <c r="N50" s="89">
        <f>M50+70</f>
        <v>2044</v>
      </c>
      <c r="P50" s="78" t="s">
        <v>152</v>
      </c>
      <c r="Q50" s="35" t="s">
        <v>591</v>
      </c>
      <c r="R50" s="126">
        <v>102</v>
      </c>
      <c r="S50" s="208">
        <f>System!$E$7</f>
        <v>0.98099999999999998</v>
      </c>
      <c r="T50" s="209">
        <f>R50*S50</f>
        <v>100.062</v>
      </c>
      <c r="U50" s="115">
        <f>V50*1000/(R50*24*365)</f>
        <v>0.66497299071835736</v>
      </c>
      <c r="V50" s="154">
        <v>594.16666666666663</v>
      </c>
      <c r="W50" s="65">
        <v>12</v>
      </c>
      <c r="Y50" s="104"/>
      <c r="Z50" s="11"/>
    </row>
    <row r="51" spans="2:26" ht="20" x14ac:dyDescent="0.25">
      <c r="B51" s="11" t="s">
        <v>424</v>
      </c>
      <c r="C51" s="35" t="s">
        <v>1280</v>
      </c>
      <c r="D51" s="11" t="s">
        <v>75</v>
      </c>
      <c r="E51" s="35" t="s">
        <v>83</v>
      </c>
      <c r="F51" s="87">
        <v>56.381430375747598</v>
      </c>
      <c r="G51" s="87">
        <v>-94.634780476392606</v>
      </c>
      <c r="H51" s="107" t="s">
        <v>604</v>
      </c>
      <c r="I51" s="35" t="s">
        <v>762</v>
      </c>
      <c r="J51" s="108" t="s">
        <v>786</v>
      </c>
      <c r="K51" s="107" t="s">
        <v>1032</v>
      </c>
      <c r="L51" s="108">
        <v>138</v>
      </c>
      <c r="M51" s="78">
        <v>1974</v>
      </c>
      <c r="N51" s="89">
        <f>M51+70</f>
        <v>2044</v>
      </c>
      <c r="P51" s="78" t="s">
        <v>152</v>
      </c>
      <c r="Q51" s="35" t="s">
        <v>591</v>
      </c>
      <c r="R51" s="126">
        <v>102</v>
      </c>
      <c r="S51" s="208">
        <f>System!$E$7</f>
        <v>0.98099999999999998</v>
      </c>
      <c r="T51" s="209">
        <f>R51*S51</f>
        <v>100.062</v>
      </c>
      <c r="U51" s="115">
        <f>V51*1000/(R51*24*365)</f>
        <v>0.66497299071835736</v>
      </c>
      <c r="V51" s="154">
        <v>594.16666666666663</v>
      </c>
      <c r="W51" s="65">
        <v>12</v>
      </c>
      <c r="Y51" s="114"/>
      <c r="Z51" s="11"/>
    </row>
    <row r="52" spans="2:26" ht="20" x14ac:dyDescent="0.25">
      <c r="B52" s="11" t="s">
        <v>425</v>
      </c>
      <c r="C52" s="35" t="s">
        <v>1008</v>
      </c>
      <c r="D52" s="11" t="s">
        <v>75</v>
      </c>
      <c r="E52" s="35" t="s">
        <v>83</v>
      </c>
      <c r="F52" s="87">
        <v>56.381430375747598</v>
      </c>
      <c r="G52" s="87">
        <v>-94.634780476392606</v>
      </c>
      <c r="H52" s="107" t="s">
        <v>604</v>
      </c>
      <c r="I52" s="35" t="s">
        <v>762</v>
      </c>
      <c r="J52" s="108" t="s">
        <v>786</v>
      </c>
      <c r="K52" s="107" t="s">
        <v>1032</v>
      </c>
      <c r="L52" s="108">
        <v>138</v>
      </c>
      <c r="M52" s="78">
        <v>1974</v>
      </c>
      <c r="N52" s="89">
        <f>M52+70</f>
        <v>2044</v>
      </c>
      <c r="P52" s="78" t="s">
        <v>152</v>
      </c>
      <c r="Q52" s="35" t="s">
        <v>591</v>
      </c>
      <c r="R52" s="126">
        <v>102</v>
      </c>
      <c r="S52" s="208">
        <f>System!$E$7</f>
        <v>0.98099999999999998</v>
      </c>
      <c r="T52" s="209">
        <f>R52*S52</f>
        <v>100.062</v>
      </c>
      <c r="U52" s="115">
        <f>V52*1000/(R52*24*365)</f>
        <v>0.66497299071835736</v>
      </c>
      <c r="V52" s="154">
        <v>594.16666666666663</v>
      </c>
      <c r="W52" s="65">
        <v>12</v>
      </c>
      <c r="Y52" s="11"/>
      <c r="Z52" s="11"/>
    </row>
    <row r="53" spans="2:26" ht="20" x14ac:dyDescent="0.25">
      <c r="B53" s="11" t="s">
        <v>426</v>
      </c>
      <c r="C53" s="35" t="s">
        <v>1009</v>
      </c>
      <c r="D53" s="11" t="s">
        <v>75</v>
      </c>
      <c r="E53" s="158" t="s">
        <v>83</v>
      </c>
      <c r="F53" s="87">
        <v>56.381430375747598</v>
      </c>
      <c r="G53" s="87">
        <v>-94.634780476392606</v>
      </c>
      <c r="H53" s="107" t="s">
        <v>604</v>
      </c>
      <c r="I53" s="35" t="s">
        <v>762</v>
      </c>
      <c r="J53" s="108" t="s">
        <v>786</v>
      </c>
      <c r="K53" s="107" t="s">
        <v>1032</v>
      </c>
      <c r="L53" s="108">
        <v>138</v>
      </c>
      <c r="M53" s="78">
        <v>1974</v>
      </c>
      <c r="N53" s="89">
        <f>M53+70</f>
        <v>2044</v>
      </c>
      <c r="P53" s="78" t="s">
        <v>152</v>
      </c>
      <c r="Q53" s="35" t="s">
        <v>591</v>
      </c>
      <c r="R53" s="126">
        <v>102</v>
      </c>
      <c r="S53" s="208">
        <f>System!$E$7</f>
        <v>0.98099999999999998</v>
      </c>
      <c r="T53" s="209">
        <f>R53*S53</f>
        <v>100.062</v>
      </c>
      <c r="U53" s="115">
        <f>V53*1000/(R53*24*365)</f>
        <v>0.66497299071835736</v>
      </c>
      <c r="V53" s="154">
        <v>594.16666666666663</v>
      </c>
      <c r="W53" s="65">
        <v>12</v>
      </c>
      <c r="Y53" s="11"/>
      <c r="Z53" s="11"/>
    </row>
    <row r="54" spans="2:26" ht="20" x14ac:dyDescent="0.25">
      <c r="B54" s="11" t="s">
        <v>427</v>
      </c>
      <c r="C54" s="35" t="s">
        <v>1010</v>
      </c>
      <c r="D54" s="11" t="s">
        <v>75</v>
      </c>
      <c r="E54" s="158" t="s">
        <v>83</v>
      </c>
      <c r="F54" s="87">
        <v>56.381430375747598</v>
      </c>
      <c r="G54" s="87">
        <v>-94.634780476392606</v>
      </c>
      <c r="H54" s="107" t="s">
        <v>604</v>
      </c>
      <c r="I54" s="35" t="s">
        <v>762</v>
      </c>
      <c r="J54" s="108" t="s">
        <v>786</v>
      </c>
      <c r="K54" s="107" t="s">
        <v>1032</v>
      </c>
      <c r="L54" s="108">
        <v>138</v>
      </c>
      <c r="M54" s="78">
        <v>1974</v>
      </c>
      <c r="N54" s="89">
        <f>M54+70</f>
        <v>2044</v>
      </c>
      <c r="P54" s="78" t="s">
        <v>152</v>
      </c>
      <c r="Q54" s="35" t="s">
        <v>591</v>
      </c>
      <c r="R54" s="126">
        <v>102</v>
      </c>
      <c r="S54" s="208">
        <f>System!$E$7</f>
        <v>0.98099999999999998</v>
      </c>
      <c r="T54" s="209">
        <f>R54*S54</f>
        <v>100.062</v>
      </c>
      <c r="U54" s="115">
        <f>V54*1000/(R54*24*365)</f>
        <v>0.66497299071835736</v>
      </c>
      <c r="V54" s="154">
        <v>594.16666666666663</v>
      </c>
      <c r="W54" s="65">
        <v>12</v>
      </c>
      <c r="Y54" s="11"/>
      <c r="Z54" s="11"/>
    </row>
    <row r="55" spans="2:26" ht="20" x14ac:dyDescent="0.25">
      <c r="B55" s="11" t="s">
        <v>396</v>
      </c>
      <c r="C55" s="35" t="s">
        <v>1191</v>
      </c>
      <c r="D55" s="11" t="s">
        <v>75</v>
      </c>
      <c r="E55" s="35" t="s">
        <v>83</v>
      </c>
      <c r="F55" s="87">
        <v>54.543119967064598</v>
      </c>
      <c r="G55" s="87">
        <v>-98.028419662956097</v>
      </c>
      <c r="H55" s="107" t="s">
        <v>604</v>
      </c>
      <c r="I55" s="35" t="s">
        <v>762</v>
      </c>
      <c r="J55" s="111" t="s">
        <v>752</v>
      </c>
      <c r="K55" s="107" t="s">
        <v>1023</v>
      </c>
      <c r="L55" s="108">
        <v>230</v>
      </c>
      <c r="M55" s="78">
        <v>1979</v>
      </c>
      <c r="N55" s="89">
        <f>M55+70</f>
        <v>2049</v>
      </c>
      <c r="P55" s="78" t="s">
        <v>152</v>
      </c>
      <c r="Q55" s="35" t="s">
        <v>591</v>
      </c>
      <c r="R55" s="126">
        <v>19</v>
      </c>
      <c r="S55" s="208">
        <f>System!$E$7</f>
        <v>0.98099999999999998</v>
      </c>
      <c r="T55" s="209">
        <f>R55*S55</f>
        <v>18.638999999999999</v>
      </c>
      <c r="U55" s="115">
        <f>V55*1000/(R55*24*365)</f>
        <v>0.92625971320996547</v>
      </c>
      <c r="V55" s="154">
        <v>154.16666666666666</v>
      </c>
      <c r="W55" s="65">
        <v>6</v>
      </c>
      <c r="Y55" s="11"/>
      <c r="Z55" s="11"/>
    </row>
    <row r="56" spans="2:26" ht="20" x14ac:dyDescent="0.25">
      <c r="B56" s="11" t="s">
        <v>397</v>
      </c>
      <c r="C56" s="35" t="s">
        <v>1206</v>
      </c>
      <c r="D56" s="11" t="s">
        <v>75</v>
      </c>
      <c r="E56" s="161" t="s">
        <v>83</v>
      </c>
      <c r="F56" s="87">
        <v>54.543119967064598</v>
      </c>
      <c r="G56" s="87">
        <v>-98.028419662956097</v>
      </c>
      <c r="H56" s="107" t="s">
        <v>604</v>
      </c>
      <c r="I56" s="35" t="s">
        <v>762</v>
      </c>
      <c r="J56" s="111" t="s">
        <v>752</v>
      </c>
      <c r="K56" s="107" t="s">
        <v>1023</v>
      </c>
      <c r="L56" s="108">
        <v>230</v>
      </c>
      <c r="M56" s="78">
        <v>1979</v>
      </c>
      <c r="N56" s="89">
        <f>M56+70</f>
        <v>2049</v>
      </c>
      <c r="P56" s="78" t="s">
        <v>152</v>
      </c>
      <c r="Q56" s="35" t="s">
        <v>591</v>
      </c>
      <c r="R56" s="126">
        <v>19</v>
      </c>
      <c r="S56" s="208">
        <f>System!$E$7</f>
        <v>0.98099999999999998</v>
      </c>
      <c r="T56" s="209">
        <f>R56*S56</f>
        <v>18.638999999999999</v>
      </c>
      <c r="U56" s="115">
        <f>V56*1000/(R56*24*365)</f>
        <v>0.92625971320996547</v>
      </c>
      <c r="V56" s="154">
        <v>154.16666666666666</v>
      </c>
      <c r="W56" s="65">
        <v>6</v>
      </c>
      <c r="Y56" s="11"/>
      <c r="Z56" s="11"/>
    </row>
    <row r="57" spans="2:26" ht="20" x14ac:dyDescent="0.25">
      <c r="B57" s="11" t="s">
        <v>398</v>
      </c>
      <c r="C57" s="35" t="s">
        <v>1221</v>
      </c>
      <c r="D57" s="11" t="s">
        <v>75</v>
      </c>
      <c r="E57" s="161" t="s">
        <v>83</v>
      </c>
      <c r="F57" s="87">
        <v>54.543119967064598</v>
      </c>
      <c r="G57" s="87">
        <v>-98.028419662956097</v>
      </c>
      <c r="H57" s="107" t="s">
        <v>604</v>
      </c>
      <c r="I57" s="35" t="s">
        <v>762</v>
      </c>
      <c r="J57" s="111" t="s">
        <v>752</v>
      </c>
      <c r="K57" s="107" t="s">
        <v>1023</v>
      </c>
      <c r="L57" s="108">
        <v>230</v>
      </c>
      <c r="M57" s="78">
        <v>1979</v>
      </c>
      <c r="N57" s="89">
        <f>M57+70</f>
        <v>2049</v>
      </c>
      <c r="P57" s="78" t="s">
        <v>152</v>
      </c>
      <c r="Q57" s="35" t="s">
        <v>591</v>
      </c>
      <c r="R57" s="126">
        <v>19</v>
      </c>
      <c r="S57" s="208">
        <f>System!$E$7</f>
        <v>0.98099999999999998</v>
      </c>
      <c r="T57" s="209">
        <f>R57*S57</f>
        <v>18.638999999999999</v>
      </c>
      <c r="U57" s="115">
        <f>V57*1000/(R57*24*365)</f>
        <v>0.92625971320996547</v>
      </c>
      <c r="V57" s="154">
        <v>154.16666666666666</v>
      </c>
      <c r="W57" s="65">
        <v>6</v>
      </c>
      <c r="Y57" s="11"/>
      <c r="Z57" s="11"/>
    </row>
    <row r="58" spans="2:26" ht="20" x14ac:dyDescent="0.25">
      <c r="B58" s="11" t="s">
        <v>399</v>
      </c>
      <c r="C58" s="35" t="s">
        <v>1234</v>
      </c>
      <c r="D58" s="11" t="s">
        <v>75</v>
      </c>
      <c r="E58" s="161" t="s">
        <v>83</v>
      </c>
      <c r="F58" s="87">
        <v>54.543119967064598</v>
      </c>
      <c r="G58" s="87">
        <v>-98.028419662956097</v>
      </c>
      <c r="H58" s="107" t="s">
        <v>604</v>
      </c>
      <c r="I58" s="35" t="s">
        <v>762</v>
      </c>
      <c r="J58" s="111" t="s">
        <v>752</v>
      </c>
      <c r="K58" s="107" t="s">
        <v>1023</v>
      </c>
      <c r="L58" s="108">
        <v>230</v>
      </c>
      <c r="M58" s="78">
        <v>1979</v>
      </c>
      <c r="N58" s="89">
        <f>M58+70</f>
        <v>2049</v>
      </c>
      <c r="P58" s="78" t="s">
        <v>152</v>
      </c>
      <c r="Q58" s="35" t="s">
        <v>591</v>
      </c>
      <c r="R58" s="126">
        <v>19</v>
      </c>
      <c r="S58" s="208">
        <f>System!$E$7</f>
        <v>0.98099999999999998</v>
      </c>
      <c r="T58" s="209">
        <f>R58*S58</f>
        <v>18.638999999999999</v>
      </c>
      <c r="U58" s="115">
        <f>V58*1000/(R58*24*365)</f>
        <v>0.92625971320996547</v>
      </c>
      <c r="V58" s="154">
        <v>154.16666666666666</v>
      </c>
      <c r="W58" s="65">
        <v>6</v>
      </c>
      <c r="Y58" s="11"/>
      <c r="Z58" s="11"/>
    </row>
    <row r="59" spans="2:26" ht="20" x14ac:dyDescent="0.25">
      <c r="B59" s="11" t="s">
        <v>400</v>
      </c>
      <c r="C59" s="35" t="s">
        <v>1245</v>
      </c>
      <c r="D59" s="11" t="s">
        <v>75</v>
      </c>
      <c r="E59" s="161" t="s">
        <v>83</v>
      </c>
      <c r="F59" s="87">
        <v>54.543119967064598</v>
      </c>
      <c r="G59" s="87">
        <v>-98.028419662956097</v>
      </c>
      <c r="H59" s="107" t="s">
        <v>604</v>
      </c>
      <c r="I59" s="35" t="s">
        <v>762</v>
      </c>
      <c r="J59" s="111" t="s">
        <v>752</v>
      </c>
      <c r="K59" s="107" t="s">
        <v>1023</v>
      </c>
      <c r="L59" s="108">
        <v>230</v>
      </c>
      <c r="M59" s="78">
        <v>1979</v>
      </c>
      <c r="N59" s="89">
        <f>M59+70</f>
        <v>2049</v>
      </c>
      <c r="P59" s="78" t="s">
        <v>152</v>
      </c>
      <c r="Q59" s="35" t="s">
        <v>591</v>
      </c>
      <c r="R59" s="126">
        <v>19</v>
      </c>
      <c r="S59" s="208">
        <f>System!$E$7</f>
        <v>0.98099999999999998</v>
      </c>
      <c r="T59" s="209">
        <f>R59*S59</f>
        <v>18.638999999999999</v>
      </c>
      <c r="U59" s="115">
        <f>V59*1000/(R59*24*365)</f>
        <v>0.92625971320996547</v>
      </c>
      <c r="V59" s="154">
        <v>154.16666666666666</v>
      </c>
      <c r="W59" s="65">
        <v>6</v>
      </c>
      <c r="Y59" s="11"/>
      <c r="Z59" s="11"/>
    </row>
    <row r="60" spans="2:26" ht="20" x14ac:dyDescent="0.25">
      <c r="B60" s="11" t="s">
        <v>401</v>
      </c>
      <c r="C60" s="35" t="s">
        <v>1257</v>
      </c>
      <c r="D60" s="11" t="s">
        <v>75</v>
      </c>
      <c r="E60" s="161" t="s">
        <v>83</v>
      </c>
      <c r="F60" s="87">
        <v>54.543119967064598</v>
      </c>
      <c r="G60" s="87">
        <v>-98.028419662956097</v>
      </c>
      <c r="H60" s="107" t="s">
        <v>604</v>
      </c>
      <c r="I60" s="35" t="s">
        <v>762</v>
      </c>
      <c r="J60" s="111" t="s">
        <v>752</v>
      </c>
      <c r="K60" s="107" t="s">
        <v>1023</v>
      </c>
      <c r="L60" s="108">
        <v>230</v>
      </c>
      <c r="M60" s="78">
        <v>1979</v>
      </c>
      <c r="N60" s="89">
        <f>M60+70</f>
        <v>2049</v>
      </c>
      <c r="P60" s="78" t="s">
        <v>152</v>
      </c>
      <c r="Q60" s="35" t="s">
        <v>591</v>
      </c>
      <c r="R60" s="126">
        <v>19</v>
      </c>
      <c r="S60" s="208">
        <f>System!$E$7</f>
        <v>0.98099999999999998</v>
      </c>
      <c r="T60" s="209">
        <f>R60*S60</f>
        <v>18.638999999999999</v>
      </c>
      <c r="U60" s="115">
        <f>V60*1000/(R60*24*365)</f>
        <v>0.92625971320996547</v>
      </c>
      <c r="V60" s="154">
        <v>154.16666666666666</v>
      </c>
      <c r="W60" s="59">
        <v>6</v>
      </c>
      <c r="Y60" s="11"/>
      <c r="Z60" s="11"/>
    </row>
    <row r="61" spans="2:26" ht="20" x14ac:dyDescent="0.25">
      <c r="B61" s="11" t="s">
        <v>442</v>
      </c>
      <c r="C61" s="35" t="s">
        <v>1197</v>
      </c>
      <c r="D61" s="11" t="s">
        <v>75</v>
      </c>
      <c r="E61" s="158" t="s">
        <v>83</v>
      </c>
      <c r="F61" s="87">
        <v>56.398155733790801</v>
      </c>
      <c r="G61" s="87">
        <v>-94.369062510775194</v>
      </c>
      <c r="H61" s="107" t="s">
        <v>604</v>
      </c>
      <c r="I61" s="35" t="s">
        <v>762</v>
      </c>
      <c r="J61" s="111" t="s">
        <v>744</v>
      </c>
      <c r="K61" s="107" t="s">
        <v>1028</v>
      </c>
      <c r="L61" s="108">
        <v>230</v>
      </c>
      <c r="M61" s="78">
        <v>1979</v>
      </c>
      <c r="N61" s="89">
        <f>M61+70</f>
        <v>2049</v>
      </c>
      <c r="P61" s="78" t="s">
        <v>152</v>
      </c>
      <c r="Q61" s="35" t="s">
        <v>591</v>
      </c>
      <c r="R61" s="126">
        <v>98</v>
      </c>
      <c r="S61" s="208">
        <f>System!$E$7</f>
        <v>0.98099999999999998</v>
      </c>
      <c r="T61" s="209">
        <f>R61*S61</f>
        <v>96.138000000000005</v>
      </c>
      <c r="U61" s="115">
        <f>V61*1000/(R61*24*365)</f>
        <v>0.70822849687820333</v>
      </c>
      <c r="V61" s="154">
        <v>608</v>
      </c>
      <c r="W61" s="65">
        <v>10</v>
      </c>
      <c r="Y61" s="11"/>
      <c r="Z61" s="11"/>
    </row>
    <row r="62" spans="2:26" ht="20" x14ac:dyDescent="0.25">
      <c r="B62" s="11" t="s">
        <v>443</v>
      </c>
      <c r="C62" s="35" t="s">
        <v>1212</v>
      </c>
      <c r="D62" s="11" t="s">
        <v>75</v>
      </c>
      <c r="E62" s="35" t="s">
        <v>83</v>
      </c>
      <c r="F62" s="87">
        <v>56.398155733790801</v>
      </c>
      <c r="G62" s="87">
        <v>-94.369062510775194</v>
      </c>
      <c r="H62" s="107" t="s">
        <v>604</v>
      </c>
      <c r="I62" s="35" t="s">
        <v>762</v>
      </c>
      <c r="J62" s="111" t="s">
        <v>744</v>
      </c>
      <c r="K62" s="107" t="s">
        <v>1028</v>
      </c>
      <c r="L62" s="108">
        <v>230</v>
      </c>
      <c r="M62" s="78">
        <v>1979</v>
      </c>
      <c r="N62" s="89">
        <f>M62+70</f>
        <v>2049</v>
      </c>
      <c r="P62" s="78" t="s">
        <v>152</v>
      </c>
      <c r="Q62" s="35" t="s">
        <v>591</v>
      </c>
      <c r="R62" s="126">
        <v>98</v>
      </c>
      <c r="S62" s="208">
        <f>System!$E$7</f>
        <v>0.98099999999999998</v>
      </c>
      <c r="T62" s="209">
        <f>R62*S62</f>
        <v>96.138000000000005</v>
      </c>
      <c r="U62" s="115">
        <f>V62*1000/(R62*24*365)</f>
        <v>0.70822849687820333</v>
      </c>
      <c r="V62" s="154">
        <v>608</v>
      </c>
      <c r="W62" s="65">
        <v>10</v>
      </c>
      <c r="Y62" s="11"/>
      <c r="Z62" s="11"/>
    </row>
    <row r="63" spans="2:26" ht="20" x14ac:dyDescent="0.25">
      <c r="B63" s="11" t="s">
        <v>444</v>
      </c>
      <c r="C63" s="35" t="s">
        <v>1226</v>
      </c>
      <c r="D63" s="11" t="s">
        <v>75</v>
      </c>
      <c r="E63" s="35" t="s">
        <v>83</v>
      </c>
      <c r="F63" s="87">
        <v>56.398155733790801</v>
      </c>
      <c r="G63" s="87">
        <v>-94.369062510775194</v>
      </c>
      <c r="H63" s="107" t="s">
        <v>604</v>
      </c>
      <c r="I63" s="35" t="s">
        <v>762</v>
      </c>
      <c r="J63" s="111" t="s">
        <v>744</v>
      </c>
      <c r="K63" s="107" t="s">
        <v>1028</v>
      </c>
      <c r="L63" s="108">
        <v>230</v>
      </c>
      <c r="M63" s="78">
        <v>1979</v>
      </c>
      <c r="N63" s="89">
        <f>M63+70</f>
        <v>2049</v>
      </c>
      <c r="P63" s="78" t="s">
        <v>152</v>
      </c>
      <c r="Q63" s="35" t="s">
        <v>591</v>
      </c>
      <c r="R63" s="126">
        <v>98</v>
      </c>
      <c r="S63" s="208">
        <f>System!$E$7</f>
        <v>0.98099999999999998</v>
      </c>
      <c r="T63" s="209">
        <f>R63*S63</f>
        <v>96.138000000000005</v>
      </c>
      <c r="U63" s="115">
        <f>V63*1000/(R63*24*365)</f>
        <v>0.70822849687820333</v>
      </c>
      <c r="V63" s="154">
        <v>608</v>
      </c>
      <c r="W63" s="65">
        <v>10</v>
      </c>
      <c r="Y63" s="11"/>
      <c r="Z63" s="11"/>
    </row>
    <row r="64" spans="2:26" ht="20" x14ac:dyDescent="0.25">
      <c r="B64" s="11" t="s">
        <v>445</v>
      </c>
      <c r="C64" s="35" t="s">
        <v>1239</v>
      </c>
      <c r="D64" s="11" t="s">
        <v>75</v>
      </c>
      <c r="E64" s="35" t="s">
        <v>83</v>
      </c>
      <c r="F64" s="87">
        <v>56.398155733790801</v>
      </c>
      <c r="G64" s="87">
        <v>-94.369062510775194</v>
      </c>
      <c r="H64" s="107" t="s">
        <v>604</v>
      </c>
      <c r="I64" s="35" t="s">
        <v>762</v>
      </c>
      <c r="J64" s="111" t="s">
        <v>744</v>
      </c>
      <c r="K64" s="107" t="s">
        <v>1028</v>
      </c>
      <c r="L64" s="108">
        <v>230</v>
      </c>
      <c r="M64" s="78">
        <v>1979</v>
      </c>
      <c r="N64" s="89">
        <f>M64+70</f>
        <v>2049</v>
      </c>
      <c r="P64" s="78" t="s">
        <v>152</v>
      </c>
      <c r="Q64" s="35" t="s">
        <v>591</v>
      </c>
      <c r="R64" s="126">
        <v>98</v>
      </c>
      <c r="S64" s="208">
        <f>System!$E$7</f>
        <v>0.98099999999999998</v>
      </c>
      <c r="T64" s="209">
        <f>R64*S64</f>
        <v>96.138000000000005</v>
      </c>
      <c r="U64" s="115">
        <f>V64*1000/(R64*24*365)</f>
        <v>0.70822849687820333</v>
      </c>
      <c r="V64" s="154">
        <v>608</v>
      </c>
      <c r="W64" s="65">
        <v>10</v>
      </c>
      <c r="Y64" s="104"/>
      <c r="Z64" s="11"/>
    </row>
    <row r="65" spans="2:26" ht="20" x14ac:dyDescent="0.25">
      <c r="B65" s="11" t="s">
        <v>446</v>
      </c>
      <c r="C65" s="35" t="s">
        <v>1250</v>
      </c>
      <c r="D65" s="11" t="s">
        <v>75</v>
      </c>
      <c r="E65" s="35" t="s">
        <v>83</v>
      </c>
      <c r="F65" s="87">
        <v>56.398155733790801</v>
      </c>
      <c r="G65" s="87">
        <v>-94.369062510775194</v>
      </c>
      <c r="H65" s="107" t="s">
        <v>604</v>
      </c>
      <c r="I65" s="35" t="s">
        <v>762</v>
      </c>
      <c r="J65" s="111" t="s">
        <v>744</v>
      </c>
      <c r="K65" s="107" t="s">
        <v>1028</v>
      </c>
      <c r="L65" s="108">
        <v>230</v>
      </c>
      <c r="M65" s="78">
        <v>1979</v>
      </c>
      <c r="N65" s="89">
        <f>M65+70</f>
        <v>2049</v>
      </c>
      <c r="P65" s="78" t="s">
        <v>152</v>
      </c>
      <c r="Q65" s="35" t="s">
        <v>591</v>
      </c>
      <c r="R65" s="126">
        <v>98</v>
      </c>
      <c r="S65" s="208">
        <f>System!$E$7</f>
        <v>0.98099999999999998</v>
      </c>
      <c r="T65" s="209">
        <f>R65*S65</f>
        <v>96.138000000000005</v>
      </c>
      <c r="U65" s="115">
        <f>V65*1000/(R65*24*365)</f>
        <v>0.70822849687820333</v>
      </c>
      <c r="V65" s="154">
        <v>608</v>
      </c>
      <c r="W65" s="65">
        <v>10</v>
      </c>
      <c r="Y65" s="11"/>
      <c r="Z65" s="11"/>
    </row>
    <row r="66" spans="2:26" ht="20" x14ac:dyDescent="0.25">
      <c r="B66" s="11" t="s">
        <v>447</v>
      </c>
      <c r="C66" s="35" t="s">
        <v>1262</v>
      </c>
      <c r="D66" s="11" t="s">
        <v>75</v>
      </c>
      <c r="E66" s="35" t="s">
        <v>83</v>
      </c>
      <c r="F66" s="87">
        <v>56.398155733790801</v>
      </c>
      <c r="G66" s="87">
        <v>-94.369062510775194</v>
      </c>
      <c r="H66" s="107" t="s">
        <v>604</v>
      </c>
      <c r="I66" s="35" t="s">
        <v>762</v>
      </c>
      <c r="J66" s="111" t="s">
        <v>744</v>
      </c>
      <c r="K66" s="107" t="s">
        <v>1028</v>
      </c>
      <c r="L66" s="108">
        <v>230</v>
      </c>
      <c r="M66" s="78">
        <v>1979</v>
      </c>
      <c r="N66" s="89">
        <f>M66+70</f>
        <v>2049</v>
      </c>
      <c r="P66" s="78" t="s">
        <v>152</v>
      </c>
      <c r="Q66" s="35" t="s">
        <v>591</v>
      </c>
      <c r="R66" s="126">
        <v>98</v>
      </c>
      <c r="S66" s="208">
        <f>System!$E$7</f>
        <v>0.98099999999999998</v>
      </c>
      <c r="T66" s="209">
        <f>R66*S66</f>
        <v>96.138000000000005</v>
      </c>
      <c r="U66" s="115">
        <f>V66*1000/(R66*24*365)</f>
        <v>0.70822849687820333</v>
      </c>
      <c r="V66" s="154">
        <v>608</v>
      </c>
      <c r="W66" s="65">
        <v>10</v>
      </c>
      <c r="Y66" s="11"/>
      <c r="Z66" s="11"/>
    </row>
    <row r="67" spans="2:26" ht="20" x14ac:dyDescent="0.25">
      <c r="B67" s="11" t="s">
        <v>448</v>
      </c>
      <c r="C67" s="35" t="s">
        <v>1272</v>
      </c>
      <c r="D67" s="11" t="s">
        <v>75</v>
      </c>
      <c r="E67" s="35" t="s">
        <v>83</v>
      </c>
      <c r="F67" s="87">
        <v>56.398155733790801</v>
      </c>
      <c r="G67" s="87">
        <v>-94.369062510775194</v>
      </c>
      <c r="H67" s="107" t="s">
        <v>604</v>
      </c>
      <c r="I67" s="35" t="s">
        <v>762</v>
      </c>
      <c r="J67" s="111" t="s">
        <v>744</v>
      </c>
      <c r="K67" s="107" t="s">
        <v>1028</v>
      </c>
      <c r="L67" s="108">
        <v>230</v>
      </c>
      <c r="M67" s="78">
        <v>1979</v>
      </c>
      <c r="N67" s="89">
        <f>M67+70</f>
        <v>2049</v>
      </c>
      <c r="P67" s="78" t="s">
        <v>152</v>
      </c>
      <c r="Q67" s="35" t="s">
        <v>591</v>
      </c>
      <c r="R67" s="126">
        <v>98</v>
      </c>
      <c r="S67" s="208">
        <f>System!$E$7</f>
        <v>0.98099999999999998</v>
      </c>
      <c r="T67" s="209">
        <f>R67*S67</f>
        <v>96.138000000000005</v>
      </c>
      <c r="U67" s="115">
        <f>V67*1000/(R67*24*365)</f>
        <v>0.70822849687820333</v>
      </c>
      <c r="V67" s="154">
        <v>608</v>
      </c>
      <c r="W67" s="65">
        <v>10</v>
      </c>
      <c r="Y67" s="11"/>
      <c r="Z67" s="11"/>
    </row>
    <row r="68" spans="2:26" ht="20" x14ac:dyDescent="0.25">
      <c r="B68" s="11" t="s">
        <v>449</v>
      </c>
      <c r="C68" s="35" t="s">
        <v>1277</v>
      </c>
      <c r="D68" s="11" t="s">
        <v>75</v>
      </c>
      <c r="E68" s="35" t="s">
        <v>83</v>
      </c>
      <c r="F68" s="87">
        <v>56.398155733790801</v>
      </c>
      <c r="G68" s="87">
        <v>-94.369062510775194</v>
      </c>
      <c r="H68" s="107" t="s">
        <v>604</v>
      </c>
      <c r="I68" s="35" t="s">
        <v>762</v>
      </c>
      <c r="J68" s="111" t="s">
        <v>744</v>
      </c>
      <c r="K68" s="107" t="s">
        <v>1028</v>
      </c>
      <c r="L68" s="108">
        <v>230</v>
      </c>
      <c r="M68" s="78">
        <v>1979</v>
      </c>
      <c r="N68" s="89">
        <f>M68+70</f>
        <v>2049</v>
      </c>
      <c r="P68" s="78" t="s">
        <v>152</v>
      </c>
      <c r="Q68" s="35" t="s">
        <v>591</v>
      </c>
      <c r="R68" s="126">
        <v>98</v>
      </c>
      <c r="S68" s="208">
        <f>System!$E$7</f>
        <v>0.98099999999999998</v>
      </c>
      <c r="T68" s="209">
        <f>R68*S68</f>
        <v>96.138000000000005</v>
      </c>
      <c r="U68" s="115">
        <f>V68*1000/(R68*24*365)</f>
        <v>0.70822849687820333</v>
      </c>
      <c r="V68" s="154">
        <v>608</v>
      </c>
      <c r="W68" s="65">
        <v>10</v>
      </c>
      <c r="Y68" s="11"/>
      <c r="Z68" s="11"/>
    </row>
    <row r="69" spans="2:26" ht="20" x14ac:dyDescent="0.25">
      <c r="B69" s="11" t="s">
        <v>450</v>
      </c>
      <c r="C69" s="35" t="s">
        <v>1282</v>
      </c>
      <c r="D69" s="11" t="s">
        <v>75</v>
      </c>
      <c r="E69" s="158" t="s">
        <v>83</v>
      </c>
      <c r="F69" s="87">
        <v>56.398155733790801</v>
      </c>
      <c r="G69" s="87">
        <v>-94.369062510775194</v>
      </c>
      <c r="H69" s="107" t="s">
        <v>604</v>
      </c>
      <c r="I69" s="35" t="s">
        <v>762</v>
      </c>
      <c r="J69" s="111" t="s">
        <v>744</v>
      </c>
      <c r="K69" s="107" t="s">
        <v>1028</v>
      </c>
      <c r="L69" s="108">
        <v>230</v>
      </c>
      <c r="M69" s="78">
        <v>1979</v>
      </c>
      <c r="N69" s="89">
        <f>M69+70</f>
        <v>2049</v>
      </c>
      <c r="P69" s="78" t="s">
        <v>152</v>
      </c>
      <c r="Q69" s="35" t="s">
        <v>591</v>
      </c>
      <c r="R69" s="126">
        <v>98</v>
      </c>
      <c r="S69" s="208">
        <f>System!$E$7</f>
        <v>0.98099999999999998</v>
      </c>
      <c r="T69" s="209">
        <f>R69*S69</f>
        <v>96.138000000000005</v>
      </c>
      <c r="U69" s="115">
        <f>V69*1000/(R69*24*365)</f>
        <v>0.70822849687820333</v>
      </c>
      <c r="V69" s="154">
        <v>608</v>
      </c>
      <c r="W69" s="65">
        <v>10</v>
      </c>
      <c r="Y69" s="11"/>
      <c r="Z69" s="11"/>
    </row>
    <row r="70" spans="2:26" ht="20" x14ac:dyDescent="0.25">
      <c r="B70" s="11" t="s">
        <v>451</v>
      </c>
      <c r="C70" s="35" t="s">
        <v>1012</v>
      </c>
      <c r="D70" s="11" t="s">
        <v>75</v>
      </c>
      <c r="E70" s="158" t="s">
        <v>83</v>
      </c>
      <c r="F70" s="87">
        <v>56.398155733790801</v>
      </c>
      <c r="G70" s="87">
        <v>-94.369062510775194</v>
      </c>
      <c r="H70" s="107" t="s">
        <v>604</v>
      </c>
      <c r="I70" s="35" t="s">
        <v>762</v>
      </c>
      <c r="J70" s="111" t="s">
        <v>744</v>
      </c>
      <c r="K70" s="107" t="s">
        <v>1028</v>
      </c>
      <c r="L70" s="108">
        <v>230</v>
      </c>
      <c r="M70" s="78">
        <v>1979</v>
      </c>
      <c r="N70" s="89">
        <f>M70+70</f>
        <v>2049</v>
      </c>
      <c r="P70" s="78" t="s">
        <v>152</v>
      </c>
      <c r="Q70" s="35" t="s">
        <v>591</v>
      </c>
      <c r="R70" s="126">
        <v>98</v>
      </c>
      <c r="S70" s="208">
        <f>System!$E$7</f>
        <v>0.98099999999999998</v>
      </c>
      <c r="T70" s="209">
        <f>R70*S70</f>
        <v>96.138000000000005</v>
      </c>
      <c r="U70" s="115">
        <f>V70*1000/(R70*24*365)</f>
        <v>0.70822849687820333</v>
      </c>
      <c r="V70" s="154">
        <v>608</v>
      </c>
      <c r="W70" s="65">
        <v>10</v>
      </c>
      <c r="Y70" s="11"/>
      <c r="Z70" s="11"/>
    </row>
    <row r="71" spans="2:26" ht="20" x14ac:dyDescent="0.25">
      <c r="B71" s="11" t="s">
        <v>474</v>
      </c>
      <c r="C71" s="35" t="s">
        <v>1201</v>
      </c>
      <c r="D71" s="11" t="s">
        <v>75</v>
      </c>
      <c r="E71" s="35" t="s">
        <v>81</v>
      </c>
      <c r="F71" s="87">
        <v>50.222119114998101</v>
      </c>
      <c r="G71" s="87">
        <v>-95.568707001713705</v>
      </c>
      <c r="H71" s="107" t="s">
        <v>604</v>
      </c>
      <c r="I71" s="35" t="s">
        <v>762</v>
      </c>
      <c r="J71" s="108" t="s">
        <v>756</v>
      </c>
      <c r="K71" s="107" t="s">
        <v>1034</v>
      </c>
      <c r="L71" s="108">
        <v>115</v>
      </c>
      <c r="M71" s="78">
        <v>1948</v>
      </c>
      <c r="N71" s="89">
        <f>M71+70+40</f>
        <v>2058</v>
      </c>
      <c r="P71" s="78" t="s">
        <v>590</v>
      </c>
      <c r="Q71" s="35" t="s">
        <v>592</v>
      </c>
      <c r="R71" s="126">
        <v>8.5</v>
      </c>
      <c r="S71" s="208">
        <f>System!$E$6</f>
        <v>0.98099999999999998</v>
      </c>
      <c r="T71" s="209">
        <f>R71*S71</f>
        <v>8.3384999999999998</v>
      </c>
      <c r="U71" s="115">
        <f>V71*1000/(R71*24*365)</f>
        <v>0.83937684662906253</v>
      </c>
      <c r="V71" s="126">
        <v>62.5</v>
      </c>
      <c r="W71" s="65">
        <v>8</v>
      </c>
      <c r="Y71" s="11"/>
      <c r="Z71" s="11"/>
    </row>
    <row r="72" spans="2:26" ht="20" x14ac:dyDescent="0.25">
      <c r="B72" s="11" t="s">
        <v>475</v>
      </c>
      <c r="C72" s="35" t="s">
        <v>1216</v>
      </c>
      <c r="D72" s="11" t="s">
        <v>75</v>
      </c>
      <c r="E72" s="35" t="s">
        <v>81</v>
      </c>
      <c r="F72" s="87">
        <v>50.222119114998101</v>
      </c>
      <c r="G72" s="87">
        <v>-95.568707001713705</v>
      </c>
      <c r="H72" s="107" t="s">
        <v>604</v>
      </c>
      <c r="I72" s="35" t="s">
        <v>762</v>
      </c>
      <c r="J72" s="108" t="s">
        <v>756</v>
      </c>
      <c r="K72" s="107" t="s">
        <v>1034</v>
      </c>
      <c r="L72" s="108">
        <v>115</v>
      </c>
      <c r="M72" s="78">
        <v>1948</v>
      </c>
      <c r="N72" s="89">
        <f>M72+70+40</f>
        <v>2058</v>
      </c>
      <c r="P72" s="78" t="s">
        <v>590</v>
      </c>
      <c r="Q72" s="35" t="s">
        <v>592</v>
      </c>
      <c r="R72" s="126">
        <v>8.5</v>
      </c>
      <c r="S72" s="208">
        <f>System!$E$6</f>
        <v>0.98099999999999998</v>
      </c>
      <c r="T72" s="209">
        <f>R72*S72</f>
        <v>8.3384999999999998</v>
      </c>
      <c r="U72" s="115">
        <f>V72*1000/(R72*24*365)</f>
        <v>0.83937684662906253</v>
      </c>
      <c r="V72" s="126">
        <v>62.5</v>
      </c>
      <c r="W72" s="65">
        <v>8</v>
      </c>
      <c r="Y72" s="104"/>
      <c r="Z72" s="11"/>
    </row>
    <row r="73" spans="2:26" ht="20" x14ac:dyDescent="0.25">
      <c r="B73" s="11" t="s">
        <v>476</v>
      </c>
      <c r="C73" s="35" t="s">
        <v>1229</v>
      </c>
      <c r="D73" s="11" t="s">
        <v>75</v>
      </c>
      <c r="E73" s="158" t="s">
        <v>81</v>
      </c>
      <c r="F73" s="87">
        <v>50.222119114998101</v>
      </c>
      <c r="G73" s="87">
        <v>-95.568707001713705</v>
      </c>
      <c r="H73" s="107" t="s">
        <v>604</v>
      </c>
      <c r="I73" s="35" t="s">
        <v>762</v>
      </c>
      <c r="J73" s="108" t="s">
        <v>756</v>
      </c>
      <c r="K73" s="107" t="s">
        <v>1034</v>
      </c>
      <c r="L73" s="108">
        <v>115</v>
      </c>
      <c r="M73" s="78">
        <v>1948</v>
      </c>
      <c r="N73" s="89">
        <f>M73+70+40</f>
        <v>2058</v>
      </c>
      <c r="P73" s="78" t="s">
        <v>590</v>
      </c>
      <c r="Q73" s="35" t="s">
        <v>592</v>
      </c>
      <c r="R73" s="126">
        <v>8.5</v>
      </c>
      <c r="S73" s="208">
        <f>System!$E$6</f>
        <v>0.98099999999999998</v>
      </c>
      <c r="T73" s="209">
        <f>R73*S73</f>
        <v>8.3384999999999998</v>
      </c>
      <c r="U73" s="115">
        <f>V73*1000/(R73*24*365)</f>
        <v>0.83937684662906253</v>
      </c>
      <c r="V73" s="126">
        <v>62.5</v>
      </c>
      <c r="W73" s="65">
        <v>8</v>
      </c>
      <c r="Y73" s="11"/>
      <c r="Z73" s="11"/>
    </row>
    <row r="74" spans="2:26" ht="20" x14ac:dyDescent="0.25">
      <c r="B74" s="11" t="s">
        <v>477</v>
      </c>
      <c r="C74" s="35" t="s">
        <v>1242</v>
      </c>
      <c r="D74" s="11" t="s">
        <v>75</v>
      </c>
      <c r="E74" s="158" t="s">
        <v>81</v>
      </c>
      <c r="F74" s="87">
        <v>50.222119114998101</v>
      </c>
      <c r="G74" s="87">
        <v>-95.568707001713705</v>
      </c>
      <c r="H74" s="107" t="s">
        <v>604</v>
      </c>
      <c r="I74" s="35" t="s">
        <v>762</v>
      </c>
      <c r="J74" s="108" t="s">
        <v>756</v>
      </c>
      <c r="K74" s="107" t="s">
        <v>1034</v>
      </c>
      <c r="L74" s="108">
        <v>115</v>
      </c>
      <c r="M74" s="78">
        <v>1948</v>
      </c>
      <c r="N74" s="89">
        <f>M74+70+40</f>
        <v>2058</v>
      </c>
      <c r="P74" s="78" t="s">
        <v>590</v>
      </c>
      <c r="Q74" s="35" t="s">
        <v>592</v>
      </c>
      <c r="R74" s="126">
        <v>8.5</v>
      </c>
      <c r="S74" s="208">
        <f>System!$E$6</f>
        <v>0.98099999999999998</v>
      </c>
      <c r="T74" s="209">
        <f>R74*S74</f>
        <v>8.3384999999999998</v>
      </c>
      <c r="U74" s="115">
        <f>V74*1000/(R74*24*365)</f>
        <v>0.83937684662906253</v>
      </c>
      <c r="V74" s="126">
        <v>62.5</v>
      </c>
      <c r="W74" s="65">
        <v>8</v>
      </c>
      <c r="Y74" s="11"/>
      <c r="Z74" s="11"/>
    </row>
    <row r="75" spans="2:26" ht="20" x14ac:dyDescent="0.25">
      <c r="B75" s="11" t="s">
        <v>478</v>
      </c>
      <c r="C75" s="35" t="s">
        <v>1253</v>
      </c>
      <c r="D75" s="11" t="s">
        <v>75</v>
      </c>
      <c r="E75" s="158" t="s">
        <v>81</v>
      </c>
      <c r="F75" s="87">
        <v>50.222119114998101</v>
      </c>
      <c r="G75" s="87">
        <v>-95.568707001713705</v>
      </c>
      <c r="H75" s="107" t="s">
        <v>604</v>
      </c>
      <c r="I75" s="35" t="s">
        <v>762</v>
      </c>
      <c r="J75" s="108" t="s">
        <v>756</v>
      </c>
      <c r="K75" s="107" t="s">
        <v>1034</v>
      </c>
      <c r="L75" s="108">
        <v>115</v>
      </c>
      <c r="M75" s="78">
        <v>1948</v>
      </c>
      <c r="N75" s="89">
        <f>M75+70+40</f>
        <v>2058</v>
      </c>
      <c r="P75" s="78" t="s">
        <v>590</v>
      </c>
      <c r="Q75" s="35" t="s">
        <v>592</v>
      </c>
      <c r="R75" s="126">
        <v>8.5</v>
      </c>
      <c r="S75" s="208">
        <f>System!$E$6</f>
        <v>0.98099999999999998</v>
      </c>
      <c r="T75" s="209">
        <f>R75*S75</f>
        <v>8.3384999999999998</v>
      </c>
      <c r="U75" s="115">
        <f>V75*1000/(R75*24*365)</f>
        <v>0.83937684662906253</v>
      </c>
      <c r="V75" s="126">
        <v>62.5</v>
      </c>
      <c r="W75" s="65">
        <v>8</v>
      </c>
      <c r="Y75" s="11"/>
      <c r="Z75" s="11"/>
    </row>
    <row r="76" spans="2:26" ht="20" x14ac:dyDescent="0.25">
      <c r="B76" s="11" t="s">
        <v>479</v>
      </c>
      <c r="C76" s="35" t="s">
        <v>1265</v>
      </c>
      <c r="D76" s="11" t="s">
        <v>75</v>
      </c>
      <c r="E76" s="158" t="s">
        <v>81</v>
      </c>
      <c r="F76" s="87">
        <v>50.222119114998101</v>
      </c>
      <c r="G76" s="87">
        <v>-95.568707001713705</v>
      </c>
      <c r="H76" s="107" t="s">
        <v>604</v>
      </c>
      <c r="I76" s="35" t="s">
        <v>762</v>
      </c>
      <c r="J76" s="108" t="s">
        <v>756</v>
      </c>
      <c r="K76" s="107" t="s">
        <v>1034</v>
      </c>
      <c r="L76" s="108">
        <v>115</v>
      </c>
      <c r="M76" s="78">
        <v>1948</v>
      </c>
      <c r="N76" s="89">
        <f>M76+70+40</f>
        <v>2058</v>
      </c>
      <c r="P76" s="78" t="s">
        <v>590</v>
      </c>
      <c r="Q76" s="35" t="s">
        <v>592</v>
      </c>
      <c r="R76" s="126">
        <v>8.5</v>
      </c>
      <c r="S76" s="208">
        <f>System!$E$6</f>
        <v>0.98099999999999998</v>
      </c>
      <c r="T76" s="209">
        <f>R76*S76</f>
        <v>8.3384999999999998</v>
      </c>
      <c r="U76" s="115">
        <f>V76*1000/(R76*24*365)</f>
        <v>0.83937684662906253</v>
      </c>
      <c r="V76" s="126">
        <v>62.5</v>
      </c>
      <c r="W76" s="65">
        <v>8</v>
      </c>
      <c r="Y76" s="11"/>
      <c r="Z76" s="11"/>
    </row>
    <row r="77" spans="2:26" ht="20" x14ac:dyDescent="0.25">
      <c r="B77" s="11" t="s">
        <v>480</v>
      </c>
      <c r="C77" s="35" t="s">
        <v>1274</v>
      </c>
      <c r="D77" s="11" t="s">
        <v>75</v>
      </c>
      <c r="E77" s="158" t="s">
        <v>81</v>
      </c>
      <c r="F77" s="87">
        <v>50.222119114998101</v>
      </c>
      <c r="G77" s="87">
        <v>-95.568707001713705</v>
      </c>
      <c r="H77" s="107" t="s">
        <v>604</v>
      </c>
      <c r="I77" s="35" t="s">
        <v>762</v>
      </c>
      <c r="J77" s="108" t="s">
        <v>756</v>
      </c>
      <c r="K77" s="107" t="s">
        <v>1034</v>
      </c>
      <c r="L77" s="108">
        <v>115</v>
      </c>
      <c r="M77" s="78">
        <v>1948</v>
      </c>
      <c r="N77" s="89">
        <f>M77+70+40</f>
        <v>2058</v>
      </c>
      <c r="P77" s="78" t="s">
        <v>590</v>
      </c>
      <c r="Q77" s="35" t="s">
        <v>592</v>
      </c>
      <c r="R77" s="126">
        <v>8.5</v>
      </c>
      <c r="S77" s="208">
        <f>System!$E$6</f>
        <v>0.98099999999999998</v>
      </c>
      <c r="T77" s="209">
        <f>R77*S77</f>
        <v>8.3384999999999998</v>
      </c>
      <c r="U77" s="115">
        <f>V77*1000/(R77*24*365)</f>
        <v>0.83937684662906253</v>
      </c>
      <c r="V77" s="126">
        <v>62.5</v>
      </c>
      <c r="W77" s="65">
        <v>8</v>
      </c>
      <c r="Y77" s="11"/>
      <c r="Z77" s="11"/>
    </row>
    <row r="78" spans="2:26" ht="20" x14ac:dyDescent="0.25">
      <c r="B78" s="11" t="s">
        <v>481</v>
      </c>
      <c r="C78" s="35" t="s">
        <v>1279</v>
      </c>
      <c r="D78" s="11" t="s">
        <v>75</v>
      </c>
      <c r="E78" s="158" t="s">
        <v>81</v>
      </c>
      <c r="F78" s="87">
        <v>50.222119114998101</v>
      </c>
      <c r="G78" s="87">
        <v>-95.568707001713705</v>
      </c>
      <c r="H78" s="107" t="s">
        <v>604</v>
      </c>
      <c r="I78" s="35" t="s">
        <v>762</v>
      </c>
      <c r="J78" s="108" t="s">
        <v>756</v>
      </c>
      <c r="K78" s="107" t="s">
        <v>1034</v>
      </c>
      <c r="L78" s="108">
        <v>115</v>
      </c>
      <c r="M78" s="78">
        <v>1948</v>
      </c>
      <c r="N78" s="89">
        <f>M78+70+40</f>
        <v>2058</v>
      </c>
      <c r="P78" s="78" t="s">
        <v>590</v>
      </c>
      <c r="Q78" s="35" t="s">
        <v>592</v>
      </c>
      <c r="R78" s="126">
        <v>8.5</v>
      </c>
      <c r="S78" s="208">
        <f>System!$E$6</f>
        <v>0.98099999999999998</v>
      </c>
      <c r="T78" s="209">
        <f>R78*S78</f>
        <v>8.3384999999999998</v>
      </c>
      <c r="U78" s="115">
        <f>V78*1000/(R78*24*365)</f>
        <v>0.83937684662906253</v>
      </c>
      <c r="V78" s="126">
        <v>62.5</v>
      </c>
      <c r="W78" s="59">
        <v>8</v>
      </c>
      <c r="Y78" s="11"/>
      <c r="Z78" s="11"/>
    </row>
    <row r="79" spans="2:26" ht="20" x14ac:dyDescent="0.25">
      <c r="B79" s="11" t="s">
        <v>431</v>
      </c>
      <c r="C79" s="35" t="s">
        <v>1195</v>
      </c>
      <c r="D79" s="11" t="s">
        <v>75</v>
      </c>
      <c r="E79" s="158" t="s">
        <v>83</v>
      </c>
      <c r="F79" s="87">
        <v>56.508128023292102</v>
      </c>
      <c r="G79" s="87">
        <v>-94.110850886180501</v>
      </c>
      <c r="H79" s="107" t="s">
        <v>604</v>
      </c>
      <c r="I79" s="35" t="s">
        <v>762</v>
      </c>
      <c r="J79" s="111" t="s">
        <v>743</v>
      </c>
      <c r="K79" s="107" t="s">
        <v>1026</v>
      </c>
      <c r="L79" s="108">
        <v>230</v>
      </c>
      <c r="M79" s="78">
        <v>1990</v>
      </c>
      <c r="N79" s="89">
        <f>M79+70</f>
        <v>2060</v>
      </c>
      <c r="P79" s="78" t="s">
        <v>152</v>
      </c>
      <c r="Q79" s="35" t="s">
        <v>591</v>
      </c>
      <c r="R79" s="126">
        <v>135</v>
      </c>
      <c r="S79" s="208">
        <f>System!$E$7</f>
        <v>0.98099999999999998</v>
      </c>
      <c r="T79" s="209">
        <f>R79*S79</f>
        <v>132.435</v>
      </c>
      <c r="U79" s="115">
        <f>V79*1000/(R79*24*365)</f>
        <v>0.64518856756299681</v>
      </c>
      <c r="V79" s="154">
        <v>763</v>
      </c>
      <c r="W79" s="65">
        <v>10</v>
      </c>
      <c r="Y79" s="11"/>
      <c r="Z79" s="11"/>
    </row>
    <row r="80" spans="2:26" ht="20" x14ac:dyDescent="0.25">
      <c r="B80" s="11" t="s">
        <v>432</v>
      </c>
      <c r="C80" s="35" t="s">
        <v>1210</v>
      </c>
      <c r="D80" s="11" t="s">
        <v>75</v>
      </c>
      <c r="E80" s="158" t="s">
        <v>83</v>
      </c>
      <c r="F80" s="87">
        <v>56.508128023292102</v>
      </c>
      <c r="G80" s="87">
        <v>-94.110850886180501</v>
      </c>
      <c r="H80" s="107" t="s">
        <v>604</v>
      </c>
      <c r="I80" s="35" t="s">
        <v>762</v>
      </c>
      <c r="J80" s="111" t="s">
        <v>743</v>
      </c>
      <c r="K80" s="107" t="s">
        <v>1026</v>
      </c>
      <c r="L80" s="108">
        <v>230</v>
      </c>
      <c r="M80" s="78">
        <v>1990</v>
      </c>
      <c r="N80" s="89">
        <f>M80+70</f>
        <v>2060</v>
      </c>
      <c r="P80" s="78" t="s">
        <v>152</v>
      </c>
      <c r="Q80" s="35" t="s">
        <v>591</v>
      </c>
      <c r="R80" s="126">
        <v>135</v>
      </c>
      <c r="S80" s="208">
        <f>System!$E$7</f>
        <v>0.98099999999999998</v>
      </c>
      <c r="T80" s="209">
        <f>R80*S80</f>
        <v>132.435</v>
      </c>
      <c r="U80" s="115">
        <f>V80*1000/(R80*24*365)</f>
        <v>0.64518856756299681</v>
      </c>
      <c r="V80" s="154">
        <v>763</v>
      </c>
      <c r="W80" s="65">
        <v>10</v>
      </c>
      <c r="Y80" s="104"/>
      <c r="Z80" s="11"/>
    </row>
    <row r="81" spans="2:26" ht="20" x14ac:dyDescent="0.25">
      <c r="B81" s="11" t="s">
        <v>433</v>
      </c>
      <c r="C81" s="35" t="s">
        <v>1225</v>
      </c>
      <c r="D81" s="11" t="s">
        <v>75</v>
      </c>
      <c r="E81" s="158" t="s">
        <v>83</v>
      </c>
      <c r="F81" s="87">
        <v>56.508128023292102</v>
      </c>
      <c r="G81" s="87">
        <v>-94.110850886180501</v>
      </c>
      <c r="H81" s="107" t="s">
        <v>604</v>
      </c>
      <c r="I81" s="35" t="s">
        <v>762</v>
      </c>
      <c r="J81" s="111" t="s">
        <v>743</v>
      </c>
      <c r="K81" s="107" t="s">
        <v>1026</v>
      </c>
      <c r="L81" s="108">
        <v>230</v>
      </c>
      <c r="M81" s="78">
        <v>1990</v>
      </c>
      <c r="N81" s="89">
        <f>M81+70</f>
        <v>2060</v>
      </c>
      <c r="P81" s="78" t="s">
        <v>152</v>
      </c>
      <c r="Q81" s="35" t="s">
        <v>591</v>
      </c>
      <c r="R81" s="126">
        <v>135</v>
      </c>
      <c r="S81" s="208">
        <f>System!$E$7</f>
        <v>0.98099999999999998</v>
      </c>
      <c r="T81" s="209">
        <f>R81*S81</f>
        <v>132.435</v>
      </c>
      <c r="U81" s="115">
        <f>V81*1000/(R81*24*365)</f>
        <v>0.64518856756299681</v>
      </c>
      <c r="V81" s="154">
        <v>763</v>
      </c>
      <c r="W81" s="65">
        <v>10</v>
      </c>
      <c r="Y81" s="104"/>
      <c r="Z81" s="11"/>
    </row>
    <row r="82" spans="2:26" ht="20" x14ac:dyDescent="0.25">
      <c r="B82" s="11" t="s">
        <v>434</v>
      </c>
      <c r="C82" s="35" t="s">
        <v>1238</v>
      </c>
      <c r="D82" s="11" t="s">
        <v>75</v>
      </c>
      <c r="E82" s="35" t="s">
        <v>83</v>
      </c>
      <c r="F82" s="87">
        <v>56.508128023292102</v>
      </c>
      <c r="G82" s="87">
        <v>-94.110850886180501</v>
      </c>
      <c r="H82" s="107" t="s">
        <v>604</v>
      </c>
      <c r="I82" s="35" t="s">
        <v>762</v>
      </c>
      <c r="J82" s="111" t="s">
        <v>743</v>
      </c>
      <c r="K82" s="107" t="s">
        <v>1026</v>
      </c>
      <c r="L82" s="108">
        <v>230</v>
      </c>
      <c r="M82" s="78">
        <v>1990</v>
      </c>
      <c r="N82" s="89">
        <f>M82+70</f>
        <v>2060</v>
      </c>
      <c r="P82" s="78" t="s">
        <v>152</v>
      </c>
      <c r="Q82" s="35" t="s">
        <v>591</v>
      </c>
      <c r="R82" s="126">
        <v>135</v>
      </c>
      <c r="S82" s="208">
        <f>System!$E$7</f>
        <v>0.98099999999999998</v>
      </c>
      <c r="T82" s="209">
        <f>R82*S82</f>
        <v>132.435</v>
      </c>
      <c r="U82" s="115">
        <f>V82*1000/(R82*24*365)</f>
        <v>0.64518856756299681</v>
      </c>
      <c r="V82" s="154">
        <v>763</v>
      </c>
      <c r="W82" s="65">
        <v>10</v>
      </c>
      <c r="Y82" s="104"/>
      <c r="Z82" s="11"/>
    </row>
    <row r="83" spans="2:26" ht="20" x14ac:dyDescent="0.25">
      <c r="B83" s="11" t="s">
        <v>435</v>
      </c>
      <c r="C83" s="35" t="s">
        <v>1249</v>
      </c>
      <c r="D83" s="11" t="s">
        <v>75</v>
      </c>
      <c r="E83" s="35" t="s">
        <v>83</v>
      </c>
      <c r="F83" s="87">
        <v>56.508128023292102</v>
      </c>
      <c r="G83" s="87">
        <v>-94.110850886180501</v>
      </c>
      <c r="H83" s="107" t="s">
        <v>604</v>
      </c>
      <c r="I83" s="35" t="s">
        <v>762</v>
      </c>
      <c r="J83" s="111" t="s">
        <v>743</v>
      </c>
      <c r="K83" s="107" t="s">
        <v>1026</v>
      </c>
      <c r="L83" s="108">
        <v>230</v>
      </c>
      <c r="M83" s="78">
        <v>1990</v>
      </c>
      <c r="N83" s="89">
        <f>M83+70</f>
        <v>2060</v>
      </c>
      <c r="P83" s="78" t="s">
        <v>152</v>
      </c>
      <c r="Q83" s="35" t="s">
        <v>591</v>
      </c>
      <c r="R83" s="126">
        <v>135</v>
      </c>
      <c r="S83" s="208">
        <f>System!$E$7</f>
        <v>0.98099999999999998</v>
      </c>
      <c r="T83" s="209">
        <f>R83*S83</f>
        <v>132.435</v>
      </c>
      <c r="U83" s="115">
        <f>V83*1000/(R83*24*365)</f>
        <v>0.64518856756299681</v>
      </c>
      <c r="V83" s="154">
        <v>763</v>
      </c>
      <c r="W83" s="65">
        <v>10</v>
      </c>
      <c r="Y83" s="11"/>
      <c r="Z83" s="11"/>
    </row>
    <row r="84" spans="2:26" ht="20" x14ac:dyDescent="0.25">
      <c r="B84" s="11" t="s">
        <v>436</v>
      </c>
      <c r="C84" s="35" t="s">
        <v>1261</v>
      </c>
      <c r="D84" s="11" t="s">
        <v>75</v>
      </c>
      <c r="E84" s="35" t="s">
        <v>83</v>
      </c>
      <c r="F84" s="87">
        <v>56.508128023292102</v>
      </c>
      <c r="G84" s="87">
        <v>-94.110850886180501</v>
      </c>
      <c r="H84" s="107" t="s">
        <v>604</v>
      </c>
      <c r="I84" s="35" t="s">
        <v>762</v>
      </c>
      <c r="J84" s="111" t="s">
        <v>743</v>
      </c>
      <c r="K84" s="107" t="s">
        <v>1026</v>
      </c>
      <c r="L84" s="108">
        <v>230</v>
      </c>
      <c r="M84" s="78">
        <v>1990</v>
      </c>
      <c r="N84" s="89">
        <f>M84+70</f>
        <v>2060</v>
      </c>
      <c r="P84" s="78" t="s">
        <v>152</v>
      </c>
      <c r="Q84" s="35" t="s">
        <v>591</v>
      </c>
      <c r="R84" s="126">
        <v>135</v>
      </c>
      <c r="S84" s="208">
        <f>System!$E$7</f>
        <v>0.98099999999999998</v>
      </c>
      <c r="T84" s="209">
        <f>R84*S84</f>
        <v>132.435</v>
      </c>
      <c r="U84" s="115">
        <f>V84*1000/(R84*24*365)</f>
        <v>0.64518856756299681</v>
      </c>
      <c r="V84" s="154">
        <v>763</v>
      </c>
      <c r="W84" s="65">
        <v>10</v>
      </c>
      <c r="Y84" s="11"/>
      <c r="Z84" s="11"/>
    </row>
    <row r="85" spans="2:26" ht="20" x14ac:dyDescent="0.25">
      <c r="B85" s="11" t="s">
        <v>437</v>
      </c>
      <c r="C85" s="35" t="s">
        <v>1271</v>
      </c>
      <c r="D85" s="11" t="s">
        <v>75</v>
      </c>
      <c r="E85" s="158" t="s">
        <v>83</v>
      </c>
      <c r="F85" s="87">
        <v>56.508128023292102</v>
      </c>
      <c r="G85" s="87">
        <v>-94.110850886180501</v>
      </c>
      <c r="H85" s="107" t="s">
        <v>604</v>
      </c>
      <c r="I85" s="35" t="s">
        <v>762</v>
      </c>
      <c r="J85" s="111" t="s">
        <v>743</v>
      </c>
      <c r="K85" s="107" t="s">
        <v>1026</v>
      </c>
      <c r="L85" s="108">
        <v>230</v>
      </c>
      <c r="M85" s="78">
        <v>1990</v>
      </c>
      <c r="N85" s="89">
        <f>M85+70</f>
        <v>2060</v>
      </c>
      <c r="P85" s="78" t="s">
        <v>152</v>
      </c>
      <c r="Q85" s="35" t="s">
        <v>591</v>
      </c>
      <c r="R85" s="126">
        <v>135</v>
      </c>
      <c r="S85" s="208">
        <f>System!$E$7</f>
        <v>0.98099999999999998</v>
      </c>
      <c r="T85" s="209">
        <f>R85*S85</f>
        <v>132.435</v>
      </c>
      <c r="U85" s="115">
        <f>V85*1000/(R85*24*365)</f>
        <v>0.64518856756299681</v>
      </c>
      <c r="V85" s="154">
        <v>763</v>
      </c>
      <c r="W85" s="65">
        <v>10</v>
      </c>
      <c r="Y85" s="11"/>
      <c r="Z85" s="11"/>
    </row>
    <row r="86" spans="2:26" ht="20" x14ac:dyDescent="0.25">
      <c r="B86" s="11" t="s">
        <v>438</v>
      </c>
      <c r="C86" s="35" t="s">
        <v>1276</v>
      </c>
      <c r="D86" s="11" t="s">
        <v>75</v>
      </c>
      <c r="E86" s="158" t="s">
        <v>83</v>
      </c>
      <c r="F86" s="87">
        <v>56.508128023292102</v>
      </c>
      <c r="G86" s="87">
        <v>-94.110850886180501</v>
      </c>
      <c r="H86" s="107" t="s">
        <v>604</v>
      </c>
      <c r="I86" s="35" t="s">
        <v>762</v>
      </c>
      <c r="J86" s="111" t="s">
        <v>743</v>
      </c>
      <c r="K86" s="107" t="s">
        <v>1026</v>
      </c>
      <c r="L86" s="108">
        <v>230</v>
      </c>
      <c r="M86" s="78">
        <v>1990</v>
      </c>
      <c r="N86" s="89">
        <f>M86+70</f>
        <v>2060</v>
      </c>
      <c r="P86" s="78" t="s">
        <v>152</v>
      </c>
      <c r="Q86" s="35" t="s">
        <v>591</v>
      </c>
      <c r="R86" s="126">
        <v>135</v>
      </c>
      <c r="S86" s="208">
        <f>System!$E$7</f>
        <v>0.98099999999999998</v>
      </c>
      <c r="T86" s="209">
        <f>R86*S86</f>
        <v>132.435</v>
      </c>
      <c r="U86" s="115">
        <f>V86*1000/(R86*24*365)</f>
        <v>0.64518856756299681</v>
      </c>
      <c r="V86" s="154">
        <v>763</v>
      </c>
      <c r="W86" s="65">
        <v>10</v>
      </c>
      <c r="Y86" s="11"/>
      <c r="Z86" s="11"/>
    </row>
    <row r="87" spans="2:26" ht="20" x14ac:dyDescent="0.25">
      <c r="B87" s="11" t="s">
        <v>439</v>
      </c>
      <c r="C87" s="35" t="s">
        <v>1281</v>
      </c>
      <c r="D87" s="11" t="s">
        <v>75</v>
      </c>
      <c r="E87" s="158" t="s">
        <v>83</v>
      </c>
      <c r="F87" s="87">
        <v>56.508128023292102</v>
      </c>
      <c r="G87" s="87">
        <v>-94.110850886180501</v>
      </c>
      <c r="H87" s="107" t="s">
        <v>604</v>
      </c>
      <c r="I87" s="35" t="s">
        <v>762</v>
      </c>
      <c r="J87" s="111" t="s">
        <v>743</v>
      </c>
      <c r="K87" s="107" t="s">
        <v>1026</v>
      </c>
      <c r="L87" s="108">
        <v>230</v>
      </c>
      <c r="M87" s="78">
        <v>1990</v>
      </c>
      <c r="N87" s="89">
        <f>M87+70</f>
        <v>2060</v>
      </c>
      <c r="P87" s="78" t="s">
        <v>152</v>
      </c>
      <c r="Q87" s="35" t="s">
        <v>591</v>
      </c>
      <c r="R87" s="126">
        <v>135</v>
      </c>
      <c r="S87" s="208">
        <f>System!$E$7</f>
        <v>0.98099999999999998</v>
      </c>
      <c r="T87" s="209">
        <f>R87*S87</f>
        <v>132.435</v>
      </c>
      <c r="U87" s="115">
        <f>V87*1000/(R87*24*365)</f>
        <v>0.64518856756299681</v>
      </c>
      <c r="V87" s="154">
        <v>763</v>
      </c>
      <c r="W87" s="65">
        <v>10</v>
      </c>
      <c r="Y87" s="11"/>
      <c r="Z87" s="11"/>
    </row>
    <row r="88" spans="2:26" ht="20" x14ac:dyDescent="0.25">
      <c r="B88" s="11" t="s">
        <v>440</v>
      </c>
      <c r="C88" s="35" t="s">
        <v>1011</v>
      </c>
      <c r="D88" s="11" t="s">
        <v>75</v>
      </c>
      <c r="E88" s="158" t="s">
        <v>83</v>
      </c>
      <c r="F88" s="87">
        <v>56.508128023292102</v>
      </c>
      <c r="G88" s="87">
        <v>-94.110850886180501</v>
      </c>
      <c r="H88" s="107" t="s">
        <v>604</v>
      </c>
      <c r="I88" s="35" t="s">
        <v>762</v>
      </c>
      <c r="J88" s="111" t="s">
        <v>743</v>
      </c>
      <c r="K88" s="107" t="s">
        <v>1026</v>
      </c>
      <c r="L88" s="108">
        <v>230</v>
      </c>
      <c r="M88" s="78">
        <v>1990</v>
      </c>
      <c r="N88" s="89">
        <f>M88+70</f>
        <v>2060</v>
      </c>
      <c r="P88" s="78" t="s">
        <v>152</v>
      </c>
      <c r="Q88" s="35" t="s">
        <v>591</v>
      </c>
      <c r="R88" s="126">
        <v>135</v>
      </c>
      <c r="S88" s="208">
        <f>System!$E$7</f>
        <v>0.98099999999999998</v>
      </c>
      <c r="T88" s="209">
        <f>R88*S88</f>
        <v>132.435</v>
      </c>
      <c r="U88" s="115">
        <f>V88*1000/(R88*24*365)</f>
        <v>0.64518856756299681</v>
      </c>
      <c r="V88" s="154">
        <v>763</v>
      </c>
      <c r="W88" s="65">
        <v>10</v>
      </c>
      <c r="Y88" s="11"/>
      <c r="Z88" s="11"/>
    </row>
    <row r="89" spans="2:26" ht="20" x14ac:dyDescent="0.25">
      <c r="B89" s="11" t="s">
        <v>88</v>
      </c>
      <c r="C89" s="35" t="s">
        <v>1196</v>
      </c>
      <c r="D89" s="11" t="s">
        <v>75</v>
      </c>
      <c r="E89" s="158" t="s">
        <v>430</v>
      </c>
      <c r="F89" s="87">
        <v>56.250728257154897</v>
      </c>
      <c r="G89" s="87">
        <v>-101.117210205232</v>
      </c>
      <c r="H89" s="107" t="s">
        <v>604</v>
      </c>
      <c r="I89" s="35" t="s">
        <v>762</v>
      </c>
      <c r="J89" s="111" t="s">
        <v>1017</v>
      </c>
      <c r="K89" s="107" t="s">
        <v>1027</v>
      </c>
      <c r="L89" s="108">
        <v>138</v>
      </c>
      <c r="M89" s="78">
        <v>1952</v>
      </c>
      <c r="N89" s="89">
        <f>M89+70+40</f>
        <v>2062</v>
      </c>
      <c r="P89" s="78" t="s">
        <v>150</v>
      </c>
      <c r="Q89" s="35" t="s">
        <v>930</v>
      </c>
      <c r="R89" s="126">
        <v>5</v>
      </c>
      <c r="S89" s="208">
        <f>System!$E$5</f>
        <v>0.65</v>
      </c>
      <c r="T89" s="209">
        <f>R89*S89</f>
        <v>3.25</v>
      </c>
      <c r="U89" s="115">
        <f>V89*1000/(R89*24*365)</f>
        <v>0.68493150684931503</v>
      </c>
      <c r="V89" s="154">
        <v>30</v>
      </c>
      <c r="W89" s="59">
        <v>2</v>
      </c>
      <c r="Y89" s="11"/>
      <c r="Z89" s="11"/>
    </row>
    <row r="90" spans="2:26" ht="20" x14ac:dyDescent="0.25">
      <c r="B90" s="11" t="s">
        <v>460</v>
      </c>
      <c r="C90" s="35" t="s">
        <v>1199</v>
      </c>
      <c r="D90" s="11" t="s">
        <v>75</v>
      </c>
      <c r="E90" s="35" t="s">
        <v>81</v>
      </c>
      <c r="F90" s="87">
        <v>50.567060160225601</v>
      </c>
      <c r="G90" s="87">
        <v>-96.178506158118495</v>
      </c>
      <c r="H90" s="107" t="s">
        <v>604</v>
      </c>
      <c r="I90" s="35" t="s">
        <v>762</v>
      </c>
      <c r="J90" s="108" t="s">
        <v>750</v>
      </c>
      <c r="K90" s="107" t="s">
        <v>1031</v>
      </c>
      <c r="L90" s="108">
        <v>115</v>
      </c>
      <c r="M90" s="78">
        <v>1952</v>
      </c>
      <c r="N90" s="89">
        <f>M90+70+40</f>
        <v>2062</v>
      </c>
      <c r="P90" s="78" t="s">
        <v>590</v>
      </c>
      <c r="Q90" s="35" t="s">
        <v>592</v>
      </c>
      <c r="R90" s="126">
        <v>14</v>
      </c>
      <c r="S90" s="208">
        <f>System!$E$6</f>
        <v>0.98099999999999998</v>
      </c>
      <c r="T90" s="209">
        <f>R90*S90</f>
        <v>13.734</v>
      </c>
      <c r="U90" s="115">
        <f>V90*1000/(R90*24*365)</f>
        <v>0.86975429441182872</v>
      </c>
      <c r="V90" s="154">
        <v>106.66666666666667</v>
      </c>
      <c r="W90" s="65">
        <v>6</v>
      </c>
      <c r="Y90" s="11"/>
      <c r="Z90" s="11"/>
    </row>
    <row r="91" spans="2:26" ht="20" x14ac:dyDescent="0.25">
      <c r="B91" s="11" t="s">
        <v>461</v>
      </c>
      <c r="C91" s="35" t="s">
        <v>1214</v>
      </c>
      <c r="D91" s="11" t="s">
        <v>75</v>
      </c>
      <c r="E91" s="35" t="s">
        <v>81</v>
      </c>
      <c r="F91" s="87">
        <v>50.567060160225601</v>
      </c>
      <c r="G91" s="87">
        <v>-96.178506158118495</v>
      </c>
      <c r="H91" s="107" t="s">
        <v>604</v>
      </c>
      <c r="I91" s="35" t="s">
        <v>762</v>
      </c>
      <c r="J91" s="108" t="s">
        <v>750</v>
      </c>
      <c r="K91" s="107" t="s">
        <v>1031</v>
      </c>
      <c r="L91" s="108">
        <v>115</v>
      </c>
      <c r="M91" s="78">
        <v>1952</v>
      </c>
      <c r="N91" s="89">
        <f>M91+70+40</f>
        <v>2062</v>
      </c>
      <c r="P91" s="78" t="s">
        <v>590</v>
      </c>
      <c r="Q91" s="35" t="s">
        <v>592</v>
      </c>
      <c r="R91" s="126">
        <v>14</v>
      </c>
      <c r="S91" s="208">
        <f>System!$E$6</f>
        <v>0.98099999999999998</v>
      </c>
      <c r="T91" s="209">
        <f>R91*S91</f>
        <v>13.734</v>
      </c>
      <c r="U91" s="115">
        <f>V91*1000/(R91*24*365)</f>
        <v>0.86975429441182872</v>
      </c>
      <c r="V91" s="154">
        <v>106.66666666666667</v>
      </c>
      <c r="W91" s="65">
        <v>6</v>
      </c>
      <c r="Y91" s="11"/>
      <c r="Z91" s="11"/>
    </row>
    <row r="92" spans="2:26" ht="20" x14ac:dyDescent="0.25">
      <c r="B92" s="11" t="s">
        <v>462</v>
      </c>
      <c r="C92" s="35" t="s">
        <v>1228</v>
      </c>
      <c r="D92" s="11" t="s">
        <v>75</v>
      </c>
      <c r="E92" s="35" t="s">
        <v>81</v>
      </c>
      <c r="F92" s="87">
        <v>50.567060160225601</v>
      </c>
      <c r="G92" s="87">
        <v>-96.178506158118495</v>
      </c>
      <c r="H92" s="107" t="s">
        <v>604</v>
      </c>
      <c r="I92" s="35" t="s">
        <v>762</v>
      </c>
      <c r="J92" s="108" t="s">
        <v>750</v>
      </c>
      <c r="K92" s="107" t="s">
        <v>1031</v>
      </c>
      <c r="L92" s="108">
        <v>115</v>
      </c>
      <c r="M92" s="78">
        <v>1952</v>
      </c>
      <c r="N92" s="89">
        <f>M92+70+40</f>
        <v>2062</v>
      </c>
      <c r="P92" s="78" t="s">
        <v>590</v>
      </c>
      <c r="Q92" s="35" t="s">
        <v>592</v>
      </c>
      <c r="R92" s="126">
        <v>14</v>
      </c>
      <c r="S92" s="208">
        <f>System!$E$6</f>
        <v>0.98099999999999998</v>
      </c>
      <c r="T92" s="209">
        <f>R92*S92</f>
        <v>13.734</v>
      </c>
      <c r="U92" s="115">
        <f>V92*1000/(R92*24*365)</f>
        <v>0.86975429441182872</v>
      </c>
      <c r="V92" s="154">
        <v>106.66666666666667</v>
      </c>
      <c r="W92" s="65">
        <v>6</v>
      </c>
      <c r="Y92" s="11"/>
      <c r="Z92" s="11"/>
    </row>
    <row r="93" spans="2:26" ht="20" x14ac:dyDescent="0.25">
      <c r="B93" s="11" t="s">
        <v>463</v>
      </c>
      <c r="C93" s="35" t="s">
        <v>1241</v>
      </c>
      <c r="D93" s="11" t="s">
        <v>75</v>
      </c>
      <c r="E93" s="35" t="s">
        <v>81</v>
      </c>
      <c r="F93" s="87">
        <v>50.567060160225601</v>
      </c>
      <c r="G93" s="87">
        <v>-96.178506158118495</v>
      </c>
      <c r="H93" s="107" t="s">
        <v>604</v>
      </c>
      <c r="I93" s="35" t="s">
        <v>762</v>
      </c>
      <c r="J93" s="108" t="s">
        <v>750</v>
      </c>
      <c r="K93" s="107" t="s">
        <v>1031</v>
      </c>
      <c r="L93" s="108">
        <v>115</v>
      </c>
      <c r="M93" s="78">
        <v>1952</v>
      </c>
      <c r="N93" s="89">
        <f>M93+70+40</f>
        <v>2062</v>
      </c>
      <c r="P93" s="78" t="s">
        <v>590</v>
      </c>
      <c r="Q93" s="35" t="s">
        <v>592</v>
      </c>
      <c r="R93" s="126">
        <v>14</v>
      </c>
      <c r="S93" s="208">
        <f>System!$E$6</f>
        <v>0.98099999999999998</v>
      </c>
      <c r="T93" s="209">
        <f>R93*S93</f>
        <v>13.734</v>
      </c>
      <c r="U93" s="115">
        <f>V93*1000/(R93*24*365)</f>
        <v>0.86975429441182872</v>
      </c>
      <c r="V93" s="154">
        <v>106.66666666666667</v>
      </c>
      <c r="W93" s="65">
        <v>6</v>
      </c>
      <c r="Y93" s="11"/>
      <c r="Z93" s="11"/>
    </row>
    <row r="94" spans="2:26" ht="20" x14ac:dyDescent="0.25">
      <c r="B94" s="11" t="s">
        <v>464</v>
      </c>
      <c r="C94" s="35" t="s">
        <v>1252</v>
      </c>
      <c r="D94" s="11" t="s">
        <v>75</v>
      </c>
      <c r="E94" s="35" t="s">
        <v>81</v>
      </c>
      <c r="F94" s="87">
        <v>50.567060160225601</v>
      </c>
      <c r="G94" s="87">
        <v>-96.178506158118495</v>
      </c>
      <c r="H94" s="107" t="s">
        <v>604</v>
      </c>
      <c r="I94" s="35" t="s">
        <v>762</v>
      </c>
      <c r="J94" s="108" t="s">
        <v>750</v>
      </c>
      <c r="K94" s="107" t="s">
        <v>1031</v>
      </c>
      <c r="L94" s="108">
        <v>115</v>
      </c>
      <c r="M94" s="78">
        <v>1952</v>
      </c>
      <c r="N94" s="89">
        <f>M94+70+40</f>
        <v>2062</v>
      </c>
      <c r="P94" s="78" t="s">
        <v>590</v>
      </c>
      <c r="Q94" s="35" t="s">
        <v>592</v>
      </c>
      <c r="R94" s="126">
        <v>14</v>
      </c>
      <c r="S94" s="208">
        <f>System!$E$6</f>
        <v>0.98099999999999998</v>
      </c>
      <c r="T94" s="209">
        <f>R94*S94</f>
        <v>13.734</v>
      </c>
      <c r="U94" s="115">
        <f>V94*1000/(R94*24*365)</f>
        <v>0.86975429441182872</v>
      </c>
      <c r="V94" s="154">
        <v>106.66666666666667</v>
      </c>
      <c r="W94" s="65">
        <v>6</v>
      </c>
      <c r="Y94" s="11"/>
      <c r="Z94" s="11"/>
    </row>
    <row r="95" spans="2:26" ht="20" x14ac:dyDescent="0.25">
      <c r="B95" s="11" t="s">
        <v>465</v>
      </c>
      <c r="C95" s="35" t="s">
        <v>1264</v>
      </c>
      <c r="D95" s="11" t="s">
        <v>75</v>
      </c>
      <c r="E95" s="35" t="s">
        <v>81</v>
      </c>
      <c r="F95" s="87">
        <v>50.567060160225601</v>
      </c>
      <c r="G95" s="87">
        <v>-96.178506158118495</v>
      </c>
      <c r="H95" s="107" t="s">
        <v>604</v>
      </c>
      <c r="I95" s="35" t="s">
        <v>762</v>
      </c>
      <c r="J95" s="108" t="s">
        <v>750</v>
      </c>
      <c r="K95" s="107" t="s">
        <v>1031</v>
      </c>
      <c r="L95" s="108">
        <v>115</v>
      </c>
      <c r="M95" s="78">
        <v>1952</v>
      </c>
      <c r="N95" s="89">
        <f>M95+70+40</f>
        <v>2062</v>
      </c>
      <c r="P95" s="78" t="s">
        <v>590</v>
      </c>
      <c r="Q95" s="35" t="s">
        <v>592</v>
      </c>
      <c r="R95" s="126">
        <v>14</v>
      </c>
      <c r="S95" s="208">
        <f>System!$E$6</f>
        <v>0.98099999999999998</v>
      </c>
      <c r="T95" s="209">
        <f>R95*S95</f>
        <v>13.734</v>
      </c>
      <c r="U95" s="115">
        <f>V95*1000/(R95*24*365)</f>
        <v>0.86975429441182872</v>
      </c>
      <c r="V95" s="154">
        <v>106.66666666666667</v>
      </c>
      <c r="W95" s="59">
        <v>6</v>
      </c>
      <c r="Y95" s="11"/>
      <c r="Z95" s="11"/>
    </row>
    <row r="96" spans="2:26" ht="20" x14ac:dyDescent="0.25">
      <c r="B96" s="11" t="s">
        <v>468</v>
      </c>
      <c r="C96" s="35" t="s">
        <v>1202</v>
      </c>
      <c r="D96" s="11" t="s">
        <v>75</v>
      </c>
      <c r="E96" s="35" t="s">
        <v>81</v>
      </c>
      <c r="F96" s="87">
        <v>50.120618098876399</v>
      </c>
      <c r="G96" s="87">
        <v>-96.017664051681194</v>
      </c>
      <c r="H96" s="107" t="s">
        <v>604</v>
      </c>
      <c r="I96" s="35" t="s">
        <v>762</v>
      </c>
      <c r="J96" s="108" t="s">
        <v>757</v>
      </c>
      <c r="K96" s="107" t="s">
        <v>1037</v>
      </c>
      <c r="L96" s="108">
        <v>115</v>
      </c>
      <c r="M96" s="78">
        <v>1952</v>
      </c>
      <c r="N96" s="89">
        <f>M96+70+40</f>
        <v>2062</v>
      </c>
      <c r="P96" s="78" t="s">
        <v>590</v>
      </c>
      <c r="Q96" s="35" t="s">
        <v>592</v>
      </c>
      <c r="R96" s="126">
        <v>27.5</v>
      </c>
      <c r="S96" s="208">
        <f>System!$E$6</f>
        <v>0.98099999999999998</v>
      </c>
      <c r="T96" s="209">
        <f>R96*S96</f>
        <v>26.977499999999999</v>
      </c>
      <c r="U96" s="115">
        <f>V96*1000/(R96*24*365)</f>
        <v>0.70222775702227758</v>
      </c>
      <c r="V96" s="154">
        <v>169.16666666666666</v>
      </c>
      <c r="W96" s="59">
        <v>6</v>
      </c>
      <c r="Y96" s="11"/>
      <c r="Z96" s="11"/>
    </row>
    <row r="97" spans="2:26" ht="20" x14ac:dyDescent="0.25">
      <c r="B97" s="11" t="s">
        <v>469</v>
      </c>
      <c r="C97" s="35" t="s">
        <v>1217</v>
      </c>
      <c r="D97" s="11" t="s">
        <v>75</v>
      </c>
      <c r="E97" s="35" t="s">
        <v>81</v>
      </c>
      <c r="F97" s="87">
        <v>50.120618098876399</v>
      </c>
      <c r="G97" s="87">
        <v>-96.017664051681194</v>
      </c>
      <c r="H97" s="107" t="s">
        <v>604</v>
      </c>
      <c r="I97" s="35" t="s">
        <v>762</v>
      </c>
      <c r="J97" s="108" t="s">
        <v>757</v>
      </c>
      <c r="K97" s="107" t="s">
        <v>1037</v>
      </c>
      <c r="L97" s="108">
        <v>115</v>
      </c>
      <c r="M97" s="78">
        <v>1952</v>
      </c>
      <c r="N97" s="89">
        <f>M97+70+40</f>
        <v>2062</v>
      </c>
      <c r="P97" s="78" t="s">
        <v>590</v>
      </c>
      <c r="Q97" s="35" t="s">
        <v>592</v>
      </c>
      <c r="R97" s="126">
        <v>27.5</v>
      </c>
      <c r="S97" s="208">
        <f>System!$E$6</f>
        <v>0.98099999999999998</v>
      </c>
      <c r="T97" s="209">
        <f>R97*S97</f>
        <v>26.977499999999999</v>
      </c>
      <c r="U97" s="115">
        <f>V97*1000/(R97*24*365)</f>
        <v>0.70222775702227758</v>
      </c>
      <c r="V97" s="154">
        <v>169.16666666666666</v>
      </c>
      <c r="W97" s="59">
        <v>6</v>
      </c>
      <c r="Y97" s="11"/>
      <c r="Z97" s="11"/>
    </row>
    <row r="98" spans="2:26" ht="20" x14ac:dyDescent="0.25">
      <c r="B98" s="11" t="s">
        <v>470</v>
      </c>
      <c r="C98" s="35" t="s">
        <v>1230</v>
      </c>
      <c r="D98" s="11" t="s">
        <v>75</v>
      </c>
      <c r="E98" s="35" t="s">
        <v>81</v>
      </c>
      <c r="F98" s="87">
        <v>50.120618098876399</v>
      </c>
      <c r="G98" s="87">
        <v>-96.017664051681194</v>
      </c>
      <c r="H98" s="107" t="s">
        <v>604</v>
      </c>
      <c r="I98" s="35" t="s">
        <v>762</v>
      </c>
      <c r="J98" s="108" t="s">
        <v>757</v>
      </c>
      <c r="K98" s="107" t="s">
        <v>1037</v>
      </c>
      <c r="L98" s="108">
        <v>115</v>
      </c>
      <c r="M98" s="78">
        <v>1952</v>
      </c>
      <c r="N98" s="89">
        <f>M98+70+40</f>
        <v>2062</v>
      </c>
      <c r="P98" s="78" t="s">
        <v>590</v>
      </c>
      <c r="Q98" s="35" t="s">
        <v>592</v>
      </c>
      <c r="R98" s="126">
        <v>27.5</v>
      </c>
      <c r="S98" s="208">
        <f>System!$E$6</f>
        <v>0.98099999999999998</v>
      </c>
      <c r="T98" s="209">
        <f>R98*S98</f>
        <v>26.977499999999999</v>
      </c>
      <c r="U98" s="115">
        <f>V98*1000/(R98*24*365)</f>
        <v>0.70222775702227758</v>
      </c>
      <c r="V98" s="154">
        <v>169.16666666666666</v>
      </c>
      <c r="W98" s="59">
        <v>6</v>
      </c>
      <c r="Y98" s="11"/>
      <c r="Z98" s="11"/>
    </row>
    <row r="99" spans="2:26" ht="20" x14ac:dyDescent="0.25">
      <c r="B99" s="11" t="s">
        <v>471</v>
      </c>
      <c r="C99" s="35" t="s">
        <v>1243</v>
      </c>
      <c r="D99" s="11" t="s">
        <v>75</v>
      </c>
      <c r="E99" s="35" t="s">
        <v>81</v>
      </c>
      <c r="F99" s="87">
        <v>50.120618098876399</v>
      </c>
      <c r="G99" s="87">
        <v>-96.017664051681194</v>
      </c>
      <c r="H99" s="107" t="s">
        <v>604</v>
      </c>
      <c r="I99" s="35" t="s">
        <v>762</v>
      </c>
      <c r="J99" s="108" t="s">
        <v>757</v>
      </c>
      <c r="K99" s="107" t="s">
        <v>1037</v>
      </c>
      <c r="L99" s="108">
        <v>115</v>
      </c>
      <c r="M99" s="78">
        <v>1952</v>
      </c>
      <c r="N99" s="89">
        <f>M99+70+40</f>
        <v>2062</v>
      </c>
      <c r="P99" s="78" t="s">
        <v>590</v>
      </c>
      <c r="Q99" s="35" t="s">
        <v>592</v>
      </c>
      <c r="R99" s="126">
        <v>27.5</v>
      </c>
      <c r="S99" s="208">
        <f>System!$E$6</f>
        <v>0.98099999999999998</v>
      </c>
      <c r="T99" s="209">
        <f>R99*S99</f>
        <v>26.977499999999999</v>
      </c>
      <c r="U99" s="115">
        <f>V99*1000/(R99*24*365)</f>
        <v>0.70222775702227758</v>
      </c>
      <c r="V99" s="154">
        <v>169.16666666666666</v>
      </c>
      <c r="W99" s="59">
        <v>6</v>
      </c>
      <c r="Y99" s="104"/>
      <c r="Z99" s="11"/>
    </row>
    <row r="100" spans="2:26" ht="20" x14ac:dyDescent="0.25">
      <c r="B100" s="11" t="s">
        <v>472</v>
      </c>
      <c r="C100" s="35" t="s">
        <v>1254</v>
      </c>
      <c r="D100" s="11" t="s">
        <v>75</v>
      </c>
      <c r="E100" s="35" t="s">
        <v>81</v>
      </c>
      <c r="F100" s="87">
        <v>50.120618098876399</v>
      </c>
      <c r="G100" s="87">
        <v>-96.017664051681194</v>
      </c>
      <c r="H100" s="107" t="s">
        <v>604</v>
      </c>
      <c r="I100" s="35" t="s">
        <v>762</v>
      </c>
      <c r="J100" s="108" t="s">
        <v>757</v>
      </c>
      <c r="K100" s="107" t="s">
        <v>1037</v>
      </c>
      <c r="L100" s="108">
        <v>115</v>
      </c>
      <c r="M100" s="78">
        <v>1952</v>
      </c>
      <c r="N100" s="89">
        <f>M100+70+40</f>
        <v>2062</v>
      </c>
      <c r="P100" s="78" t="s">
        <v>590</v>
      </c>
      <c r="Q100" s="35" t="s">
        <v>592</v>
      </c>
      <c r="R100" s="126">
        <v>27.5</v>
      </c>
      <c r="S100" s="208">
        <f>System!$E$6</f>
        <v>0.98099999999999998</v>
      </c>
      <c r="T100" s="209">
        <f>R100*S100</f>
        <v>26.977499999999999</v>
      </c>
      <c r="U100" s="115">
        <f>V100*1000/(R100*24*365)</f>
        <v>0.70222775702227758</v>
      </c>
      <c r="V100" s="154">
        <v>169.16666666666666</v>
      </c>
      <c r="W100" s="59">
        <v>6</v>
      </c>
      <c r="Y100" s="11"/>
      <c r="Z100" s="11"/>
    </row>
    <row r="101" spans="2:26" ht="20" x14ac:dyDescent="0.25">
      <c r="B101" s="11" t="s">
        <v>473</v>
      </c>
      <c r="C101" s="35" t="s">
        <v>1266</v>
      </c>
      <c r="D101" s="11" t="s">
        <v>75</v>
      </c>
      <c r="E101" s="35" t="s">
        <v>81</v>
      </c>
      <c r="F101" s="87">
        <v>50.120618098876399</v>
      </c>
      <c r="G101" s="87">
        <v>-96.017664051681194</v>
      </c>
      <c r="H101" s="107" t="s">
        <v>604</v>
      </c>
      <c r="I101" s="35" t="s">
        <v>762</v>
      </c>
      <c r="J101" s="108" t="s">
        <v>757</v>
      </c>
      <c r="K101" s="107" t="s">
        <v>1037</v>
      </c>
      <c r="L101" s="108">
        <v>115</v>
      </c>
      <c r="M101" s="78">
        <v>1952</v>
      </c>
      <c r="N101" s="89">
        <f>M101+70+40</f>
        <v>2062</v>
      </c>
      <c r="P101" s="78" t="s">
        <v>590</v>
      </c>
      <c r="Q101" s="35" t="s">
        <v>592</v>
      </c>
      <c r="R101" s="126">
        <v>27.5</v>
      </c>
      <c r="S101" s="208">
        <f>System!$E$6</f>
        <v>0.98099999999999998</v>
      </c>
      <c r="T101" s="209">
        <f>R101*S101</f>
        <v>26.977499999999999</v>
      </c>
      <c r="U101" s="115">
        <f>V101*1000/(R101*24*365)</f>
        <v>0.70222775702227758</v>
      </c>
      <c r="V101" s="154">
        <v>169.16666666666666</v>
      </c>
      <c r="W101" s="59">
        <v>6</v>
      </c>
      <c r="Y101" s="11"/>
      <c r="Z101" s="11"/>
    </row>
    <row r="102" spans="2:26" ht="20" x14ac:dyDescent="0.25">
      <c r="B102" s="11" t="s">
        <v>428</v>
      </c>
      <c r="C102" s="35" t="s">
        <v>1255</v>
      </c>
      <c r="D102" s="11" t="s">
        <v>75</v>
      </c>
      <c r="E102" s="35" t="s">
        <v>76</v>
      </c>
      <c r="F102" s="87">
        <v>49.845590999999999</v>
      </c>
      <c r="G102" s="87">
        <v>-99.890103999999994</v>
      </c>
      <c r="H102" s="107" t="s">
        <v>604</v>
      </c>
      <c r="I102" s="35" t="s">
        <v>762</v>
      </c>
      <c r="J102" s="108" t="s">
        <v>746</v>
      </c>
      <c r="K102" s="107" t="s">
        <v>1020</v>
      </c>
      <c r="L102" s="108">
        <v>115</v>
      </c>
      <c r="M102" s="78">
        <v>2001</v>
      </c>
      <c r="N102" s="89">
        <f>M102+70</f>
        <v>2071</v>
      </c>
      <c r="P102" s="78" t="s">
        <v>149</v>
      </c>
      <c r="Q102" s="101" t="s">
        <v>1309</v>
      </c>
      <c r="R102" s="126">
        <v>140</v>
      </c>
      <c r="S102" s="208">
        <f>System!$E$4</f>
        <v>0.95299999999999996</v>
      </c>
      <c r="T102" s="209">
        <f>R102*S102</f>
        <v>133.41999999999999</v>
      </c>
      <c r="U102" s="115">
        <f>V102*1000/(R102*24*365)</f>
        <v>2.4609731735159818E-2</v>
      </c>
      <c r="V102" s="126">
        <v>30.181374999999999</v>
      </c>
      <c r="W102" s="65">
        <v>2</v>
      </c>
      <c r="Y102" s="11"/>
      <c r="Z102" s="11" t="s">
        <v>77</v>
      </c>
    </row>
    <row r="103" spans="2:26" ht="20" x14ac:dyDescent="0.25">
      <c r="B103" s="11" t="s">
        <v>429</v>
      </c>
      <c r="C103" s="35" t="s">
        <v>1267</v>
      </c>
      <c r="D103" s="11" t="s">
        <v>75</v>
      </c>
      <c r="E103" s="35" t="s">
        <v>76</v>
      </c>
      <c r="F103" s="87">
        <v>49.845590999999999</v>
      </c>
      <c r="G103" s="87">
        <v>-99.890103999999994</v>
      </c>
      <c r="H103" s="107" t="s">
        <v>604</v>
      </c>
      <c r="I103" s="35" t="s">
        <v>762</v>
      </c>
      <c r="J103" s="108" t="s">
        <v>746</v>
      </c>
      <c r="K103" s="107" t="s">
        <v>1020</v>
      </c>
      <c r="L103" s="108">
        <v>115</v>
      </c>
      <c r="M103" s="78">
        <v>2001</v>
      </c>
      <c r="N103" s="89">
        <f>M103+70</f>
        <v>2071</v>
      </c>
      <c r="P103" s="78" t="s">
        <v>149</v>
      </c>
      <c r="Q103" s="101" t="s">
        <v>1309</v>
      </c>
      <c r="R103" s="126">
        <v>140</v>
      </c>
      <c r="S103" s="208">
        <f>System!$E$4</f>
        <v>0.95299999999999996</v>
      </c>
      <c r="T103" s="209">
        <f>R103*S103</f>
        <v>133.41999999999999</v>
      </c>
      <c r="U103" s="115">
        <f>V103*1000/(R103*24*365)</f>
        <v>2.4609731735159818E-2</v>
      </c>
      <c r="V103" s="126">
        <v>30.181374999999999</v>
      </c>
      <c r="W103" s="59">
        <v>2</v>
      </c>
      <c r="Y103" s="11"/>
      <c r="Z103" s="11" t="s">
        <v>77</v>
      </c>
    </row>
    <row r="104" spans="2:26" ht="20" x14ac:dyDescent="0.25">
      <c r="B104" s="11" t="s">
        <v>482</v>
      </c>
      <c r="C104" s="35" t="s">
        <v>1203</v>
      </c>
      <c r="D104" s="11" t="s">
        <v>85</v>
      </c>
      <c r="E104" s="158" t="s">
        <v>101</v>
      </c>
      <c r="F104" s="87">
        <v>55.538355406270099</v>
      </c>
      <c r="G104" s="87">
        <v>-98.493705899706896</v>
      </c>
      <c r="H104" s="107" t="s">
        <v>604</v>
      </c>
      <c r="I104" s="35" t="s">
        <v>762</v>
      </c>
      <c r="J104" s="108" t="s">
        <v>759</v>
      </c>
      <c r="K104" s="107" t="s">
        <v>1038</v>
      </c>
      <c r="L104" s="108">
        <v>230</v>
      </c>
      <c r="M104" s="78">
        <v>2011</v>
      </c>
      <c r="N104" s="89">
        <f>M104+70</f>
        <v>2081</v>
      </c>
      <c r="P104" s="78" t="s">
        <v>590</v>
      </c>
      <c r="Q104" s="35" t="s">
        <v>592</v>
      </c>
      <c r="R104" s="126">
        <v>70</v>
      </c>
      <c r="S104" s="208">
        <f>System!$E$6</f>
        <v>0.98099999999999998</v>
      </c>
      <c r="T104" s="209">
        <f>R104*S104</f>
        <v>68.67</v>
      </c>
      <c r="U104" s="115">
        <f>V104*1000/(R104*24*365)</f>
        <v>0.81539465101108932</v>
      </c>
      <c r="V104" s="218">
        <f>500</f>
        <v>500</v>
      </c>
      <c r="W104" s="65">
        <v>3</v>
      </c>
      <c r="Y104" s="11"/>
      <c r="Z104" s="11"/>
    </row>
    <row r="105" spans="2:26" ht="20" x14ac:dyDescent="0.25">
      <c r="B105" s="11" t="s">
        <v>483</v>
      </c>
      <c r="C105" s="35" t="s">
        <v>1218</v>
      </c>
      <c r="D105" s="11" t="s">
        <v>85</v>
      </c>
      <c r="E105" s="158" t="s">
        <v>101</v>
      </c>
      <c r="F105" s="87">
        <v>55.538355406270099</v>
      </c>
      <c r="G105" s="87">
        <v>-98.493705899706896</v>
      </c>
      <c r="H105" s="107" t="s">
        <v>604</v>
      </c>
      <c r="I105" s="35" t="s">
        <v>762</v>
      </c>
      <c r="J105" s="108" t="s">
        <v>759</v>
      </c>
      <c r="K105" s="107" t="s">
        <v>1038</v>
      </c>
      <c r="L105" s="108">
        <v>230</v>
      </c>
      <c r="M105" s="78">
        <v>2011</v>
      </c>
      <c r="N105" s="89">
        <f>M105+70</f>
        <v>2081</v>
      </c>
      <c r="P105" s="78" t="s">
        <v>590</v>
      </c>
      <c r="Q105" s="35" t="s">
        <v>592</v>
      </c>
      <c r="R105" s="126">
        <v>70</v>
      </c>
      <c r="S105" s="208">
        <f>System!$E$6</f>
        <v>0.98099999999999998</v>
      </c>
      <c r="T105" s="209">
        <f>R105*S105</f>
        <v>68.67</v>
      </c>
      <c r="U105" s="115">
        <f>V105*1000/(R105*24*365)</f>
        <v>0.81539465101108932</v>
      </c>
      <c r="V105" s="218">
        <f>500</f>
        <v>500</v>
      </c>
      <c r="W105" s="65">
        <v>3</v>
      </c>
      <c r="Y105" s="11"/>
      <c r="Z105" s="11"/>
    </row>
    <row r="106" spans="2:26" ht="20" x14ac:dyDescent="0.25">
      <c r="B106" s="11" t="s">
        <v>484</v>
      </c>
      <c r="C106" s="35" t="s">
        <v>1231</v>
      </c>
      <c r="D106" s="11" t="s">
        <v>85</v>
      </c>
      <c r="E106" s="158" t="s">
        <v>101</v>
      </c>
      <c r="F106" s="87">
        <v>55.538355406270099</v>
      </c>
      <c r="G106" s="87">
        <v>-98.493705899706896</v>
      </c>
      <c r="H106" s="107" t="s">
        <v>604</v>
      </c>
      <c r="I106" s="35" t="s">
        <v>762</v>
      </c>
      <c r="J106" s="108" t="s">
        <v>759</v>
      </c>
      <c r="K106" s="107" t="s">
        <v>1038</v>
      </c>
      <c r="L106" s="108">
        <v>230</v>
      </c>
      <c r="M106" s="78">
        <v>2011</v>
      </c>
      <c r="N106" s="89">
        <f>M106+70</f>
        <v>2081</v>
      </c>
      <c r="P106" s="78" t="s">
        <v>590</v>
      </c>
      <c r="Q106" s="35" t="s">
        <v>592</v>
      </c>
      <c r="R106" s="126">
        <v>70</v>
      </c>
      <c r="S106" s="208">
        <f>System!$E$6</f>
        <v>0.98099999999999998</v>
      </c>
      <c r="T106" s="209">
        <f>R106*S106</f>
        <v>68.67</v>
      </c>
      <c r="U106" s="115">
        <f>V106*1000/(R106*24*365)</f>
        <v>0.81539465101108932</v>
      </c>
      <c r="V106" s="218">
        <f>500</f>
        <v>500</v>
      </c>
      <c r="W106" s="59">
        <v>3</v>
      </c>
      <c r="Y106" s="162"/>
      <c r="Z106" s="11"/>
    </row>
    <row r="107" spans="2:26" ht="20" x14ac:dyDescent="0.25">
      <c r="B107" s="11" t="s">
        <v>402</v>
      </c>
      <c r="C107" s="35" t="s">
        <v>1193</v>
      </c>
      <c r="D107" s="11" t="s">
        <v>85</v>
      </c>
      <c r="E107" s="35" t="s">
        <v>83</v>
      </c>
      <c r="F107" s="87">
        <v>56.330416999999997</v>
      </c>
      <c r="G107" s="87">
        <v>-95.342056999999997</v>
      </c>
      <c r="H107" s="107" t="s">
        <v>604</v>
      </c>
      <c r="I107" s="35" t="s">
        <v>762</v>
      </c>
      <c r="J107" s="111" t="s">
        <v>741</v>
      </c>
      <c r="K107" s="107" t="s">
        <v>1025</v>
      </c>
      <c r="L107" s="108">
        <v>138</v>
      </c>
      <c r="M107" s="79">
        <v>2021</v>
      </c>
      <c r="N107" s="89">
        <f>M107+70</f>
        <v>2091</v>
      </c>
      <c r="P107" s="79" t="s">
        <v>590</v>
      </c>
      <c r="Q107" s="35" t="s">
        <v>592</v>
      </c>
      <c r="R107" s="96">
        <v>99</v>
      </c>
      <c r="S107" s="208">
        <f>System!$E$6</f>
        <v>0.98099999999999998</v>
      </c>
      <c r="T107" s="209">
        <f>R107*S107</f>
        <v>97.119</v>
      </c>
      <c r="U107" s="115">
        <f>V107*1000/(R107*24*365)</f>
        <v>0.72990175729901763</v>
      </c>
      <c r="V107" s="96">
        <v>633</v>
      </c>
      <c r="W107" s="65">
        <v>7</v>
      </c>
      <c r="Y107" s="11"/>
      <c r="Z107" s="11"/>
    </row>
    <row r="108" spans="2:26" ht="20" x14ac:dyDescent="0.25">
      <c r="B108" s="11" t="s">
        <v>403</v>
      </c>
      <c r="C108" s="35" t="s">
        <v>1208</v>
      </c>
      <c r="D108" s="11" t="s">
        <v>85</v>
      </c>
      <c r="E108" s="35" t="s">
        <v>83</v>
      </c>
      <c r="F108" s="87">
        <v>56.330416999999997</v>
      </c>
      <c r="G108" s="87">
        <v>-95.342056999999997</v>
      </c>
      <c r="H108" s="107" t="s">
        <v>604</v>
      </c>
      <c r="I108" s="35" t="s">
        <v>762</v>
      </c>
      <c r="J108" s="111" t="s">
        <v>741</v>
      </c>
      <c r="K108" s="107" t="s">
        <v>1025</v>
      </c>
      <c r="L108" s="108">
        <v>138</v>
      </c>
      <c r="M108" s="79">
        <v>2021</v>
      </c>
      <c r="N108" s="89">
        <f>M108+70</f>
        <v>2091</v>
      </c>
      <c r="P108" s="79" t="s">
        <v>590</v>
      </c>
      <c r="Q108" s="35" t="s">
        <v>592</v>
      </c>
      <c r="R108" s="96">
        <v>99</v>
      </c>
      <c r="S108" s="208">
        <f>System!$E$6</f>
        <v>0.98099999999999998</v>
      </c>
      <c r="T108" s="209">
        <f>R108*S108</f>
        <v>97.119</v>
      </c>
      <c r="U108" s="115">
        <f>V108*1000/(R108*24*365)</f>
        <v>0.72990175729901763</v>
      </c>
      <c r="V108" s="96">
        <v>633</v>
      </c>
      <c r="W108" s="65">
        <v>7</v>
      </c>
      <c r="Y108" s="11"/>
      <c r="Z108" s="11"/>
    </row>
    <row r="109" spans="2:26" ht="20" x14ac:dyDescent="0.25">
      <c r="B109" s="11" t="s">
        <v>404</v>
      </c>
      <c r="C109" s="35" t="s">
        <v>1223</v>
      </c>
      <c r="D109" s="11" t="s">
        <v>85</v>
      </c>
      <c r="E109" s="35" t="s">
        <v>83</v>
      </c>
      <c r="F109" s="87">
        <v>56.330416999999997</v>
      </c>
      <c r="G109" s="87">
        <v>-95.342056999999997</v>
      </c>
      <c r="H109" s="107" t="s">
        <v>604</v>
      </c>
      <c r="I109" s="35" t="s">
        <v>762</v>
      </c>
      <c r="J109" s="111" t="s">
        <v>741</v>
      </c>
      <c r="K109" s="107" t="s">
        <v>1025</v>
      </c>
      <c r="L109" s="108">
        <v>138</v>
      </c>
      <c r="M109" s="79">
        <v>2021</v>
      </c>
      <c r="N109" s="89">
        <f>M109+70</f>
        <v>2091</v>
      </c>
      <c r="P109" s="79" t="s">
        <v>590</v>
      </c>
      <c r="Q109" s="35" t="s">
        <v>592</v>
      </c>
      <c r="R109" s="96">
        <v>99</v>
      </c>
      <c r="S109" s="208">
        <f>System!$E$6</f>
        <v>0.98099999999999998</v>
      </c>
      <c r="T109" s="209">
        <f>R109*S109</f>
        <v>97.119</v>
      </c>
      <c r="U109" s="115">
        <f>V109*1000/(R109*24*365)</f>
        <v>0.72990175729901763</v>
      </c>
      <c r="V109" s="96">
        <v>633</v>
      </c>
      <c r="W109" s="65">
        <v>7</v>
      </c>
      <c r="Y109" s="11"/>
      <c r="Z109" s="11"/>
    </row>
    <row r="110" spans="2:26" ht="20" x14ac:dyDescent="0.25">
      <c r="B110" s="11" t="s">
        <v>405</v>
      </c>
      <c r="C110" s="35" t="s">
        <v>1236</v>
      </c>
      <c r="D110" s="11" t="s">
        <v>85</v>
      </c>
      <c r="E110" s="35" t="s">
        <v>83</v>
      </c>
      <c r="F110" s="87">
        <v>56.330416999999997</v>
      </c>
      <c r="G110" s="87">
        <v>-95.342056999999997</v>
      </c>
      <c r="H110" s="107" t="s">
        <v>604</v>
      </c>
      <c r="I110" s="35" t="s">
        <v>762</v>
      </c>
      <c r="J110" s="111" t="s">
        <v>741</v>
      </c>
      <c r="K110" s="107" t="s">
        <v>1025</v>
      </c>
      <c r="L110" s="108">
        <v>138</v>
      </c>
      <c r="M110" s="79">
        <v>2021</v>
      </c>
      <c r="N110" s="89">
        <f>M110+70</f>
        <v>2091</v>
      </c>
      <c r="P110" s="79" t="s">
        <v>590</v>
      </c>
      <c r="Q110" s="35" t="s">
        <v>592</v>
      </c>
      <c r="R110" s="96">
        <v>99</v>
      </c>
      <c r="S110" s="208">
        <f>System!$E$6</f>
        <v>0.98099999999999998</v>
      </c>
      <c r="T110" s="209">
        <f>R110*S110</f>
        <v>97.119</v>
      </c>
      <c r="U110" s="115">
        <f>V110*1000/(R110*24*365)</f>
        <v>0.72990175729901763</v>
      </c>
      <c r="V110" s="96">
        <v>633</v>
      </c>
      <c r="W110" s="65">
        <v>7</v>
      </c>
      <c r="Y110" s="11"/>
      <c r="Z110" s="11"/>
    </row>
    <row r="111" spans="2:26" ht="20" x14ac:dyDescent="0.25">
      <c r="B111" s="11" t="s">
        <v>406</v>
      </c>
      <c r="C111" s="35" t="s">
        <v>1247</v>
      </c>
      <c r="D111" s="11" t="s">
        <v>85</v>
      </c>
      <c r="E111" s="35" t="s">
        <v>83</v>
      </c>
      <c r="F111" s="87">
        <v>56.330416999999997</v>
      </c>
      <c r="G111" s="87">
        <v>-95.342056999999997</v>
      </c>
      <c r="H111" s="107" t="s">
        <v>604</v>
      </c>
      <c r="I111" s="35" t="s">
        <v>762</v>
      </c>
      <c r="J111" s="111" t="s">
        <v>741</v>
      </c>
      <c r="K111" s="107" t="s">
        <v>1025</v>
      </c>
      <c r="L111" s="108">
        <v>138</v>
      </c>
      <c r="M111" s="79">
        <v>2021</v>
      </c>
      <c r="N111" s="89">
        <f>M111+70</f>
        <v>2091</v>
      </c>
      <c r="P111" s="79" t="s">
        <v>590</v>
      </c>
      <c r="Q111" s="35" t="s">
        <v>592</v>
      </c>
      <c r="R111" s="96">
        <v>99</v>
      </c>
      <c r="S111" s="208">
        <f>System!$E$6</f>
        <v>0.98099999999999998</v>
      </c>
      <c r="T111" s="209">
        <f>R111*S111</f>
        <v>97.119</v>
      </c>
      <c r="U111" s="115">
        <f>V111*1000/(R111*24*365)</f>
        <v>0.72990175729901763</v>
      </c>
      <c r="V111" s="96">
        <v>633</v>
      </c>
      <c r="W111" s="65">
        <v>7</v>
      </c>
      <c r="Y111" s="11"/>
      <c r="Z111" s="11"/>
    </row>
    <row r="112" spans="2:26" ht="20" x14ac:dyDescent="0.25">
      <c r="B112" s="11" t="s">
        <v>407</v>
      </c>
      <c r="C112" s="35" t="s">
        <v>1259</v>
      </c>
      <c r="D112" s="11" t="s">
        <v>85</v>
      </c>
      <c r="E112" s="35" t="s">
        <v>83</v>
      </c>
      <c r="F112" s="87">
        <v>56.330416999999997</v>
      </c>
      <c r="G112" s="87">
        <v>-95.342056999999997</v>
      </c>
      <c r="H112" s="107" t="s">
        <v>604</v>
      </c>
      <c r="I112" s="35" t="s">
        <v>762</v>
      </c>
      <c r="J112" s="111" t="s">
        <v>741</v>
      </c>
      <c r="K112" s="107" t="s">
        <v>1025</v>
      </c>
      <c r="L112" s="108">
        <v>138</v>
      </c>
      <c r="M112" s="79">
        <v>2021</v>
      </c>
      <c r="N112" s="89">
        <f>M112+70</f>
        <v>2091</v>
      </c>
      <c r="P112" s="79" t="s">
        <v>590</v>
      </c>
      <c r="Q112" s="35" t="s">
        <v>592</v>
      </c>
      <c r="R112" s="96">
        <v>99</v>
      </c>
      <c r="S112" s="208">
        <f>System!$E$6</f>
        <v>0.98099999999999998</v>
      </c>
      <c r="T112" s="209">
        <f>R112*S112</f>
        <v>97.119</v>
      </c>
      <c r="U112" s="115">
        <f>V112*1000/(R112*24*365)</f>
        <v>0.72990175729901763</v>
      </c>
      <c r="V112" s="96">
        <v>633</v>
      </c>
      <c r="W112" s="65">
        <v>7</v>
      </c>
      <c r="Y112" s="11"/>
      <c r="Z112" s="11"/>
    </row>
    <row r="113" spans="1:63" ht="20" x14ac:dyDescent="0.25">
      <c r="B113" s="11" t="s">
        <v>408</v>
      </c>
      <c r="C113" s="35" t="s">
        <v>1269</v>
      </c>
      <c r="D113" s="11" t="s">
        <v>85</v>
      </c>
      <c r="E113" s="35" t="s">
        <v>83</v>
      </c>
      <c r="F113" s="87">
        <v>56.330416999999997</v>
      </c>
      <c r="G113" s="87">
        <v>-95.342056999999997</v>
      </c>
      <c r="H113" s="107" t="s">
        <v>604</v>
      </c>
      <c r="I113" s="35" t="s">
        <v>762</v>
      </c>
      <c r="J113" s="111" t="s">
        <v>741</v>
      </c>
      <c r="K113" s="107" t="s">
        <v>1025</v>
      </c>
      <c r="L113" s="108">
        <v>138</v>
      </c>
      <c r="M113" s="79">
        <v>2021</v>
      </c>
      <c r="N113" s="89">
        <f>M113+70</f>
        <v>2091</v>
      </c>
      <c r="P113" s="79" t="s">
        <v>590</v>
      </c>
      <c r="Q113" s="35" t="s">
        <v>592</v>
      </c>
      <c r="R113" s="96">
        <v>99</v>
      </c>
      <c r="S113" s="208">
        <f>System!$E$6</f>
        <v>0.98099999999999998</v>
      </c>
      <c r="T113" s="209">
        <f>R113*S113</f>
        <v>97.119</v>
      </c>
      <c r="U113" s="115">
        <f>V113*1000/(R113*24*365)</f>
        <v>0.72990175729901763</v>
      </c>
      <c r="V113" s="96">
        <v>633</v>
      </c>
      <c r="W113" s="65">
        <v>7</v>
      </c>
      <c r="Y113" s="11"/>
      <c r="Z113" s="11"/>
    </row>
    <row r="114" spans="1:63" s="83" customFormat="1" x14ac:dyDescent="0.25">
      <c r="B114" s="99"/>
      <c r="C114" s="99"/>
      <c r="D114" s="99"/>
      <c r="E114" s="101"/>
      <c r="F114" s="129"/>
      <c r="G114" s="129"/>
      <c r="H114" s="65"/>
      <c r="I114" s="129"/>
      <c r="J114" s="65"/>
      <c r="K114" s="65"/>
      <c r="L114" s="65"/>
      <c r="M114" s="101"/>
      <c r="N114" s="65"/>
      <c r="O114" s="42"/>
      <c r="P114" s="101"/>
      <c r="Q114" s="101"/>
      <c r="R114" s="100"/>
      <c r="S114" s="100"/>
      <c r="T114" s="100"/>
      <c r="U114" s="115"/>
      <c r="V114" s="100"/>
      <c r="W114" s="124"/>
      <c r="X114" s="42"/>
      <c r="Y114" s="99"/>
      <c r="Z114" s="99"/>
    </row>
    <row r="115" spans="1:63" s="42" customFormat="1" ht="16" x14ac:dyDescent="0.2">
      <c r="C115" s="210"/>
      <c r="H115" s="210"/>
      <c r="I115" s="82"/>
      <c r="K115" s="210"/>
      <c r="Q115" s="82"/>
    </row>
    <row r="116" spans="1:63" s="42" customFormat="1" x14ac:dyDescent="0.2">
      <c r="A116" s="60" t="s">
        <v>554</v>
      </c>
      <c r="C116" s="210"/>
      <c r="H116" s="210"/>
      <c r="I116" s="82"/>
      <c r="K116" s="210"/>
      <c r="Q116" s="82"/>
    </row>
    <row r="117" spans="1:63" x14ac:dyDescent="0.25">
      <c r="B117" s="8"/>
      <c r="C117" s="8"/>
      <c r="D117" s="8"/>
      <c r="E117" s="8"/>
      <c r="F117" s="8"/>
      <c r="G117" s="29"/>
      <c r="H117" s="8"/>
      <c r="I117" s="214"/>
      <c r="J117" s="8"/>
      <c r="K117" s="8"/>
      <c r="L117" s="29"/>
      <c r="M117" s="8"/>
      <c r="N117" s="8"/>
      <c r="P117" s="8"/>
      <c r="Q117" s="213"/>
      <c r="R117" s="8"/>
      <c r="S117" s="8"/>
      <c r="T117" s="8"/>
      <c r="U117" s="8"/>
      <c r="V117" s="8"/>
      <c r="W117" s="8"/>
    </row>
    <row r="118" spans="1:63" x14ac:dyDescent="0.25">
      <c r="B118" s="42"/>
      <c r="C118" s="210"/>
      <c r="D118" s="42"/>
      <c r="E118" s="42"/>
      <c r="F118" s="42"/>
      <c r="G118" s="42"/>
      <c r="H118" s="210"/>
      <c r="I118" s="82"/>
      <c r="J118" s="42"/>
      <c r="K118" s="210"/>
      <c r="L118" s="42"/>
      <c r="M118" s="42"/>
      <c r="N118" s="42"/>
      <c r="P118" s="42"/>
      <c r="Q118" s="82"/>
      <c r="R118" s="42"/>
      <c r="S118" s="42"/>
      <c r="T118" s="42"/>
      <c r="U118" s="42"/>
      <c r="V118" s="42"/>
      <c r="W118" s="42"/>
    </row>
    <row r="119" spans="1:63" x14ac:dyDescent="0.25">
      <c r="A119" s="187" t="s">
        <v>550</v>
      </c>
      <c r="B119" s="142"/>
      <c r="C119" s="144"/>
      <c r="D119" s="142"/>
      <c r="E119" s="31"/>
      <c r="F119" s="31"/>
      <c r="G119" s="31"/>
      <c r="H119" s="31"/>
      <c r="I119" s="31"/>
      <c r="J119" s="210"/>
      <c r="K119" s="210"/>
      <c r="L119" s="210"/>
      <c r="M119" s="210"/>
      <c r="N119" s="31"/>
      <c r="O119" s="31"/>
      <c r="P119" s="31"/>
      <c r="Q119" s="31"/>
      <c r="R119" s="31"/>
      <c r="S119" s="210"/>
      <c r="T119" s="210"/>
      <c r="U119" s="31"/>
      <c r="V119" s="18"/>
      <c r="W119" s="31"/>
      <c r="X119" s="3"/>
    </row>
    <row r="120" spans="1:63" s="210" customFormat="1" x14ac:dyDescent="0.25">
      <c r="A120" s="3" t="s">
        <v>551</v>
      </c>
      <c r="C120" s="278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63" x14ac:dyDescent="0.25">
      <c r="A121" s="3" t="s">
        <v>552</v>
      </c>
      <c r="B121" s="97"/>
      <c r="C121" s="98"/>
      <c r="D121" s="97"/>
      <c r="E121" s="31"/>
      <c r="F121" s="31"/>
      <c r="G121" s="31"/>
      <c r="H121" s="31"/>
      <c r="I121" s="31"/>
      <c r="J121" s="210"/>
      <c r="K121" s="210"/>
      <c r="L121" s="210"/>
      <c r="M121" s="210"/>
      <c r="N121" s="31"/>
      <c r="O121" s="31"/>
      <c r="P121" s="31"/>
      <c r="Q121" s="31"/>
      <c r="R121" s="31"/>
      <c r="S121" s="210"/>
      <c r="T121" s="210"/>
      <c r="U121" s="31"/>
      <c r="V121" s="18"/>
      <c r="W121" s="31"/>
      <c r="X121" s="3"/>
    </row>
    <row r="122" spans="1:63" x14ac:dyDescent="0.25">
      <c r="A122" s="3" t="s">
        <v>1335</v>
      </c>
      <c r="B122" s="97"/>
      <c r="C122" s="98"/>
      <c r="D122" s="97"/>
      <c r="E122" s="31"/>
      <c r="F122" s="210"/>
      <c r="G122" s="210"/>
      <c r="H122" s="210"/>
      <c r="I122" s="210"/>
      <c r="J122" s="210"/>
      <c r="K122" s="210"/>
      <c r="L122" s="210"/>
      <c r="M122" s="31"/>
      <c r="N122" s="31"/>
      <c r="O122" s="31"/>
      <c r="P122" s="31"/>
      <c r="Q122" s="31"/>
      <c r="R122" s="31"/>
      <c r="S122" s="31"/>
      <c r="T122" s="19"/>
      <c r="U122" s="31"/>
      <c r="V122" s="31"/>
      <c r="W122" s="18"/>
      <c r="X122" s="3"/>
      <c r="AN122" s="5"/>
      <c r="BK122" s="5"/>
    </row>
    <row r="123" spans="1:63" x14ac:dyDescent="0.25">
      <c r="A123" s="3" t="s">
        <v>1336</v>
      </c>
      <c r="B123" s="97"/>
      <c r="C123" s="98"/>
      <c r="D123" s="97"/>
      <c r="E123" s="31"/>
      <c r="F123" s="210"/>
      <c r="G123" s="210"/>
      <c r="H123" s="210"/>
      <c r="I123" s="210"/>
      <c r="J123" s="210"/>
      <c r="K123" s="210"/>
      <c r="L123" s="210"/>
      <c r="M123" s="31"/>
      <c r="N123" s="31"/>
      <c r="O123" s="31"/>
      <c r="P123" s="31"/>
      <c r="Q123" s="31"/>
      <c r="R123" s="31"/>
      <c r="S123" s="31"/>
      <c r="T123" s="19"/>
      <c r="U123" s="31"/>
      <c r="V123" s="31"/>
      <c r="W123" s="18"/>
      <c r="X123" s="3"/>
      <c r="AN123" s="5"/>
      <c r="BK123" s="5"/>
    </row>
    <row r="124" spans="1:63" x14ac:dyDescent="0.25">
      <c r="A124" s="3" t="s">
        <v>971</v>
      </c>
      <c r="B124" s="97"/>
      <c r="C124" s="98"/>
      <c r="D124" s="97"/>
      <c r="E124" s="31"/>
      <c r="F124" s="31"/>
      <c r="G124" s="31"/>
      <c r="H124" s="31"/>
      <c r="I124" s="31"/>
      <c r="J124" s="210"/>
      <c r="K124" s="210"/>
      <c r="L124" s="210"/>
      <c r="M124" s="210"/>
      <c r="N124" s="31"/>
      <c r="O124" s="31"/>
      <c r="P124" s="31"/>
      <c r="Q124" s="31"/>
      <c r="R124" s="31"/>
      <c r="S124" s="210"/>
      <c r="T124" s="210"/>
      <c r="U124" s="31"/>
      <c r="V124" s="18"/>
      <c r="W124" s="31"/>
      <c r="X124" s="3"/>
    </row>
    <row r="125" spans="1:63" x14ac:dyDescent="0.25">
      <c r="A125" s="143" t="s">
        <v>972</v>
      </c>
      <c r="C125" s="5"/>
      <c r="D125" s="142"/>
      <c r="E125" s="142"/>
      <c r="F125" s="26"/>
      <c r="I125" s="3"/>
      <c r="K125" s="210"/>
      <c r="L125" s="210"/>
      <c r="M125" s="210"/>
      <c r="N125" s="30"/>
      <c r="O125" s="28"/>
      <c r="P125" s="30"/>
      <c r="Q125" s="28"/>
      <c r="R125" s="28"/>
      <c r="S125" s="28"/>
      <c r="T125" s="28"/>
      <c r="U125" s="144"/>
      <c r="V125" s="144"/>
      <c r="W125" s="144"/>
      <c r="X125" s="3"/>
    </row>
    <row r="126" spans="1:63" x14ac:dyDescent="0.25">
      <c r="A126" s="3" t="s">
        <v>1337</v>
      </c>
      <c r="B126" s="8"/>
      <c r="C126" s="29"/>
      <c r="D126" s="8"/>
      <c r="E126" s="8"/>
      <c r="F126" s="8"/>
      <c r="G126" s="29"/>
      <c r="H126" s="29"/>
      <c r="I126" s="29"/>
      <c r="J126" s="29"/>
      <c r="K126" s="210"/>
      <c r="L126" s="210"/>
      <c r="M126" s="210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3"/>
    </row>
    <row r="127" spans="1:63" x14ac:dyDescent="0.25">
      <c r="B127" s="21"/>
      <c r="C127" s="21"/>
      <c r="D127" s="21"/>
      <c r="E127" s="22"/>
      <c r="F127" s="18"/>
      <c r="P127" s="22"/>
      <c r="Q127" s="215"/>
      <c r="R127" s="18"/>
      <c r="S127" s="18"/>
      <c r="T127" s="18"/>
      <c r="U127" s="33"/>
      <c r="V127" s="18"/>
      <c r="W127" s="33"/>
    </row>
    <row r="128" spans="1:63" x14ac:dyDescent="0.25">
      <c r="B128" s="21"/>
      <c r="C128" s="21"/>
      <c r="D128" s="21"/>
      <c r="E128" s="22"/>
      <c r="F128" s="18"/>
      <c r="H128" s="210"/>
      <c r="J128" s="42"/>
      <c r="K128" s="210"/>
      <c r="L128" s="23"/>
      <c r="M128" s="31"/>
      <c r="N128" s="31"/>
      <c r="P128" s="22"/>
      <c r="Q128" s="215"/>
      <c r="R128" s="18"/>
      <c r="S128" s="18"/>
      <c r="T128" s="18"/>
      <c r="U128" s="24"/>
      <c r="V128" s="18"/>
      <c r="W128" s="24"/>
    </row>
    <row r="129" spans="2:26" x14ac:dyDescent="0.25">
      <c r="B129" s="21"/>
      <c r="C129" s="21"/>
      <c r="D129" s="21"/>
      <c r="E129" s="22"/>
      <c r="F129" s="18"/>
      <c r="H129" s="210"/>
      <c r="J129" s="42"/>
      <c r="K129" s="210"/>
      <c r="L129" s="23"/>
      <c r="M129" s="31"/>
      <c r="N129" s="31"/>
      <c r="P129" s="22"/>
      <c r="Q129" s="215"/>
      <c r="R129" s="18"/>
      <c r="S129" s="18"/>
      <c r="T129" s="18"/>
      <c r="U129" s="24"/>
      <c r="V129" s="18"/>
      <c r="W129" s="24"/>
    </row>
    <row r="130" spans="2:26" x14ac:dyDescent="0.25">
      <c r="B130" s="21"/>
      <c r="C130" s="21"/>
      <c r="D130" s="21"/>
      <c r="E130" s="22"/>
      <c r="F130" s="18"/>
      <c r="H130" s="210"/>
      <c r="J130" s="42"/>
      <c r="K130" s="210"/>
      <c r="L130" s="23"/>
      <c r="M130" s="31"/>
      <c r="N130" s="31"/>
      <c r="P130" s="22"/>
      <c r="Q130" s="215"/>
      <c r="R130" s="18"/>
      <c r="S130" s="18"/>
      <c r="T130" s="18"/>
      <c r="U130" s="24"/>
      <c r="V130" s="18"/>
      <c r="W130" s="24"/>
    </row>
    <row r="131" spans="2:26" x14ac:dyDescent="0.25">
      <c r="B131" s="21"/>
      <c r="C131" s="21"/>
      <c r="D131" s="21"/>
      <c r="E131" s="22"/>
      <c r="F131" s="18"/>
      <c r="H131" s="210"/>
      <c r="J131" s="42"/>
      <c r="K131" s="210"/>
      <c r="L131" s="23"/>
      <c r="M131" s="31"/>
      <c r="N131" s="31"/>
      <c r="P131" s="22"/>
      <c r="Q131" s="215"/>
      <c r="R131" s="18"/>
      <c r="S131" s="18"/>
      <c r="T131" s="18"/>
      <c r="U131" s="32"/>
      <c r="V131" s="18"/>
      <c r="W131" s="32"/>
      <c r="Y131" s="9"/>
      <c r="Z131" s="9"/>
    </row>
    <row r="132" spans="2:26" x14ac:dyDescent="0.25">
      <c r="B132" s="21"/>
      <c r="C132" s="21"/>
      <c r="D132" s="21"/>
      <c r="E132" s="22"/>
      <c r="F132" s="18"/>
      <c r="H132" s="210"/>
      <c r="J132" s="42"/>
      <c r="K132" s="210"/>
      <c r="L132" s="23"/>
      <c r="M132" s="31"/>
      <c r="N132" s="31"/>
      <c r="P132" s="22"/>
      <c r="Q132" s="215"/>
      <c r="R132" s="18"/>
      <c r="S132" s="18"/>
      <c r="T132" s="18"/>
      <c r="U132" s="32"/>
      <c r="V132" s="18"/>
      <c r="W132" s="32"/>
    </row>
    <row r="133" spans="2:26" x14ac:dyDescent="0.25">
      <c r="B133" s="21"/>
      <c r="C133" s="21"/>
      <c r="D133" s="21"/>
      <c r="E133" s="22"/>
      <c r="F133" s="18"/>
      <c r="H133" s="210"/>
      <c r="J133" s="42"/>
      <c r="K133" s="210"/>
      <c r="L133" s="23"/>
      <c r="M133" s="31"/>
      <c r="N133" s="31"/>
      <c r="P133" s="22"/>
      <c r="Q133" s="215"/>
      <c r="R133" s="18"/>
      <c r="S133" s="18"/>
      <c r="T133" s="18"/>
      <c r="U133" s="32"/>
      <c r="V133" s="18"/>
      <c r="W133" s="32"/>
    </row>
    <row r="134" spans="2:26" x14ac:dyDescent="0.25">
      <c r="B134" s="21"/>
      <c r="C134" s="21"/>
      <c r="D134" s="21"/>
      <c r="E134" s="22"/>
      <c r="F134" s="18"/>
      <c r="H134" s="210"/>
      <c r="J134" s="42"/>
      <c r="K134" s="210"/>
      <c r="L134" s="23"/>
      <c r="M134" s="31"/>
      <c r="N134" s="31"/>
      <c r="P134" s="22"/>
      <c r="Q134" s="215"/>
      <c r="R134" s="18"/>
      <c r="S134" s="18"/>
      <c r="T134" s="18"/>
      <c r="U134" s="32"/>
      <c r="V134" s="18"/>
      <c r="W134" s="32"/>
    </row>
    <row r="135" spans="2:26" x14ac:dyDescent="0.25">
      <c r="B135" s="21"/>
      <c r="C135" s="21"/>
      <c r="D135" s="21"/>
      <c r="E135" s="22"/>
      <c r="F135" s="18"/>
      <c r="H135" s="210"/>
      <c r="J135" s="42"/>
      <c r="K135" s="210"/>
      <c r="L135" s="23"/>
      <c r="M135" s="31"/>
      <c r="N135" s="31"/>
      <c r="P135" s="22"/>
      <c r="Q135" s="215"/>
      <c r="R135" s="18"/>
      <c r="S135" s="18"/>
      <c r="T135" s="18"/>
      <c r="U135" s="24"/>
      <c r="V135" s="18"/>
      <c r="W135" s="24"/>
    </row>
    <row r="136" spans="2:26" x14ac:dyDescent="0.25">
      <c r="B136" s="21"/>
      <c r="C136" s="21"/>
      <c r="D136" s="21"/>
      <c r="E136" s="22"/>
      <c r="F136" s="18"/>
      <c r="H136" s="210"/>
      <c r="J136" s="42"/>
      <c r="K136" s="210"/>
      <c r="L136" s="23"/>
      <c r="M136" s="31"/>
      <c r="N136" s="31"/>
      <c r="P136" s="22"/>
      <c r="Q136" s="215"/>
      <c r="R136" s="18"/>
      <c r="S136" s="18"/>
      <c r="T136" s="18"/>
      <c r="U136" s="24"/>
      <c r="V136" s="18"/>
      <c r="W136" s="24"/>
    </row>
    <row r="137" spans="2:26" x14ac:dyDescent="0.25">
      <c r="B137" s="21"/>
      <c r="C137" s="21"/>
      <c r="D137" s="21"/>
      <c r="E137" s="22"/>
      <c r="F137" s="18"/>
      <c r="H137" s="210"/>
      <c r="J137" s="42"/>
      <c r="K137" s="210"/>
      <c r="L137" s="23"/>
      <c r="M137" s="31"/>
      <c r="N137" s="31"/>
      <c r="P137" s="22"/>
      <c r="Q137" s="215"/>
      <c r="R137" s="18"/>
      <c r="S137" s="18"/>
      <c r="T137" s="18"/>
      <c r="U137" s="24"/>
      <c r="V137" s="18"/>
      <c r="W137" s="24"/>
    </row>
    <row r="138" spans="2:26" x14ac:dyDescent="0.25">
      <c r="B138" s="21"/>
      <c r="C138" s="21"/>
      <c r="D138" s="21"/>
      <c r="E138" s="22"/>
      <c r="F138" s="18"/>
      <c r="H138" s="210"/>
      <c r="J138" s="42"/>
      <c r="K138" s="210"/>
      <c r="L138" s="23"/>
      <c r="M138" s="31"/>
      <c r="N138" s="31"/>
      <c r="P138" s="22"/>
      <c r="Q138" s="215"/>
      <c r="R138" s="18"/>
      <c r="S138" s="18"/>
      <c r="T138" s="18"/>
      <c r="U138" s="33"/>
      <c r="V138" s="18"/>
      <c r="W138" s="33"/>
    </row>
    <row r="139" spans="2:26" x14ac:dyDescent="0.25">
      <c r="B139" s="21"/>
      <c r="C139" s="21"/>
      <c r="D139" s="21"/>
      <c r="E139" s="22"/>
      <c r="F139" s="18"/>
      <c r="H139" s="210"/>
      <c r="J139" s="42"/>
      <c r="K139" s="210"/>
      <c r="L139" s="23"/>
      <c r="M139" s="31"/>
      <c r="N139" s="31"/>
      <c r="P139" s="22"/>
      <c r="Q139" s="215"/>
      <c r="R139" s="18"/>
      <c r="S139" s="18"/>
      <c r="T139" s="18"/>
      <c r="U139" s="24"/>
      <c r="V139" s="18"/>
      <c r="W139" s="24"/>
      <c r="Y139" s="9"/>
      <c r="Z139" s="9"/>
    </row>
    <row r="140" spans="2:26" x14ac:dyDescent="0.25">
      <c r="B140" s="21"/>
      <c r="C140" s="21"/>
      <c r="D140" s="21"/>
      <c r="E140" s="22"/>
      <c r="F140" s="18"/>
      <c r="H140" s="210"/>
      <c r="J140" s="42"/>
      <c r="K140" s="210"/>
      <c r="L140" s="23"/>
      <c r="M140" s="31"/>
      <c r="N140" s="31"/>
      <c r="P140" s="22"/>
      <c r="Q140" s="215"/>
      <c r="R140" s="18"/>
      <c r="S140" s="18"/>
      <c r="T140" s="18"/>
      <c r="U140" s="24"/>
      <c r="V140" s="18"/>
      <c r="W140" s="24"/>
    </row>
    <row r="141" spans="2:26" x14ac:dyDescent="0.25">
      <c r="B141" s="21"/>
      <c r="C141" s="21"/>
      <c r="D141" s="21"/>
      <c r="E141" s="22"/>
      <c r="F141" s="18"/>
      <c r="H141" s="210"/>
      <c r="J141" s="42"/>
      <c r="K141" s="210"/>
      <c r="L141" s="23"/>
      <c r="M141" s="31"/>
      <c r="N141" s="31"/>
      <c r="P141" s="22"/>
      <c r="Q141" s="215"/>
      <c r="R141" s="18"/>
      <c r="S141" s="18"/>
      <c r="T141" s="18"/>
      <c r="U141" s="24"/>
      <c r="V141" s="18"/>
      <c r="W141" s="24"/>
    </row>
    <row r="142" spans="2:26" x14ac:dyDescent="0.25">
      <c r="B142" s="23"/>
      <c r="C142" s="210"/>
      <c r="F142" s="18"/>
      <c r="H142" s="210"/>
      <c r="J142" s="42"/>
      <c r="K142" s="210"/>
      <c r="L142" s="23"/>
      <c r="M142" s="31"/>
      <c r="N142" s="31"/>
      <c r="R142" s="18"/>
      <c r="S142" s="18"/>
      <c r="T142" s="18"/>
      <c r="V142" s="18"/>
    </row>
    <row r="143" spans="2:26" x14ac:dyDescent="0.25">
      <c r="B143" s="9"/>
      <c r="C143" s="9"/>
      <c r="F143" s="18"/>
      <c r="H143" s="210"/>
      <c r="J143" s="42"/>
      <c r="K143" s="210"/>
      <c r="L143" s="23"/>
      <c r="R143" s="18"/>
      <c r="S143" s="18"/>
      <c r="T143" s="18"/>
      <c r="V143" s="18"/>
    </row>
    <row r="144" spans="2:26" x14ac:dyDescent="0.25">
      <c r="B144" s="21"/>
      <c r="C144" s="21"/>
      <c r="D144" s="21"/>
      <c r="E144" s="22"/>
      <c r="F144" s="18"/>
      <c r="H144" s="210"/>
      <c r="J144" s="42"/>
      <c r="K144" s="210"/>
      <c r="L144" s="23"/>
      <c r="P144" s="22"/>
      <c r="Q144" s="215"/>
      <c r="R144" s="18"/>
      <c r="S144" s="18"/>
      <c r="T144" s="18"/>
      <c r="U144" s="24"/>
      <c r="V144" s="18"/>
      <c r="W144" s="24"/>
    </row>
    <row r="145" spans="2:23" x14ac:dyDescent="0.25">
      <c r="B145" s="21"/>
      <c r="C145" s="21"/>
      <c r="D145" s="21"/>
      <c r="E145" s="22"/>
      <c r="F145" s="18"/>
      <c r="H145" s="210"/>
      <c r="J145" s="42"/>
      <c r="K145" s="210"/>
      <c r="L145" s="23"/>
      <c r="M145" s="31"/>
      <c r="N145" s="31"/>
      <c r="P145" s="22"/>
      <c r="Q145" s="215"/>
      <c r="R145" s="18"/>
      <c r="S145" s="18"/>
      <c r="T145" s="18"/>
      <c r="U145" s="24"/>
      <c r="V145" s="18"/>
      <c r="W145" s="24"/>
    </row>
    <row r="146" spans="2:23" x14ac:dyDescent="0.25">
      <c r="B146" s="21"/>
      <c r="C146" s="21"/>
      <c r="D146" s="21"/>
      <c r="E146" s="22"/>
      <c r="F146" s="18"/>
      <c r="H146" s="210"/>
      <c r="J146" s="42"/>
      <c r="K146" s="210"/>
      <c r="L146" s="23"/>
      <c r="M146" s="31"/>
      <c r="N146" s="31"/>
      <c r="P146" s="22"/>
      <c r="Q146" s="215"/>
      <c r="R146" s="18"/>
      <c r="S146" s="18"/>
      <c r="T146" s="18"/>
      <c r="U146" s="33"/>
      <c r="V146" s="18"/>
      <c r="W146" s="33"/>
    </row>
    <row r="147" spans="2:23" x14ac:dyDescent="0.25">
      <c r="B147" s="21"/>
      <c r="C147" s="21"/>
      <c r="D147" s="21"/>
      <c r="E147" s="22"/>
      <c r="F147" s="18"/>
      <c r="H147" s="210"/>
      <c r="J147" s="42"/>
      <c r="K147" s="210"/>
      <c r="L147" s="23"/>
      <c r="M147" s="31"/>
      <c r="N147" s="31"/>
      <c r="P147" s="22"/>
      <c r="Q147" s="215"/>
      <c r="R147" s="18"/>
      <c r="S147" s="18"/>
      <c r="T147" s="18"/>
      <c r="U147" s="33"/>
      <c r="V147" s="18"/>
      <c r="W147" s="33"/>
    </row>
    <row r="148" spans="2:23" x14ac:dyDescent="0.25">
      <c r="B148" s="21"/>
      <c r="C148" s="21"/>
      <c r="D148" s="21"/>
      <c r="E148" s="22"/>
      <c r="F148" s="18"/>
      <c r="H148" s="210"/>
      <c r="J148" s="42"/>
      <c r="K148" s="210"/>
      <c r="L148" s="23"/>
      <c r="M148" s="31"/>
      <c r="N148" s="31"/>
      <c r="P148" s="22"/>
      <c r="Q148" s="215"/>
      <c r="R148" s="18"/>
      <c r="S148" s="18"/>
      <c r="T148" s="18"/>
      <c r="U148" s="32"/>
      <c r="V148" s="18"/>
      <c r="W148" s="32"/>
    </row>
    <row r="149" spans="2:23" x14ac:dyDescent="0.25">
      <c r="B149" s="21"/>
      <c r="C149" s="21"/>
      <c r="D149" s="21"/>
      <c r="E149" s="22"/>
      <c r="F149" s="18"/>
      <c r="H149" s="210"/>
      <c r="J149" s="42"/>
      <c r="K149" s="210"/>
      <c r="L149" s="23"/>
      <c r="M149" s="31"/>
      <c r="N149" s="31"/>
      <c r="P149" s="22"/>
      <c r="Q149" s="215"/>
      <c r="R149" s="18"/>
      <c r="S149" s="18"/>
      <c r="T149" s="18"/>
      <c r="U149" s="32"/>
      <c r="V149" s="18"/>
      <c r="W149" s="32"/>
    </row>
    <row r="150" spans="2:23" x14ac:dyDescent="0.25">
      <c r="B150" s="21"/>
      <c r="C150" s="21"/>
      <c r="D150" s="21"/>
      <c r="E150" s="22"/>
      <c r="F150" s="18"/>
      <c r="H150" s="210"/>
      <c r="J150" s="42"/>
      <c r="K150" s="210"/>
      <c r="L150" s="23"/>
      <c r="M150" s="31"/>
      <c r="N150" s="31"/>
      <c r="P150" s="22"/>
      <c r="Q150" s="215"/>
      <c r="R150" s="18"/>
      <c r="S150" s="18"/>
      <c r="T150" s="18"/>
      <c r="U150" s="24"/>
      <c r="V150" s="18"/>
      <c r="W150" s="24"/>
    </row>
    <row r="151" spans="2:23" x14ac:dyDescent="0.25">
      <c r="B151" s="21"/>
      <c r="C151" s="21"/>
      <c r="D151" s="21"/>
      <c r="E151" s="22"/>
      <c r="F151" s="18"/>
      <c r="H151" s="210"/>
      <c r="J151" s="42"/>
      <c r="K151" s="210"/>
      <c r="L151" s="23"/>
      <c r="M151" s="31"/>
      <c r="N151" s="31"/>
      <c r="P151" s="22"/>
      <c r="Q151" s="215"/>
      <c r="R151" s="18"/>
      <c r="S151" s="18"/>
      <c r="T151" s="18"/>
      <c r="U151" s="33"/>
      <c r="V151" s="18"/>
      <c r="W151" s="33"/>
    </row>
    <row r="152" spans="2:23" x14ac:dyDescent="0.25">
      <c r="B152" s="9"/>
      <c r="C152" s="9"/>
      <c r="F152" s="18"/>
      <c r="H152" s="210"/>
      <c r="J152" s="42"/>
      <c r="K152" s="210"/>
      <c r="L152" s="23"/>
      <c r="M152" s="31"/>
      <c r="N152" s="31"/>
      <c r="R152" s="18"/>
      <c r="S152" s="18"/>
      <c r="T152" s="18"/>
      <c r="V152" s="18"/>
    </row>
    <row r="153" spans="2:23" x14ac:dyDescent="0.25">
      <c r="B153" s="21"/>
      <c r="C153" s="21"/>
      <c r="D153" s="21"/>
      <c r="E153" s="22"/>
      <c r="F153" s="18"/>
      <c r="H153" s="210"/>
      <c r="J153" s="42"/>
      <c r="K153" s="210"/>
      <c r="L153" s="23"/>
      <c r="P153" s="22"/>
      <c r="Q153" s="215"/>
      <c r="R153" s="18"/>
      <c r="S153" s="18"/>
      <c r="T153" s="18"/>
      <c r="U153" s="32"/>
      <c r="V153" s="18"/>
      <c r="W153" s="32"/>
    </row>
    <row r="154" spans="2:23" x14ac:dyDescent="0.25">
      <c r="B154" s="21"/>
      <c r="C154" s="21"/>
      <c r="D154" s="21"/>
      <c r="E154" s="22"/>
      <c r="F154" s="18"/>
      <c r="H154" s="210"/>
      <c r="J154" s="42"/>
      <c r="K154" s="210"/>
      <c r="L154" s="23"/>
      <c r="M154" s="31"/>
      <c r="N154" s="31"/>
      <c r="P154" s="22"/>
      <c r="Q154" s="215"/>
      <c r="R154" s="18"/>
      <c r="S154" s="18"/>
      <c r="T154" s="18"/>
      <c r="U154" s="33"/>
      <c r="V154" s="18"/>
      <c r="W154" s="33"/>
    </row>
    <row r="155" spans="2:23" x14ac:dyDescent="0.25">
      <c r="B155" s="21"/>
      <c r="C155" s="21"/>
      <c r="D155" s="21"/>
      <c r="E155" s="22"/>
      <c r="F155" s="18"/>
      <c r="H155" s="210"/>
      <c r="J155" s="42"/>
      <c r="K155" s="210"/>
      <c r="L155" s="23"/>
      <c r="M155" s="31"/>
      <c r="N155" s="31"/>
      <c r="P155" s="22"/>
      <c r="Q155" s="215"/>
      <c r="R155" s="18"/>
      <c r="S155" s="18"/>
      <c r="T155" s="18"/>
      <c r="U155" s="32"/>
      <c r="V155" s="18"/>
      <c r="W155" s="32"/>
    </row>
    <row r="156" spans="2:23" x14ac:dyDescent="0.25">
      <c r="B156" s="21"/>
      <c r="C156" s="21"/>
      <c r="D156" s="21"/>
      <c r="E156" s="22"/>
      <c r="F156" s="18"/>
      <c r="H156" s="210"/>
      <c r="J156" s="42"/>
      <c r="K156" s="210"/>
      <c r="L156" s="23"/>
      <c r="M156" s="31"/>
      <c r="N156" s="31"/>
      <c r="P156" s="22"/>
      <c r="Q156" s="215"/>
      <c r="R156" s="18"/>
      <c r="S156" s="18"/>
      <c r="T156" s="18"/>
      <c r="U156" s="33"/>
      <c r="V156" s="18"/>
      <c r="W156" s="33"/>
    </row>
    <row r="157" spans="2:23" x14ac:dyDescent="0.25">
      <c r="B157" s="21"/>
      <c r="C157" s="21"/>
      <c r="D157" s="21"/>
      <c r="E157" s="22"/>
      <c r="F157" s="18"/>
      <c r="H157" s="210"/>
      <c r="J157" s="42"/>
      <c r="K157" s="210"/>
      <c r="L157" s="23"/>
      <c r="M157" s="31"/>
      <c r="N157" s="31"/>
      <c r="P157" s="22"/>
      <c r="Q157" s="215"/>
      <c r="R157" s="18"/>
      <c r="S157" s="18"/>
      <c r="T157" s="18"/>
      <c r="U157" s="33"/>
      <c r="V157" s="18"/>
      <c r="W157" s="33"/>
    </row>
    <row r="158" spans="2:23" x14ac:dyDescent="0.25">
      <c r="B158" s="21"/>
      <c r="C158" s="21"/>
      <c r="D158" s="21"/>
      <c r="E158" s="22"/>
      <c r="F158" s="18"/>
      <c r="H158" s="210"/>
      <c r="J158" s="42"/>
      <c r="K158" s="210"/>
      <c r="L158" s="23"/>
      <c r="M158" s="31"/>
      <c r="N158" s="31"/>
      <c r="P158" s="22"/>
      <c r="Q158" s="215"/>
      <c r="R158" s="18"/>
      <c r="S158" s="18"/>
      <c r="T158" s="18"/>
      <c r="U158" s="32"/>
      <c r="V158" s="18"/>
      <c r="W158" s="32"/>
    </row>
    <row r="159" spans="2:23" x14ac:dyDescent="0.25">
      <c r="B159" s="21"/>
      <c r="C159" s="21"/>
      <c r="D159" s="21"/>
      <c r="E159" s="22"/>
      <c r="F159" s="18"/>
      <c r="H159" s="210"/>
      <c r="J159" s="42"/>
      <c r="K159" s="210"/>
      <c r="L159" s="23"/>
      <c r="M159" s="31"/>
      <c r="N159" s="31"/>
      <c r="P159" s="22"/>
      <c r="Q159" s="215"/>
      <c r="R159" s="18"/>
      <c r="S159" s="18"/>
      <c r="T159" s="18"/>
      <c r="U159" s="24"/>
      <c r="V159" s="18"/>
      <c r="W159" s="24"/>
    </row>
    <row r="160" spans="2:23" x14ac:dyDescent="0.25">
      <c r="B160" s="21"/>
      <c r="C160" s="21"/>
      <c r="D160" s="21"/>
      <c r="E160" s="22"/>
      <c r="F160" s="18"/>
      <c r="H160" s="210"/>
      <c r="J160" s="42"/>
      <c r="K160" s="210"/>
      <c r="L160" s="23"/>
      <c r="M160" s="31"/>
      <c r="N160" s="31"/>
      <c r="P160" s="22"/>
      <c r="Q160" s="215"/>
      <c r="R160" s="18"/>
      <c r="S160" s="18"/>
      <c r="T160" s="18"/>
      <c r="U160" s="24"/>
      <c r="V160" s="18"/>
      <c r="W160" s="24"/>
    </row>
    <row r="161" spans="2:26" x14ac:dyDescent="0.25">
      <c r="B161" s="21"/>
      <c r="C161" s="21"/>
      <c r="D161" s="21"/>
      <c r="E161" s="22"/>
      <c r="F161" s="18"/>
      <c r="H161" s="210"/>
      <c r="J161" s="42"/>
      <c r="K161" s="210"/>
      <c r="L161" s="23"/>
      <c r="M161" s="31"/>
      <c r="N161" s="31"/>
      <c r="P161" s="22"/>
      <c r="Q161" s="215"/>
      <c r="R161" s="18"/>
      <c r="S161" s="18"/>
      <c r="T161" s="18"/>
      <c r="U161" s="24"/>
      <c r="V161" s="18"/>
      <c r="W161" s="24"/>
    </row>
    <row r="162" spans="2:26" x14ac:dyDescent="0.25">
      <c r="B162" s="21"/>
      <c r="C162" s="21"/>
      <c r="D162" s="21"/>
      <c r="E162" s="22"/>
      <c r="F162" s="18"/>
      <c r="H162" s="210"/>
      <c r="J162" s="42"/>
      <c r="K162" s="210"/>
      <c r="L162" s="23"/>
      <c r="M162" s="31"/>
      <c r="N162" s="31"/>
      <c r="P162" s="22"/>
      <c r="Q162" s="215"/>
      <c r="R162" s="18"/>
      <c r="S162" s="18"/>
      <c r="T162" s="18"/>
      <c r="U162" s="24"/>
      <c r="V162" s="18"/>
      <c r="W162" s="24"/>
    </row>
    <row r="163" spans="2:26" x14ac:dyDescent="0.25">
      <c r="B163" s="21"/>
      <c r="C163" s="21"/>
      <c r="D163" s="21"/>
      <c r="E163" s="22"/>
      <c r="F163" s="18"/>
      <c r="H163" s="210"/>
      <c r="J163" s="42"/>
      <c r="K163" s="210"/>
      <c r="L163" s="23"/>
      <c r="M163" s="31"/>
      <c r="N163" s="31"/>
      <c r="P163" s="22"/>
      <c r="Q163" s="215"/>
      <c r="R163" s="18"/>
      <c r="S163" s="18"/>
      <c r="T163" s="18"/>
      <c r="U163" s="24"/>
      <c r="V163" s="18"/>
      <c r="W163" s="24"/>
    </row>
    <row r="164" spans="2:26" x14ac:dyDescent="0.25">
      <c r="B164" s="21"/>
      <c r="C164" s="21"/>
      <c r="D164" s="21"/>
      <c r="E164" s="22"/>
      <c r="F164" s="18"/>
      <c r="H164" s="210"/>
      <c r="J164" s="42"/>
      <c r="K164" s="210"/>
      <c r="L164" s="23"/>
      <c r="M164" s="31"/>
      <c r="N164" s="31"/>
      <c r="P164" s="22"/>
      <c r="Q164" s="215"/>
      <c r="R164" s="18"/>
      <c r="S164" s="18"/>
      <c r="T164" s="18"/>
      <c r="U164" s="32"/>
      <c r="V164" s="18"/>
      <c r="W164" s="32"/>
    </row>
    <row r="165" spans="2:26" x14ac:dyDescent="0.25">
      <c r="B165" s="21"/>
      <c r="C165" s="21"/>
      <c r="D165" s="21"/>
      <c r="E165" s="22"/>
      <c r="F165" s="18"/>
      <c r="H165" s="210"/>
      <c r="J165" s="42"/>
      <c r="K165" s="210"/>
      <c r="L165" s="23"/>
      <c r="M165" s="31"/>
      <c r="N165" s="31"/>
      <c r="P165" s="22"/>
      <c r="Q165" s="215"/>
      <c r="R165" s="18"/>
      <c r="S165" s="18"/>
      <c r="T165" s="18"/>
      <c r="U165" s="33"/>
      <c r="V165" s="18"/>
      <c r="W165" s="33"/>
      <c r="Y165" s="9"/>
      <c r="Z165" s="9"/>
    </row>
    <row r="166" spans="2:26" x14ac:dyDescent="0.25">
      <c r="B166" s="23"/>
      <c r="C166" s="210"/>
      <c r="F166" s="18"/>
      <c r="H166" s="210"/>
      <c r="J166" s="42"/>
      <c r="K166" s="210"/>
      <c r="L166" s="23"/>
      <c r="M166" s="31"/>
      <c r="N166" s="31"/>
      <c r="R166" s="18"/>
      <c r="S166" s="18"/>
      <c r="T166" s="18"/>
      <c r="V166" s="18"/>
    </row>
    <row r="167" spans="2:26" x14ac:dyDescent="0.25">
      <c r="B167" s="23"/>
      <c r="C167" s="210"/>
      <c r="F167" s="18"/>
      <c r="H167" s="210"/>
      <c r="J167" s="42"/>
      <c r="K167" s="210"/>
      <c r="L167" s="23"/>
      <c r="R167" s="18"/>
      <c r="S167" s="18"/>
      <c r="T167" s="18"/>
      <c r="V167" s="18"/>
    </row>
    <row r="168" spans="2:26" x14ac:dyDescent="0.25">
      <c r="B168" s="21"/>
      <c r="C168" s="21"/>
      <c r="D168" s="21"/>
      <c r="E168" s="22"/>
      <c r="F168" s="18"/>
      <c r="H168" s="210"/>
      <c r="J168" s="42"/>
      <c r="K168" s="210"/>
      <c r="L168" s="23"/>
      <c r="P168" s="22"/>
      <c r="Q168" s="215"/>
      <c r="R168" s="18"/>
      <c r="S168" s="18"/>
      <c r="T168" s="18"/>
      <c r="U168" s="33"/>
      <c r="V168" s="18"/>
      <c r="W168" s="33"/>
    </row>
    <row r="169" spans="2:26" x14ac:dyDescent="0.25">
      <c r="B169" s="21"/>
      <c r="C169" s="21"/>
      <c r="D169" s="21"/>
      <c r="E169" s="22"/>
      <c r="F169" s="18"/>
      <c r="H169" s="210"/>
      <c r="J169" s="42"/>
      <c r="K169" s="210"/>
      <c r="L169" s="23"/>
      <c r="M169" s="31"/>
      <c r="N169" s="31"/>
      <c r="P169" s="22"/>
      <c r="Q169" s="215"/>
      <c r="R169" s="18"/>
      <c r="S169" s="18"/>
      <c r="T169" s="18"/>
      <c r="U169" s="24"/>
      <c r="V169" s="18"/>
      <c r="W169" s="24"/>
    </row>
    <row r="170" spans="2:26" x14ac:dyDescent="0.25">
      <c r="B170" s="21"/>
      <c r="C170" s="21"/>
      <c r="D170" s="21"/>
      <c r="E170" s="22"/>
      <c r="F170" s="18"/>
      <c r="H170" s="210"/>
      <c r="J170" s="42"/>
      <c r="K170" s="210"/>
      <c r="L170" s="23"/>
      <c r="M170" s="31"/>
      <c r="N170" s="31"/>
      <c r="P170" s="22"/>
      <c r="Q170" s="215"/>
      <c r="R170" s="18"/>
      <c r="S170" s="18"/>
      <c r="T170" s="18"/>
      <c r="U170" s="32"/>
      <c r="V170" s="18"/>
      <c r="W170" s="32"/>
    </row>
    <row r="171" spans="2:26" x14ac:dyDescent="0.25">
      <c r="B171" s="9"/>
      <c r="C171" s="9"/>
      <c r="F171" s="18"/>
      <c r="H171" s="210"/>
      <c r="J171" s="42"/>
      <c r="K171" s="210"/>
      <c r="L171" s="23"/>
      <c r="M171" s="31"/>
      <c r="N171" s="31"/>
      <c r="R171" s="18"/>
      <c r="S171" s="18"/>
      <c r="T171" s="18"/>
      <c r="V171" s="18"/>
    </row>
    <row r="172" spans="2:26" x14ac:dyDescent="0.25">
      <c r="B172" s="21"/>
      <c r="C172" s="21"/>
      <c r="D172" s="21"/>
      <c r="E172" s="22"/>
      <c r="F172" s="18"/>
      <c r="H172" s="210"/>
      <c r="J172" s="42"/>
      <c r="K172" s="210"/>
      <c r="L172" s="23"/>
      <c r="P172" s="22"/>
      <c r="Q172" s="215"/>
      <c r="R172" s="18"/>
      <c r="S172" s="18"/>
      <c r="T172" s="18"/>
      <c r="U172" s="32"/>
      <c r="V172" s="18"/>
      <c r="W172" s="32"/>
    </row>
    <row r="173" spans="2:26" x14ac:dyDescent="0.25">
      <c r="B173" s="23"/>
      <c r="C173" s="210"/>
      <c r="F173" s="18"/>
      <c r="H173" s="210"/>
      <c r="J173" s="42"/>
      <c r="K173" s="210"/>
      <c r="L173" s="23"/>
      <c r="M173" s="31"/>
      <c r="N173" s="31"/>
      <c r="R173" s="18"/>
      <c r="S173" s="18"/>
      <c r="T173" s="18"/>
      <c r="V173" s="18"/>
    </row>
    <row r="174" spans="2:26" x14ac:dyDescent="0.25">
      <c r="B174" s="23"/>
      <c r="C174" s="210"/>
      <c r="F174" s="18"/>
      <c r="H174" s="210"/>
      <c r="J174" s="42"/>
      <c r="K174" s="210"/>
      <c r="L174" s="23"/>
      <c r="R174" s="18"/>
      <c r="S174" s="18"/>
      <c r="T174" s="18"/>
      <c r="V174" s="18"/>
    </row>
    <row r="175" spans="2:26" x14ac:dyDescent="0.25">
      <c r="B175" s="23"/>
      <c r="C175" s="210"/>
      <c r="F175" s="18"/>
      <c r="H175" s="210"/>
      <c r="J175" s="42"/>
      <c r="K175" s="210"/>
      <c r="L175" s="23"/>
      <c r="R175" s="18"/>
      <c r="S175" s="18"/>
      <c r="T175" s="18"/>
      <c r="V175" s="18"/>
    </row>
    <row r="176" spans="2:26" x14ac:dyDescent="0.25">
      <c r="B176" s="21"/>
      <c r="C176" s="21"/>
      <c r="D176" s="21"/>
      <c r="E176" s="22"/>
      <c r="F176" s="18"/>
      <c r="H176" s="210"/>
      <c r="J176" s="42"/>
      <c r="K176" s="210"/>
      <c r="L176" s="23"/>
      <c r="P176" s="22"/>
      <c r="Q176" s="215"/>
      <c r="R176" s="18"/>
      <c r="S176" s="18"/>
      <c r="T176" s="18"/>
      <c r="U176" s="33"/>
      <c r="V176" s="18"/>
      <c r="W176" s="33"/>
    </row>
    <row r="177" spans="2:23" x14ac:dyDescent="0.25">
      <c r="B177" s="21"/>
      <c r="C177" s="21"/>
      <c r="D177" s="21"/>
      <c r="E177" s="22"/>
      <c r="F177" s="18"/>
      <c r="H177" s="210"/>
      <c r="J177" s="42"/>
      <c r="K177" s="210"/>
      <c r="L177" s="23"/>
      <c r="M177" s="31"/>
      <c r="N177" s="31"/>
      <c r="P177" s="22"/>
      <c r="Q177" s="215"/>
      <c r="R177" s="18"/>
      <c r="S177" s="18"/>
      <c r="T177" s="18"/>
      <c r="U177" s="32"/>
      <c r="V177" s="18"/>
      <c r="W177" s="32"/>
    </row>
    <row r="178" spans="2:23" x14ac:dyDescent="0.25">
      <c r="B178" s="21"/>
      <c r="C178" s="21"/>
      <c r="D178" s="21"/>
      <c r="E178" s="22"/>
      <c r="F178" s="18"/>
      <c r="H178" s="210"/>
      <c r="J178" s="42"/>
      <c r="K178" s="210"/>
      <c r="L178" s="23"/>
      <c r="M178" s="31"/>
      <c r="N178" s="31"/>
      <c r="P178" s="22"/>
      <c r="Q178" s="215"/>
      <c r="R178" s="18"/>
      <c r="S178" s="18"/>
      <c r="T178" s="18"/>
      <c r="U178" s="33"/>
      <c r="V178" s="18"/>
      <c r="W178" s="33"/>
    </row>
    <row r="179" spans="2:23" x14ac:dyDescent="0.25">
      <c r="B179" s="21"/>
      <c r="C179" s="21"/>
      <c r="D179" s="21"/>
      <c r="E179" s="22"/>
      <c r="F179" s="18"/>
      <c r="H179" s="210"/>
      <c r="J179" s="42"/>
      <c r="K179" s="210"/>
      <c r="L179" s="23"/>
      <c r="M179" s="31"/>
      <c r="N179" s="31"/>
      <c r="P179" s="22"/>
      <c r="Q179" s="215"/>
      <c r="R179" s="18"/>
      <c r="S179" s="18"/>
      <c r="T179" s="18"/>
      <c r="U179" s="33"/>
      <c r="V179" s="18"/>
      <c r="W179" s="33"/>
    </row>
    <row r="180" spans="2:23" x14ac:dyDescent="0.25">
      <c r="B180" s="21"/>
      <c r="C180" s="21"/>
      <c r="D180" s="21"/>
      <c r="E180" s="22"/>
      <c r="F180" s="18"/>
      <c r="H180" s="210"/>
      <c r="J180" s="42"/>
      <c r="K180" s="210"/>
      <c r="L180" s="23"/>
      <c r="M180" s="31"/>
      <c r="N180" s="31"/>
      <c r="P180" s="22"/>
      <c r="Q180" s="215"/>
      <c r="R180" s="18"/>
      <c r="S180" s="18"/>
      <c r="T180" s="18"/>
      <c r="U180" s="24"/>
      <c r="V180" s="18"/>
      <c r="W180" s="24"/>
    </row>
    <row r="181" spans="2:23" x14ac:dyDescent="0.25">
      <c r="B181" s="21"/>
      <c r="C181" s="21"/>
      <c r="D181" s="21"/>
      <c r="E181" s="22"/>
      <c r="F181" s="18"/>
      <c r="H181" s="210"/>
      <c r="J181" s="42"/>
      <c r="K181" s="210"/>
      <c r="L181" s="23"/>
      <c r="M181" s="31"/>
      <c r="N181" s="31"/>
      <c r="P181" s="22"/>
      <c r="Q181" s="215"/>
      <c r="R181" s="18"/>
      <c r="S181" s="18"/>
      <c r="T181" s="18"/>
      <c r="U181" s="33"/>
      <c r="V181" s="18"/>
      <c r="W181" s="33"/>
    </row>
    <row r="182" spans="2:23" x14ac:dyDescent="0.25">
      <c r="B182" s="21"/>
      <c r="C182" s="21"/>
      <c r="D182" s="21"/>
      <c r="E182" s="22"/>
      <c r="F182" s="18"/>
      <c r="H182" s="210"/>
      <c r="J182" s="42"/>
      <c r="K182" s="210"/>
      <c r="L182" s="23"/>
      <c r="M182" s="31"/>
      <c r="N182" s="31"/>
      <c r="P182" s="22"/>
      <c r="Q182" s="215"/>
      <c r="R182" s="18"/>
      <c r="S182" s="18"/>
      <c r="T182" s="18"/>
      <c r="U182" s="24"/>
      <c r="V182" s="18"/>
      <c r="W182" s="24"/>
    </row>
    <row r="183" spans="2:23" x14ac:dyDescent="0.25">
      <c r="B183" s="21"/>
      <c r="C183" s="21"/>
      <c r="D183" s="21"/>
      <c r="E183" s="22"/>
      <c r="F183" s="18"/>
      <c r="H183" s="210"/>
      <c r="J183" s="42"/>
      <c r="K183" s="210"/>
      <c r="L183" s="23"/>
      <c r="M183" s="31"/>
      <c r="N183" s="31"/>
      <c r="P183" s="22"/>
      <c r="Q183" s="215"/>
      <c r="R183" s="18"/>
      <c r="S183" s="18"/>
      <c r="T183" s="18"/>
      <c r="U183" s="33"/>
      <c r="V183" s="18"/>
      <c r="W183" s="33"/>
    </row>
    <row r="184" spans="2:23" x14ac:dyDescent="0.25">
      <c r="B184" s="21"/>
      <c r="C184" s="21"/>
      <c r="D184" s="21"/>
      <c r="E184" s="22"/>
      <c r="F184" s="18"/>
      <c r="H184" s="210"/>
      <c r="J184" s="42"/>
      <c r="K184" s="210"/>
      <c r="L184" s="23"/>
      <c r="M184" s="31"/>
      <c r="N184" s="31"/>
      <c r="P184" s="22"/>
      <c r="Q184" s="215"/>
      <c r="R184" s="18"/>
      <c r="S184" s="18"/>
      <c r="T184" s="18"/>
      <c r="U184" s="32"/>
      <c r="V184" s="18"/>
      <c r="W184" s="32"/>
    </row>
    <row r="185" spans="2:23" x14ac:dyDescent="0.25">
      <c r="B185" s="21"/>
      <c r="C185" s="21"/>
      <c r="D185" s="21"/>
      <c r="E185" s="22"/>
      <c r="F185" s="18"/>
      <c r="H185" s="210"/>
      <c r="J185" s="42"/>
      <c r="K185" s="210"/>
      <c r="L185" s="23"/>
      <c r="M185" s="31"/>
      <c r="N185" s="31"/>
      <c r="P185" s="22"/>
      <c r="Q185" s="215"/>
      <c r="R185" s="18"/>
      <c r="S185" s="18"/>
      <c r="T185" s="18"/>
      <c r="U185" s="33"/>
      <c r="V185" s="18"/>
      <c r="W185" s="33"/>
    </row>
    <row r="186" spans="2:23" x14ac:dyDescent="0.25">
      <c r="B186" s="21"/>
      <c r="C186" s="21"/>
      <c r="D186" s="21"/>
      <c r="E186" s="22"/>
      <c r="F186" s="18"/>
      <c r="H186" s="210"/>
      <c r="J186" s="42"/>
      <c r="K186" s="210"/>
      <c r="L186" s="23"/>
      <c r="M186" s="31"/>
      <c r="N186" s="31"/>
      <c r="P186" s="22"/>
      <c r="Q186" s="215"/>
      <c r="R186" s="18"/>
      <c r="S186" s="18"/>
      <c r="T186" s="18"/>
      <c r="U186" s="24"/>
      <c r="V186" s="18"/>
      <c r="W186" s="24"/>
    </row>
    <row r="187" spans="2:23" x14ac:dyDescent="0.25">
      <c r="B187" s="21"/>
      <c r="C187" s="21"/>
      <c r="D187" s="21"/>
      <c r="E187" s="22"/>
      <c r="F187" s="18"/>
      <c r="H187" s="210"/>
      <c r="J187" s="42"/>
      <c r="K187" s="210"/>
      <c r="L187" s="23"/>
      <c r="M187" s="31"/>
      <c r="N187" s="31"/>
      <c r="P187" s="22"/>
      <c r="Q187" s="215"/>
      <c r="R187" s="18"/>
      <c r="S187" s="18"/>
      <c r="T187" s="18"/>
      <c r="U187" s="24"/>
      <c r="V187" s="18"/>
      <c r="W187" s="24"/>
    </row>
    <row r="188" spans="2:23" x14ac:dyDescent="0.25">
      <c r="B188" s="21"/>
      <c r="C188" s="21"/>
      <c r="D188" s="21"/>
      <c r="E188" s="22"/>
      <c r="F188" s="18"/>
      <c r="H188" s="210"/>
      <c r="J188" s="42"/>
      <c r="K188" s="210"/>
      <c r="L188" s="23"/>
      <c r="M188" s="31"/>
      <c r="N188" s="31"/>
      <c r="P188" s="22"/>
      <c r="Q188" s="215"/>
      <c r="R188" s="18"/>
      <c r="S188" s="18"/>
      <c r="T188" s="18"/>
      <c r="U188" s="33"/>
      <c r="V188" s="18"/>
      <c r="W188" s="33"/>
    </row>
    <row r="189" spans="2:23" x14ac:dyDescent="0.25">
      <c r="B189" s="21"/>
      <c r="C189" s="21"/>
      <c r="D189" s="21"/>
      <c r="E189" s="22"/>
      <c r="F189" s="18"/>
      <c r="H189" s="210"/>
      <c r="J189" s="42"/>
      <c r="K189" s="210"/>
      <c r="L189" s="23"/>
      <c r="M189" s="31"/>
      <c r="N189" s="31"/>
      <c r="P189" s="22"/>
      <c r="Q189" s="215"/>
      <c r="R189" s="18"/>
      <c r="S189" s="18"/>
      <c r="T189" s="18"/>
      <c r="U189" s="24"/>
      <c r="V189" s="18"/>
      <c r="W189" s="24"/>
    </row>
    <row r="190" spans="2:23" x14ac:dyDescent="0.25">
      <c r="B190" s="21"/>
      <c r="C190" s="21"/>
      <c r="D190" s="21"/>
      <c r="E190" s="22"/>
      <c r="F190" s="18"/>
      <c r="H190" s="210"/>
      <c r="J190" s="42"/>
      <c r="K190" s="210"/>
      <c r="L190" s="23"/>
      <c r="M190" s="31"/>
      <c r="N190" s="31"/>
      <c r="P190" s="22"/>
      <c r="Q190" s="215"/>
      <c r="R190" s="18"/>
      <c r="S190" s="18"/>
      <c r="T190" s="18"/>
      <c r="U190" s="32"/>
      <c r="V190" s="18"/>
      <c r="W190" s="32"/>
    </row>
    <row r="191" spans="2:23" x14ac:dyDescent="0.25">
      <c r="B191" s="23"/>
      <c r="C191" s="210"/>
      <c r="F191" s="18"/>
      <c r="H191" s="210"/>
      <c r="J191" s="42"/>
      <c r="K191" s="210"/>
      <c r="L191" s="23"/>
      <c r="M191" s="31"/>
      <c r="N191" s="31"/>
      <c r="R191" s="18"/>
      <c r="S191" s="18"/>
      <c r="T191" s="18"/>
      <c r="V191" s="18"/>
    </row>
    <row r="192" spans="2:23" x14ac:dyDescent="0.25">
      <c r="B192" s="21"/>
      <c r="C192" s="21"/>
      <c r="D192" s="21"/>
      <c r="E192" s="22"/>
      <c r="F192" s="18"/>
      <c r="H192" s="210"/>
      <c r="J192" s="42"/>
      <c r="K192" s="210"/>
      <c r="L192" s="23"/>
      <c r="P192" s="22"/>
      <c r="Q192" s="215"/>
      <c r="R192" s="18"/>
      <c r="S192" s="18"/>
      <c r="T192" s="18"/>
      <c r="U192" s="24"/>
      <c r="V192" s="18"/>
      <c r="W192" s="24"/>
    </row>
    <row r="193" spans="2:23" x14ac:dyDescent="0.25">
      <c r="B193" s="21"/>
      <c r="C193" s="21"/>
      <c r="D193" s="21"/>
      <c r="E193" s="22"/>
      <c r="F193" s="18"/>
      <c r="H193" s="210"/>
      <c r="J193" s="42"/>
      <c r="K193" s="210"/>
      <c r="L193" s="23"/>
      <c r="M193" s="31"/>
      <c r="N193" s="31"/>
      <c r="P193" s="22"/>
      <c r="Q193" s="215"/>
      <c r="R193" s="18"/>
      <c r="S193" s="18"/>
      <c r="T193" s="18"/>
      <c r="U193" s="24"/>
      <c r="V193" s="18"/>
      <c r="W193" s="24"/>
    </row>
    <row r="194" spans="2:23" x14ac:dyDescent="0.25">
      <c r="B194" s="21"/>
      <c r="C194" s="21"/>
      <c r="D194" s="21"/>
      <c r="E194" s="22"/>
      <c r="F194" s="18"/>
      <c r="H194" s="210"/>
      <c r="J194" s="42"/>
      <c r="K194" s="210"/>
      <c r="L194" s="23"/>
      <c r="M194" s="31"/>
      <c r="N194" s="31"/>
      <c r="P194" s="22"/>
      <c r="Q194" s="215"/>
      <c r="R194" s="18"/>
      <c r="S194" s="18"/>
      <c r="T194" s="18"/>
      <c r="U194" s="25"/>
      <c r="V194" s="18"/>
      <c r="W194" s="25"/>
    </row>
    <row r="195" spans="2:23" x14ac:dyDescent="0.25">
      <c r="B195" s="21"/>
      <c r="C195" s="21"/>
      <c r="D195" s="21"/>
      <c r="E195" s="22"/>
      <c r="F195" s="18"/>
      <c r="H195" s="210"/>
      <c r="J195" s="42"/>
      <c r="K195" s="210"/>
      <c r="L195" s="23"/>
      <c r="M195" s="31"/>
      <c r="N195" s="31"/>
      <c r="P195" s="22"/>
      <c r="Q195" s="215"/>
      <c r="R195" s="18"/>
      <c r="S195" s="18"/>
      <c r="T195" s="18"/>
      <c r="U195" s="24"/>
      <c r="V195" s="18"/>
      <c r="W195" s="24"/>
    </row>
    <row r="196" spans="2:23" x14ac:dyDescent="0.25">
      <c r="B196" s="21"/>
      <c r="C196" s="21"/>
      <c r="D196" s="21"/>
      <c r="E196" s="22"/>
      <c r="F196" s="18"/>
      <c r="H196" s="210"/>
      <c r="J196" s="42"/>
      <c r="K196" s="210"/>
      <c r="L196" s="23"/>
      <c r="M196" s="31"/>
      <c r="N196" s="31"/>
      <c r="P196" s="22"/>
      <c r="Q196" s="215"/>
      <c r="R196" s="18"/>
      <c r="S196" s="18"/>
      <c r="T196" s="18"/>
      <c r="U196" s="32"/>
      <c r="V196" s="18"/>
      <c r="W196" s="32"/>
    </row>
    <row r="197" spans="2:23" x14ac:dyDescent="0.25">
      <c r="B197" s="21"/>
      <c r="C197" s="21"/>
      <c r="D197" s="21"/>
      <c r="E197" s="22"/>
      <c r="F197" s="18"/>
      <c r="H197" s="210"/>
      <c r="J197" s="42"/>
      <c r="K197" s="210"/>
      <c r="L197" s="23"/>
      <c r="M197" s="31"/>
      <c r="N197" s="31"/>
      <c r="P197" s="22"/>
      <c r="Q197" s="215"/>
      <c r="R197" s="18"/>
      <c r="S197" s="18"/>
      <c r="T197" s="18"/>
      <c r="U197" s="32"/>
      <c r="V197" s="18"/>
      <c r="W197" s="32"/>
    </row>
    <row r="198" spans="2:23" x14ac:dyDescent="0.25">
      <c r="B198" s="21"/>
      <c r="C198" s="21"/>
      <c r="D198" s="21"/>
      <c r="E198" s="22"/>
      <c r="F198" s="18"/>
      <c r="H198" s="210"/>
      <c r="J198" s="42"/>
      <c r="K198" s="210"/>
      <c r="L198" s="23"/>
      <c r="M198" s="31"/>
      <c r="N198" s="31"/>
      <c r="P198" s="22"/>
      <c r="Q198" s="215"/>
      <c r="R198" s="18"/>
      <c r="S198" s="18"/>
      <c r="T198" s="18"/>
      <c r="U198" s="24"/>
      <c r="V198" s="18"/>
      <c r="W198" s="24"/>
    </row>
    <row r="199" spans="2:23" x14ac:dyDescent="0.25">
      <c r="B199" s="21"/>
      <c r="C199" s="21"/>
      <c r="D199" s="21"/>
      <c r="E199" s="22"/>
      <c r="F199" s="18"/>
      <c r="H199" s="210"/>
      <c r="J199" s="42"/>
      <c r="K199" s="210"/>
      <c r="L199" s="23"/>
      <c r="M199" s="31"/>
      <c r="N199" s="31"/>
      <c r="P199" s="22"/>
      <c r="Q199" s="215"/>
      <c r="R199" s="18"/>
      <c r="S199" s="18"/>
      <c r="T199" s="18"/>
      <c r="U199" s="24"/>
      <c r="V199" s="18"/>
      <c r="W199" s="24"/>
    </row>
    <row r="200" spans="2:23" x14ac:dyDescent="0.25">
      <c r="B200" s="21"/>
      <c r="C200" s="21"/>
      <c r="D200" s="21"/>
      <c r="E200" s="22"/>
      <c r="F200" s="18"/>
      <c r="H200" s="210"/>
      <c r="J200" s="42"/>
      <c r="K200" s="210"/>
      <c r="L200" s="23"/>
      <c r="M200" s="31"/>
      <c r="N200" s="31"/>
      <c r="P200" s="22"/>
      <c r="Q200" s="215"/>
      <c r="R200" s="18"/>
      <c r="S200" s="18"/>
      <c r="T200" s="18"/>
      <c r="U200" s="33"/>
      <c r="V200" s="18"/>
      <c r="W200" s="33"/>
    </row>
    <row r="201" spans="2:23" x14ac:dyDescent="0.25">
      <c r="B201" s="9"/>
      <c r="C201" s="9"/>
      <c r="F201" s="18"/>
      <c r="H201" s="210"/>
      <c r="J201" s="42"/>
      <c r="K201" s="210"/>
      <c r="L201" s="23"/>
      <c r="M201" s="31"/>
      <c r="N201" s="31"/>
      <c r="R201" s="18"/>
      <c r="S201" s="18"/>
      <c r="T201" s="18"/>
      <c r="V201" s="18"/>
    </row>
    <row r="202" spans="2:23" x14ac:dyDescent="0.25">
      <c r="B202" s="21"/>
      <c r="C202" s="21"/>
      <c r="D202" s="21"/>
      <c r="E202" s="22"/>
      <c r="F202" s="18"/>
      <c r="H202" s="210"/>
      <c r="J202" s="42"/>
      <c r="K202" s="210"/>
      <c r="L202" s="23"/>
      <c r="P202" s="22"/>
      <c r="Q202" s="215"/>
      <c r="R202" s="18"/>
      <c r="S202" s="18"/>
      <c r="T202" s="18"/>
      <c r="U202" s="33"/>
      <c r="V202" s="18"/>
      <c r="W202" s="33"/>
    </row>
    <row r="203" spans="2:23" x14ac:dyDescent="0.25">
      <c r="B203" s="21"/>
      <c r="C203" s="21"/>
      <c r="D203" s="21"/>
      <c r="E203" s="22"/>
      <c r="F203" s="18"/>
      <c r="H203" s="210"/>
      <c r="J203" s="42"/>
      <c r="K203" s="210"/>
      <c r="L203" s="23"/>
      <c r="M203" s="31"/>
      <c r="N203" s="31"/>
      <c r="P203" s="22"/>
      <c r="Q203" s="215"/>
      <c r="R203" s="18"/>
      <c r="S203" s="18"/>
      <c r="T203" s="18"/>
      <c r="U203" s="24"/>
      <c r="V203" s="18"/>
      <c r="W203" s="24"/>
    </row>
    <row r="204" spans="2:23" x14ac:dyDescent="0.25">
      <c r="B204" s="21"/>
      <c r="C204" s="21"/>
      <c r="D204" s="21"/>
      <c r="E204" s="22"/>
      <c r="F204" s="18"/>
      <c r="H204" s="210"/>
      <c r="J204" s="42"/>
      <c r="K204" s="210"/>
      <c r="L204" s="23"/>
      <c r="M204" s="31"/>
      <c r="N204" s="31"/>
      <c r="P204" s="22"/>
      <c r="Q204" s="215"/>
      <c r="R204" s="18"/>
      <c r="S204" s="18"/>
      <c r="T204" s="18"/>
      <c r="U204" s="24"/>
      <c r="V204" s="18"/>
      <c r="W204" s="24"/>
    </row>
    <row r="205" spans="2:23" x14ac:dyDescent="0.25">
      <c r="B205" s="21"/>
      <c r="C205" s="21"/>
      <c r="D205" s="21"/>
      <c r="E205" s="22"/>
      <c r="F205" s="18"/>
      <c r="H205" s="210"/>
      <c r="J205" s="42"/>
      <c r="K205" s="210"/>
      <c r="L205" s="23"/>
      <c r="M205" s="31"/>
      <c r="N205" s="31"/>
      <c r="P205" s="22"/>
      <c r="Q205" s="215"/>
      <c r="R205" s="18"/>
      <c r="S205" s="18"/>
      <c r="T205" s="18"/>
      <c r="U205" s="32"/>
      <c r="V205" s="18"/>
      <c r="W205" s="32"/>
    </row>
    <row r="206" spans="2:23" x14ac:dyDescent="0.25">
      <c r="B206" s="21"/>
      <c r="C206" s="21"/>
      <c r="D206" s="21"/>
      <c r="E206" s="22"/>
      <c r="F206" s="18"/>
      <c r="H206" s="210"/>
      <c r="J206" s="42"/>
      <c r="K206" s="210"/>
      <c r="L206" s="23"/>
      <c r="M206" s="31"/>
      <c r="N206" s="31"/>
      <c r="P206" s="22"/>
      <c r="Q206" s="215"/>
      <c r="R206" s="18"/>
      <c r="S206" s="18"/>
      <c r="T206" s="18"/>
      <c r="U206" s="32"/>
      <c r="V206" s="18"/>
      <c r="W206" s="32"/>
    </row>
    <row r="207" spans="2:23" x14ac:dyDescent="0.25">
      <c r="B207" s="21"/>
      <c r="C207" s="21"/>
      <c r="D207" s="21"/>
      <c r="E207" s="22"/>
      <c r="F207" s="18"/>
      <c r="H207" s="210"/>
      <c r="J207" s="42"/>
      <c r="K207" s="210"/>
      <c r="L207" s="23"/>
      <c r="M207" s="31"/>
      <c r="N207" s="31"/>
      <c r="P207" s="22"/>
      <c r="Q207" s="215"/>
      <c r="R207" s="18"/>
      <c r="S207" s="18"/>
      <c r="T207" s="18"/>
      <c r="U207" s="33"/>
      <c r="V207" s="18"/>
      <c r="W207" s="33"/>
    </row>
    <row r="208" spans="2:23" x14ac:dyDescent="0.25">
      <c r="B208" s="23"/>
      <c r="C208" s="210"/>
      <c r="F208" s="18"/>
      <c r="H208" s="210"/>
      <c r="J208" s="42"/>
      <c r="K208" s="210"/>
      <c r="L208" s="23"/>
      <c r="M208" s="31"/>
      <c r="N208" s="31"/>
      <c r="R208" s="18"/>
      <c r="S208" s="18"/>
      <c r="T208" s="18"/>
      <c r="V208" s="18"/>
    </row>
    <row r="209" spans="2:23" x14ac:dyDescent="0.25">
      <c r="B209" s="21"/>
      <c r="C209" s="21"/>
      <c r="D209" s="21"/>
      <c r="E209" s="22"/>
      <c r="F209" s="18"/>
      <c r="H209" s="210"/>
      <c r="J209" s="42"/>
      <c r="K209" s="210"/>
      <c r="L209" s="23"/>
      <c r="P209" s="22"/>
      <c r="Q209" s="215"/>
      <c r="R209" s="18"/>
      <c r="S209" s="18"/>
      <c r="T209" s="18"/>
      <c r="U209" s="32"/>
      <c r="V209" s="18"/>
      <c r="W209" s="32"/>
    </row>
    <row r="210" spans="2:23" x14ac:dyDescent="0.25">
      <c r="B210" s="21"/>
      <c r="C210" s="21"/>
      <c r="D210" s="21"/>
      <c r="E210" s="22"/>
      <c r="F210" s="18"/>
      <c r="H210" s="210"/>
      <c r="J210" s="42"/>
      <c r="K210" s="210"/>
      <c r="L210" s="23"/>
      <c r="M210" s="31"/>
      <c r="N210" s="31"/>
      <c r="P210" s="22"/>
      <c r="Q210" s="215"/>
      <c r="R210" s="18"/>
      <c r="S210" s="18"/>
      <c r="T210" s="18"/>
      <c r="U210" s="24"/>
      <c r="V210" s="18"/>
      <c r="W210" s="24"/>
    </row>
    <row r="211" spans="2:23" x14ac:dyDescent="0.25">
      <c r="B211" s="23"/>
      <c r="C211" s="210"/>
      <c r="F211" s="18"/>
      <c r="H211" s="210"/>
      <c r="J211" s="42"/>
      <c r="K211" s="210"/>
      <c r="L211" s="23"/>
      <c r="M211" s="31"/>
      <c r="N211" s="31"/>
      <c r="R211" s="18"/>
      <c r="S211" s="18"/>
      <c r="T211" s="18"/>
      <c r="V211" s="18"/>
    </row>
    <row r="212" spans="2:23" x14ac:dyDescent="0.25">
      <c r="B212" s="23"/>
      <c r="C212" s="210"/>
      <c r="F212" s="18"/>
      <c r="H212" s="210"/>
      <c r="J212" s="42"/>
      <c r="K212" s="210"/>
      <c r="L212" s="23"/>
      <c r="R212" s="18"/>
      <c r="S212" s="18"/>
      <c r="T212" s="18"/>
      <c r="V212" s="18"/>
    </row>
    <row r="213" spans="2:23" x14ac:dyDescent="0.25">
      <c r="B213" s="21"/>
      <c r="C213" s="21"/>
      <c r="D213" s="21"/>
      <c r="E213" s="22"/>
      <c r="F213" s="18"/>
      <c r="H213" s="210"/>
      <c r="J213" s="42"/>
      <c r="K213" s="210"/>
      <c r="L213" s="23"/>
      <c r="P213" s="22"/>
      <c r="Q213" s="215"/>
      <c r="R213" s="18"/>
      <c r="S213" s="18"/>
      <c r="T213" s="18"/>
      <c r="U213" s="24"/>
      <c r="V213" s="18"/>
      <c r="W213" s="24"/>
    </row>
    <row r="214" spans="2:23" x14ac:dyDescent="0.25">
      <c r="B214" s="21"/>
      <c r="C214" s="21"/>
      <c r="D214" s="21"/>
      <c r="E214" s="22"/>
      <c r="F214" s="18"/>
      <c r="H214" s="210"/>
      <c r="J214" s="42"/>
      <c r="K214" s="210"/>
      <c r="L214" s="23"/>
      <c r="M214" s="31"/>
      <c r="N214" s="31"/>
      <c r="P214" s="22"/>
      <c r="Q214" s="215"/>
      <c r="R214" s="18"/>
      <c r="S214" s="18"/>
      <c r="T214" s="18"/>
      <c r="U214" s="24"/>
      <c r="V214" s="18"/>
      <c r="W214" s="24"/>
    </row>
    <row r="215" spans="2:23" x14ac:dyDescent="0.25">
      <c r="B215" s="21"/>
      <c r="C215" s="21"/>
      <c r="D215" s="21"/>
      <c r="E215" s="22"/>
      <c r="F215" s="18"/>
      <c r="H215" s="210"/>
      <c r="J215" s="42"/>
      <c r="K215" s="210"/>
      <c r="L215" s="23"/>
      <c r="M215" s="31"/>
      <c r="N215" s="31"/>
      <c r="P215" s="22"/>
      <c r="Q215" s="215"/>
      <c r="R215" s="18"/>
      <c r="S215" s="18"/>
      <c r="T215" s="18"/>
      <c r="U215" s="24"/>
      <c r="V215" s="18"/>
      <c r="W215" s="24"/>
    </row>
    <row r="216" spans="2:23" x14ac:dyDescent="0.25">
      <c r="B216" s="21"/>
      <c r="C216" s="21"/>
      <c r="D216" s="21"/>
      <c r="E216" s="22"/>
      <c r="F216" s="18"/>
      <c r="H216" s="210"/>
      <c r="J216" s="42"/>
      <c r="K216" s="210"/>
      <c r="L216" s="23"/>
      <c r="M216" s="31"/>
      <c r="N216" s="31"/>
      <c r="P216" s="22"/>
      <c r="Q216" s="215"/>
      <c r="R216" s="18"/>
      <c r="S216" s="18"/>
      <c r="T216" s="18"/>
      <c r="U216" s="33"/>
      <c r="V216" s="18"/>
      <c r="W216" s="33"/>
    </row>
    <row r="217" spans="2:23" x14ac:dyDescent="0.25">
      <c r="B217" s="21"/>
      <c r="C217" s="21"/>
      <c r="D217" s="21"/>
      <c r="E217" s="22"/>
      <c r="F217" s="18"/>
      <c r="H217" s="210"/>
      <c r="J217" s="42"/>
      <c r="K217" s="210"/>
      <c r="L217" s="23"/>
      <c r="M217" s="31"/>
      <c r="N217" s="31"/>
      <c r="P217" s="22"/>
      <c r="Q217" s="215"/>
      <c r="R217" s="18"/>
      <c r="S217" s="18"/>
      <c r="T217" s="18"/>
      <c r="U217" s="24"/>
      <c r="V217" s="18"/>
      <c r="W217" s="24"/>
    </row>
    <row r="218" spans="2:23" x14ac:dyDescent="0.25">
      <c r="B218" s="21"/>
      <c r="C218" s="21"/>
      <c r="D218" s="21"/>
      <c r="E218" s="22"/>
      <c r="F218" s="18"/>
      <c r="H218" s="210"/>
      <c r="J218" s="42"/>
      <c r="K218" s="210"/>
      <c r="L218" s="23"/>
      <c r="M218" s="31"/>
      <c r="N218" s="31"/>
      <c r="P218" s="22"/>
      <c r="Q218" s="215"/>
      <c r="R218" s="18"/>
      <c r="S218" s="18"/>
      <c r="T218" s="18"/>
      <c r="U218" s="24"/>
      <c r="V218" s="18"/>
      <c r="W218" s="24"/>
    </row>
    <row r="219" spans="2:23" x14ac:dyDescent="0.25">
      <c r="B219" s="23"/>
      <c r="C219" s="210"/>
      <c r="F219" s="18"/>
      <c r="H219" s="210"/>
      <c r="J219" s="42"/>
      <c r="K219" s="210"/>
      <c r="L219" s="23"/>
      <c r="M219" s="31"/>
      <c r="N219" s="31"/>
      <c r="R219" s="18"/>
      <c r="S219" s="18"/>
      <c r="T219" s="18"/>
      <c r="V219" s="18"/>
    </row>
    <row r="220" spans="2:23" x14ac:dyDescent="0.25">
      <c r="B220" s="23"/>
      <c r="C220" s="210"/>
      <c r="F220" s="18"/>
      <c r="H220" s="210"/>
      <c r="J220" s="42"/>
      <c r="K220" s="210"/>
      <c r="L220" s="23"/>
      <c r="R220" s="18"/>
      <c r="S220" s="18"/>
      <c r="T220" s="18"/>
      <c r="V220" s="18"/>
    </row>
    <row r="221" spans="2:23" x14ac:dyDescent="0.25">
      <c r="B221" s="21"/>
      <c r="C221" s="21"/>
      <c r="D221" s="21"/>
      <c r="E221" s="22"/>
      <c r="F221" s="18"/>
      <c r="H221" s="210"/>
      <c r="J221" s="42"/>
      <c r="K221" s="210"/>
      <c r="L221" s="23"/>
      <c r="P221" s="22"/>
      <c r="Q221" s="215"/>
      <c r="R221" s="18"/>
      <c r="S221" s="18"/>
      <c r="T221" s="18"/>
      <c r="U221" s="33"/>
      <c r="V221" s="18"/>
      <c r="W221" s="33"/>
    </row>
    <row r="222" spans="2:23" x14ac:dyDescent="0.25">
      <c r="B222" s="21"/>
      <c r="C222" s="21"/>
      <c r="D222" s="21"/>
      <c r="E222" s="22"/>
      <c r="F222" s="18"/>
      <c r="H222" s="210"/>
      <c r="J222" s="42"/>
      <c r="K222" s="210"/>
      <c r="L222" s="23"/>
      <c r="M222" s="31"/>
      <c r="N222" s="31"/>
      <c r="P222" s="22"/>
      <c r="Q222" s="215"/>
      <c r="R222" s="18"/>
      <c r="S222" s="18"/>
      <c r="T222" s="18"/>
      <c r="U222" s="32"/>
      <c r="V222" s="18"/>
      <c r="W222" s="32"/>
    </row>
    <row r="223" spans="2:23" x14ac:dyDescent="0.25">
      <c r="B223" s="9"/>
      <c r="C223" s="9"/>
      <c r="F223" s="18"/>
      <c r="H223" s="210"/>
      <c r="J223" s="42"/>
      <c r="K223" s="210"/>
      <c r="L223" s="23"/>
      <c r="M223" s="31"/>
      <c r="N223" s="31"/>
      <c r="R223" s="18"/>
      <c r="S223" s="18"/>
      <c r="T223" s="18"/>
      <c r="V223" s="18"/>
    </row>
    <row r="224" spans="2:23" x14ac:dyDescent="0.25">
      <c r="B224" s="21"/>
      <c r="C224" s="21"/>
      <c r="D224" s="21"/>
      <c r="E224" s="22"/>
      <c r="F224" s="18"/>
      <c r="H224" s="210"/>
      <c r="J224" s="42"/>
      <c r="K224" s="210"/>
      <c r="L224" s="23"/>
      <c r="P224" s="22"/>
      <c r="Q224" s="215"/>
      <c r="R224" s="18"/>
      <c r="S224" s="18"/>
      <c r="T224" s="18"/>
      <c r="U224" s="24"/>
      <c r="V224" s="18"/>
      <c r="W224" s="24"/>
    </row>
    <row r="225" spans="2:23" x14ac:dyDescent="0.25">
      <c r="B225" s="21"/>
      <c r="C225" s="21"/>
      <c r="D225" s="21"/>
      <c r="E225" s="22"/>
      <c r="F225" s="18"/>
      <c r="H225" s="210"/>
      <c r="J225" s="42"/>
      <c r="K225" s="210"/>
      <c r="L225" s="23"/>
      <c r="M225" s="31"/>
      <c r="N225" s="31"/>
      <c r="P225" s="22"/>
      <c r="Q225" s="215"/>
      <c r="R225" s="18"/>
      <c r="S225" s="18"/>
      <c r="T225" s="18"/>
      <c r="U225" s="33"/>
      <c r="V225" s="18"/>
      <c r="W225" s="33"/>
    </row>
    <row r="226" spans="2:23" x14ac:dyDescent="0.25">
      <c r="B226" s="21"/>
      <c r="C226" s="21"/>
      <c r="D226" s="21"/>
      <c r="E226" s="22"/>
      <c r="F226" s="18"/>
      <c r="H226" s="210"/>
      <c r="J226" s="42"/>
      <c r="K226" s="210"/>
      <c r="L226" s="23"/>
      <c r="M226" s="31"/>
      <c r="N226" s="31"/>
      <c r="P226" s="22"/>
      <c r="Q226" s="215"/>
      <c r="R226" s="18"/>
      <c r="S226" s="18"/>
      <c r="T226" s="18"/>
      <c r="U226" s="33"/>
      <c r="V226" s="18"/>
      <c r="W226" s="33"/>
    </row>
    <row r="227" spans="2:23" x14ac:dyDescent="0.25">
      <c r="B227" s="21"/>
      <c r="C227" s="21"/>
      <c r="D227" s="21"/>
      <c r="E227" s="22"/>
      <c r="F227" s="18"/>
      <c r="H227" s="210"/>
      <c r="J227" s="42"/>
      <c r="K227" s="210"/>
      <c r="L227" s="23"/>
      <c r="M227" s="31"/>
      <c r="N227" s="31"/>
      <c r="P227" s="22"/>
      <c r="Q227" s="215"/>
      <c r="R227" s="18"/>
      <c r="S227" s="18"/>
      <c r="T227" s="18"/>
      <c r="U227" s="32"/>
      <c r="V227" s="18"/>
      <c r="W227" s="32"/>
    </row>
    <row r="228" spans="2:23" x14ac:dyDescent="0.25">
      <c r="B228" s="21"/>
      <c r="C228" s="21"/>
      <c r="D228" s="21"/>
      <c r="E228" s="22"/>
      <c r="F228" s="18"/>
      <c r="H228" s="210"/>
      <c r="J228" s="42"/>
      <c r="K228" s="210"/>
      <c r="L228" s="23"/>
      <c r="M228" s="31"/>
      <c r="N228" s="31"/>
      <c r="P228" s="22"/>
      <c r="Q228" s="215"/>
      <c r="R228" s="18"/>
      <c r="S228" s="18"/>
      <c r="T228" s="18"/>
      <c r="U228" s="33"/>
      <c r="V228" s="18"/>
      <c r="W228" s="33"/>
    </row>
    <row r="229" spans="2:23" x14ac:dyDescent="0.25">
      <c r="B229" s="21"/>
      <c r="C229" s="21"/>
      <c r="D229" s="21"/>
      <c r="E229" s="22"/>
      <c r="F229" s="18"/>
      <c r="H229" s="210"/>
      <c r="J229" s="42"/>
      <c r="K229" s="210"/>
      <c r="L229" s="23"/>
      <c r="M229" s="31"/>
      <c r="N229" s="31"/>
      <c r="P229" s="22"/>
      <c r="Q229" s="215"/>
      <c r="R229" s="18"/>
      <c r="S229" s="18"/>
      <c r="T229" s="18"/>
      <c r="U229" s="33"/>
      <c r="V229" s="18"/>
      <c r="W229" s="33"/>
    </row>
    <row r="230" spans="2:23" x14ac:dyDescent="0.25">
      <c r="B230" s="21"/>
      <c r="C230" s="21"/>
      <c r="D230" s="21"/>
      <c r="E230" s="22"/>
      <c r="F230" s="18"/>
      <c r="H230" s="210"/>
      <c r="J230" s="42"/>
      <c r="K230" s="210"/>
      <c r="L230" s="23"/>
      <c r="M230" s="31"/>
      <c r="N230" s="31"/>
      <c r="P230" s="22"/>
      <c r="Q230" s="215"/>
      <c r="R230" s="18"/>
      <c r="S230" s="18"/>
      <c r="T230" s="18"/>
      <c r="U230" s="24"/>
      <c r="V230" s="18"/>
      <c r="W230" s="24"/>
    </row>
    <row r="231" spans="2:23" x14ac:dyDescent="0.25">
      <c r="B231" s="23"/>
      <c r="C231" s="210"/>
      <c r="F231" s="18"/>
      <c r="H231" s="210"/>
      <c r="J231" s="42"/>
      <c r="K231" s="210"/>
      <c r="L231" s="23"/>
      <c r="M231" s="31"/>
      <c r="N231" s="31"/>
      <c r="R231" s="18"/>
      <c r="S231" s="18"/>
      <c r="T231" s="18"/>
      <c r="V231" s="18"/>
    </row>
    <row r="232" spans="2:23" x14ac:dyDescent="0.25">
      <c r="B232" s="21"/>
      <c r="C232" s="21"/>
      <c r="D232" s="21"/>
      <c r="E232" s="22"/>
      <c r="F232" s="18"/>
      <c r="H232" s="210"/>
      <c r="J232" s="42"/>
      <c r="K232" s="210"/>
      <c r="L232" s="23"/>
      <c r="P232" s="22"/>
      <c r="Q232" s="215"/>
      <c r="R232" s="18"/>
      <c r="S232" s="18"/>
      <c r="T232" s="18"/>
      <c r="U232" s="32"/>
      <c r="V232" s="18"/>
      <c r="W232" s="32"/>
    </row>
    <row r="233" spans="2:23" x14ac:dyDescent="0.25">
      <c r="B233" s="23"/>
      <c r="C233" s="210"/>
      <c r="F233" s="18"/>
      <c r="H233" s="210"/>
      <c r="J233" s="42"/>
      <c r="K233" s="210"/>
      <c r="L233" s="23"/>
      <c r="M233" s="31"/>
      <c r="N233" s="31"/>
      <c r="R233" s="18"/>
      <c r="S233" s="18"/>
      <c r="T233" s="18"/>
      <c r="V233" s="18"/>
    </row>
    <row r="234" spans="2:23" x14ac:dyDescent="0.25">
      <c r="B234" s="21"/>
      <c r="C234" s="21"/>
      <c r="D234" s="21"/>
      <c r="E234" s="22"/>
      <c r="F234" s="18"/>
      <c r="H234" s="210"/>
      <c r="J234" s="42"/>
      <c r="K234" s="210"/>
      <c r="L234" s="23"/>
      <c r="P234" s="22"/>
      <c r="Q234" s="215"/>
      <c r="R234" s="18"/>
      <c r="S234" s="18"/>
      <c r="T234" s="18"/>
      <c r="U234" s="24"/>
      <c r="V234" s="18"/>
      <c r="W234" s="24"/>
    </row>
    <row r="235" spans="2:23" x14ac:dyDescent="0.25">
      <c r="B235" s="23"/>
      <c r="C235" s="210"/>
      <c r="F235" s="18"/>
      <c r="H235" s="210"/>
      <c r="J235" s="42"/>
      <c r="K235" s="210"/>
      <c r="L235" s="23"/>
      <c r="M235" s="31"/>
      <c r="N235" s="31"/>
      <c r="R235" s="18"/>
      <c r="S235" s="18"/>
      <c r="T235" s="18"/>
      <c r="V235" s="18"/>
    </row>
    <row r="236" spans="2:23" x14ac:dyDescent="0.25">
      <c r="B236" s="21"/>
      <c r="C236" s="21"/>
      <c r="D236" s="21"/>
      <c r="E236" s="22"/>
      <c r="F236" s="18"/>
      <c r="H236" s="210"/>
      <c r="J236" s="42"/>
      <c r="K236" s="210"/>
      <c r="L236" s="23"/>
      <c r="P236" s="22"/>
      <c r="Q236" s="215"/>
      <c r="R236" s="18"/>
      <c r="S236" s="18"/>
      <c r="T236" s="18"/>
      <c r="U236" s="32"/>
      <c r="V236" s="18"/>
      <c r="W236" s="32"/>
    </row>
    <row r="237" spans="2:23" x14ac:dyDescent="0.25">
      <c r="B237" s="21"/>
      <c r="C237" s="21"/>
      <c r="D237" s="21"/>
      <c r="E237" s="22"/>
      <c r="F237" s="18"/>
      <c r="H237" s="210"/>
      <c r="J237" s="42"/>
      <c r="K237" s="210"/>
      <c r="L237" s="23"/>
      <c r="M237" s="31"/>
      <c r="N237" s="31"/>
      <c r="P237" s="22"/>
      <c r="Q237" s="215"/>
      <c r="R237" s="18"/>
      <c r="S237" s="18"/>
      <c r="T237" s="18"/>
      <c r="U237" s="24"/>
      <c r="V237" s="18"/>
      <c r="W237" s="24"/>
    </row>
    <row r="238" spans="2:23" x14ac:dyDescent="0.25">
      <c r="B238" s="21"/>
      <c r="C238" s="21"/>
      <c r="D238" s="21"/>
      <c r="E238" s="22"/>
      <c r="F238" s="18"/>
      <c r="H238" s="210"/>
      <c r="J238" s="42"/>
      <c r="K238" s="210"/>
      <c r="L238" s="23"/>
      <c r="M238" s="31"/>
      <c r="N238" s="31"/>
      <c r="P238" s="22"/>
      <c r="Q238" s="215"/>
      <c r="R238" s="18"/>
      <c r="S238" s="18"/>
      <c r="T238" s="18"/>
      <c r="U238" s="32"/>
      <c r="V238" s="18"/>
      <c r="W238" s="32"/>
    </row>
    <row r="239" spans="2:23" x14ac:dyDescent="0.25">
      <c r="B239" s="21"/>
      <c r="C239" s="21"/>
      <c r="D239" s="21"/>
      <c r="E239" s="22"/>
      <c r="F239" s="18"/>
      <c r="H239" s="210"/>
      <c r="J239" s="42"/>
      <c r="K239" s="210"/>
      <c r="L239" s="23"/>
      <c r="M239" s="31"/>
      <c r="N239" s="31"/>
      <c r="P239" s="22"/>
      <c r="Q239" s="215"/>
      <c r="R239" s="18"/>
      <c r="S239" s="18"/>
      <c r="T239" s="18"/>
      <c r="U239" s="33"/>
      <c r="V239" s="18"/>
      <c r="W239" s="33"/>
    </row>
    <row r="240" spans="2:23" x14ac:dyDescent="0.25">
      <c r="B240" s="21"/>
      <c r="C240" s="21"/>
      <c r="D240" s="21"/>
      <c r="E240" s="22"/>
      <c r="F240" s="18"/>
      <c r="H240" s="210"/>
      <c r="J240" s="42"/>
      <c r="K240" s="210"/>
      <c r="L240" s="23"/>
      <c r="M240" s="31"/>
      <c r="N240" s="31"/>
      <c r="P240" s="22"/>
      <c r="Q240" s="215"/>
      <c r="R240" s="18"/>
      <c r="S240" s="18"/>
      <c r="T240" s="18"/>
      <c r="U240" s="33"/>
      <c r="V240" s="18"/>
      <c r="W240" s="33"/>
    </row>
    <row r="241" spans="2:26" x14ac:dyDescent="0.25">
      <c r="B241" s="21"/>
      <c r="C241" s="21"/>
      <c r="D241" s="21"/>
      <c r="E241" s="22"/>
      <c r="F241" s="18"/>
      <c r="H241" s="210"/>
      <c r="J241" s="42"/>
      <c r="K241" s="210"/>
      <c r="L241" s="23"/>
      <c r="M241" s="31"/>
      <c r="N241" s="31"/>
      <c r="P241" s="22"/>
      <c r="Q241" s="215"/>
      <c r="R241" s="18"/>
      <c r="S241" s="18"/>
      <c r="T241" s="18"/>
      <c r="U241" s="33"/>
      <c r="V241" s="18"/>
      <c r="W241" s="33"/>
    </row>
    <row r="242" spans="2:26" x14ac:dyDescent="0.25">
      <c r="B242" s="21"/>
      <c r="C242" s="21"/>
      <c r="D242" s="21"/>
      <c r="E242" s="22"/>
      <c r="F242" s="18"/>
      <c r="H242" s="210"/>
      <c r="J242" s="42"/>
      <c r="K242" s="210"/>
      <c r="L242" s="23"/>
      <c r="M242" s="31"/>
      <c r="N242" s="31"/>
      <c r="P242" s="22"/>
      <c r="Q242" s="215"/>
      <c r="R242" s="18"/>
      <c r="S242" s="18"/>
      <c r="T242" s="18"/>
      <c r="U242" s="33"/>
      <c r="V242" s="18"/>
      <c r="W242" s="33"/>
    </row>
    <row r="243" spans="2:26" x14ac:dyDescent="0.25">
      <c r="B243" s="21"/>
      <c r="C243" s="21"/>
      <c r="D243" s="21"/>
      <c r="E243" s="22"/>
      <c r="F243" s="18"/>
      <c r="H243" s="210"/>
      <c r="J243" s="42"/>
      <c r="K243" s="210"/>
      <c r="L243" s="23"/>
      <c r="M243" s="31"/>
      <c r="N243" s="31"/>
      <c r="P243" s="22"/>
      <c r="Q243" s="215"/>
      <c r="R243" s="18"/>
      <c r="S243" s="18"/>
      <c r="T243" s="18"/>
      <c r="U243" s="24"/>
      <c r="V243" s="18"/>
      <c r="W243" s="24"/>
    </row>
    <row r="244" spans="2:26" x14ac:dyDescent="0.25">
      <c r="B244" s="21"/>
      <c r="C244" s="21"/>
      <c r="D244" s="21"/>
      <c r="E244" s="22"/>
      <c r="F244" s="18"/>
      <c r="H244" s="210"/>
      <c r="J244" s="42"/>
      <c r="K244" s="210"/>
      <c r="L244" s="23"/>
      <c r="M244" s="31"/>
      <c r="N244" s="31"/>
      <c r="P244" s="22"/>
      <c r="Q244" s="215"/>
      <c r="R244" s="18"/>
      <c r="S244" s="18"/>
      <c r="T244" s="18"/>
      <c r="U244" s="32"/>
      <c r="V244" s="18"/>
      <c r="W244" s="32"/>
    </row>
    <row r="245" spans="2:26" x14ac:dyDescent="0.25">
      <c r="B245" s="21"/>
      <c r="C245" s="21"/>
      <c r="D245" s="21"/>
      <c r="E245" s="22"/>
      <c r="F245" s="18"/>
      <c r="H245" s="210"/>
      <c r="J245" s="42"/>
      <c r="K245" s="210"/>
      <c r="L245" s="23"/>
      <c r="M245" s="31"/>
      <c r="N245" s="31"/>
      <c r="P245" s="22"/>
      <c r="Q245" s="215"/>
      <c r="R245" s="18"/>
      <c r="S245" s="18"/>
      <c r="T245" s="18"/>
      <c r="U245" s="24"/>
      <c r="V245" s="18"/>
      <c r="W245" s="24"/>
    </row>
    <row r="246" spans="2:26" x14ac:dyDescent="0.25">
      <c r="B246" s="21"/>
      <c r="C246" s="21"/>
      <c r="D246" s="21"/>
      <c r="E246" s="22"/>
      <c r="F246" s="18"/>
      <c r="H246" s="210"/>
      <c r="J246" s="42"/>
      <c r="K246" s="210"/>
      <c r="L246" s="23"/>
      <c r="M246" s="31"/>
      <c r="N246" s="31"/>
      <c r="P246" s="22"/>
      <c r="Q246" s="215"/>
      <c r="R246" s="18"/>
      <c r="S246" s="18"/>
      <c r="T246" s="18"/>
      <c r="U246" s="24"/>
      <c r="V246" s="18"/>
      <c r="W246" s="24"/>
    </row>
    <row r="247" spans="2:26" x14ac:dyDescent="0.25">
      <c r="B247" s="21"/>
      <c r="C247" s="21"/>
      <c r="D247" s="21"/>
      <c r="E247" s="22"/>
      <c r="F247" s="18"/>
      <c r="H247" s="210"/>
      <c r="J247" s="42"/>
      <c r="K247" s="210"/>
      <c r="L247" s="23"/>
      <c r="M247" s="31"/>
      <c r="N247" s="31"/>
      <c r="P247" s="22"/>
      <c r="Q247" s="215"/>
      <c r="R247" s="18"/>
      <c r="S247" s="18"/>
      <c r="T247" s="18"/>
      <c r="U247" s="24"/>
      <c r="V247" s="18"/>
      <c r="W247" s="24"/>
    </row>
    <row r="248" spans="2:26" x14ac:dyDescent="0.25">
      <c r="B248" s="21"/>
      <c r="C248" s="21"/>
      <c r="D248" s="21"/>
      <c r="E248" s="22"/>
      <c r="F248" s="18"/>
      <c r="H248" s="210"/>
      <c r="J248" s="42"/>
      <c r="K248" s="210"/>
      <c r="L248" s="23"/>
      <c r="M248" s="31"/>
      <c r="N248" s="31"/>
      <c r="P248" s="22"/>
      <c r="Q248" s="215"/>
      <c r="R248" s="18"/>
      <c r="S248" s="18"/>
      <c r="T248" s="18"/>
      <c r="U248" s="24"/>
      <c r="V248" s="18"/>
      <c r="W248" s="24"/>
      <c r="Y248" s="9"/>
      <c r="Z248" s="9"/>
    </row>
    <row r="249" spans="2:26" x14ac:dyDescent="0.25">
      <c r="B249" s="21"/>
      <c r="C249" s="21"/>
      <c r="D249" s="21"/>
      <c r="E249" s="22"/>
      <c r="F249" s="18"/>
      <c r="H249" s="210"/>
      <c r="J249" s="42"/>
      <c r="K249" s="210"/>
      <c r="L249" s="23"/>
      <c r="M249" s="31"/>
      <c r="N249" s="31"/>
      <c r="P249" s="22"/>
      <c r="Q249" s="215"/>
      <c r="R249" s="18"/>
      <c r="S249" s="18"/>
      <c r="T249" s="18"/>
      <c r="U249" s="24"/>
      <c r="V249" s="18"/>
      <c r="W249" s="24"/>
    </row>
    <row r="250" spans="2:26" x14ac:dyDescent="0.25">
      <c r="B250" s="21"/>
      <c r="C250" s="21"/>
      <c r="D250" s="21"/>
      <c r="E250" s="22"/>
      <c r="F250" s="18"/>
      <c r="H250" s="210"/>
      <c r="J250" s="42"/>
      <c r="K250" s="210"/>
      <c r="L250" s="23"/>
      <c r="M250" s="31"/>
      <c r="N250" s="31"/>
      <c r="P250" s="22"/>
      <c r="Q250" s="215"/>
      <c r="R250" s="18"/>
      <c r="S250" s="18"/>
      <c r="T250" s="18"/>
      <c r="U250" s="32"/>
      <c r="V250" s="18"/>
      <c r="W250" s="32"/>
    </row>
    <row r="251" spans="2:26" x14ac:dyDescent="0.25">
      <c r="B251" s="21"/>
      <c r="C251" s="21"/>
      <c r="D251" s="21"/>
      <c r="E251" s="22"/>
      <c r="F251" s="18"/>
      <c r="H251" s="210"/>
      <c r="J251" s="42"/>
      <c r="K251" s="210"/>
      <c r="L251" s="23"/>
      <c r="M251" s="31"/>
      <c r="N251" s="31"/>
      <c r="P251" s="22"/>
      <c r="Q251" s="215"/>
      <c r="R251" s="18"/>
      <c r="S251" s="18"/>
      <c r="T251" s="18"/>
      <c r="U251" s="32"/>
      <c r="V251" s="18"/>
      <c r="W251" s="32"/>
    </row>
    <row r="252" spans="2:26" x14ac:dyDescent="0.25">
      <c r="B252" s="23"/>
      <c r="C252" s="210"/>
      <c r="F252" s="18"/>
      <c r="H252" s="210"/>
      <c r="J252" s="42"/>
      <c r="K252" s="210"/>
      <c r="L252" s="23"/>
      <c r="M252" s="31"/>
      <c r="N252" s="31"/>
      <c r="R252" s="18"/>
      <c r="S252" s="18"/>
      <c r="T252" s="18"/>
      <c r="V252" s="18"/>
    </row>
    <row r="253" spans="2:26" x14ac:dyDescent="0.25">
      <c r="B253" s="23"/>
      <c r="C253" s="210"/>
      <c r="F253" s="18"/>
      <c r="H253" s="210"/>
      <c r="J253" s="42"/>
      <c r="K253" s="210"/>
      <c r="L253" s="23"/>
      <c r="R253" s="18"/>
      <c r="S253" s="18"/>
      <c r="T253" s="18"/>
      <c r="V253" s="18"/>
    </row>
    <row r="254" spans="2:26" x14ac:dyDescent="0.25">
      <c r="B254" s="21"/>
      <c r="C254" s="21"/>
      <c r="D254" s="21"/>
      <c r="E254" s="22"/>
      <c r="F254" s="18"/>
      <c r="H254" s="210"/>
      <c r="J254" s="42"/>
      <c r="K254" s="210"/>
      <c r="L254" s="23"/>
      <c r="P254" s="22"/>
      <c r="Q254" s="215"/>
      <c r="R254" s="18"/>
      <c r="S254" s="18"/>
      <c r="T254" s="18"/>
      <c r="U254" s="24"/>
      <c r="V254" s="18"/>
      <c r="W254" s="24"/>
    </row>
    <row r="255" spans="2:26" x14ac:dyDescent="0.25">
      <c r="B255" s="23"/>
      <c r="C255" s="210"/>
      <c r="F255" s="18"/>
      <c r="H255" s="210"/>
      <c r="J255" s="42"/>
      <c r="K255" s="210"/>
      <c r="L255" s="23"/>
      <c r="M255" s="31"/>
      <c r="N255" s="31"/>
      <c r="R255" s="18"/>
      <c r="S255" s="18"/>
      <c r="T255" s="18"/>
      <c r="V255" s="18"/>
    </row>
    <row r="256" spans="2:26" x14ac:dyDescent="0.25">
      <c r="B256" s="21"/>
      <c r="C256" s="21"/>
      <c r="D256" s="21"/>
      <c r="E256" s="22"/>
      <c r="F256" s="18"/>
      <c r="H256" s="210"/>
      <c r="J256" s="42"/>
      <c r="K256" s="210"/>
      <c r="L256" s="23"/>
      <c r="P256" s="22"/>
      <c r="Q256" s="215"/>
      <c r="R256" s="18"/>
      <c r="S256" s="18"/>
      <c r="T256" s="18"/>
      <c r="U256" s="32"/>
      <c r="V256" s="18"/>
      <c r="W256" s="32"/>
    </row>
    <row r="257" spans="1:25" x14ac:dyDescent="0.25">
      <c r="B257" s="23"/>
      <c r="C257" s="210"/>
      <c r="F257" s="18"/>
      <c r="H257" s="210"/>
      <c r="J257" s="42"/>
      <c r="K257" s="210"/>
      <c r="L257" s="23"/>
      <c r="M257" s="31"/>
      <c r="N257" s="31"/>
      <c r="R257" s="18"/>
      <c r="S257" s="18"/>
      <c r="T257" s="18"/>
      <c r="V257" s="18"/>
    </row>
    <row r="258" spans="1:25" x14ac:dyDescent="0.25">
      <c r="B258" s="21"/>
      <c r="C258" s="21"/>
      <c r="D258" s="21"/>
      <c r="E258" s="22"/>
      <c r="F258" s="18"/>
      <c r="H258" s="210"/>
      <c r="J258" s="42"/>
      <c r="K258" s="210"/>
      <c r="L258" s="23"/>
      <c r="P258" s="22"/>
      <c r="Q258" s="215"/>
      <c r="R258" s="18"/>
      <c r="S258" s="18"/>
      <c r="T258" s="18"/>
      <c r="U258" s="32"/>
      <c r="V258" s="18"/>
      <c r="W258" s="32"/>
    </row>
    <row r="259" spans="1:25" x14ac:dyDescent="0.25">
      <c r="B259" s="21"/>
      <c r="C259" s="21"/>
      <c r="D259" s="21"/>
      <c r="E259" s="22"/>
      <c r="F259" s="18"/>
      <c r="M259" s="31"/>
      <c r="N259" s="31"/>
      <c r="P259" s="22"/>
      <c r="Q259" s="215"/>
      <c r="R259" s="32"/>
      <c r="S259" s="32"/>
      <c r="T259" s="32"/>
      <c r="U259" s="32"/>
      <c r="V259" s="32"/>
      <c r="W259" s="32"/>
    </row>
    <row r="260" spans="1:25" s="37" customFormat="1" x14ac:dyDescent="0.25">
      <c r="A260" s="36" t="s">
        <v>102</v>
      </c>
      <c r="C260" s="210"/>
      <c r="E260" s="38"/>
      <c r="F260" s="34"/>
      <c r="G260" s="3"/>
      <c r="H260" s="210"/>
      <c r="I260" s="83"/>
      <c r="J260" s="42"/>
      <c r="K260" s="210"/>
      <c r="M260" s="31"/>
      <c r="N260" s="31"/>
      <c r="O260" s="42"/>
      <c r="Q260" s="82"/>
      <c r="S260" s="42"/>
      <c r="V260" s="42"/>
      <c r="W260" s="42"/>
      <c r="X260" s="42"/>
      <c r="Y260" s="42"/>
    </row>
    <row r="261" spans="1:25" s="37" customFormat="1" x14ac:dyDescent="0.2">
      <c r="A261" s="40" t="s">
        <v>103</v>
      </c>
      <c r="C261" s="210"/>
      <c r="E261" s="38"/>
      <c r="F261" s="39"/>
      <c r="H261" s="210"/>
      <c r="I261" s="82"/>
      <c r="J261" s="42"/>
      <c r="K261" s="210"/>
      <c r="N261" s="23"/>
      <c r="O261" s="42"/>
      <c r="Q261" s="82"/>
      <c r="S261" s="42"/>
      <c r="V261" s="42"/>
      <c r="W261" s="42"/>
      <c r="X261" s="42"/>
      <c r="Y261" s="42"/>
    </row>
    <row r="262" spans="1:25" s="37" customFormat="1" x14ac:dyDescent="0.2">
      <c r="A262" s="40" t="s">
        <v>104</v>
      </c>
      <c r="C262" s="210"/>
      <c r="E262" s="38"/>
      <c r="F262" s="39"/>
      <c r="H262" s="210"/>
      <c r="I262" s="82"/>
      <c r="J262" s="42"/>
      <c r="K262" s="210"/>
      <c r="N262" s="23"/>
      <c r="O262" s="42"/>
      <c r="Q262" s="82"/>
      <c r="S262" s="42"/>
      <c r="V262" s="42"/>
      <c r="W262" s="42"/>
      <c r="X262" s="42"/>
      <c r="Y262" s="42"/>
    </row>
    <row r="263" spans="1:25" s="37" customFormat="1" x14ac:dyDescent="0.2">
      <c r="A263" s="40"/>
      <c r="C263" s="210"/>
      <c r="E263" s="38"/>
      <c r="F263" s="39"/>
      <c r="H263" s="210"/>
      <c r="I263" s="82"/>
      <c r="J263" s="42"/>
      <c r="K263" s="210"/>
      <c r="N263" s="23"/>
      <c r="O263" s="42"/>
      <c r="Q263" s="82"/>
      <c r="S263" s="42"/>
      <c r="V263" s="42"/>
      <c r="W263" s="42"/>
      <c r="X263" s="42"/>
      <c r="Y263" s="42"/>
    </row>
    <row r="264" spans="1:25" s="37" customFormat="1" x14ac:dyDescent="0.2">
      <c r="A264" s="41"/>
      <c r="C264" s="210"/>
      <c r="E264" s="38"/>
      <c r="F264" s="39"/>
      <c r="H264" s="210"/>
      <c r="I264" s="82"/>
      <c r="J264" s="42"/>
      <c r="K264" s="210"/>
      <c r="N264" s="23"/>
      <c r="O264" s="42"/>
      <c r="Q264" s="82"/>
      <c r="S264" s="42"/>
      <c r="V264" s="42"/>
      <c r="W264" s="42"/>
      <c r="X264" s="42"/>
      <c r="Y264" s="42"/>
    </row>
    <row r="265" spans="1:25" x14ac:dyDescent="0.25">
      <c r="F265" s="39"/>
      <c r="G265" s="37"/>
      <c r="I265" s="82"/>
      <c r="M265" s="37"/>
      <c r="N265" s="23"/>
    </row>
    <row r="266" spans="1:25" x14ac:dyDescent="0.25">
      <c r="A266" s="16" t="s">
        <v>105</v>
      </c>
    </row>
    <row r="267" spans="1:25" x14ac:dyDescent="0.25">
      <c r="A267" s="42"/>
    </row>
    <row r="268" spans="1:25" x14ac:dyDescent="0.25">
      <c r="A268" s="42"/>
    </row>
    <row r="269" spans="1:25" x14ac:dyDescent="0.25">
      <c r="A269" s="42"/>
    </row>
    <row r="270" spans="1:25" x14ac:dyDescent="0.25">
      <c r="A270" s="42"/>
    </row>
    <row r="271" spans="1:25" x14ac:dyDescent="0.25">
      <c r="A271" s="42"/>
    </row>
    <row r="272" spans="1:25" x14ac:dyDescent="0.25">
      <c r="A272" s="9"/>
    </row>
    <row r="273" spans="1:1" x14ac:dyDescent="0.25">
      <c r="A273" s="9"/>
    </row>
    <row r="274" spans="1:1" x14ac:dyDescent="0.25">
      <c r="A274" s="9"/>
    </row>
  </sheetData>
  <autoFilter ref="B3:Z3" xr:uid="{4AF0F036-FDA2-5546-9647-F83C75819BFB}">
    <sortState xmlns:xlrd2="http://schemas.microsoft.com/office/spreadsheetml/2017/richdata2" ref="B4:Z113">
      <sortCondition ref="N3:N113"/>
    </sortState>
  </autoFilter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8F50-4832-4543-A08A-E1D53BB6B93B}">
  <dimension ref="A1:Z1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D1" sqref="Y1:AD1048576"/>
    </sheetView>
  </sheetViews>
  <sheetFormatPr baseColWidth="10" defaultRowHeight="19" x14ac:dyDescent="0.25"/>
  <cols>
    <col min="1" max="1" width="4.83203125" style="3" customWidth="1"/>
    <col min="2" max="3" width="43.83203125" style="3" customWidth="1"/>
    <col min="4" max="4" width="44.6640625" style="3" customWidth="1"/>
    <col min="5" max="5" width="24.83203125" style="5" customWidth="1"/>
    <col min="6" max="7" width="15.83203125" style="210" customWidth="1"/>
    <col min="8" max="9" width="15.83203125" style="5" customWidth="1"/>
    <col min="10" max="11" width="37.83203125" style="210" customWidth="1"/>
    <col min="12" max="12" width="12.83203125" style="3" customWidth="1"/>
    <col min="13" max="14" width="12.83203125" style="5" customWidth="1"/>
    <col min="15" max="15" width="5" style="210" customWidth="1"/>
    <col min="16" max="18" width="24.83203125" style="5" customWidth="1"/>
    <col min="19" max="21" width="12.83203125" style="3" customWidth="1"/>
    <col min="22" max="22" width="20.83203125" style="210" customWidth="1"/>
    <col min="23" max="23" width="16.83203125" style="3" customWidth="1"/>
    <col min="24" max="24" width="4.83203125" style="3" customWidth="1"/>
    <col min="25" max="25" width="80" style="3" customWidth="1"/>
    <col min="26" max="26" width="43.33203125" style="3" customWidth="1"/>
    <col min="27" max="16384" width="10.83203125" style="3"/>
  </cols>
  <sheetData>
    <row r="1" spans="1:26" ht="21" x14ac:dyDescent="0.25">
      <c r="A1" s="55" t="s">
        <v>74</v>
      </c>
      <c r="B1" s="12" t="s">
        <v>993</v>
      </c>
      <c r="C1" s="12"/>
      <c r="D1" s="235"/>
      <c r="J1" s="12"/>
      <c r="K1" s="12"/>
      <c r="P1" s="187" t="s">
        <v>28</v>
      </c>
      <c r="Q1" s="187"/>
      <c r="R1" s="187"/>
      <c r="S1" s="16"/>
      <c r="T1" s="16"/>
      <c r="U1" s="16"/>
      <c r="Y1" s="15"/>
    </row>
    <row r="2" spans="1:26" s="6" customFormat="1" ht="40" x14ac:dyDescent="0.2">
      <c r="A2" s="4"/>
      <c r="B2" s="13" t="s">
        <v>18</v>
      </c>
      <c r="C2" s="13" t="s">
        <v>1019</v>
      </c>
      <c r="D2" s="13" t="s">
        <v>13</v>
      </c>
      <c r="E2" s="13" t="s">
        <v>21</v>
      </c>
      <c r="F2" s="13" t="s">
        <v>14</v>
      </c>
      <c r="G2" s="13" t="s">
        <v>15</v>
      </c>
      <c r="H2" s="13" t="s">
        <v>928</v>
      </c>
      <c r="I2" s="13" t="s">
        <v>929</v>
      </c>
      <c r="J2" s="13" t="s">
        <v>892</v>
      </c>
      <c r="K2" s="13" t="s">
        <v>893</v>
      </c>
      <c r="L2" s="13" t="s">
        <v>891</v>
      </c>
      <c r="M2" s="13" t="s">
        <v>17</v>
      </c>
      <c r="N2" s="13" t="s">
        <v>69</v>
      </c>
      <c r="O2" s="210"/>
      <c r="P2" s="13" t="s">
        <v>608</v>
      </c>
      <c r="Q2" s="13" t="s">
        <v>924</v>
      </c>
      <c r="R2" s="13" t="s">
        <v>994</v>
      </c>
      <c r="S2" s="13" t="s">
        <v>995</v>
      </c>
      <c r="T2" s="13" t="s">
        <v>996</v>
      </c>
      <c r="U2" s="13" t="s">
        <v>997</v>
      </c>
      <c r="V2" s="13" t="s">
        <v>998</v>
      </c>
      <c r="W2" s="13" t="s">
        <v>999</v>
      </c>
      <c r="X2" s="210"/>
      <c r="Y2" s="13" t="s">
        <v>611</v>
      </c>
      <c r="Z2" s="13" t="s">
        <v>30</v>
      </c>
    </row>
    <row r="3" spans="1:26" s="4" customFormat="1" ht="20" x14ac:dyDescent="0.2">
      <c r="B3" s="10"/>
      <c r="C3" s="10"/>
      <c r="D3" s="10"/>
      <c r="E3" s="10"/>
      <c r="F3" s="210"/>
      <c r="G3" s="210"/>
      <c r="H3" s="10"/>
      <c r="I3" s="10"/>
      <c r="J3" s="210"/>
      <c r="K3" s="210"/>
      <c r="L3" s="10" t="s">
        <v>1000</v>
      </c>
      <c r="M3" s="10"/>
      <c r="N3" s="10"/>
      <c r="O3" s="210"/>
      <c r="P3" s="10"/>
      <c r="Q3" s="10"/>
      <c r="R3" s="10"/>
      <c r="S3" s="10" t="s">
        <v>19</v>
      </c>
      <c r="T3" s="10" t="s">
        <v>206</v>
      </c>
      <c r="U3" s="10" t="s">
        <v>1001</v>
      </c>
      <c r="V3" s="10"/>
      <c r="W3" s="10" t="s">
        <v>187</v>
      </c>
      <c r="X3" s="210"/>
      <c r="Y3" s="10"/>
      <c r="Z3" s="10"/>
    </row>
    <row r="4" spans="1:26" x14ac:dyDescent="0.25">
      <c r="B4" s="11"/>
      <c r="C4" s="11"/>
      <c r="D4" s="11"/>
      <c r="E4" s="35"/>
      <c r="F4" s="103"/>
      <c r="G4" s="103"/>
      <c r="H4" s="35"/>
      <c r="I4" s="35"/>
      <c r="J4" s="35"/>
      <c r="K4" s="35"/>
      <c r="L4" s="59"/>
      <c r="M4" s="35"/>
      <c r="N4" s="35"/>
      <c r="O4" s="236"/>
      <c r="P4" s="35"/>
      <c r="Q4" s="35"/>
      <c r="R4" s="35"/>
      <c r="S4" s="59"/>
      <c r="T4" s="59"/>
      <c r="U4" s="59"/>
      <c r="V4" s="237"/>
      <c r="W4" s="94"/>
      <c r="X4" s="238"/>
      <c r="Y4" s="11"/>
      <c r="Z4" s="11"/>
    </row>
    <row r="5" spans="1:26" x14ac:dyDescent="0.25">
      <c r="B5" s="11"/>
      <c r="C5" s="11"/>
      <c r="D5" s="11"/>
      <c r="E5" s="35"/>
      <c r="F5" s="103"/>
      <c r="G5" s="103"/>
      <c r="H5" s="35"/>
      <c r="I5" s="35"/>
      <c r="J5" s="35"/>
      <c r="K5" s="35"/>
      <c r="L5" s="59"/>
      <c r="M5" s="35"/>
      <c r="N5" s="35"/>
      <c r="O5" s="236"/>
      <c r="P5" s="35"/>
      <c r="Q5" s="35"/>
      <c r="R5" s="35"/>
      <c r="S5" s="59"/>
      <c r="T5" s="59"/>
      <c r="U5" s="59"/>
      <c r="V5" s="237"/>
      <c r="W5" s="94"/>
      <c r="X5" s="238"/>
      <c r="Y5" s="11"/>
      <c r="Z5" s="11"/>
    </row>
    <row r="6" spans="1:26" x14ac:dyDescent="0.25">
      <c r="B6" s="11"/>
      <c r="C6" s="11"/>
      <c r="D6" s="11"/>
      <c r="E6" s="35"/>
      <c r="F6" s="103"/>
      <c r="G6" s="103"/>
      <c r="H6" s="35"/>
      <c r="I6" s="35"/>
      <c r="J6" s="35"/>
      <c r="K6" s="35"/>
      <c r="L6" s="59"/>
      <c r="M6" s="35"/>
      <c r="N6" s="35"/>
      <c r="O6" s="236"/>
      <c r="P6" s="35"/>
      <c r="Q6" s="35"/>
      <c r="R6" s="35"/>
      <c r="S6" s="59"/>
      <c r="T6" s="59"/>
      <c r="U6" s="59"/>
      <c r="V6" s="237"/>
      <c r="W6" s="94"/>
      <c r="X6" s="238"/>
      <c r="Y6" s="11"/>
      <c r="Z6" s="11"/>
    </row>
    <row r="7" spans="1:26" x14ac:dyDescent="0.25">
      <c r="B7" s="11"/>
      <c r="C7" s="11"/>
      <c r="D7" s="11"/>
      <c r="E7" s="35"/>
      <c r="F7" s="103"/>
      <c r="G7" s="103"/>
      <c r="H7" s="35"/>
      <c r="I7" s="35"/>
      <c r="J7" s="35"/>
      <c r="K7" s="35"/>
      <c r="L7" s="59"/>
      <c r="M7" s="35"/>
      <c r="N7" s="35"/>
      <c r="O7" s="236"/>
      <c r="P7" s="35"/>
      <c r="Q7" s="35"/>
      <c r="R7" s="35"/>
      <c r="S7" s="59"/>
      <c r="T7" s="59"/>
      <c r="U7" s="94"/>
      <c r="V7" s="237"/>
      <c r="W7" s="94"/>
      <c r="X7" s="238"/>
      <c r="Y7" s="11"/>
      <c r="Z7" s="11"/>
    </row>
    <row r="8" spans="1:26" x14ac:dyDescent="0.25">
      <c r="B8" s="11"/>
      <c r="C8" s="11"/>
      <c r="D8" s="11"/>
      <c r="E8" s="35"/>
      <c r="F8" s="103"/>
      <c r="G8" s="103"/>
      <c r="H8" s="35"/>
      <c r="I8" s="35"/>
      <c r="J8" s="35"/>
      <c r="K8" s="35"/>
      <c r="L8" s="59"/>
      <c r="M8" s="35"/>
      <c r="N8" s="35"/>
      <c r="O8" s="236"/>
      <c r="P8" s="35"/>
      <c r="Q8" s="35"/>
      <c r="R8" s="35"/>
      <c r="S8" s="59"/>
      <c r="T8" s="59"/>
      <c r="U8" s="239"/>
      <c r="V8" s="115"/>
      <c r="W8" s="59"/>
      <c r="X8" s="238"/>
      <c r="Y8" s="11"/>
      <c r="Z8" s="11"/>
    </row>
    <row r="9" spans="1:26" x14ac:dyDescent="0.25">
      <c r="E9" s="3"/>
      <c r="H9" s="3"/>
      <c r="I9" s="3"/>
      <c r="M9" s="3"/>
      <c r="N9" s="3"/>
      <c r="O9" s="3"/>
      <c r="P9" s="3"/>
      <c r="Q9" s="3"/>
      <c r="R9" s="3"/>
      <c r="S9" s="240"/>
      <c r="T9" s="240"/>
      <c r="V9" s="3"/>
    </row>
    <row r="10" spans="1:26" x14ac:dyDescent="0.25">
      <c r="D10" s="21"/>
      <c r="E10" s="31"/>
      <c r="F10" s="5"/>
      <c r="G10" s="5"/>
      <c r="L10" s="210"/>
      <c r="M10" s="31"/>
      <c r="N10" s="31"/>
      <c r="S10" s="18"/>
      <c r="T10" s="18"/>
      <c r="U10" s="18"/>
      <c r="W10" s="24"/>
      <c r="X10" s="24"/>
    </row>
    <row r="11" spans="1:26" x14ac:dyDescent="0.25">
      <c r="A11" s="241" t="s">
        <v>554</v>
      </c>
      <c r="B11" s="8"/>
      <c r="C11" s="8"/>
      <c r="O11" s="5"/>
      <c r="P11" s="31"/>
      <c r="Q11" s="31"/>
      <c r="R11" s="31"/>
      <c r="S11" s="5"/>
      <c r="T11" s="5"/>
      <c r="U11" s="210"/>
      <c r="V11" s="5"/>
    </row>
    <row r="12" spans="1:26" x14ac:dyDescent="0.25">
      <c r="B12" s="210"/>
      <c r="C12" s="210"/>
      <c r="D12" s="210"/>
      <c r="E12" s="210"/>
      <c r="H12" s="210"/>
      <c r="I12" s="210"/>
      <c r="L12" s="210"/>
      <c r="M12" s="210"/>
      <c r="N12" s="210"/>
      <c r="S12" s="210"/>
      <c r="T12" s="210"/>
      <c r="U12" s="210"/>
      <c r="W12" s="210"/>
      <c r="X12" s="210"/>
    </row>
    <row r="13" spans="1:26" s="210" customFormat="1" x14ac:dyDescent="0.25">
      <c r="A13" s="3"/>
      <c r="B13" s="7"/>
      <c r="C13" s="7"/>
      <c r="D13" s="3"/>
      <c r="E13" s="5"/>
      <c r="H13" s="5"/>
      <c r="I13" s="5"/>
      <c r="L13" s="3"/>
      <c r="M13" s="5"/>
      <c r="N13" s="5"/>
      <c r="P13" s="31"/>
      <c r="Q13" s="31"/>
      <c r="R13" s="31"/>
      <c r="S13" s="3"/>
      <c r="T13" s="3"/>
      <c r="U13" s="3"/>
      <c r="W13" s="3"/>
      <c r="X13" s="3"/>
      <c r="Y13" s="3"/>
      <c r="Z13" s="3"/>
    </row>
    <row r="14" spans="1:26" x14ac:dyDescent="0.25">
      <c r="A14" s="7"/>
      <c r="B14" s="210"/>
      <c r="C14" s="210"/>
      <c r="D14" s="210"/>
      <c r="E14" s="210"/>
      <c r="H14" s="210"/>
      <c r="I14" s="210"/>
      <c r="L14" s="210"/>
      <c r="M14" s="210"/>
      <c r="N14" s="210"/>
      <c r="P14" s="31"/>
      <c r="Q14" s="31"/>
      <c r="R14" s="31"/>
      <c r="S14" s="210"/>
      <c r="T14" s="210"/>
      <c r="U14" s="210"/>
      <c r="W14" s="210"/>
      <c r="X14" s="210"/>
    </row>
    <row r="15" spans="1:26" s="210" customFormat="1" x14ac:dyDescent="0.25">
      <c r="A15" s="3"/>
      <c r="B15" s="97"/>
      <c r="C15" s="97"/>
      <c r="D15" s="31"/>
      <c r="E15" s="31"/>
      <c r="F15" s="31"/>
      <c r="L15" s="31"/>
      <c r="M15" s="19"/>
      <c r="N15" s="31"/>
      <c r="O15" s="31"/>
      <c r="P15" s="31"/>
      <c r="Q15" s="31"/>
      <c r="R15" s="31"/>
      <c r="U15" s="31"/>
      <c r="V15" s="18"/>
      <c r="W15" s="18"/>
      <c r="X15" s="33"/>
      <c r="Y15" s="3"/>
      <c r="Z15" s="3"/>
    </row>
    <row r="16" spans="1:26" x14ac:dyDescent="0.25">
      <c r="B16" s="97"/>
      <c r="C16" s="97"/>
      <c r="D16" s="31"/>
      <c r="E16" s="31"/>
      <c r="F16" s="31"/>
      <c r="H16" s="210"/>
      <c r="I16" s="210"/>
      <c r="L16" s="31"/>
      <c r="M16" s="19"/>
      <c r="N16" s="31"/>
      <c r="O16" s="31"/>
      <c r="P16" s="31"/>
      <c r="Q16" s="31"/>
      <c r="R16" s="31"/>
      <c r="S16" s="210"/>
      <c r="T16" s="210"/>
      <c r="U16" s="31"/>
      <c r="V16" s="18"/>
      <c r="W16" s="18"/>
      <c r="X16" s="33"/>
    </row>
    <row r="17" spans="1:24" x14ac:dyDescent="0.25">
      <c r="D17" s="142"/>
      <c r="E17" s="26"/>
      <c r="F17" s="3"/>
      <c r="G17" s="3"/>
      <c r="H17" s="8"/>
      <c r="I17" s="8"/>
      <c r="L17" s="30"/>
      <c r="M17" s="28"/>
      <c r="N17" s="30"/>
      <c r="O17" s="28"/>
      <c r="P17" s="8"/>
      <c r="Q17" s="8"/>
      <c r="R17" s="8"/>
      <c r="S17" s="28"/>
      <c r="T17" s="28"/>
      <c r="U17" s="144"/>
      <c r="V17" s="144"/>
      <c r="W17" s="144"/>
      <c r="X17" s="26"/>
    </row>
    <row r="18" spans="1:24" x14ac:dyDescent="0.25">
      <c r="A18" s="143"/>
      <c r="E18" s="3"/>
      <c r="F18" s="3"/>
      <c r="G18" s="3"/>
      <c r="H18" s="3"/>
      <c r="I18" s="3"/>
      <c r="M18" s="3"/>
      <c r="O18" s="8"/>
      <c r="V18" s="3"/>
      <c r="W18" s="210"/>
      <c r="X18" s="210"/>
    </row>
  </sheetData>
  <autoFilter ref="B3:Z3" xr:uid="{6D8CD986-3823-2645-84B2-284C80001638}">
    <sortState xmlns:xlrd2="http://schemas.microsoft.com/office/spreadsheetml/2017/richdata2" ref="B4:Z228">
      <sortCondition ref="Q3:Q2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1170-A1E0-2741-9FD2-046F7103DF78}">
  <sheetPr codeName="Sheet8"/>
  <dimension ref="A1:AB303"/>
  <sheetViews>
    <sheetView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I5" sqref="I5"/>
    </sheetView>
  </sheetViews>
  <sheetFormatPr baseColWidth="10" defaultRowHeight="16" x14ac:dyDescent="0.2"/>
  <cols>
    <col min="1" max="1" width="4.83203125" style="23" customWidth="1"/>
    <col min="2" max="2" width="12.83203125" style="46" customWidth="1"/>
    <col min="3" max="4" width="25.6640625" style="47" customWidth="1"/>
    <col min="5" max="5" width="12.83203125" style="43" customWidth="1"/>
    <col min="6" max="10" width="12.83203125" style="44" customWidth="1"/>
    <col min="11" max="11" width="12.83203125" style="45" customWidth="1"/>
    <col min="12" max="12" width="12.83203125" style="46" customWidth="1"/>
    <col min="13" max="13" width="18.33203125" style="47" customWidth="1"/>
    <col min="14" max="18" width="12.83203125" style="185" customWidth="1"/>
    <col min="19" max="20" width="12.83203125" style="47" customWidth="1"/>
    <col min="21" max="21" width="45.83203125" style="42" customWidth="1"/>
    <col min="22" max="22" width="25.83203125" style="82" customWidth="1"/>
    <col min="23" max="23" width="45.83203125" style="42" customWidth="1"/>
    <col min="24" max="24" width="25.83203125" style="82" customWidth="1"/>
    <col min="25" max="25" width="70.6640625" style="82" customWidth="1"/>
    <col min="26" max="26" width="75.83203125" style="23" customWidth="1"/>
    <col min="27" max="27" width="75.83203125" style="210" customWidth="1"/>
    <col min="28" max="28" width="16.83203125" style="82" customWidth="1"/>
    <col min="29" max="16384" width="10.83203125" style="23"/>
  </cols>
  <sheetData>
    <row r="1" spans="1:28" s="3" customFormat="1" ht="21" x14ac:dyDescent="0.25">
      <c r="A1" s="14" t="s">
        <v>74</v>
      </c>
      <c r="B1" s="12" t="s">
        <v>140</v>
      </c>
      <c r="C1" s="12"/>
      <c r="D1" s="12"/>
      <c r="F1" s="44"/>
      <c r="G1" s="48"/>
      <c r="H1" s="48"/>
      <c r="I1" s="48"/>
      <c r="J1" s="48"/>
      <c r="K1" s="46"/>
      <c r="L1" s="46"/>
      <c r="M1" s="47"/>
      <c r="N1" s="185"/>
      <c r="O1" s="185"/>
      <c r="P1" s="185"/>
      <c r="Q1" s="185"/>
      <c r="R1" s="185"/>
      <c r="S1" s="47"/>
      <c r="T1" s="47"/>
      <c r="U1" s="42"/>
      <c r="V1" s="82"/>
      <c r="W1" s="42"/>
      <c r="X1" s="82"/>
      <c r="Y1" s="82"/>
      <c r="AB1" s="82"/>
    </row>
    <row r="2" spans="1:28" s="2" customFormat="1" ht="60" x14ac:dyDescent="0.2">
      <c r="B2" s="13" t="s">
        <v>47</v>
      </c>
      <c r="C2" s="13" t="s">
        <v>13</v>
      </c>
      <c r="D2" s="13" t="s">
        <v>1283</v>
      </c>
      <c r="E2" s="13" t="s">
        <v>46</v>
      </c>
      <c r="F2" s="13" t="s">
        <v>807</v>
      </c>
      <c r="G2" s="13" t="s">
        <v>1330</v>
      </c>
      <c r="H2" s="13" t="s">
        <v>1330</v>
      </c>
      <c r="I2" s="13" t="s">
        <v>1331</v>
      </c>
      <c r="J2" s="13" t="s">
        <v>1331</v>
      </c>
      <c r="K2" s="13" t="s">
        <v>29</v>
      </c>
      <c r="L2" s="13" t="s">
        <v>806</v>
      </c>
      <c r="M2" s="13" t="s">
        <v>959</v>
      </c>
      <c r="N2" s="13" t="s">
        <v>939</v>
      </c>
      <c r="O2" s="13" t="s">
        <v>940</v>
      </c>
      <c r="P2" s="13" t="s">
        <v>802</v>
      </c>
      <c r="Q2" s="13" t="s">
        <v>801</v>
      </c>
      <c r="R2" s="13" t="s">
        <v>941</v>
      </c>
      <c r="S2" s="13" t="s">
        <v>805</v>
      </c>
      <c r="T2" s="13" t="s">
        <v>804</v>
      </c>
      <c r="U2" s="13" t="s">
        <v>809</v>
      </c>
      <c r="V2" s="13" t="s">
        <v>808</v>
      </c>
      <c r="W2" s="13" t="s">
        <v>811</v>
      </c>
      <c r="X2" s="13" t="s">
        <v>810</v>
      </c>
      <c r="Y2" s="13" t="s">
        <v>611</v>
      </c>
      <c r="Z2" s="13" t="s">
        <v>30</v>
      </c>
      <c r="AA2" s="13" t="s">
        <v>1326</v>
      </c>
      <c r="AB2" s="13" t="s">
        <v>818</v>
      </c>
    </row>
    <row r="3" spans="1:28" s="2" customFormat="1" ht="20" x14ac:dyDescent="0.2">
      <c r="B3" s="10"/>
      <c r="C3" s="10"/>
      <c r="D3" s="10"/>
      <c r="E3" s="10"/>
      <c r="F3" s="10" t="s">
        <v>48</v>
      </c>
      <c r="G3" s="10" t="s">
        <v>51</v>
      </c>
      <c r="H3" s="10" t="s">
        <v>958</v>
      </c>
      <c r="I3" s="10" t="s">
        <v>51</v>
      </c>
      <c r="J3" s="10" t="s">
        <v>958</v>
      </c>
      <c r="K3" s="10" t="s">
        <v>49</v>
      </c>
      <c r="L3" s="10" t="s">
        <v>960</v>
      </c>
      <c r="M3" s="10"/>
      <c r="N3" s="10" t="s">
        <v>50</v>
      </c>
      <c r="O3" s="10" t="s">
        <v>50</v>
      </c>
      <c r="P3" s="10" t="s">
        <v>803</v>
      </c>
      <c r="Q3" s="10" t="s">
        <v>803</v>
      </c>
      <c r="R3" s="10"/>
      <c r="S3" s="10" t="s">
        <v>19</v>
      </c>
      <c r="T3" s="10" t="s">
        <v>19</v>
      </c>
      <c r="U3" s="11"/>
      <c r="V3" s="99"/>
      <c r="W3" s="11"/>
      <c r="X3" s="99"/>
      <c r="Y3" s="99"/>
      <c r="Z3" s="11"/>
      <c r="AA3" s="11"/>
      <c r="AB3" s="99"/>
    </row>
    <row r="4" spans="1:28" s="2" customFormat="1" ht="20" x14ac:dyDescent="0.2">
      <c r="B4" s="189" t="s">
        <v>836</v>
      </c>
      <c r="C4" s="35" t="s">
        <v>75</v>
      </c>
      <c r="D4" s="35" t="s">
        <v>762</v>
      </c>
      <c r="E4" s="196">
        <v>1</v>
      </c>
      <c r="F4" s="189" t="s">
        <v>371</v>
      </c>
      <c r="G4" s="195">
        <v>170</v>
      </c>
      <c r="H4" s="195">
        <f t="shared" ref="H4:H67" si="0">G4/1.62</f>
        <v>104.93827160493827</v>
      </c>
      <c r="I4" s="195">
        <v>170</v>
      </c>
      <c r="J4" s="195">
        <f t="shared" ref="J4:J67" si="1">I4/1.62</f>
        <v>104.93827160493827</v>
      </c>
      <c r="K4" s="196">
        <v>230</v>
      </c>
      <c r="L4" s="223">
        <f>_xlfn.XLOOKUP($K4,Inputs!$C$6:$C$23,Inputs!$D$6:$D$23)*$I4</f>
        <v>81.599999999999994</v>
      </c>
      <c r="M4" s="224">
        <f t="shared" ref="M4:M67" si="2">IF((42.4*(J4)^(-0.6595))&gt;=3,3,(IF(42.4*(J4)^(-0.6595)&lt;=0.5,0.5,(42.4*(J4)^(-0.6595)))))</f>
        <v>1.9704251633621157</v>
      </c>
      <c r="N4" s="100"/>
      <c r="O4" s="100"/>
      <c r="P4" s="100"/>
      <c r="Q4" s="100"/>
      <c r="R4" s="100"/>
      <c r="S4" s="225">
        <f>_xlfn.XLOOKUP($K4,Inputs!$G$6:$G$23,Inputs!$J$6:$J$23)*$M4</f>
        <v>264.03697189052349</v>
      </c>
      <c r="T4" s="225">
        <f>_xlfn.XLOOKUP($K4,Inputs!$G$6:$G$23,Inputs!$K$6:$K$23)*$M4</f>
        <v>285.71164868750679</v>
      </c>
      <c r="U4" s="190" t="s">
        <v>712</v>
      </c>
      <c r="V4" s="107" t="s">
        <v>1040</v>
      </c>
      <c r="W4" s="189" t="s">
        <v>658</v>
      </c>
      <c r="X4" s="107" t="s">
        <v>1103</v>
      </c>
      <c r="Y4" s="11"/>
      <c r="Z4" s="104"/>
      <c r="AA4" s="104"/>
      <c r="AB4" s="59">
        <v>1</v>
      </c>
    </row>
    <row r="5" spans="1:28" s="2" customFormat="1" ht="20" x14ac:dyDescent="0.2">
      <c r="B5" s="108" t="s">
        <v>215</v>
      </c>
      <c r="C5" s="35" t="s">
        <v>75</v>
      </c>
      <c r="D5" s="35" t="s">
        <v>762</v>
      </c>
      <c r="E5" s="109">
        <v>1</v>
      </c>
      <c r="F5" s="108" t="s">
        <v>371</v>
      </c>
      <c r="G5" s="110">
        <v>171.5256</v>
      </c>
      <c r="H5" s="110">
        <f t="shared" si="0"/>
        <v>105.88</v>
      </c>
      <c r="I5" s="110">
        <v>171.5256</v>
      </c>
      <c r="J5" s="110">
        <f t="shared" si="1"/>
        <v>105.88</v>
      </c>
      <c r="K5" s="109">
        <v>230</v>
      </c>
      <c r="L5" s="223">
        <f>_xlfn.XLOOKUP($K5,Inputs!$C$6:$C$23,Inputs!$D$6:$D$23)*$I5</f>
        <v>82.332287999999991</v>
      </c>
      <c r="M5" s="224">
        <f t="shared" si="2"/>
        <v>1.9588494907330098</v>
      </c>
      <c r="N5" s="100"/>
      <c r="O5" s="100"/>
      <c r="P5" s="100"/>
      <c r="Q5" s="100"/>
      <c r="R5" s="100"/>
      <c r="S5" s="225">
        <f>_xlfn.XLOOKUP($K5,Inputs!$G$6:$G$23,Inputs!$J$6:$J$23)*$M5</f>
        <v>262.4858317582233</v>
      </c>
      <c r="T5" s="225">
        <f>_xlfn.XLOOKUP($K5,Inputs!$G$6:$G$23,Inputs!$K$6:$K$23)*$M5</f>
        <v>284.0331761562864</v>
      </c>
      <c r="U5" s="111" t="s">
        <v>712</v>
      </c>
      <c r="V5" s="107" t="s">
        <v>1040</v>
      </c>
      <c r="W5" s="111" t="s">
        <v>647</v>
      </c>
      <c r="X5" s="107" t="s">
        <v>1054</v>
      </c>
      <c r="Y5" s="11"/>
      <c r="Z5" s="104"/>
      <c r="AA5" s="104"/>
      <c r="AB5" s="59">
        <v>2</v>
      </c>
    </row>
    <row r="6" spans="1:28" ht="20" x14ac:dyDescent="0.2">
      <c r="B6" s="108" t="s">
        <v>216</v>
      </c>
      <c r="C6" s="35" t="s">
        <v>75</v>
      </c>
      <c r="D6" s="35" t="s">
        <v>762</v>
      </c>
      <c r="E6" s="109">
        <v>1</v>
      </c>
      <c r="F6" s="108" t="s">
        <v>371</v>
      </c>
      <c r="G6" s="110">
        <v>130.572</v>
      </c>
      <c r="H6" s="110">
        <f t="shared" si="0"/>
        <v>80.599999999999994</v>
      </c>
      <c r="I6" s="110">
        <v>130.572</v>
      </c>
      <c r="J6" s="110">
        <f t="shared" si="1"/>
        <v>80.599999999999994</v>
      </c>
      <c r="K6" s="109">
        <v>230</v>
      </c>
      <c r="L6" s="223">
        <f>_xlfn.XLOOKUP($K6,Inputs!$C$6:$C$23,Inputs!$D$6:$D$23)*$I6</f>
        <v>62.67456</v>
      </c>
      <c r="M6" s="224">
        <f t="shared" si="2"/>
        <v>2.3449732694648051</v>
      </c>
      <c r="N6" s="100"/>
      <c r="O6" s="100"/>
      <c r="P6" s="100"/>
      <c r="Q6" s="100"/>
      <c r="R6" s="100"/>
      <c r="S6" s="225">
        <f>_xlfn.XLOOKUP($K6,Inputs!$G$6:$G$23,Inputs!$J$6:$J$23)*$M6</f>
        <v>314.22641810828389</v>
      </c>
      <c r="T6" s="225">
        <f>_xlfn.XLOOKUP($K6,Inputs!$G$6:$G$23,Inputs!$K$6:$K$23)*$M6</f>
        <v>340.02112407239673</v>
      </c>
      <c r="U6" s="108" t="s">
        <v>712</v>
      </c>
      <c r="V6" s="107" t="s">
        <v>1040</v>
      </c>
      <c r="W6" s="108" t="s">
        <v>648</v>
      </c>
      <c r="X6" s="107" t="s">
        <v>1115</v>
      </c>
      <c r="Y6" s="11"/>
      <c r="Z6" s="11"/>
      <c r="AA6" s="11"/>
      <c r="AB6" s="59">
        <v>3</v>
      </c>
    </row>
    <row r="7" spans="1:28" s="2" customFormat="1" ht="20" x14ac:dyDescent="0.2">
      <c r="B7" s="108" t="s">
        <v>219</v>
      </c>
      <c r="C7" s="35" t="s">
        <v>75</v>
      </c>
      <c r="D7" s="35" t="s">
        <v>762</v>
      </c>
      <c r="E7" s="109">
        <v>1</v>
      </c>
      <c r="F7" s="108" t="s">
        <v>371</v>
      </c>
      <c r="G7" s="110">
        <v>32.2866</v>
      </c>
      <c r="H7" s="110">
        <f t="shared" si="0"/>
        <v>19.93</v>
      </c>
      <c r="I7" s="110">
        <v>32.2866</v>
      </c>
      <c r="J7" s="110">
        <f t="shared" si="1"/>
        <v>19.93</v>
      </c>
      <c r="K7" s="109">
        <v>230</v>
      </c>
      <c r="L7" s="223">
        <f>_xlfn.XLOOKUP($K7,Inputs!$C$6:$C$23,Inputs!$D$6:$D$23)*$I7</f>
        <v>15.497567999999999</v>
      </c>
      <c r="M7" s="224">
        <f t="shared" si="2"/>
        <v>3</v>
      </c>
      <c r="N7" s="100"/>
      <c r="O7" s="100"/>
      <c r="P7" s="100"/>
      <c r="Q7" s="100"/>
      <c r="R7" s="100"/>
      <c r="S7" s="225">
        <f>_xlfn.XLOOKUP($K7,Inputs!$G$6:$G$23,Inputs!$J$6:$J$23)*$M7</f>
        <v>402</v>
      </c>
      <c r="T7" s="225">
        <f>_xlfn.XLOOKUP($K7,Inputs!$G$6:$G$23,Inputs!$K$6:$K$23)*$M7</f>
        <v>435</v>
      </c>
      <c r="U7" s="108" t="s">
        <v>713</v>
      </c>
      <c r="V7" s="107" t="s">
        <v>1045</v>
      </c>
      <c r="W7" s="108" t="s">
        <v>649</v>
      </c>
      <c r="X7" s="107" t="s">
        <v>1139</v>
      </c>
      <c r="Y7" s="11"/>
      <c r="Z7" s="11"/>
      <c r="AA7" s="11"/>
      <c r="AB7" s="59">
        <v>4</v>
      </c>
    </row>
    <row r="8" spans="1:28" s="2" customFormat="1" ht="20" x14ac:dyDescent="0.2">
      <c r="B8" s="108" t="s">
        <v>220</v>
      </c>
      <c r="C8" s="35" t="s">
        <v>75</v>
      </c>
      <c r="D8" s="35" t="s">
        <v>762</v>
      </c>
      <c r="E8" s="109">
        <v>1</v>
      </c>
      <c r="F8" s="108" t="s">
        <v>371</v>
      </c>
      <c r="G8" s="110">
        <v>57.299399999999999</v>
      </c>
      <c r="H8" s="110">
        <f t="shared" si="0"/>
        <v>35.369999999999997</v>
      </c>
      <c r="I8" s="110">
        <v>57.299399999999999</v>
      </c>
      <c r="J8" s="110">
        <f t="shared" si="1"/>
        <v>35.369999999999997</v>
      </c>
      <c r="K8" s="109">
        <v>230</v>
      </c>
      <c r="L8" s="223">
        <f>_xlfn.XLOOKUP($K8,Inputs!$C$6:$C$23,Inputs!$D$6:$D$23)*$I8</f>
        <v>27.503711999999997</v>
      </c>
      <c r="M8" s="224">
        <f t="shared" si="2"/>
        <v>3</v>
      </c>
      <c r="N8" s="100"/>
      <c r="O8" s="100"/>
      <c r="P8" s="100"/>
      <c r="Q8" s="100"/>
      <c r="R8" s="100"/>
      <c r="S8" s="225">
        <f>_xlfn.XLOOKUP($K8,Inputs!$G$6:$G$23,Inputs!$J$6:$J$23)*$M8</f>
        <v>402</v>
      </c>
      <c r="T8" s="225">
        <f>_xlfn.XLOOKUP($K8,Inputs!$G$6:$G$23,Inputs!$K$6:$K$23)*$M8</f>
        <v>435</v>
      </c>
      <c r="U8" s="108" t="s">
        <v>704</v>
      </c>
      <c r="V8" s="107" t="s">
        <v>1045</v>
      </c>
      <c r="W8" s="108" t="s">
        <v>650</v>
      </c>
      <c r="X8" s="107" t="s">
        <v>1150</v>
      </c>
      <c r="Y8" s="11"/>
      <c r="Z8" s="11"/>
      <c r="AA8" s="11"/>
      <c r="AB8" s="59">
        <v>5</v>
      </c>
    </row>
    <row r="9" spans="1:28" s="2" customFormat="1" ht="20" x14ac:dyDescent="0.2">
      <c r="B9" s="136" t="s">
        <v>545</v>
      </c>
      <c r="C9" s="35" t="s">
        <v>75</v>
      </c>
      <c r="D9" s="35" t="s">
        <v>762</v>
      </c>
      <c r="E9" s="137">
        <v>1</v>
      </c>
      <c r="F9" s="136" t="s">
        <v>371</v>
      </c>
      <c r="G9" s="138">
        <v>46.2</v>
      </c>
      <c r="H9" s="138">
        <f t="shared" si="0"/>
        <v>28.518518518518519</v>
      </c>
      <c r="I9" s="138">
        <v>46.2</v>
      </c>
      <c r="J9" s="138">
        <f t="shared" si="1"/>
        <v>28.518518518518519</v>
      </c>
      <c r="K9" s="137">
        <v>230</v>
      </c>
      <c r="L9" s="223">
        <f>_xlfn.XLOOKUP($K9,Inputs!$C$6:$C$23,Inputs!$D$6:$D$23)*$I9</f>
        <v>22.176000000000002</v>
      </c>
      <c r="M9" s="224">
        <f t="shared" si="2"/>
        <v>3</v>
      </c>
      <c r="N9" s="100"/>
      <c r="O9" s="100"/>
      <c r="P9" s="100"/>
      <c r="Q9" s="100"/>
      <c r="R9" s="100"/>
      <c r="S9" s="225">
        <f>_xlfn.XLOOKUP($K9,Inputs!$G$6:$G$23,Inputs!$J$6:$J$23)*$M9</f>
        <v>402</v>
      </c>
      <c r="T9" s="225">
        <f>_xlfn.XLOOKUP($K9,Inputs!$G$6:$G$23,Inputs!$K$6:$K$23)*$M9</f>
        <v>435</v>
      </c>
      <c r="U9" s="136" t="s">
        <v>704</v>
      </c>
      <c r="V9" s="107" t="s">
        <v>1045</v>
      </c>
      <c r="W9" s="136" t="s">
        <v>1288</v>
      </c>
      <c r="X9" s="107" t="s">
        <v>825</v>
      </c>
      <c r="Y9" s="11"/>
      <c r="Z9" s="11"/>
      <c r="AA9" s="11"/>
      <c r="AB9" s="59">
        <v>6</v>
      </c>
    </row>
    <row r="10" spans="1:28" s="2" customFormat="1" ht="20" x14ac:dyDescent="0.2">
      <c r="B10" s="108" t="s">
        <v>221</v>
      </c>
      <c r="C10" s="35" t="s">
        <v>75</v>
      </c>
      <c r="D10" s="35" t="s">
        <v>762</v>
      </c>
      <c r="E10" s="109">
        <v>1</v>
      </c>
      <c r="F10" s="108" t="s">
        <v>371</v>
      </c>
      <c r="G10" s="110">
        <v>4.0500000000000007</v>
      </c>
      <c r="H10" s="110">
        <f t="shared" si="0"/>
        <v>2.5000000000000004</v>
      </c>
      <c r="I10" s="110">
        <v>4.0500000000000007</v>
      </c>
      <c r="J10" s="110">
        <f t="shared" si="1"/>
        <v>2.5000000000000004</v>
      </c>
      <c r="K10" s="109">
        <v>230</v>
      </c>
      <c r="L10" s="223">
        <f>_xlfn.XLOOKUP($K10,Inputs!$C$6:$C$23,Inputs!$D$6:$D$23)*$I10</f>
        <v>1.9440000000000002</v>
      </c>
      <c r="M10" s="224">
        <f t="shared" si="2"/>
        <v>3</v>
      </c>
      <c r="N10" s="100"/>
      <c r="O10" s="100"/>
      <c r="P10" s="100"/>
      <c r="Q10" s="100"/>
      <c r="R10" s="100"/>
      <c r="S10" s="225">
        <f>_xlfn.XLOOKUP($K10,Inputs!$G$6:$G$23,Inputs!$J$6:$J$23)*$M10</f>
        <v>402</v>
      </c>
      <c r="T10" s="225">
        <f>_xlfn.XLOOKUP($K10,Inputs!$G$6:$G$23,Inputs!$K$6:$K$23)*$M10</f>
        <v>435</v>
      </c>
      <c r="U10" s="108" t="s">
        <v>714</v>
      </c>
      <c r="V10" s="107" t="s">
        <v>1044</v>
      </c>
      <c r="W10" s="108" t="s">
        <v>651</v>
      </c>
      <c r="X10" s="107" t="s">
        <v>1083</v>
      </c>
      <c r="Y10" s="11"/>
      <c r="Z10" s="11"/>
      <c r="AA10" s="11"/>
      <c r="AB10" s="59">
        <v>7</v>
      </c>
    </row>
    <row r="11" spans="1:28" s="105" customFormat="1" ht="20" x14ac:dyDescent="0.2">
      <c r="B11" s="108" t="s">
        <v>296</v>
      </c>
      <c r="C11" s="35" t="s">
        <v>75</v>
      </c>
      <c r="D11" s="35" t="s">
        <v>762</v>
      </c>
      <c r="E11" s="109">
        <v>1</v>
      </c>
      <c r="F11" s="108" t="s">
        <v>371</v>
      </c>
      <c r="G11" s="110">
        <v>8.8128000000000011</v>
      </c>
      <c r="H11" s="110">
        <f t="shared" si="0"/>
        <v>5.44</v>
      </c>
      <c r="I11" s="110">
        <v>8.8128000000000011</v>
      </c>
      <c r="J11" s="110">
        <f t="shared" si="1"/>
        <v>5.44</v>
      </c>
      <c r="K11" s="109">
        <v>115</v>
      </c>
      <c r="L11" s="223">
        <f>_xlfn.XLOOKUP($K11,Inputs!$C$6:$C$23,Inputs!$D$6:$D$23)*$I11</f>
        <v>3.676196571428572</v>
      </c>
      <c r="M11" s="224">
        <f t="shared" si="2"/>
        <v>3</v>
      </c>
      <c r="N11" s="100"/>
      <c r="O11" s="100"/>
      <c r="P11" s="100"/>
      <c r="Q11" s="100"/>
      <c r="R11" s="100"/>
      <c r="S11" s="225">
        <f>_xlfn.XLOOKUP($K11,Inputs!$G$6:$G$23,Inputs!$J$6:$J$23)*$M11</f>
        <v>98.449131513647643</v>
      </c>
      <c r="T11" s="225">
        <f>_xlfn.XLOOKUP($K11,Inputs!$G$6:$G$23,Inputs!$K$6:$K$23)*$M11</f>
        <v>108.40163934426229</v>
      </c>
      <c r="U11" s="108" t="s">
        <v>745</v>
      </c>
      <c r="V11" s="107" t="s">
        <v>1020</v>
      </c>
      <c r="W11" s="108" t="s">
        <v>652</v>
      </c>
      <c r="X11" s="107" t="s">
        <v>1052</v>
      </c>
      <c r="Y11" s="11"/>
      <c r="Z11" s="11"/>
      <c r="AA11" s="11"/>
      <c r="AB11" s="59">
        <v>8</v>
      </c>
    </row>
    <row r="12" spans="1:28" s="2" customFormat="1" ht="20" x14ac:dyDescent="0.2">
      <c r="B12" s="108" t="s">
        <v>297</v>
      </c>
      <c r="C12" s="35" t="s">
        <v>75</v>
      </c>
      <c r="D12" s="35" t="s">
        <v>762</v>
      </c>
      <c r="E12" s="109">
        <v>1</v>
      </c>
      <c r="F12" s="108" t="s">
        <v>371</v>
      </c>
      <c r="G12" s="110">
        <v>1.8144000000000002</v>
      </c>
      <c r="H12" s="110">
        <f t="shared" si="0"/>
        <v>1.1200000000000001</v>
      </c>
      <c r="I12" s="110">
        <v>1.8144000000000002</v>
      </c>
      <c r="J12" s="110">
        <f t="shared" si="1"/>
        <v>1.1200000000000001</v>
      </c>
      <c r="K12" s="109">
        <v>115</v>
      </c>
      <c r="L12" s="223">
        <f>_xlfn.XLOOKUP($K12,Inputs!$C$6:$C$23,Inputs!$D$6:$D$23)*$I12</f>
        <v>0.75686400000000009</v>
      </c>
      <c r="M12" s="224">
        <f t="shared" si="2"/>
        <v>3</v>
      </c>
      <c r="N12" s="100"/>
      <c r="O12" s="100"/>
      <c r="P12" s="100"/>
      <c r="Q12" s="100"/>
      <c r="R12" s="100"/>
      <c r="S12" s="225">
        <f>_xlfn.XLOOKUP($K12,Inputs!$G$6:$G$23,Inputs!$J$6:$J$23)*$M12</f>
        <v>98.449131513647643</v>
      </c>
      <c r="T12" s="225">
        <f>_xlfn.XLOOKUP($K12,Inputs!$G$6:$G$23,Inputs!$K$6:$K$23)*$M12</f>
        <v>108.40163934426229</v>
      </c>
      <c r="U12" s="108" t="s">
        <v>745</v>
      </c>
      <c r="V12" s="107" t="s">
        <v>1020</v>
      </c>
      <c r="W12" s="108" t="s">
        <v>653</v>
      </c>
      <c r="X12" s="107" t="s">
        <v>1116</v>
      </c>
      <c r="Y12" s="11"/>
      <c r="Z12" s="11"/>
      <c r="AA12" s="11"/>
      <c r="AB12" s="59">
        <v>9</v>
      </c>
    </row>
    <row r="13" spans="1:28" s="2" customFormat="1" ht="20" x14ac:dyDescent="0.2">
      <c r="A13" s="267"/>
      <c r="B13" s="108" t="s">
        <v>298</v>
      </c>
      <c r="C13" s="35" t="s">
        <v>75</v>
      </c>
      <c r="D13" s="35" t="s">
        <v>762</v>
      </c>
      <c r="E13" s="109">
        <v>1</v>
      </c>
      <c r="F13" s="108" t="s">
        <v>371</v>
      </c>
      <c r="G13" s="110">
        <v>1.8144000000000002</v>
      </c>
      <c r="H13" s="110">
        <f t="shared" si="0"/>
        <v>1.1200000000000001</v>
      </c>
      <c r="I13" s="110">
        <v>1.8144000000000002</v>
      </c>
      <c r="J13" s="110">
        <f t="shared" si="1"/>
        <v>1.1200000000000001</v>
      </c>
      <c r="K13" s="109">
        <v>115</v>
      </c>
      <c r="L13" s="223">
        <f>_xlfn.XLOOKUP($K13,Inputs!$C$6:$C$23,Inputs!$D$6:$D$23)*$I13</f>
        <v>0.75686400000000009</v>
      </c>
      <c r="M13" s="224">
        <f t="shared" si="2"/>
        <v>3</v>
      </c>
      <c r="N13" s="100"/>
      <c r="O13" s="100"/>
      <c r="P13" s="100"/>
      <c r="Q13" s="100"/>
      <c r="R13" s="100"/>
      <c r="S13" s="225">
        <f>_xlfn.XLOOKUP($K13,Inputs!$G$6:$G$23,Inputs!$J$6:$J$23)*$M13</f>
        <v>98.449131513647643</v>
      </c>
      <c r="T13" s="225">
        <f>_xlfn.XLOOKUP($K13,Inputs!$G$6:$G$23,Inputs!$K$6:$K$23)*$M13</f>
        <v>108.40163934426229</v>
      </c>
      <c r="U13" s="108" t="s">
        <v>745</v>
      </c>
      <c r="V13" s="107" t="s">
        <v>1020</v>
      </c>
      <c r="W13" s="108" t="s">
        <v>653</v>
      </c>
      <c r="X13" s="107" t="s">
        <v>1116</v>
      </c>
      <c r="Y13" s="11"/>
      <c r="Z13" s="11"/>
      <c r="AA13" s="11" t="s">
        <v>1328</v>
      </c>
      <c r="AB13" s="59">
        <v>10</v>
      </c>
    </row>
    <row r="14" spans="1:28" s="2" customFormat="1" ht="20" x14ac:dyDescent="0.2">
      <c r="A14" s="266"/>
      <c r="B14" s="108" t="s">
        <v>1323</v>
      </c>
      <c r="C14" s="35" t="s">
        <v>75</v>
      </c>
      <c r="D14" s="35" t="s">
        <v>762</v>
      </c>
      <c r="E14" s="109">
        <v>1</v>
      </c>
      <c r="F14" s="108" t="s">
        <v>371</v>
      </c>
      <c r="G14" s="110">
        <v>5</v>
      </c>
      <c r="H14" s="110">
        <f t="shared" si="0"/>
        <v>3.0864197530864197</v>
      </c>
      <c r="I14" s="110">
        <v>12</v>
      </c>
      <c r="J14" s="110">
        <f t="shared" si="1"/>
        <v>7.4074074074074066</v>
      </c>
      <c r="K14" s="109">
        <v>115</v>
      </c>
      <c r="L14" s="223">
        <f>_xlfn.XLOOKUP($K14,Inputs!$C$6:$C$23,Inputs!$D$6:$D$23)*$I14</f>
        <v>5.0057142857142853</v>
      </c>
      <c r="M14" s="224">
        <f t="shared" si="2"/>
        <v>3</v>
      </c>
      <c r="N14" s="100"/>
      <c r="O14" s="100"/>
      <c r="P14" s="100"/>
      <c r="Q14" s="100"/>
      <c r="R14" s="100"/>
      <c r="S14" s="225">
        <f>_xlfn.XLOOKUP($K14,Inputs!$G$6:$G$23,Inputs!$J$6:$J$23)*$M14</f>
        <v>98.449131513647643</v>
      </c>
      <c r="T14" s="225">
        <f>_xlfn.XLOOKUP($K14,Inputs!$G$6:$G$23,Inputs!$K$6:$K$23)*$M14</f>
        <v>108.40163934426229</v>
      </c>
      <c r="U14" s="108" t="s">
        <v>745</v>
      </c>
      <c r="V14" s="107" t="s">
        <v>1020</v>
      </c>
      <c r="W14" s="108" t="s">
        <v>886</v>
      </c>
      <c r="X14" s="107" t="s">
        <v>1123</v>
      </c>
      <c r="Y14" s="11"/>
      <c r="Z14" s="11"/>
      <c r="AA14" s="11" t="s">
        <v>1327</v>
      </c>
      <c r="AB14" s="59">
        <v>11</v>
      </c>
    </row>
    <row r="15" spans="1:28" s="2" customFormat="1" ht="20" x14ac:dyDescent="0.2">
      <c r="A15" s="266"/>
      <c r="B15" s="108" t="s">
        <v>1323</v>
      </c>
      <c r="C15" s="35" t="s">
        <v>75</v>
      </c>
      <c r="D15" s="35" t="s">
        <v>762</v>
      </c>
      <c r="E15" s="109">
        <v>1</v>
      </c>
      <c r="F15" s="108" t="s">
        <v>371</v>
      </c>
      <c r="G15" s="110">
        <v>1</v>
      </c>
      <c r="H15" s="110">
        <f t="shared" si="0"/>
        <v>0.61728395061728392</v>
      </c>
      <c r="I15" s="110">
        <v>12</v>
      </c>
      <c r="J15" s="110">
        <f t="shared" si="1"/>
        <v>7.4074074074074066</v>
      </c>
      <c r="K15" s="109">
        <v>115</v>
      </c>
      <c r="L15" s="223">
        <f>_xlfn.XLOOKUP($K15,Inputs!$C$6:$C$23,Inputs!$D$6:$D$23)*$I15</f>
        <v>5.0057142857142853</v>
      </c>
      <c r="M15" s="224">
        <f t="shared" si="2"/>
        <v>3</v>
      </c>
      <c r="N15" s="100"/>
      <c r="O15" s="100"/>
      <c r="P15" s="100"/>
      <c r="Q15" s="100"/>
      <c r="R15" s="100"/>
      <c r="S15" s="225">
        <f>_xlfn.XLOOKUP($K15,Inputs!$G$6:$G$23,Inputs!$J$6:$J$23)*$M15</f>
        <v>98.449131513647643</v>
      </c>
      <c r="T15" s="225">
        <f>_xlfn.XLOOKUP($K15,Inputs!$G$6:$G$23,Inputs!$K$6:$K$23)*$M15</f>
        <v>108.40163934426229</v>
      </c>
      <c r="U15" s="108" t="s">
        <v>886</v>
      </c>
      <c r="V15" s="107" t="s">
        <v>1123</v>
      </c>
      <c r="W15" s="108" t="s">
        <v>1324</v>
      </c>
      <c r="X15" s="107" t="s">
        <v>1325</v>
      </c>
      <c r="Y15" s="11"/>
      <c r="Z15" s="11"/>
      <c r="AA15" s="11" t="s">
        <v>1327</v>
      </c>
      <c r="AB15" s="59">
        <v>11</v>
      </c>
    </row>
    <row r="16" spans="1:28" s="2" customFormat="1" ht="20" x14ac:dyDescent="0.2">
      <c r="A16" s="266"/>
      <c r="B16" s="108" t="s">
        <v>1323</v>
      </c>
      <c r="C16" s="35" t="s">
        <v>75</v>
      </c>
      <c r="D16" s="35" t="s">
        <v>762</v>
      </c>
      <c r="E16" s="109">
        <v>1</v>
      </c>
      <c r="F16" s="108" t="s">
        <v>371</v>
      </c>
      <c r="G16" s="110">
        <v>6</v>
      </c>
      <c r="H16" s="110">
        <f t="shared" si="0"/>
        <v>3.7037037037037033</v>
      </c>
      <c r="I16" s="110">
        <v>12</v>
      </c>
      <c r="J16" s="110">
        <f t="shared" si="1"/>
        <v>7.4074074074074066</v>
      </c>
      <c r="K16" s="109">
        <v>115</v>
      </c>
      <c r="L16" s="223">
        <f>_xlfn.XLOOKUP($K16,Inputs!$C$6:$C$23,Inputs!$D$6:$D$23)*$I16</f>
        <v>5.0057142857142853</v>
      </c>
      <c r="M16" s="224">
        <f t="shared" si="2"/>
        <v>3</v>
      </c>
      <c r="N16" s="100"/>
      <c r="O16" s="100"/>
      <c r="P16" s="100"/>
      <c r="Q16" s="100"/>
      <c r="R16" s="100"/>
      <c r="S16" s="225">
        <f>_xlfn.XLOOKUP($K16,Inputs!$G$6:$G$23,Inputs!$J$6:$J$23)*$M16</f>
        <v>98.449131513647643</v>
      </c>
      <c r="T16" s="225">
        <f>_xlfn.XLOOKUP($K16,Inputs!$G$6:$G$23,Inputs!$K$6:$K$23)*$M16</f>
        <v>108.40163934426229</v>
      </c>
      <c r="U16" s="108" t="s">
        <v>1324</v>
      </c>
      <c r="V16" s="107" t="s">
        <v>1325</v>
      </c>
      <c r="W16" s="108" t="s">
        <v>745</v>
      </c>
      <c r="X16" s="107" t="s">
        <v>1020</v>
      </c>
      <c r="Y16" s="11"/>
      <c r="Z16" s="11"/>
      <c r="AA16" s="11" t="s">
        <v>1327</v>
      </c>
      <c r="AB16" s="59">
        <v>11</v>
      </c>
    </row>
    <row r="17" spans="2:28" s="2" customFormat="1" ht="20" x14ac:dyDescent="0.2">
      <c r="B17" s="108" t="s">
        <v>299</v>
      </c>
      <c r="C17" s="35" t="s">
        <v>75</v>
      </c>
      <c r="D17" s="35" t="s">
        <v>762</v>
      </c>
      <c r="E17" s="109">
        <v>1</v>
      </c>
      <c r="F17" s="108" t="s">
        <v>371</v>
      </c>
      <c r="G17" s="110">
        <v>1.8144000000000002</v>
      </c>
      <c r="H17" s="110">
        <f t="shared" si="0"/>
        <v>1.1200000000000001</v>
      </c>
      <c r="I17" s="110">
        <v>1.8144000000000002</v>
      </c>
      <c r="J17" s="110">
        <f t="shared" si="1"/>
        <v>1.1200000000000001</v>
      </c>
      <c r="K17" s="109">
        <v>115</v>
      </c>
      <c r="L17" s="223">
        <f>_xlfn.XLOOKUP($K17,Inputs!$C$6:$C$23,Inputs!$D$6:$D$23)*$I17</f>
        <v>0.75686400000000009</v>
      </c>
      <c r="M17" s="224">
        <f t="shared" si="2"/>
        <v>3</v>
      </c>
      <c r="N17" s="100"/>
      <c r="O17" s="100"/>
      <c r="P17" s="100"/>
      <c r="Q17" s="100"/>
      <c r="R17" s="100"/>
      <c r="S17" s="225">
        <f>_xlfn.XLOOKUP($K17,Inputs!$G$6:$G$23,Inputs!$J$6:$J$23)*$M17</f>
        <v>98.449131513647643</v>
      </c>
      <c r="T17" s="225">
        <f>_xlfn.XLOOKUP($K17,Inputs!$G$6:$G$23,Inputs!$K$6:$K$23)*$M17</f>
        <v>108.40163934426229</v>
      </c>
      <c r="U17" s="108" t="s">
        <v>745</v>
      </c>
      <c r="V17" s="107" t="s">
        <v>1020</v>
      </c>
      <c r="W17" s="108" t="s">
        <v>653</v>
      </c>
      <c r="X17" s="107" t="s">
        <v>1116</v>
      </c>
      <c r="Y17" s="11"/>
      <c r="Z17" s="11"/>
      <c r="AA17" s="11"/>
      <c r="AB17" s="59">
        <v>12</v>
      </c>
    </row>
    <row r="18" spans="2:28" s="2" customFormat="1" ht="20" x14ac:dyDescent="0.2">
      <c r="B18" s="108" t="s">
        <v>217</v>
      </c>
      <c r="C18" s="35" t="s">
        <v>75</v>
      </c>
      <c r="D18" s="35" t="s">
        <v>762</v>
      </c>
      <c r="E18" s="109">
        <v>1</v>
      </c>
      <c r="F18" s="108" t="s">
        <v>371</v>
      </c>
      <c r="G18" s="110">
        <v>0.21060000000000001</v>
      </c>
      <c r="H18" s="110">
        <f t="shared" si="0"/>
        <v>0.13</v>
      </c>
      <c r="I18" s="110">
        <v>0.21060000000000001</v>
      </c>
      <c r="J18" s="110">
        <f t="shared" si="1"/>
        <v>0.13</v>
      </c>
      <c r="K18" s="109">
        <v>230</v>
      </c>
      <c r="L18" s="223">
        <f>_xlfn.XLOOKUP($K18,Inputs!$C$6:$C$23,Inputs!$D$6:$D$23)*$I18</f>
        <v>0.101088</v>
      </c>
      <c r="M18" s="224">
        <f t="shared" si="2"/>
        <v>3</v>
      </c>
      <c r="N18" s="100"/>
      <c r="O18" s="100"/>
      <c r="P18" s="100"/>
      <c r="Q18" s="100"/>
      <c r="R18" s="100"/>
      <c r="S18" s="225">
        <f>_xlfn.XLOOKUP($K18,Inputs!$G$6:$G$23,Inputs!$J$6:$J$23)*$M18</f>
        <v>402</v>
      </c>
      <c r="T18" s="225">
        <f>_xlfn.XLOOKUP($K18,Inputs!$G$6:$G$23,Inputs!$K$6:$K$23)*$M18</f>
        <v>435</v>
      </c>
      <c r="U18" s="108" t="s">
        <v>647</v>
      </c>
      <c r="V18" s="107" t="s">
        <v>1054</v>
      </c>
      <c r="W18" s="108" t="s">
        <v>647</v>
      </c>
      <c r="X18" s="107" t="s">
        <v>1054</v>
      </c>
      <c r="Y18" s="11"/>
      <c r="Z18" s="11"/>
      <c r="AA18" s="11"/>
      <c r="AB18" s="59">
        <v>13</v>
      </c>
    </row>
    <row r="19" spans="2:28" s="2" customFormat="1" ht="20" x14ac:dyDescent="0.2">
      <c r="B19" s="108" t="s">
        <v>218</v>
      </c>
      <c r="C19" s="35" t="s">
        <v>75</v>
      </c>
      <c r="D19" s="35" t="s">
        <v>762</v>
      </c>
      <c r="E19" s="109">
        <v>1</v>
      </c>
      <c r="F19" s="108" t="s">
        <v>371</v>
      </c>
      <c r="G19" s="110">
        <v>0.21060000000000001</v>
      </c>
      <c r="H19" s="110">
        <f t="shared" si="0"/>
        <v>0.13</v>
      </c>
      <c r="I19" s="110">
        <v>0.21060000000000001</v>
      </c>
      <c r="J19" s="110">
        <f t="shared" si="1"/>
        <v>0.13</v>
      </c>
      <c r="K19" s="109">
        <v>230</v>
      </c>
      <c r="L19" s="223">
        <f>_xlfn.XLOOKUP($K19,Inputs!$C$6:$C$23,Inputs!$D$6:$D$23)*$I19</f>
        <v>0.101088</v>
      </c>
      <c r="M19" s="224">
        <f t="shared" si="2"/>
        <v>3</v>
      </c>
      <c r="N19" s="100"/>
      <c r="O19" s="100"/>
      <c r="P19" s="100"/>
      <c r="Q19" s="100"/>
      <c r="R19" s="100"/>
      <c r="S19" s="225">
        <f>_xlfn.XLOOKUP($K19,Inputs!$G$6:$G$23,Inputs!$J$6:$J$23)*$M19</f>
        <v>402</v>
      </c>
      <c r="T19" s="225">
        <f>_xlfn.XLOOKUP($K19,Inputs!$G$6:$G$23,Inputs!$K$6:$K$23)*$M19</f>
        <v>435</v>
      </c>
      <c r="U19" s="108" t="s">
        <v>647</v>
      </c>
      <c r="V19" s="107" t="s">
        <v>1054</v>
      </c>
      <c r="W19" s="108" t="s">
        <v>647</v>
      </c>
      <c r="X19" s="107" t="s">
        <v>1054</v>
      </c>
      <c r="Y19" s="11"/>
      <c r="Z19" s="104"/>
      <c r="AA19" s="104"/>
      <c r="AB19" s="59">
        <v>14</v>
      </c>
    </row>
    <row r="20" spans="2:28" s="2" customFormat="1" ht="20" x14ac:dyDescent="0.2">
      <c r="B20" s="108" t="s">
        <v>281</v>
      </c>
      <c r="C20" s="35" t="s">
        <v>75</v>
      </c>
      <c r="D20" s="35" t="s">
        <v>762</v>
      </c>
      <c r="E20" s="109">
        <v>1</v>
      </c>
      <c r="F20" s="108" t="s">
        <v>371</v>
      </c>
      <c r="G20" s="110">
        <v>1.2636000000000001</v>
      </c>
      <c r="H20" s="110">
        <f t="shared" si="0"/>
        <v>0.78</v>
      </c>
      <c r="I20" s="110">
        <v>1.2636000000000001</v>
      </c>
      <c r="J20" s="110">
        <f t="shared" si="1"/>
        <v>0.78</v>
      </c>
      <c r="K20" s="109">
        <v>138</v>
      </c>
      <c r="L20" s="223">
        <f>_xlfn.XLOOKUP($K20,Inputs!$C$6:$C$23,Inputs!$D$6:$D$23)*$I20</f>
        <v>0.54786085714285726</v>
      </c>
      <c r="M20" s="224">
        <f t="shared" si="2"/>
        <v>3</v>
      </c>
      <c r="N20" s="100"/>
      <c r="O20" s="100"/>
      <c r="P20" s="100"/>
      <c r="Q20" s="100"/>
      <c r="R20" s="100"/>
      <c r="S20" s="225">
        <f>_xlfn.XLOOKUP($K20,Inputs!$G$6:$G$23,Inputs!$J$6:$J$23)*$M20</f>
        <v>141</v>
      </c>
      <c r="T20" s="225">
        <f>_xlfn.XLOOKUP($K20,Inputs!$G$6:$G$23,Inputs!$K$6:$K$23)*$M20</f>
        <v>156</v>
      </c>
      <c r="U20" s="111" t="s">
        <v>651</v>
      </c>
      <c r="V20" s="107" t="s">
        <v>1083</v>
      </c>
      <c r="W20" s="111" t="s">
        <v>654</v>
      </c>
      <c r="X20" s="107" t="s">
        <v>1067</v>
      </c>
      <c r="Y20" s="11"/>
      <c r="Z20" s="11"/>
      <c r="AA20" s="11"/>
      <c r="AB20" s="59">
        <v>15</v>
      </c>
    </row>
    <row r="21" spans="2:28" s="105" customFormat="1" ht="20" x14ac:dyDescent="0.2">
      <c r="B21" s="108" t="s">
        <v>300</v>
      </c>
      <c r="C21" s="35" t="s">
        <v>75</v>
      </c>
      <c r="D21" s="35" t="s">
        <v>762</v>
      </c>
      <c r="E21" s="109">
        <v>1</v>
      </c>
      <c r="F21" s="108" t="s">
        <v>371</v>
      </c>
      <c r="G21" s="110">
        <v>57.898800000000008</v>
      </c>
      <c r="H21" s="110">
        <f t="shared" si="0"/>
        <v>35.74</v>
      </c>
      <c r="I21" s="110">
        <v>57.898800000000008</v>
      </c>
      <c r="J21" s="110">
        <f t="shared" si="1"/>
        <v>35.74</v>
      </c>
      <c r="K21" s="109">
        <v>115</v>
      </c>
      <c r="L21" s="223">
        <f>_xlfn.XLOOKUP($K21,Inputs!$C$6:$C$23,Inputs!$D$6:$D$23)*$I21</f>
        <v>24.15207085714286</v>
      </c>
      <c r="M21" s="224">
        <f t="shared" si="2"/>
        <v>3</v>
      </c>
      <c r="N21" s="100"/>
      <c r="O21" s="100"/>
      <c r="P21" s="100"/>
      <c r="Q21" s="100"/>
      <c r="R21" s="100"/>
      <c r="S21" s="225">
        <f>_xlfn.XLOOKUP($K21,Inputs!$G$6:$G$23,Inputs!$J$6:$J$23)*$M21</f>
        <v>98.449131513647643</v>
      </c>
      <c r="T21" s="225">
        <f>_xlfn.XLOOKUP($K21,Inputs!$G$6:$G$23,Inputs!$K$6:$K$23)*$M21</f>
        <v>108.40163934426229</v>
      </c>
      <c r="U21" s="108" t="s">
        <v>745</v>
      </c>
      <c r="V21" s="107" t="s">
        <v>1020</v>
      </c>
      <c r="W21" s="108" t="s">
        <v>655</v>
      </c>
      <c r="X21" s="107" t="s">
        <v>1085</v>
      </c>
      <c r="Y21" s="11"/>
      <c r="Z21" s="104"/>
      <c r="AA21" s="104"/>
      <c r="AB21" s="59">
        <v>16</v>
      </c>
    </row>
    <row r="22" spans="2:28" s="2" customFormat="1" ht="20" x14ac:dyDescent="0.2">
      <c r="B22" s="108" t="s">
        <v>301</v>
      </c>
      <c r="C22" s="35" t="s">
        <v>75</v>
      </c>
      <c r="D22" s="35" t="s">
        <v>762</v>
      </c>
      <c r="E22" s="109">
        <v>1</v>
      </c>
      <c r="F22" s="108" t="s">
        <v>371</v>
      </c>
      <c r="G22" s="188">
        <v>50.78</v>
      </c>
      <c r="H22" s="188">
        <f t="shared" si="0"/>
        <v>31.345679012345677</v>
      </c>
      <c r="I22" s="188">
        <v>130.78</v>
      </c>
      <c r="J22" s="188">
        <f t="shared" si="1"/>
        <v>80.728395061728392</v>
      </c>
      <c r="K22" s="109">
        <v>115</v>
      </c>
      <c r="L22" s="223">
        <f>_xlfn.XLOOKUP($K22,Inputs!$C$6:$C$23,Inputs!$D$6:$D$23)*$I22</f>
        <v>54.553942857142857</v>
      </c>
      <c r="M22" s="224">
        <f t="shared" si="2"/>
        <v>2.3425129451294806</v>
      </c>
      <c r="N22" s="100"/>
      <c r="O22" s="100"/>
      <c r="P22" s="100"/>
      <c r="Q22" s="100"/>
      <c r="R22" s="100"/>
      <c r="S22" s="225">
        <f>_xlfn.XLOOKUP($K22,Inputs!$G$6:$G$23,Inputs!$J$6:$J$23)*$M22</f>
        <v>76.872788335824779</v>
      </c>
      <c r="T22" s="225">
        <f>_xlfn.XLOOKUP($K22,Inputs!$G$6:$G$23,Inputs!$K$6:$K$23)*$M22</f>
        <v>84.644081145730553</v>
      </c>
      <c r="U22" s="108" t="s">
        <v>745</v>
      </c>
      <c r="V22" s="107" t="s">
        <v>1020</v>
      </c>
      <c r="W22" s="108" t="s">
        <v>858</v>
      </c>
      <c r="X22" s="107" t="s">
        <v>1048</v>
      </c>
      <c r="Y22" s="11"/>
      <c r="Z22" s="104"/>
      <c r="AA22" s="104"/>
      <c r="AB22" s="59">
        <v>17</v>
      </c>
    </row>
    <row r="23" spans="2:28" s="2" customFormat="1" ht="20" x14ac:dyDescent="0.2">
      <c r="B23" s="108" t="s">
        <v>301</v>
      </c>
      <c r="C23" s="35" t="s">
        <v>75</v>
      </c>
      <c r="D23" s="35" t="s">
        <v>762</v>
      </c>
      <c r="E23" s="109">
        <v>1</v>
      </c>
      <c r="F23" s="108" t="s">
        <v>371</v>
      </c>
      <c r="G23" s="188">
        <v>35</v>
      </c>
      <c r="H23" s="188">
        <f t="shared" si="0"/>
        <v>21.604938271604937</v>
      </c>
      <c r="I23" s="188">
        <v>130.78</v>
      </c>
      <c r="J23" s="188">
        <f t="shared" si="1"/>
        <v>80.728395061728392</v>
      </c>
      <c r="K23" s="109">
        <v>115</v>
      </c>
      <c r="L23" s="223">
        <f>_xlfn.XLOOKUP($K23,Inputs!$C$6:$C$23,Inputs!$D$6:$D$23)*$I23</f>
        <v>54.553942857142857</v>
      </c>
      <c r="M23" s="224">
        <f t="shared" si="2"/>
        <v>2.3425129451294806</v>
      </c>
      <c r="N23" s="100"/>
      <c r="O23" s="100"/>
      <c r="P23" s="100"/>
      <c r="Q23" s="100"/>
      <c r="R23" s="100"/>
      <c r="S23" s="225">
        <f>_xlfn.XLOOKUP($K23,Inputs!$G$6:$G$23,Inputs!$J$6:$J$23)*$M23</f>
        <v>76.872788335824779</v>
      </c>
      <c r="T23" s="225">
        <f>_xlfn.XLOOKUP($K23,Inputs!$G$6:$G$23,Inputs!$K$6:$K$23)*$M23</f>
        <v>84.644081145730553</v>
      </c>
      <c r="U23" s="108" t="s">
        <v>858</v>
      </c>
      <c r="V23" s="107" t="s">
        <v>1048</v>
      </c>
      <c r="W23" s="108" t="s">
        <v>856</v>
      </c>
      <c r="X23" s="107" t="s">
        <v>1042</v>
      </c>
      <c r="Y23" s="11"/>
      <c r="Z23" s="104"/>
      <c r="AA23" s="104"/>
      <c r="AB23" s="59">
        <v>18</v>
      </c>
    </row>
    <row r="24" spans="2:28" s="2" customFormat="1" ht="20" x14ac:dyDescent="0.2">
      <c r="B24" s="108" t="s">
        <v>301</v>
      </c>
      <c r="C24" s="35" t="s">
        <v>75</v>
      </c>
      <c r="D24" s="35" t="s">
        <v>762</v>
      </c>
      <c r="E24" s="109">
        <v>1</v>
      </c>
      <c r="F24" s="108" t="s">
        <v>371</v>
      </c>
      <c r="G24" s="188">
        <v>12</v>
      </c>
      <c r="H24" s="188">
        <f t="shared" si="0"/>
        <v>7.4074074074074066</v>
      </c>
      <c r="I24" s="188">
        <v>130.78</v>
      </c>
      <c r="J24" s="188">
        <f t="shared" si="1"/>
        <v>80.728395061728392</v>
      </c>
      <c r="K24" s="109">
        <v>115</v>
      </c>
      <c r="L24" s="223">
        <f>_xlfn.XLOOKUP($K24,Inputs!$C$6:$C$23,Inputs!$D$6:$D$23)*$I24</f>
        <v>54.553942857142857</v>
      </c>
      <c r="M24" s="224">
        <f t="shared" si="2"/>
        <v>2.3425129451294806</v>
      </c>
      <c r="N24" s="100"/>
      <c r="O24" s="100"/>
      <c r="P24" s="100"/>
      <c r="Q24" s="100"/>
      <c r="R24" s="100"/>
      <c r="S24" s="225">
        <f>_xlfn.XLOOKUP($K24,Inputs!$G$6:$G$23,Inputs!$J$6:$J$23)*$M24</f>
        <v>76.872788335824779</v>
      </c>
      <c r="T24" s="225">
        <f>_xlfn.XLOOKUP($K24,Inputs!$G$6:$G$23,Inputs!$K$6:$K$23)*$M24</f>
        <v>84.644081145730553</v>
      </c>
      <c r="U24" s="108" t="s">
        <v>856</v>
      </c>
      <c r="V24" s="107" t="s">
        <v>1042</v>
      </c>
      <c r="W24" s="108" t="s">
        <v>857</v>
      </c>
      <c r="X24" s="107" t="s">
        <v>1076</v>
      </c>
      <c r="Y24" s="11"/>
      <c r="Z24" s="104"/>
      <c r="AA24" s="104"/>
      <c r="AB24" s="59">
        <v>19</v>
      </c>
    </row>
    <row r="25" spans="2:28" s="2" customFormat="1" ht="20" x14ac:dyDescent="0.2">
      <c r="B25" s="108" t="s">
        <v>301</v>
      </c>
      <c r="C25" s="35" t="s">
        <v>75</v>
      </c>
      <c r="D25" s="35" t="s">
        <v>762</v>
      </c>
      <c r="E25" s="109">
        <v>1</v>
      </c>
      <c r="F25" s="108" t="s">
        <v>371</v>
      </c>
      <c r="G25" s="188">
        <v>33</v>
      </c>
      <c r="H25" s="188">
        <f t="shared" si="0"/>
        <v>20.37037037037037</v>
      </c>
      <c r="I25" s="188">
        <v>130.78</v>
      </c>
      <c r="J25" s="188">
        <f t="shared" si="1"/>
        <v>80.728395061728392</v>
      </c>
      <c r="K25" s="109">
        <v>115</v>
      </c>
      <c r="L25" s="223">
        <f>_xlfn.XLOOKUP($K25,Inputs!$C$6:$C$23,Inputs!$D$6:$D$23)*$I25</f>
        <v>54.553942857142857</v>
      </c>
      <c r="M25" s="224">
        <f t="shared" si="2"/>
        <v>2.3425129451294806</v>
      </c>
      <c r="N25" s="100"/>
      <c r="O25" s="100"/>
      <c r="P25" s="100"/>
      <c r="Q25" s="100"/>
      <c r="R25" s="100"/>
      <c r="S25" s="225">
        <f>_xlfn.XLOOKUP($K25,Inputs!$G$6:$G$23,Inputs!$J$6:$J$23)*$M25</f>
        <v>76.872788335824779</v>
      </c>
      <c r="T25" s="225">
        <f>_xlfn.XLOOKUP($K25,Inputs!$G$6:$G$23,Inputs!$K$6:$K$23)*$M25</f>
        <v>84.644081145730553</v>
      </c>
      <c r="U25" s="108" t="s">
        <v>857</v>
      </c>
      <c r="V25" s="107" t="s">
        <v>1076</v>
      </c>
      <c r="W25" s="108" t="s">
        <v>656</v>
      </c>
      <c r="X25" s="107" t="s">
        <v>1143</v>
      </c>
      <c r="Y25" s="11"/>
      <c r="Z25" s="104"/>
      <c r="AA25" s="104"/>
      <c r="AB25" s="59">
        <v>20</v>
      </c>
    </row>
    <row r="26" spans="2:28" s="2" customFormat="1" ht="20" x14ac:dyDescent="0.2">
      <c r="B26" s="108" t="s">
        <v>302</v>
      </c>
      <c r="C26" s="35" t="s">
        <v>75</v>
      </c>
      <c r="D26" s="35" t="s">
        <v>762</v>
      </c>
      <c r="E26" s="109">
        <v>1</v>
      </c>
      <c r="F26" s="108" t="s">
        <v>371</v>
      </c>
      <c r="G26" s="188">
        <v>50.78</v>
      </c>
      <c r="H26" s="188">
        <f t="shared" si="0"/>
        <v>31.345679012345677</v>
      </c>
      <c r="I26" s="188">
        <v>130.78</v>
      </c>
      <c r="J26" s="188">
        <f t="shared" si="1"/>
        <v>80.728395061728392</v>
      </c>
      <c r="K26" s="109">
        <v>115</v>
      </c>
      <c r="L26" s="223">
        <f>_xlfn.XLOOKUP($K26,Inputs!$C$6:$C$23,Inputs!$D$6:$D$23)*$I26</f>
        <v>54.553942857142857</v>
      </c>
      <c r="M26" s="224">
        <f t="shared" si="2"/>
        <v>2.3425129451294806</v>
      </c>
      <c r="N26" s="100"/>
      <c r="O26" s="100"/>
      <c r="P26" s="100"/>
      <c r="Q26" s="100"/>
      <c r="R26" s="100"/>
      <c r="S26" s="225">
        <f>_xlfn.XLOOKUP($K26,Inputs!$G$6:$G$23,Inputs!$J$6:$J$23)*$M26</f>
        <v>76.872788335824779</v>
      </c>
      <c r="T26" s="225">
        <f>_xlfn.XLOOKUP($K26,Inputs!$G$6:$G$23,Inputs!$K$6:$K$23)*$M26</f>
        <v>84.644081145730553</v>
      </c>
      <c r="U26" s="108" t="s">
        <v>745</v>
      </c>
      <c r="V26" s="107" t="s">
        <v>1020</v>
      </c>
      <c r="W26" s="108" t="s">
        <v>858</v>
      </c>
      <c r="X26" s="107" t="s">
        <v>1048</v>
      </c>
      <c r="Y26" s="11"/>
      <c r="Z26" s="104"/>
      <c r="AA26" s="104"/>
      <c r="AB26" s="59">
        <v>21</v>
      </c>
    </row>
    <row r="27" spans="2:28" s="2" customFormat="1" ht="20" x14ac:dyDescent="0.2">
      <c r="B27" s="108" t="s">
        <v>302</v>
      </c>
      <c r="C27" s="35" t="s">
        <v>75</v>
      </c>
      <c r="D27" s="35" t="s">
        <v>762</v>
      </c>
      <c r="E27" s="109">
        <v>1</v>
      </c>
      <c r="F27" s="108" t="s">
        <v>371</v>
      </c>
      <c r="G27" s="188">
        <v>35</v>
      </c>
      <c r="H27" s="188">
        <f t="shared" si="0"/>
        <v>21.604938271604937</v>
      </c>
      <c r="I27" s="188">
        <v>130.78</v>
      </c>
      <c r="J27" s="188">
        <f t="shared" si="1"/>
        <v>80.728395061728392</v>
      </c>
      <c r="K27" s="109">
        <v>115</v>
      </c>
      <c r="L27" s="223">
        <f>_xlfn.XLOOKUP($K27,Inputs!$C$6:$C$23,Inputs!$D$6:$D$23)*$I27</f>
        <v>54.553942857142857</v>
      </c>
      <c r="M27" s="224">
        <f t="shared" si="2"/>
        <v>2.3425129451294806</v>
      </c>
      <c r="N27" s="100"/>
      <c r="O27" s="100"/>
      <c r="P27" s="100"/>
      <c r="Q27" s="100"/>
      <c r="R27" s="100"/>
      <c r="S27" s="225">
        <f>_xlfn.XLOOKUP($K27,Inputs!$G$6:$G$23,Inputs!$J$6:$J$23)*$M27</f>
        <v>76.872788335824779</v>
      </c>
      <c r="T27" s="225">
        <f>_xlfn.XLOOKUP($K27,Inputs!$G$6:$G$23,Inputs!$K$6:$K$23)*$M27</f>
        <v>84.644081145730553</v>
      </c>
      <c r="U27" s="108" t="s">
        <v>858</v>
      </c>
      <c r="V27" s="107" t="s">
        <v>1048</v>
      </c>
      <c r="W27" s="108" t="s">
        <v>856</v>
      </c>
      <c r="X27" s="107" t="s">
        <v>1042</v>
      </c>
      <c r="Y27" s="11"/>
      <c r="Z27" s="104"/>
      <c r="AA27" s="104"/>
      <c r="AB27" s="59">
        <v>22</v>
      </c>
    </row>
    <row r="28" spans="2:28" s="2" customFormat="1" ht="20" x14ac:dyDescent="0.2">
      <c r="B28" s="108" t="s">
        <v>302</v>
      </c>
      <c r="C28" s="35" t="s">
        <v>75</v>
      </c>
      <c r="D28" s="35" t="s">
        <v>762</v>
      </c>
      <c r="E28" s="109">
        <v>1</v>
      </c>
      <c r="F28" s="108" t="s">
        <v>371</v>
      </c>
      <c r="G28" s="188">
        <v>12</v>
      </c>
      <c r="H28" s="188">
        <f t="shared" si="0"/>
        <v>7.4074074074074066</v>
      </c>
      <c r="I28" s="188">
        <v>130.78</v>
      </c>
      <c r="J28" s="188">
        <f t="shared" si="1"/>
        <v>80.728395061728392</v>
      </c>
      <c r="K28" s="109">
        <v>115</v>
      </c>
      <c r="L28" s="223">
        <f>_xlfn.XLOOKUP($K28,Inputs!$C$6:$C$23,Inputs!$D$6:$D$23)*$I28</f>
        <v>54.553942857142857</v>
      </c>
      <c r="M28" s="224">
        <f t="shared" si="2"/>
        <v>2.3425129451294806</v>
      </c>
      <c r="N28" s="100"/>
      <c r="O28" s="100"/>
      <c r="P28" s="100"/>
      <c r="Q28" s="100"/>
      <c r="R28" s="100"/>
      <c r="S28" s="225">
        <f>_xlfn.XLOOKUP($K28,Inputs!$G$6:$G$23,Inputs!$J$6:$J$23)*$M28</f>
        <v>76.872788335824779</v>
      </c>
      <c r="T28" s="225">
        <f>_xlfn.XLOOKUP($K28,Inputs!$G$6:$G$23,Inputs!$K$6:$K$23)*$M28</f>
        <v>84.644081145730553</v>
      </c>
      <c r="U28" s="108" t="s">
        <v>856</v>
      </c>
      <c r="V28" s="107" t="s">
        <v>1042</v>
      </c>
      <c r="W28" s="108" t="s">
        <v>857</v>
      </c>
      <c r="X28" s="107" t="s">
        <v>1076</v>
      </c>
      <c r="Y28" s="11"/>
      <c r="Z28" s="104"/>
      <c r="AA28" s="104"/>
      <c r="AB28" s="59">
        <v>23</v>
      </c>
    </row>
    <row r="29" spans="2:28" s="2" customFormat="1" ht="20" x14ac:dyDescent="0.2">
      <c r="B29" s="108" t="s">
        <v>302</v>
      </c>
      <c r="C29" s="35" t="s">
        <v>75</v>
      </c>
      <c r="D29" s="35" t="s">
        <v>762</v>
      </c>
      <c r="E29" s="109">
        <v>1</v>
      </c>
      <c r="F29" s="108" t="s">
        <v>371</v>
      </c>
      <c r="G29" s="188">
        <v>33</v>
      </c>
      <c r="H29" s="188">
        <f t="shared" si="0"/>
        <v>20.37037037037037</v>
      </c>
      <c r="I29" s="188">
        <v>130.78</v>
      </c>
      <c r="J29" s="188">
        <f t="shared" si="1"/>
        <v>80.728395061728392</v>
      </c>
      <c r="K29" s="109">
        <v>115</v>
      </c>
      <c r="L29" s="223">
        <f>_xlfn.XLOOKUP($K29,Inputs!$C$6:$C$23,Inputs!$D$6:$D$23)*$I29</f>
        <v>54.553942857142857</v>
      </c>
      <c r="M29" s="224">
        <f t="shared" si="2"/>
        <v>2.3425129451294806</v>
      </c>
      <c r="N29" s="100"/>
      <c r="O29" s="100"/>
      <c r="P29" s="100"/>
      <c r="Q29" s="100"/>
      <c r="R29" s="100"/>
      <c r="S29" s="225">
        <f>_xlfn.XLOOKUP($K29,Inputs!$G$6:$G$23,Inputs!$J$6:$J$23)*$M29</f>
        <v>76.872788335824779</v>
      </c>
      <c r="T29" s="225">
        <f>_xlfn.XLOOKUP($K29,Inputs!$G$6:$G$23,Inputs!$K$6:$K$23)*$M29</f>
        <v>84.644081145730553</v>
      </c>
      <c r="U29" s="108" t="s">
        <v>857</v>
      </c>
      <c r="V29" s="107" t="s">
        <v>1076</v>
      </c>
      <c r="W29" s="108" t="s">
        <v>656</v>
      </c>
      <c r="X29" s="107" t="s">
        <v>1143</v>
      </c>
      <c r="Y29" s="11"/>
      <c r="Z29" s="104"/>
      <c r="AA29" s="104"/>
      <c r="AB29" s="59">
        <v>24</v>
      </c>
    </row>
    <row r="30" spans="2:28" s="2" customFormat="1" ht="20" x14ac:dyDescent="0.2">
      <c r="B30" s="108" t="s">
        <v>222</v>
      </c>
      <c r="C30" s="35" t="s">
        <v>75</v>
      </c>
      <c r="D30" s="35" t="s">
        <v>762</v>
      </c>
      <c r="E30" s="109">
        <v>1</v>
      </c>
      <c r="F30" s="108" t="s">
        <v>371</v>
      </c>
      <c r="G30" s="188">
        <v>50.31</v>
      </c>
      <c r="H30" s="188">
        <f t="shared" si="0"/>
        <v>31.055555555555554</v>
      </c>
      <c r="I30" s="188">
        <v>120.31</v>
      </c>
      <c r="J30" s="188">
        <f t="shared" si="1"/>
        <v>74.26543209876543</v>
      </c>
      <c r="K30" s="109">
        <v>230</v>
      </c>
      <c r="L30" s="223">
        <f>_xlfn.XLOOKUP($K30,Inputs!$C$6:$C$23,Inputs!$D$6:$D$23)*$I30</f>
        <v>57.748799999999996</v>
      </c>
      <c r="M30" s="224">
        <f t="shared" si="2"/>
        <v>2.4750388473762248</v>
      </c>
      <c r="N30" s="100"/>
      <c r="O30" s="100"/>
      <c r="P30" s="100"/>
      <c r="Q30" s="100"/>
      <c r="R30" s="100"/>
      <c r="S30" s="225">
        <f>_xlfn.XLOOKUP($K30,Inputs!$G$6:$G$23,Inputs!$J$6:$J$23)*$M30</f>
        <v>331.65520554841413</v>
      </c>
      <c r="T30" s="225">
        <f>_xlfn.XLOOKUP($K30,Inputs!$G$6:$G$23,Inputs!$K$6:$K$23)*$M30</f>
        <v>358.88063286955258</v>
      </c>
      <c r="U30" s="108" t="s">
        <v>715</v>
      </c>
      <c r="V30" s="107" t="s">
        <v>1049</v>
      </c>
      <c r="W30" s="108" t="s">
        <v>788</v>
      </c>
      <c r="X30" s="107" t="s">
        <v>1106</v>
      </c>
      <c r="Y30" s="104"/>
      <c r="Z30" s="104"/>
      <c r="AA30" s="104"/>
      <c r="AB30" s="59">
        <v>25</v>
      </c>
    </row>
    <row r="31" spans="2:28" s="2" customFormat="1" ht="20" x14ac:dyDescent="0.2">
      <c r="B31" s="108" t="s">
        <v>222</v>
      </c>
      <c r="C31" s="35" t="s">
        <v>75</v>
      </c>
      <c r="D31" s="35" t="s">
        <v>762</v>
      </c>
      <c r="E31" s="109">
        <v>1</v>
      </c>
      <c r="F31" s="108" t="s">
        <v>371</v>
      </c>
      <c r="G31" s="188">
        <v>70</v>
      </c>
      <c r="H31" s="188">
        <f t="shared" si="0"/>
        <v>43.209876543209873</v>
      </c>
      <c r="I31" s="188">
        <v>120.31</v>
      </c>
      <c r="J31" s="188">
        <f t="shared" si="1"/>
        <v>74.26543209876543</v>
      </c>
      <c r="K31" s="109">
        <v>230</v>
      </c>
      <c r="L31" s="223">
        <f>_xlfn.XLOOKUP($K31,Inputs!$C$6:$C$23,Inputs!$D$6:$D$23)*$I31</f>
        <v>57.748799999999996</v>
      </c>
      <c r="M31" s="224">
        <f t="shared" si="2"/>
        <v>2.4750388473762248</v>
      </c>
      <c r="N31" s="100"/>
      <c r="O31" s="100"/>
      <c r="P31" s="100"/>
      <c r="Q31" s="100"/>
      <c r="R31" s="100"/>
      <c r="S31" s="225">
        <f>_xlfn.XLOOKUP($K31,Inputs!$G$6:$G$23,Inputs!$J$6:$J$23)*$M31</f>
        <v>331.65520554841413</v>
      </c>
      <c r="T31" s="225">
        <f>_xlfn.XLOOKUP($K31,Inputs!$G$6:$G$23,Inputs!$K$6:$K$23)*$M31</f>
        <v>358.88063286955258</v>
      </c>
      <c r="U31" s="108" t="s">
        <v>788</v>
      </c>
      <c r="V31" s="107" t="s">
        <v>1106</v>
      </c>
      <c r="W31" s="108" t="s">
        <v>657</v>
      </c>
      <c r="X31" s="107" t="s">
        <v>1097</v>
      </c>
      <c r="Y31" s="11"/>
      <c r="Z31" s="104"/>
      <c r="AA31" s="104"/>
      <c r="AB31" s="59">
        <v>26</v>
      </c>
    </row>
    <row r="32" spans="2:28" s="2" customFormat="1" ht="20" x14ac:dyDescent="0.2">
      <c r="B32" s="108" t="s">
        <v>303</v>
      </c>
      <c r="C32" s="35" t="s">
        <v>75</v>
      </c>
      <c r="D32" s="35" t="s">
        <v>762</v>
      </c>
      <c r="E32" s="109">
        <v>1</v>
      </c>
      <c r="F32" s="108" t="s">
        <v>371</v>
      </c>
      <c r="G32" s="110">
        <v>0.29160000000000003</v>
      </c>
      <c r="H32" s="110">
        <f t="shared" si="0"/>
        <v>0.18</v>
      </c>
      <c r="I32" s="110">
        <v>0.29160000000000003</v>
      </c>
      <c r="J32" s="110">
        <f t="shared" si="1"/>
        <v>0.18</v>
      </c>
      <c r="K32" s="109">
        <v>115</v>
      </c>
      <c r="L32" s="223">
        <f>_xlfn.XLOOKUP($K32,Inputs!$C$6:$C$23,Inputs!$D$6:$D$23)*$I32</f>
        <v>0.12163885714285716</v>
      </c>
      <c r="M32" s="224">
        <f t="shared" si="2"/>
        <v>3</v>
      </c>
      <c r="N32" s="100"/>
      <c r="O32" s="100"/>
      <c r="P32" s="100"/>
      <c r="Q32" s="100"/>
      <c r="R32" s="100"/>
      <c r="S32" s="225">
        <f>_xlfn.XLOOKUP($K32,Inputs!$G$6:$G$23,Inputs!$J$6:$J$23)*$M32</f>
        <v>98.449131513647643</v>
      </c>
      <c r="T32" s="225">
        <f>_xlfn.XLOOKUP($K32,Inputs!$G$6:$G$23,Inputs!$K$6:$K$23)*$M32</f>
        <v>108.40163934426229</v>
      </c>
      <c r="U32" s="108" t="s">
        <v>715</v>
      </c>
      <c r="V32" s="107" t="s">
        <v>1049</v>
      </c>
      <c r="W32" s="108" t="s">
        <v>746</v>
      </c>
      <c r="X32" s="107" t="s">
        <v>1020</v>
      </c>
      <c r="Y32" s="11"/>
      <c r="Z32" s="11"/>
      <c r="AA32" s="11"/>
      <c r="AB32" s="59">
        <v>27</v>
      </c>
    </row>
    <row r="33" spans="2:28" s="2" customFormat="1" ht="20" x14ac:dyDescent="0.2">
      <c r="B33" s="108" t="s">
        <v>304</v>
      </c>
      <c r="C33" s="35" t="s">
        <v>75</v>
      </c>
      <c r="D33" s="35" t="s">
        <v>762</v>
      </c>
      <c r="E33" s="109">
        <v>1</v>
      </c>
      <c r="F33" s="108" t="s">
        <v>371</v>
      </c>
      <c r="G33" s="110">
        <v>0.29160000000000003</v>
      </c>
      <c r="H33" s="110">
        <f t="shared" si="0"/>
        <v>0.18</v>
      </c>
      <c r="I33" s="110">
        <v>0.29160000000000003</v>
      </c>
      <c r="J33" s="110">
        <f t="shared" si="1"/>
        <v>0.18</v>
      </c>
      <c r="K33" s="109">
        <v>115</v>
      </c>
      <c r="L33" s="223">
        <f>_xlfn.XLOOKUP($K33,Inputs!$C$6:$C$23,Inputs!$D$6:$D$23)*$I33</f>
        <v>0.12163885714285716</v>
      </c>
      <c r="M33" s="224">
        <f t="shared" si="2"/>
        <v>3</v>
      </c>
      <c r="N33" s="100"/>
      <c r="O33" s="100"/>
      <c r="P33" s="100"/>
      <c r="Q33" s="100"/>
      <c r="R33" s="100"/>
      <c r="S33" s="225">
        <f>_xlfn.XLOOKUP($K33,Inputs!$G$6:$G$23,Inputs!$J$6:$J$23)*$M33</f>
        <v>98.449131513647643</v>
      </c>
      <c r="T33" s="225">
        <f>_xlfn.XLOOKUP($K33,Inputs!$G$6:$G$23,Inputs!$K$6:$K$23)*$M33</f>
        <v>108.40163934426229</v>
      </c>
      <c r="U33" s="108" t="s">
        <v>715</v>
      </c>
      <c r="V33" s="107" t="s">
        <v>1049</v>
      </c>
      <c r="W33" s="108" t="s">
        <v>746</v>
      </c>
      <c r="X33" s="107" t="s">
        <v>1020</v>
      </c>
      <c r="Y33" s="11"/>
      <c r="Z33" s="11"/>
      <c r="AA33" s="11"/>
      <c r="AB33" s="59">
        <v>28</v>
      </c>
    </row>
    <row r="34" spans="2:28" s="2" customFormat="1" ht="20" x14ac:dyDescent="0.2">
      <c r="B34" s="108" t="s">
        <v>305</v>
      </c>
      <c r="C34" s="35" t="s">
        <v>75</v>
      </c>
      <c r="D34" s="35" t="s">
        <v>762</v>
      </c>
      <c r="E34" s="109">
        <v>1</v>
      </c>
      <c r="F34" s="108" t="s">
        <v>371</v>
      </c>
      <c r="G34" s="110">
        <v>0.29160000000000003</v>
      </c>
      <c r="H34" s="110">
        <f t="shared" si="0"/>
        <v>0.18</v>
      </c>
      <c r="I34" s="110">
        <v>0.29160000000000003</v>
      </c>
      <c r="J34" s="110">
        <f t="shared" si="1"/>
        <v>0.18</v>
      </c>
      <c r="K34" s="109">
        <v>115</v>
      </c>
      <c r="L34" s="223">
        <f>_xlfn.XLOOKUP($K34,Inputs!$C$6:$C$23,Inputs!$D$6:$D$23)*$I34</f>
        <v>0.12163885714285716</v>
      </c>
      <c r="M34" s="224">
        <f t="shared" si="2"/>
        <v>3</v>
      </c>
      <c r="N34" s="100"/>
      <c r="O34" s="100"/>
      <c r="P34" s="100"/>
      <c r="Q34" s="100"/>
      <c r="R34" s="100"/>
      <c r="S34" s="225">
        <f>_xlfn.XLOOKUP($K34,Inputs!$G$6:$G$23,Inputs!$J$6:$J$23)*$M34</f>
        <v>98.449131513647643</v>
      </c>
      <c r="T34" s="225">
        <f>_xlfn.XLOOKUP($K34,Inputs!$G$6:$G$23,Inputs!$K$6:$K$23)*$M34</f>
        <v>108.40163934426229</v>
      </c>
      <c r="U34" s="108" t="s">
        <v>715</v>
      </c>
      <c r="V34" s="107" t="s">
        <v>1049</v>
      </c>
      <c r="W34" s="108" t="s">
        <v>746</v>
      </c>
      <c r="X34" s="107" t="s">
        <v>1020</v>
      </c>
      <c r="Y34" s="11"/>
      <c r="Z34" s="11"/>
      <c r="AA34" s="11"/>
      <c r="AB34" s="59">
        <v>29</v>
      </c>
    </row>
    <row r="35" spans="2:28" s="2" customFormat="1" ht="20" x14ac:dyDescent="0.2">
      <c r="B35" s="108" t="s">
        <v>306</v>
      </c>
      <c r="C35" s="35" t="s">
        <v>75</v>
      </c>
      <c r="D35" s="35" t="s">
        <v>762</v>
      </c>
      <c r="E35" s="109">
        <v>1</v>
      </c>
      <c r="F35" s="108" t="s">
        <v>371</v>
      </c>
      <c r="G35" s="110">
        <v>0.29160000000000003</v>
      </c>
      <c r="H35" s="110">
        <f t="shared" si="0"/>
        <v>0.18</v>
      </c>
      <c r="I35" s="110">
        <v>0.29160000000000003</v>
      </c>
      <c r="J35" s="110">
        <f t="shared" si="1"/>
        <v>0.18</v>
      </c>
      <c r="K35" s="109">
        <v>115</v>
      </c>
      <c r="L35" s="223">
        <f>_xlfn.XLOOKUP($K35,Inputs!$C$6:$C$23,Inputs!$D$6:$D$23)*$I35</f>
        <v>0.12163885714285716</v>
      </c>
      <c r="M35" s="224">
        <f t="shared" si="2"/>
        <v>3</v>
      </c>
      <c r="N35" s="100"/>
      <c r="O35" s="100"/>
      <c r="P35" s="100"/>
      <c r="Q35" s="100"/>
      <c r="R35" s="100"/>
      <c r="S35" s="225">
        <f>_xlfn.XLOOKUP($K35,Inputs!$G$6:$G$23,Inputs!$J$6:$J$23)*$M35</f>
        <v>98.449131513647643</v>
      </c>
      <c r="T35" s="225">
        <f>_xlfn.XLOOKUP($K35,Inputs!$G$6:$G$23,Inputs!$K$6:$K$23)*$M35</f>
        <v>108.40163934426229</v>
      </c>
      <c r="U35" s="108" t="s">
        <v>715</v>
      </c>
      <c r="V35" s="107" t="s">
        <v>1049</v>
      </c>
      <c r="W35" s="108" t="s">
        <v>746</v>
      </c>
      <c r="X35" s="107" t="s">
        <v>1020</v>
      </c>
      <c r="Y35" s="11"/>
      <c r="Z35" s="11"/>
      <c r="AA35" s="11"/>
      <c r="AB35" s="59">
        <v>30</v>
      </c>
    </row>
    <row r="36" spans="2:28" s="2" customFormat="1" ht="20" x14ac:dyDescent="0.2">
      <c r="B36" s="108" t="s">
        <v>307</v>
      </c>
      <c r="C36" s="35" t="s">
        <v>75</v>
      </c>
      <c r="D36" s="35" t="s">
        <v>762</v>
      </c>
      <c r="E36" s="109">
        <v>1</v>
      </c>
      <c r="F36" s="108" t="s">
        <v>371</v>
      </c>
      <c r="G36" s="188">
        <v>30</v>
      </c>
      <c r="H36" s="188">
        <f t="shared" si="0"/>
        <v>18.518518518518519</v>
      </c>
      <c r="I36" s="188">
        <v>188</v>
      </c>
      <c r="J36" s="188">
        <f t="shared" si="1"/>
        <v>116.04938271604938</v>
      </c>
      <c r="K36" s="109">
        <v>115</v>
      </c>
      <c r="L36" s="223">
        <f>_xlfn.XLOOKUP($K36,Inputs!$C$6:$C$23,Inputs!$D$6:$D$23)*$I36</f>
        <v>78.42285714285714</v>
      </c>
      <c r="M36" s="224">
        <f t="shared" si="2"/>
        <v>1.8438853215987852</v>
      </c>
      <c r="N36" s="100"/>
      <c r="O36" s="100"/>
      <c r="P36" s="100"/>
      <c r="Q36" s="100"/>
      <c r="R36" s="100"/>
      <c r="S36" s="225">
        <f>_xlfn.XLOOKUP($K36,Inputs!$G$6:$G$23,Inputs!$J$6:$J$23)*$M36</f>
        <v>60.509636174054428</v>
      </c>
      <c r="T36" s="225">
        <f>_xlfn.XLOOKUP($K36,Inputs!$G$6:$G$23,Inputs!$K$6:$K$23)*$M36</f>
        <v>66.626730541376872</v>
      </c>
      <c r="U36" s="108" t="s">
        <v>716</v>
      </c>
      <c r="V36" s="107" t="s">
        <v>1091</v>
      </c>
      <c r="W36" s="108" t="s">
        <v>875</v>
      </c>
      <c r="X36" s="107" t="s">
        <v>1111</v>
      </c>
      <c r="Y36" s="11"/>
      <c r="Z36" s="11"/>
      <c r="AA36" s="11"/>
      <c r="AB36" s="59">
        <v>31</v>
      </c>
    </row>
    <row r="37" spans="2:28" s="2" customFormat="1" ht="20" x14ac:dyDescent="0.2">
      <c r="B37" s="108" t="s">
        <v>307</v>
      </c>
      <c r="C37" s="35" t="s">
        <v>75</v>
      </c>
      <c r="D37" s="35" t="s">
        <v>762</v>
      </c>
      <c r="E37" s="109">
        <v>1</v>
      </c>
      <c r="F37" s="108" t="s">
        <v>371</v>
      </c>
      <c r="G37" s="188">
        <v>18</v>
      </c>
      <c r="H37" s="188">
        <f t="shared" si="0"/>
        <v>11.111111111111111</v>
      </c>
      <c r="I37" s="188">
        <v>188</v>
      </c>
      <c r="J37" s="188">
        <f t="shared" si="1"/>
        <v>116.04938271604938</v>
      </c>
      <c r="K37" s="109">
        <v>115</v>
      </c>
      <c r="L37" s="223">
        <f>_xlfn.XLOOKUP($K37,Inputs!$C$6:$C$23,Inputs!$D$6:$D$23)*$I37</f>
        <v>78.42285714285714</v>
      </c>
      <c r="M37" s="224">
        <f t="shared" si="2"/>
        <v>1.8438853215987852</v>
      </c>
      <c r="N37" s="100"/>
      <c r="O37" s="100"/>
      <c r="P37" s="100"/>
      <c r="Q37" s="100"/>
      <c r="R37" s="100"/>
      <c r="S37" s="225">
        <f>_xlfn.XLOOKUP($K37,Inputs!$G$6:$G$23,Inputs!$J$6:$J$23)*$M37</f>
        <v>60.509636174054428</v>
      </c>
      <c r="T37" s="225">
        <f>_xlfn.XLOOKUP($K37,Inputs!$G$6:$G$23,Inputs!$K$6:$K$23)*$M37</f>
        <v>66.626730541376872</v>
      </c>
      <c r="U37" s="108" t="s">
        <v>875</v>
      </c>
      <c r="V37" s="107" t="s">
        <v>1111</v>
      </c>
      <c r="W37" s="108" t="s">
        <v>876</v>
      </c>
      <c r="X37" s="107" t="s">
        <v>1118</v>
      </c>
      <c r="Y37" s="11"/>
      <c r="Z37" s="11"/>
      <c r="AA37" s="11"/>
      <c r="AB37" s="59">
        <v>32</v>
      </c>
    </row>
    <row r="38" spans="2:28" s="2" customFormat="1" ht="20" x14ac:dyDescent="0.2">
      <c r="B38" s="108" t="s">
        <v>307</v>
      </c>
      <c r="C38" s="35" t="s">
        <v>75</v>
      </c>
      <c r="D38" s="35" t="s">
        <v>762</v>
      </c>
      <c r="E38" s="109">
        <v>1</v>
      </c>
      <c r="F38" s="108" t="s">
        <v>371</v>
      </c>
      <c r="G38" s="188">
        <v>140</v>
      </c>
      <c r="H38" s="188">
        <f t="shared" si="0"/>
        <v>86.419753086419746</v>
      </c>
      <c r="I38" s="188">
        <v>188</v>
      </c>
      <c r="J38" s="188">
        <f t="shared" si="1"/>
        <v>116.04938271604938</v>
      </c>
      <c r="K38" s="109">
        <v>115</v>
      </c>
      <c r="L38" s="223">
        <f>_xlfn.XLOOKUP($K38,Inputs!$C$6:$C$23,Inputs!$D$6:$D$23)*$I38</f>
        <v>78.42285714285714</v>
      </c>
      <c r="M38" s="224">
        <f t="shared" si="2"/>
        <v>1.8438853215987852</v>
      </c>
      <c r="N38" s="100"/>
      <c r="O38" s="100"/>
      <c r="P38" s="100"/>
      <c r="Q38" s="100"/>
      <c r="R38" s="100"/>
      <c r="S38" s="225">
        <f>_xlfn.XLOOKUP($K38,Inputs!$G$6:$G$23,Inputs!$J$6:$J$23)*$M38</f>
        <v>60.509636174054428</v>
      </c>
      <c r="T38" s="225">
        <f>_xlfn.XLOOKUP($K38,Inputs!$G$6:$G$23,Inputs!$K$6:$K$23)*$M38</f>
        <v>66.626730541376872</v>
      </c>
      <c r="U38" s="108" t="s">
        <v>876</v>
      </c>
      <c r="V38" s="107" t="s">
        <v>1118</v>
      </c>
      <c r="W38" s="108" t="s">
        <v>655</v>
      </c>
      <c r="X38" s="107" t="s">
        <v>1085</v>
      </c>
      <c r="Y38" s="11"/>
      <c r="Z38" s="11"/>
      <c r="AA38" s="11"/>
      <c r="AB38" s="59">
        <v>33</v>
      </c>
    </row>
    <row r="39" spans="2:28" s="2" customFormat="1" ht="20" x14ac:dyDescent="0.2">
      <c r="B39" s="189" t="s">
        <v>877</v>
      </c>
      <c r="C39" s="35" t="s">
        <v>75</v>
      </c>
      <c r="D39" s="35" t="s">
        <v>762</v>
      </c>
      <c r="E39" s="196">
        <v>1</v>
      </c>
      <c r="F39" s="189" t="s">
        <v>371</v>
      </c>
      <c r="G39" s="195">
        <v>15</v>
      </c>
      <c r="H39" s="195">
        <f t="shared" si="0"/>
        <v>9.2592592592592595</v>
      </c>
      <c r="I39" s="195">
        <v>100</v>
      </c>
      <c r="J39" s="195">
        <f t="shared" si="1"/>
        <v>61.728395061728392</v>
      </c>
      <c r="K39" s="196">
        <v>115</v>
      </c>
      <c r="L39" s="223">
        <f>_xlfn.XLOOKUP($K39,Inputs!$C$6:$C$23,Inputs!$D$6:$D$23)*$I39</f>
        <v>41.714285714285715</v>
      </c>
      <c r="M39" s="224">
        <f t="shared" si="2"/>
        <v>2.7960247325015302</v>
      </c>
      <c r="N39" s="100"/>
      <c r="O39" s="100"/>
      <c r="P39" s="100"/>
      <c r="Q39" s="100"/>
      <c r="R39" s="100"/>
      <c r="S39" s="225">
        <f>_xlfn.XLOOKUP($K39,Inputs!$G$6:$G$23,Inputs!$J$6:$J$23)*$M39</f>
        <v>91.755402201818214</v>
      </c>
      <c r="T39" s="225">
        <f>_xlfn.XLOOKUP($K39,Inputs!$G$6:$G$23,Inputs!$K$6:$K$23)*$M39</f>
        <v>101.03122155008946</v>
      </c>
      <c r="U39" s="189" t="s">
        <v>716</v>
      </c>
      <c r="V39" s="107" t="s">
        <v>1091</v>
      </c>
      <c r="W39" s="189" t="s">
        <v>797</v>
      </c>
      <c r="X39" s="107" t="s">
        <v>1112</v>
      </c>
      <c r="Y39" s="11"/>
      <c r="Z39" s="11"/>
      <c r="AA39" s="11"/>
      <c r="AB39" s="59">
        <v>34</v>
      </c>
    </row>
    <row r="40" spans="2:28" s="105" customFormat="1" ht="20" x14ac:dyDescent="0.2">
      <c r="B40" s="189" t="s">
        <v>877</v>
      </c>
      <c r="C40" s="35" t="s">
        <v>75</v>
      </c>
      <c r="D40" s="35" t="s">
        <v>762</v>
      </c>
      <c r="E40" s="196">
        <v>1</v>
      </c>
      <c r="F40" s="189" t="s">
        <v>371</v>
      </c>
      <c r="G40" s="195">
        <v>85</v>
      </c>
      <c r="H40" s="195">
        <f t="shared" si="0"/>
        <v>52.469135802469133</v>
      </c>
      <c r="I40" s="195">
        <v>100</v>
      </c>
      <c r="J40" s="195">
        <f t="shared" si="1"/>
        <v>61.728395061728392</v>
      </c>
      <c r="K40" s="196">
        <v>115</v>
      </c>
      <c r="L40" s="223">
        <f>_xlfn.XLOOKUP($K40,Inputs!$C$6:$C$23,Inputs!$D$6:$D$23)*$I40</f>
        <v>41.714285714285715</v>
      </c>
      <c r="M40" s="224">
        <f t="shared" si="2"/>
        <v>2.7960247325015302</v>
      </c>
      <c r="N40" s="100"/>
      <c r="O40" s="100"/>
      <c r="P40" s="100"/>
      <c r="Q40" s="100"/>
      <c r="R40" s="100"/>
      <c r="S40" s="225">
        <f>_xlfn.XLOOKUP($K40,Inputs!$G$6:$G$23,Inputs!$J$6:$J$23)*$M40</f>
        <v>91.755402201818214</v>
      </c>
      <c r="T40" s="225">
        <f>_xlfn.XLOOKUP($K40,Inputs!$G$6:$G$23,Inputs!$K$6:$K$23)*$M40</f>
        <v>101.03122155008946</v>
      </c>
      <c r="U40" s="189" t="s">
        <v>797</v>
      </c>
      <c r="V40" s="107" t="s">
        <v>1112</v>
      </c>
      <c r="W40" s="189" t="s">
        <v>656</v>
      </c>
      <c r="X40" s="107" t="s">
        <v>1143</v>
      </c>
      <c r="Y40" s="11"/>
      <c r="Z40" s="11"/>
      <c r="AA40" s="11"/>
      <c r="AB40" s="59">
        <v>35</v>
      </c>
    </row>
    <row r="41" spans="2:28" s="105" customFormat="1" ht="20" x14ac:dyDescent="0.2">
      <c r="B41" s="108" t="s">
        <v>308</v>
      </c>
      <c r="C41" s="35" t="s">
        <v>75</v>
      </c>
      <c r="D41" s="35" t="s">
        <v>762</v>
      </c>
      <c r="E41" s="109">
        <v>1</v>
      </c>
      <c r="F41" s="108" t="s">
        <v>371</v>
      </c>
      <c r="G41" s="110">
        <v>15.39</v>
      </c>
      <c r="H41" s="110">
        <f t="shared" si="0"/>
        <v>9.5</v>
      </c>
      <c r="I41" s="110">
        <v>15.39</v>
      </c>
      <c r="J41" s="110">
        <f t="shared" si="1"/>
        <v>9.5</v>
      </c>
      <c r="K41" s="109">
        <v>115</v>
      </c>
      <c r="L41" s="223">
        <f>_xlfn.XLOOKUP($K41,Inputs!$C$6:$C$23,Inputs!$D$6:$D$23)*$I41</f>
        <v>6.4198285714285719</v>
      </c>
      <c r="M41" s="224">
        <f t="shared" si="2"/>
        <v>3</v>
      </c>
      <c r="N41" s="100"/>
      <c r="O41" s="100"/>
      <c r="P41" s="100"/>
      <c r="Q41" s="100"/>
      <c r="R41" s="100"/>
      <c r="S41" s="225">
        <f>_xlfn.XLOOKUP($K41,Inputs!$G$6:$G$23,Inputs!$J$6:$J$23)*$M41</f>
        <v>98.449131513647643</v>
      </c>
      <c r="T41" s="225">
        <f>_xlfn.XLOOKUP($K41,Inputs!$G$6:$G$23,Inputs!$K$6:$K$23)*$M41</f>
        <v>108.40163934426229</v>
      </c>
      <c r="U41" s="108" t="s">
        <v>716</v>
      </c>
      <c r="V41" s="107" t="s">
        <v>1091</v>
      </c>
      <c r="W41" s="108" t="s">
        <v>658</v>
      </c>
      <c r="X41" s="107" t="s">
        <v>1103</v>
      </c>
      <c r="Y41" s="11"/>
      <c r="Z41" s="11"/>
      <c r="AA41" s="11"/>
      <c r="AB41" s="59">
        <v>36</v>
      </c>
    </row>
    <row r="42" spans="2:28" s="105" customFormat="1" ht="20" x14ac:dyDescent="0.2">
      <c r="B42" s="108" t="s">
        <v>309</v>
      </c>
      <c r="C42" s="35" t="s">
        <v>75</v>
      </c>
      <c r="D42" s="35" t="s">
        <v>762</v>
      </c>
      <c r="E42" s="109">
        <v>1</v>
      </c>
      <c r="F42" s="108" t="s">
        <v>371</v>
      </c>
      <c r="G42" s="110">
        <v>15.39</v>
      </c>
      <c r="H42" s="110">
        <f t="shared" si="0"/>
        <v>9.5</v>
      </c>
      <c r="I42" s="110">
        <v>15.39</v>
      </c>
      <c r="J42" s="110">
        <f t="shared" si="1"/>
        <v>9.5</v>
      </c>
      <c r="K42" s="109">
        <v>115</v>
      </c>
      <c r="L42" s="223">
        <f>_xlfn.XLOOKUP($K42,Inputs!$C$6:$C$23,Inputs!$D$6:$D$23)*$I42</f>
        <v>6.4198285714285719</v>
      </c>
      <c r="M42" s="224">
        <f t="shared" si="2"/>
        <v>3</v>
      </c>
      <c r="N42" s="100"/>
      <c r="O42" s="100"/>
      <c r="P42" s="100"/>
      <c r="Q42" s="100"/>
      <c r="R42" s="100"/>
      <c r="S42" s="225">
        <f>_xlfn.XLOOKUP($K42,Inputs!$G$6:$G$23,Inputs!$J$6:$J$23)*$M42</f>
        <v>98.449131513647643</v>
      </c>
      <c r="T42" s="225">
        <f>_xlfn.XLOOKUP($K42,Inputs!$G$6:$G$23,Inputs!$K$6:$K$23)*$M42</f>
        <v>108.40163934426229</v>
      </c>
      <c r="U42" s="108" t="s">
        <v>716</v>
      </c>
      <c r="V42" s="107" t="s">
        <v>1091</v>
      </c>
      <c r="W42" s="108" t="s">
        <v>658</v>
      </c>
      <c r="X42" s="107" t="s">
        <v>1103</v>
      </c>
      <c r="Y42" s="11"/>
      <c r="Z42" s="11"/>
      <c r="AA42" s="11"/>
      <c r="AB42" s="59">
        <v>37</v>
      </c>
    </row>
    <row r="43" spans="2:28" s="105" customFormat="1" ht="20" x14ac:dyDescent="0.2">
      <c r="B43" s="108" t="s">
        <v>310</v>
      </c>
      <c r="C43" s="35" t="s">
        <v>75</v>
      </c>
      <c r="D43" s="35" t="s">
        <v>762</v>
      </c>
      <c r="E43" s="109">
        <v>1</v>
      </c>
      <c r="F43" s="108" t="s">
        <v>371</v>
      </c>
      <c r="G43" s="110">
        <v>10.9512</v>
      </c>
      <c r="H43" s="110">
        <f t="shared" si="0"/>
        <v>6.76</v>
      </c>
      <c r="I43" s="110">
        <v>10.9512</v>
      </c>
      <c r="J43" s="110">
        <f t="shared" si="1"/>
        <v>6.76</v>
      </c>
      <c r="K43" s="109">
        <v>115</v>
      </c>
      <c r="L43" s="223">
        <f>_xlfn.XLOOKUP($K43,Inputs!$C$6:$C$23,Inputs!$D$6:$D$23)*$I43</f>
        <v>4.5682148571428574</v>
      </c>
      <c r="M43" s="224">
        <f t="shared" si="2"/>
        <v>3</v>
      </c>
      <c r="N43" s="100"/>
      <c r="O43" s="100"/>
      <c r="P43" s="100"/>
      <c r="Q43" s="100"/>
      <c r="R43" s="100"/>
      <c r="S43" s="225">
        <f>_xlfn.XLOOKUP($K43,Inputs!$G$6:$G$23,Inputs!$J$6:$J$23)*$M43</f>
        <v>98.449131513647643</v>
      </c>
      <c r="T43" s="225">
        <f>_xlfn.XLOOKUP($K43,Inputs!$G$6:$G$23,Inputs!$K$6:$K$23)*$M43</f>
        <v>108.40163934426229</v>
      </c>
      <c r="U43" s="108" t="s">
        <v>716</v>
      </c>
      <c r="V43" s="107" t="s">
        <v>1091</v>
      </c>
      <c r="W43" s="108" t="s">
        <v>659</v>
      </c>
      <c r="X43" s="107" t="s">
        <v>1101</v>
      </c>
      <c r="Y43" s="11"/>
      <c r="Z43" s="104"/>
      <c r="AA43" s="104"/>
      <c r="AB43" s="59">
        <v>38</v>
      </c>
    </row>
    <row r="44" spans="2:28" s="105" customFormat="1" ht="20" x14ac:dyDescent="0.2">
      <c r="B44" s="108" t="s">
        <v>223</v>
      </c>
      <c r="C44" s="35" t="s">
        <v>75</v>
      </c>
      <c r="D44" s="35" t="s">
        <v>762</v>
      </c>
      <c r="E44" s="109">
        <v>1</v>
      </c>
      <c r="F44" s="108" t="s">
        <v>371</v>
      </c>
      <c r="G44" s="110">
        <v>27.005400000000005</v>
      </c>
      <c r="H44" s="110">
        <f t="shared" si="0"/>
        <v>16.670000000000002</v>
      </c>
      <c r="I44" s="110">
        <v>27.005400000000005</v>
      </c>
      <c r="J44" s="110">
        <f t="shared" si="1"/>
        <v>16.670000000000002</v>
      </c>
      <c r="K44" s="109">
        <v>230</v>
      </c>
      <c r="L44" s="223">
        <f>_xlfn.XLOOKUP($K44,Inputs!$C$6:$C$23,Inputs!$D$6:$D$23)*$I44</f>
        <v>12.962592000000003</v>
      </c>
      <c r="M44" s="224">
        <f t="shared" si="2"/>
        <v>3</v>
      </c>
      <c r="N44" s="100"/>
      <c r="O44" s="100"/>
      <c r="P44" s="100"/>
      <c r="Q44" s="100"/>
      <c r="R44" s="100"/>
      <c r="S44" s="225">
        <f>_xlfn.XLOOKUP($K44,Inputs!$G$6:$G$23,Inputs!$J$6:$J$23)*$M44</f>
        <v>402</v>
      </c>
      <c r="T44" s="225">
        <f>_xlfn.XLOOKUP($K44,Inputs!$G$6:$G$23,Inputs!$K$6:$K$23)*$M44</f>
        <v>435</v>
      </c>
      <c r="U44" s="108" t="s">
        <v>647</v>
      </c>
      <c r="V44" s="107" t="s">
        <v>1054</v>
      </c>
      <c r="W44" s="108" t="s">
        <v>660</v>
      </c>
      <c r="X44" s="107" t="s">
        <v>1071</v>
      </c>
      <c r="Y44" s="11"/>
      <c r="Z44" s="11"/>
      <c r="AA44" s="11"/>
      <c r="AB44" s="59">
        <v>39</v>
      </c>
    </row>
    <row r="45" spans="2:28" s="105" customFormat="1" ht="20" x14ac:dyDescent="0.2">
      <c r="B45" s="108" t="s">
        <v>224</v>
      </c>
      <c r="C45" s="35" t="s">
        <v>75</v>
      </c>
      <c r="D45" s="35" t="s">
        <v>762</v>
      </c>
      <c r="E45" s="109">
        <v>1</v>
      </c>
      <c r="F45" s="108" t="s">
        <v>371</v>
      </c>
      <c r="G45" s="110">
        <v>66.662999999999997</v>
      </c>
      <c r="H45" s="110">
        <f t="shared" si="0"/>
        <v>41.15</v>
      </c>
      <c r="I45" s="110">
        <v>66.662999999999997</v>
      </c>
      <c r="J45" s="110">
        <f t="shared" si="1"/>
        <v>41.15</v>
      </c>
      <c r="K45" s="109">
        <v>230</v>
      </c>
      <c r="L45" s="223">
        <f>_xlfn.XLOOKUP($K45,Inputs!$C$6:$C$23,Inputs!$D$6:$D$23)*$I45</f>
        <v>31.998239999999996</v>
      </c>
      <c r="M45" s="224">
        <f t="shared" si="2"/>
        <v>3</v>
      </c>
      <c r="N45" s="100"/>
      <c r="O45" s="100"/>
      <c r="P45" s="100"/>
      <c r="Q45" s="100"/>
      <c r="R45" s="100"/>
      <c r="S45" s="225">
        <f>_xlfn.XLOOKUP($K45,Inputs!$G$6:$G$23,Inputs!$J$6:$J$23)*$M45</f>
        <v>402</v>
      </c>
      <c r="T45" s="225">
        <f>_xlfn.XLOOKUP($K45,Inputs!$G$6:$G$23,Inputs!$K$6:$K$23)*$M45</f>
        <v>435</v>
      </c>
      <c r="U45" s="108" t="s">
        <v>647</v>
      </c>
      <c r="V45" s="107" t="s">
        <v>1054</v>
      </c>
      <c r="W45" s="108" t="s">
        <v>644</v>
      </c>
      <c r="X45" s="107" t="s">
        <v>1093</v>
      </c>
      <c r="Y45" s="11"/>
      <c r="Z45" s="104"/>
      <c r="AA45" s="104"/>
      <c r="AB45" s="59">
        <v>40</v>
      </c>
    </row>
    <row r="46" spans="2:28" s="105" customFormat="1" ht="20" x14ac:dyDescent="0.2">
      <c r="B46" s="108" t="s">
        <v>225</v>
      </c>
      <c r="C46" s="35" t="s">
        <v>75</v>
      </c>
      <c r="D46" s="35" t="s">
        <v>762</v>
      </c>
      <c r="E46" s="109">
        <v>1</v>
      </c>
      <c r="F46" s="108" t="s">
        <v>371</v>
      </c>
      <c r="G46" s="110">
        <v>19.585800000000003</v>
      </c>
      <c r="H46" s="110">
        <f t="shared" si="0"/>
        <v>12.090000000000002</v>
      </c>
      <c r="I46" s="110">
        <v>19.585800000000003</v>
      </c>
      <c r="J46" s="110">
        <f t="shared" si="1"/>
        <v>12.090000000000002</v>
      </c>
      <c r="K46" s="109">
        <v>230</v>
      </c>
      <c r="L46" s="223">
        <f>_xlfn.XLOOKUP($K46,Inputs!$C$6:$C$23,Inputs!$D$6:$D$23)*$I46</f>
        <v>9.4011840000000007</v>
      </c>
      <c r="M46" s="224">
        <f t="shared" si="2"/>
        <v>3</v>
      </c>
      <c r="N46" s="100"/>
      <c r="O46" s="100"/>
      <c r="P46" s="100"/>
      <c r="Q46" s="100"/>
      <c r="R46" s="100"/>
      <c r="S46" s="225">
        <f>_xlfn.XLOOKUP($K46,Inputs!$G$6:$G$23,Inputs!$J$6:$J$23)*$M46</f>
        <v>402</v>
      </c>
      <c r="T46" s="225">
        <f>_xlfn.XLOOKUP($K46,Inputs!$G$6:$G$23,Inputs!$K$6:$K$23)*$M46</f>
        <v>435</v>
      </c>
      <c r="U46" s="108" t="s">
        <v>647</v>
      </c>
      <c r="V46" s="107" t="s">
        <v>1054</v>
      </c>
      <c r="W46" s="108" t="s">
        <v>658</v>
      </c>
      <c r="X46" s="107" t="s">
        <v>1103</v>
      </c>
      <c r="Y46" s="11"/>
      <c r="Z46" s="104"/>
      <c r="AA46" s="104"/>
      <c r="AB46" s="59">
        <v>41</v>
      </c>
    </row>
    <row r="47" spans="2:28" s="105" customFormat="1" ht="20" x14ac:dyDescent="0.2">
      <c r="B47" s="108" t="s">
        <v>226</v>
      </c>
      <c r="C47" s="35" t="s">
        <v>75</v>
      </c>
      <c r="D47" s="35" t="s">
        <v>762</v>
      </c>
      <c r="E47" s="109">
        <v>1</v>
      </c>
      <c r="F47" s="108" t="s">
        <v>371</v>
      </c>
      <c r="G47" s="110">
        <v>130.26420000000002</v>
      </c>
      <c r="H47" s="110">
        <f t="shared" si="0"/>
        <v>80.410000000000011</v>
      </c>
      <c r="I47" s="110">
        <v>130.26420000000002</v>
      </c>
      <c r="J47" s="110">
        <f t="shared" si="1"/>
        <v>80.410000000000011</v>
      </c>
      <c r="K47" s="109">
        <v>230</v>
      </c>
      <c r="L47" s="223">
        <f>_xlfn.XLOOKUP($K47,Inputs!$C$6:$C$23,Inputs!$D$6:$D$23)*$I47</f>
        <v>62.526816000000004</v>
      </c>
      <c r="M47" s="224">
        <f t="shared" si="2"/>
        <v>2.3486260339823946</v>
      </c>
      <c r="N47" s="100"/>
      <c r="O47" s="100"/>
      <c r="P47" s="100"/>
      <c r="Q47" s="100"/>
      <c r="R47" s="100"/>
      <c r="S47" s="225">
        <f>_xlfn.XLOOKUP($K47,Inputs!$G$6:$G$23,Inputs!$J$6:$J$23)*$M47</f>
        <v>314.71588855364087</v>
      </c>
      <c r="T47" s="225">
        <f>_xlfn.XLOOKUP($K47,Inputs!$G$6:$G$23,Inputs!$K$6:$K$23)*$M47</f>
        <v>340.55077492744721</v>
      </c>
      <c r="U47" s="108" t="s">
        <v>647</v>
      </c>
      <c r="V47" s="107" t="s">
        <v>1054</v>
      </c>
      <c r="W47" s="108" t="s">
        <v>747</v>
      </c>
      <c r="X47" s="107" t="s">
        <v>1036</v>
      </c>
      <c r="Y47" s="11"/>
      <c r="Z47" s="11"/>
      <c r="AA47" s="11"/>
      <c r="AB47" s="59">
        <v>42</v>
      </c>
    </row>
    <row r="48" spans="2:28" s="105" customFormat="1" ht="20" x14ac:dyDescent="0.2">
      <c r="B48" s="108" t="s">
        <v>227</v>
      </c>
      <c r="C48" s="35" t="s">
        <v>75</v>
      </c>
      <c r="D48" s="35" t="s">
        <v>762</v>
      </c>
      <c r="E48" s="109">
        <v>1</v>
      </c>
      <c r="F48" s="108" t="s">
        <v>371</v>
      </c>
      <c r="G48" s="110">
        <v>27.005400000000005</v>
      </c>
      <c r="H48" s="110">
        <f t="shared" si="0"/>
        <v>16.670000000000002</v>
      </c>
      <c r="I48" s="110">
        <v>27.005400000000005</v>
      </c>
      <c r="J48" s="110">
        <f t="shared" si="1"/>
        <v>16.670000000000002</v>
      </c>
      <c r="K48" s="109">
        <v>230</v>
      </c>
      <c r="L48" s="223">
        <f>_xlfn.XLOOKUP($K48,Inputs!$C$6:$C$23,Inputs!$D$6:$D$23)*$I48</f>
        <v>12.962592000000003</v>
      </c>
      <c r="M48" s="224">
        <f t="shared" si="2"/>
        <v>3</v>
      </c>
      <c r="N48" s="100"/>
      <c r="O48" s="100"/>
      <c r="P48" s="100"/>
      <c r="Q48" s="100"/>
      <c r="R48" s="100"/>
      <c r="S48" s="225">
        <f>_xlfn.XLOOKUP($K48,Inputs!$G$6:$G$23,Inputs!$J$6:$J$23)*$M48</f>
        <v>402</v>
      </c>
      <c r="T48" s="225">
        <f>_xlfn.XLOOKUP($K48,Inputs!$G$6:$G$23,Inputs!$K$6:$K$23)*$M48</f>
        <v>435</v>
      </c>
      <c r="U48" s="108" t="s">
        <v>647</v>
      </c>
      <c r="V48" s="107" t="s">
        <v>1054</v>
      </c>
      <c r="W48" s="108" t="s">
        <v>660</v>
      </c>
      <c r="X48" s="107" t="s">
        <v>1071</v>
      </c>
      <c r="Y48" s="11"/>
      <c r="Z48" s="11"/>
      <c r="AA48" s="11"/>
      <c r="AB48" s="59">
        <v>43</v>
      </c>
    </row>
    <row r="49" spans="2:28" s="105" customFormat="1" ht="20" x14ac:dyDescent="0.2">
      <c r="B49" s="108" t="s">
        <v>228</v>
      </c>
      <c r="C49" s="35" t="s">
        <v>75</v>
      </c>
      <c r="D49" s="35" t="s">
        <v>762</v>
      </c>
      <c r="E49" s="109">
        <v>1</v>
      </c>
      <c r="F49" s="108" t="s">
        <v>371</v>
      </c>
      <c r="G49" s="110">
        <v>19.585800000000003</v>
      </c>
      <c r="H49" s="110">
        <f t="shared" si="0"/>
        <v>12.090000000000002</v>
      </c>
      <c r="I49" s="110">
        <v>19.585800000000003</v>
      </c>
      <c r="J49" s="110">
        <f t="shared" si="1"/>
        <v>12.090000000000002</v>
      </c>
      <c r="K49" s="109">
        <v>230</v>
      </c>
      <c r="L49" s="223">
        <f>_xlfn.XLOOKUP($K49,Inputs!$C$6:$C$23,Inputs!$D$6:$D$23)*$I49</f>
        <v>9.4011840000000007</v>
      </c>
      <c r="M49" s="224">
        <f t="shared" si="2"/>
        <v>3</v>
      </c>
      <c r="N49" s="100"/>
      <c r="O49" s="100"/>
      <c r="P49" s="100"/>
      <c r="Q49" s="100"/>
      <c r="R49" s="100"/>
      <c r="S49" s="225">
        <f>_xlfn.XLOOKUP($K49,Inputs!$G$6:$G$23,Inputs!$J$6:$J$23)*$M49</f>
        <v>402</v>
      </c>
      <c r="T49" s="225">
        <f>_xlfn.XLOOKUP($K49,Inputs!$G$6:$G$23,Inputs!$K$6:$K$23)*$M49</f>
        <v>435</v>
      </c>
      <c r="U49" s="108" t="s">
        <v>647</v>
      </c>
      <c r="V49" s="107" t="s">
        <v>1054</v>
      </c>
      <c r="W49" s="108" t="s">
        <v>658</v>
      </c>
      <c r="X49" s="107" t="s">
        <v>1103</v>
      </c>
      <c r="Y49" s="11"/>
      <c r="Z49" s="11"/>
      <c r="AA49" s="11"/>
      <c r="AB49" s="59">
        <v>44</v>
      </c>
    </row>
    <row r="50" spans="2:28" s="105" customFormat="1" ht="20" x14ac:dyDescent="0.2">
      <c r="B50" s="108" t="s">
        <v>229</v>
      </c>
      <c r="C50" s="35" t="s">
        <v>75</v>
      </c>
      <c r="D50" s="35" t="s">
        <v>762</v>
      </c>
      <c r="E50" s="109">
        <v>1</v>
      </c>
      <c r="F50" s="108" t="s">
        <v>371</v>
      </c>
      <c r="G50" s="110">
        <v>32.869799999999998</v>
      </c>
      <c r="H50" s="110">
        <f t="shared" si="0"/>
        <v>20.29</v>
      </c>
      <c r="I50" s="110">
        <v>32.869799999999998</v>
      </c>
      <c r="J50" s="110">
        <f t="shared" si="1"/>
        <v>20.29</v>
      </c>
      <c r="K50" s="109">
        <v>230</v>
      </c>
      <c r="L50" s="223">
        <f>_xlfn.XLOOKUP($K50,Inputs!$C$6:$C$23,Inputs!$D$6:$D$23)*$I50</f>
        <v>15.777503999999999</v>
      </c>
      <c r="M50" s="224">
        <f t="shared" si="2"/>
        <v>3</v>
      </c>
      <c r="N50" s="100"/>
      <c r="O50" s="100"/>
      <c r="P50" s="100"/>
      <c r="Q50" s="100"/>
      <c r="R50" s="100"/>
      <c r="S50" s="225">
        <f>_xlfn.XLOOKUP($K50,Inputs!$G$6:$G$23,Inputs!$J$6:$J$23)*$M50</f>
        <v>402</v>
      </c>
      <c r="T50" s="225">
        <f>_xlfn.XLOOKUP($K50,Inputs!$G$6:$G$23,Inputs!$K$6:$K$23)*$M50</f>
        <v>435</v>
      </c>
      <c r="U50" s="108" t="s">
        <v>647</v>
      </c>
      <c r="V50" s="107" t="s">
        <v>1054</v>
      </c>
      <c r="W50" s="108" t="s">
        <v>661</v>
      </c>
      <c r="X50" s="107" t="s">
        <v>1140</v>
      </c>
      <c r="Y50" s="11"/>
      <c r="Z50" s="11"/>
      <c r="AA50" s="11"/>
      <c r="AB50" s="59">
        <v>45</v>
      </c>
    </row>
    <row r="51" spans="2:28" s="105" customFormat="1" ht="20" x14ac:dyDescent="0.2">
      <c r="B51" s="108" t="s">
        <v>230</v>
      </c>
      <c r="C51" s="35" t="s">
        <v>75</v>
      </c>
      <c r="D51" s="35" t="s">
        <v>762</v>
      </c>
      <c r="E51" s="109">
        <v>1</v>
      </c>
      <c r="F51" s="108" t="s">
        <v>371</v>
      </c>
      <c r="G51" s="110">
        <v>169.88940000000002</v>
      </c>
      <c r="H51" s="110">
        <f t="shared" si="0"/>
        <v>104.87</v>
      </c>
      <c r="I51" s="110">
        <v>169.88940000000002</v>
      </c>
      <c r="J51" s="110">
        <f t="shared" si="1"/>
        <v>104.87</v>
      </c>
      <c r="K51" s="109">
        <v>230</v>
      </c>
      <c r="L51" s="223">
        <f>_xlfn.XLOOKUP($K51,Inputs!$C$6:$C$23,Inputs!$D$6:$D$23)*$I51</f>
        <v>81.546912000000006</v>
      </c>
      <c r="M51" s="224">
        <f t="shared" si="2"/>
        <v>1.9712710564296634</v>
      </c>
      <c r="N51" s="100"/>
      <c r="O51" s="100"/>
      <c r="P51" s="100"/>
      <c r="Q51" s="100"/>
      <c r="R51" s="100"/>
      <c r="S51" s="225">
        <f>_xlfn.XLOOKUP($K51,Inputs!$G$6:$G$23,Inputs!$J$6:$J$23)*$M51</f>
        <v>264.15032156157491</v>
      </c>
      <c r="T51" s="225">
        <f>_xlfn.XLOOKUP($K51,Inputs!$G$6:$G$23,Inputs!$K$6:$K$23)*$M51</f>
        <v>285.8343031823012</v>
      </c>
      <c r="U51" s="108" t="s">
        <v>647</v>
      </c>
      <c r="V51" s="107" t="s">
        <v>1054</v>
      </c>
      <c r="W51" s="108" t="s">
        <v>662</v>
      </c>
      <c r="X51" s="107" t="s">
        <v>1084</v>
      </c>
      <c r="Y51" s="11"/>
      <c r="Z51" s="11"/>
      <c r="AA51" s="11"/>
      <c r="AB51" s="59">
        <v>46</v>
      </c>
    </row>
    <row r="52" spans="2:28" s="105" customFormat="1" ht="20" x14ac:dyDescent="0.2">
      <c r="B52" s="108" t="s">
        <v>231</v>
      </c>
      <c r="C52" s="35" t="s">
        <v>75</v>
      </c>
      <c r="D52" s="35" t="s">
        <v>762</v>
      </c>
      <c r="E52" s="109">
        <v>1</v>
      </c>
      <c r="F52" s="108" t="s">
        <v>371</v>
      </c>
      <c r="G52" s="110">
        <v>27.005400000000005</v>
      </c>
      <c r="H52" s="110">
        <f t="shared" si="0"/>
        <v>16.670000000000002</v>
      </c>
      <c r="I52" s="110">
        <v>27.005400000000005</v>
      </c>
      <c r="J52" s="110">
        <f t="shared" si="1"/>
        <v>16.670000000000002</v>
      </c>
      <c r="K52" s="109">
        <v>230</v>
      </c>
      <c r="L52" s="223">
        <f>_xlfn.XLOOKUP($K52,Inputs!$C$6:$C$23,Inputs!$D$6:$D$23)*$I52</f>
        <v>12.962592000000003</v>
      </c>
      <c r="M52" s="224">
        <f t="shared" si="2"/>
        <v>3</v>
      </c>
      <c r="N52" s="100"/>
      <c r="O52" s="100"/>
      <c r="P52" s="100"/>
      <c r="Q52" s="100"/>
      <c r="R52" s="100"/>
      <c r="S52" s="225">
        <f>_xlfn.XLOOKUP($K52,Inputs!$G$6:$G$23,Inputs!$J$6:$J$23)*$M52</f>
        <v>402</v>
      </c>
      <c r="T52" s="225">
        <f>_xlfn.XLOOKUP($K52,Inputs!$G$6:$G$23,Inputs!$K$6:$K$23)*$M52</f>
        <v>435</v>
      </c>
      <c r="U52" s="108" t="s">
        <v>647</v>
      </c>
      <c r="V52" s="107" t="s">
        <v>1054</v>
      </c>
      <c r="W52" s="108" t="s">
        <v>660</v>
      </c>
      <c r="X52" s="107" t="s">
        <v>1071</v>
      </c>
      <c r="Y52" s="11"/>
      <c r="Z52" s="11"/>
      <c r="AA52" s="11"/>
      <c r="AB52" s="59">
        <v>47</v>
      </c>
    </row>
    <row r="53" spans="2:28" s="105" customFormat="1" ht="20" x14ac:dyDescent="0.2">
      <c r="B53" s="108" t="s">
        <v>232</v>
      </c>
      <c r="C53" s="35" t="s">
        <v>75</v>
      </c>
      <c r="D53" s="35" t="s">
        <v>762</v>
      </c>
      <c r="E53" s="109">
        <v>1</v>
      </c>
      <c r="F53" s="108" t="s">
        <v>371</v>
      </c>
      <c r="G53" s="110">
        <v>19.585800000000003</v>
      </c>
      <c r="H53" s="110">
        <f t="shared" si="0"/>
        <v>12.090000000000002</v>
      </c>
      <c r="I53" s="110">
        <v>19.585800000000003</v>
      </c>
      <c r="J53" s="110">
        <f t="shared" si="1"/>
        <v>12.090000000000002</v>
      </c>
      <c r="K53" s="109">
        <v>230</v>
      </c>
      <c r="L53" s="223">
        <f>_xlfn.XLOOKUP($K53,Inputs!$C$6:$C$23,Inputs!$D$6:$D$23)*$I53</f>
        <v>9.4011840000000007</v>
      </c>
      <c r="M53" s="224">
        <f t="shared" si="2"/>
        <v>3</v>
      </c>
      <c r="N53" s="100"/>
      <c r="O53" s="100"/>
      <c r="P53" s="100"/>
      <c r="Q53" s="100"/>
      <c r="R53" s="100"/>
      <c r="S53" s="225">
        <f>_xlfn.XLOOKUP($K53,Inputs!$G$6:$G$23,Inputs!$J$6:$J$23)*$M53</f>
        <v>402</v>
      </c>
      <c r="T53" s="225">
        <f>_xlfn.XLOOKUP($K53,Inputs!$G$6:$G$23,Inputs!$K$6:$K$23)*$M53</f>
        <v>435</v>
      </c>
      <c r="U53" s="108" t="s">
        <v>647</v>
      </c>
      <c r="V53" s="107" t="s">
        <v>1054</v>
      </c>
      <c r="W53" s="108" t="s">
        <v>658</v>
      </c>
      <c r="X53" s="107" t="s">
        <v>1103</v>
      </c>
      <c r="Y53" s="11"/>
      <c r="Z53" s="11"/>
      <c r="AA53" s="11"/>
      <c r="AB53" s="59">
        <v>48</v>
      </c>
    </row>
    <row r="54" spans="2:28" s="105" customFormat="1" ht="20" x14ac:dyDescent="0.2">
      <c r="B54" s="108" t="s">
        <v>213</v>
      </c>
      <c r="C54" s="35" t="s">
        <v>75</v>
      </c>
      <c r="D54" s="35" t="s">
        <v>762</v>
      </c>
      <c r="E54" s="109">
        <v>1</v>
      </c>
      <c r="F54" s="108" t="s">
        <v>371</v>
      </c>
      <c r="G54" s="110">
        <v>50.041800000000002</v>
      </c>
      <c r="H54" s="110">
        <f t="shared" si="0"/>
        <v>30.89</v>
      </c>
      <c r="I54" s="110">
        <v>50.041800000000002</v>
      </c>
      <c r="J54" s="110">
        <f t="shared" si="1"/>
        <v>30.89</v>
      </c>
      <c r="K54" s="109">
        <v>500</v>
      </c>
      <c r="L54" s="223">
        <f>_xlfn.XLOOKUP($K54,Inputs!$C$6:$C$23,Inputs!$D$6:$D$23)*$I54</f>
        <v>19.766511000000001</v>
      </c>
      <c r="M54" s="224">
        <f t="shared" si="2"/>
        <v>3</v>
      </c>
      <c r="N54" s="100"/>
      <c r="O54" s="100"/>
      <c r="P54" s="100"/>
      <c r="Q54" s="100"/>
      <c r="R54" s="100"/>
      <c r="S54" s="225">
        <f>_xlfn.XLOOKUP($K54,Inputs!$G$6:$G$23,Inputs!$J$6:$J$23)*$M54</f>
        <v>2550</v>
      </c>
      <c r="T54" s="225">
        <f>_xlfn.XLOOKUP($K54,Inputs!$G$6:$G$23,Inputs!$K$6:$K$23)*$M54</f>
        <v>3225</v>
      </c>
      <c r="U54" s="108" t="s">
        <v>647</v>
      </c>
      <c r="V54" s="107" t="s">
        <v>1054</v>
      </c>
      <c r="W54" s="108" t="s">
        <v>663</v>
      </c>
      <c r="X54" s="107" t="s">
        <v>1099</v>
      </c>
      <c r="Y54" s="11"/>
      <c r="Z54" s="11"/>
      <c r="AA54" s="11"/>
      <c r="AB54" s="59">
        <v>49</v>
      </c>
    </row>
    <row r="55" spans="2:28" s="105" customFormat="1" ht="20" x14ac:dyDescent="0.2">
      <c r="B55" s="145" t="s">
        <v>549</v>
      </c>
      <c r="C55" s="35" t="s">
        <v>75</v>
      </c>
      <c r="D55" s="35" t="s">
        <v>762</v>
      </c>
      <c r="E55" s="146">
        <v>1</v>
      </c>
      <c r="F55" s="145" t="s">
        <v>371</v>
      </c>
      <c r="G55" s="147">
        <v>213</v>
      </c>
      <c r="H55" s="147">
        <f t="shared" si="0"/>
        <v>131.48148148148147</v>
      </c>
      <c r="I55" s="147">
        <v>213</v>
      </c>
      <c r="J55" s="147">
        <f t="shared" si="1"/>
        <v>131.48148148148147</v>
      </c>
      <c r="K55" s="146">
        <v>500</v>
      </c>
      <c r="L55" s="223">
        <f>_xlfn.XLOOKUP($K55,Inputs!$C$6:$C$23,Inputs!$D$6:$D$23)*$I55</f>
        <v>84.135000000000005</v>
      </c>
      <c r="M55" s="224">
        <f t="shared" si="2"/>
        <v>1.6981445679139384</v>
      </c>
      <c r="N55" s="100"/>
      <c r="O55" s="100"/>
      <c r="P55" s="100"/>
      <c r="Q55" s="100"/>
      <c r="R55" s="100"/>
      <c r="S55" s="256">
        <v>883</v>
      </c>
      <c r="T55" s="256">
        <v>883</v>
      </c>
      <c r="U55" s="145" t="s">
        <v>647</v>
      </c>
      <c r="V55" s="107" t="s">
        <v>1054</v>
      </c>
      <c r="W55" s="145" t="s">
        <v>897</v>
      </c>
      <c r="X55" s="107" t="s">
        <v>828</v>
      </c>
      <c r="Y55" s="11"/>
      <c r="Z55" s="141"/>
      <c r="AA55" s="141"/>
      <c r="AB55" s="59">
        <v>50</v>
      </c>
    </row>
    <row r="56" spans="2:28" s="105" customFormat="1" ht="20" x14ac:dyDescent="0.2">
      <c r="B56" s="108" t="s">
        <v>233</v>
      </c>
      <c r="C56" s="35" t="s">
        <v>75</v>
      </c>
      <c r="D56" s="35" t="s">
        <v>762</v>
      </c>
      <c r="E56" s="109">
        <v>1</v>
      </c>
      <c r="F56" s="108" t="s">
        <v>371</v>
      </c>
      <c r="G56" s="110">
        <v>53.994599999999998</v>
      </c>
      <c r="H56" s="110">
        <f t="shared" si="0"/>
        <v>33.33</v>
      </c>
      <c r="I56" s="110">
        <v>53.994599999999998</v>
      </c>
      <c r="J56" s="110">
        <f t="shared" si="1"/>
        <v>33.33</v>
      </c>
      <c r="K56" s="109">
        <v>230</v>
      </c>
      <c r="L56" s="223">
        <f>_xlfn.XLOOKUP($K56,Inputs!$C$6:$C$23,Inputs!$D$6:$D$23)*$I56</f>
        <v>25.917407999999998</v>
      </c>
      <c r="M56" s="224">
        <f t="shared" si="2"/>
        <v>3</v>
      </c>
      <c r="N56" s="100"/>
      <c r="O56" s="100"/>
      <c r="P56" s="100"/>
      <c r="Q56" s="100"/>
      <c r="R56" s="100"/>
      <c r="S56" s="225">
        <f>_xlfn.XLOOKUP($K56,Inputs!$G$6:$G$23,Inputs!$J$6:$J$23)*$M56</f>
        <v>402</v>
      </c>
      <c r="T56" s="225">
        <f>_xlfn.XLOOKUP($K56,Inputs!$G$6:$G$23,Inputs!$K$6:$K$23)*$M56</f>
        <v>435</v>
      </c>
      <c r="U56" s="108" t="s">
        <v>647</v>
      </c>
      <c r="V56" s="107" t="s">
        <v>1054</v>
      </c>
      <c r="W56" s="108" t="s">
        <v>646</v>
      </c>
      <c r="X56" s="107" t="s">
        <v>1108</v>
      </c>
      <c r="Y56" s="11"/>
      <c r="Z56" s="104"/>
      <c r="AA56" s="104"/>
      <c r="AB56" s="59">
        <v>51</v>
      </c>
    </row>
    <row r="57" spans="2:28" s="105" customFormat="1" ht="20" x14ac:dyDescent="0.2">
      <c r="B57" s="133" t="s">
        <v>544</v>
      </c>
      <c r="C57" s="35" t="s">
        <v>75</v>
      </c>
      <c r="D57" s="35" t="s">
        <v>762</v>
      </c>
      <c r="E57" s="134">
        <v>1</v>
      </c>
      <c r="F57" s="133" t="s">
        <v>371</v>
      </c>
      <c r="G57" s="135">
        <v>66</v>
      </c>
      <c r="H57" s="135">
        <f t="shared" si="0"/>
        <v>40.74074074074074</v>
      </c>
      <c r="I57" s="135">
        <v>66</v>
      </c>
      <c r="J57" s="135">
        <f t="shared" si="1"/>
        <v>40.74074074074074</v>
      </c>
      <c r="K57" s="134">
        <v>230</v>
      </c>
      <c r="L57" s="223">
        <f>_xlfn.XLOOKUP($K57,Inputs!$C$6:$C$23,Inputs!$D$6:$D$23)*$I57</f>
        <v>31.68</v>
      </c>
      <c r="M57" s="224">
        <f t="shared" si="2"/>
        <v>3</v>
      </c>
      <c r="N57" s="100"/>
      <c r="O57" s="100"/>
      <c r="P57" s="100"/>
      <c r="Q57" s="100"/>
      <c r="R57" s="100"/>
      <c r="S57" s="225">
        <f>_xlfn.XLOOKUP($K57,Inputs!$G$6:$G$23,Inputs!$J$6:$J$23)*$M57</f>
        <v>402</v>
      </c>
      <c r="T57" s="225">
        <f>_xlfn.XLOOKUP($K57,Inputs!$G$6:$G$23,Inputs!$K$6:$K$23)*$M57</f>
        <v>435</v>
      </c>
      <c r="U57" s="133" t="s">
        <v>647</v>
      </c>
      <c r="V57" s="107" t="s">
        <v>1054</v>
      </c>
      <c r="W57" s="133" t="s">
        <v>644</v>
      </c>
      <c r="X57" s="107" t="s">
        <v>1093</v>
      </c>
      <c r="Y57" s="11"/>
      <c r="Z57" s="11"/>
      <c r="AA57" s="11"/>
      <c r="AB57" s="59">
        <v>52</v>
      </c>
    </row>
    <row r="58" spans="2:28" s="105" customFormat="1" ht="20" x14ac:dyDescent="0.2">
      <c r="B58" s="108" t="s">
        <v>311</v>
      </c>
      <c r="C58" s="35" t="s">
        <v>75</v>
      </c>
      <c r="D58" s="35" t="s">
        <v>762</v>
      </c>
      <c r="E58" s="109">
        <v>1</v>
      </c>
      <c r="F58" s="108" t="s">
        <v>371</v>
      </c>
      <c r="G58" s="110">
        <v>7.6950000000000003</v>
      </c>
      <c r="H58" s="110">
        <f t="shared" si="0"/>
        <v>4.75</v>
      </c>
      <c r="I58" s="110">
        <v>7.6950000000000003</v>
      </c>
      <c r="J58" s="110">
        <f t="shared" si="1"/>
        <v>4.75</v>
      </c>
      <c r="K58" s="109">
        <v>115</v>
      </c>
      <c r="L58" s="223">
        <f>_xlfn.XLOOKUP($K58,Inputs!$C$6:$C$23,Inputs!$D$6:$D$23)*$I58</f>
        <v>3.2099142857142859</v>
      </c>
      <c r="M58" s="224">
        <f t="shared" si="2"/>
        <v>3</v>
      </c>
      <c r="N58" s="100"/>
      <c r="O58" s="100"/>
      <c r="P58" s="100"/>
      <c r="Q58" s="100"/>
      <c r="R58" s="100"/>
      <c r="S58" s="225">
        <f>_xlfn.XLOOKUP($K58,Inputs!$G$6:$G$23,Inputs!$J$6:$J$23)*$M58</f>
        <v>98.449131513647643</v>
      </c>
      <c r="T58" s="225">
        <f>_xlfn.XLOOKUP($K58,Inputs!$G$6:$G$23,Inputs!$K$6:$K$23)*$M58</f>
        <v>108.40163934426229</v>
      </c>
      <c r="U58" s="108" t="s">
        <v>652</v>
      </c>
      <c r="V58" s="107" t="s">
        <v>1052</v>
      </c>
      <c r="W58" s="108" t="s">
        <v>664</v>
      </c>
      <c r="X58" s="107" t="s">
        <v>1057</v>
      </c>
      <c r="Y58" s="104"/>
      <c r="Z58" s="11"/>
      <c r="AA58" s="11"/>
      <c r="AB58" s="59">
        <v>53</v>
      </c>
    </row>
    <row r="59" spans="2:28" s="105" customFormat="1" ht="20" x14ac:dyDescent="0.2">
      <c r="B59" s="108" t="s">
        <v>234</v>
      </c>
      <c r="C59" s="35" t="s">
        <v>75</v>
      </c>
      <c r="D59" s="35" t="s">
        <v>762</v>
      </c>
      <c r="E59" s="109">
        <v>1</v>
      </c>
      <c r="F59" s="108" t="s">
        <v>371</v>
      </c>
      <c r="G59" s="110">
        <v>102.708</v>
      </c>
      <c r="H59" s="110">
        <f t="shared" si="0"/>
        <v>63.399999999999991</v>
      </c>
      <c r="I59" s="110">
        <v>102.708</v>
      </c>
      <c r="J59" s="110">
        <f t="shared" si="1"/>
        <v>63.399999999999991</v>
      </c>
      <c r="K59" s="109">
        <v>230</v>
      </c>
      <c r="L59" s="223">
        <f>_xlfn.XLOOKUP($K59,Inputs!$C$6:$C$23,Inputs!$D$6:$D$23)*$I59</f>
        <v>49.299839999999996</v>
      </c>
      <c r="M59" s="224">
        <f t="shared" si="2"/>
        <v>2.7471855345330272</v>
      </c>
      <c r="N59" s="100"/>
      <c r="O59" s="100"/>
      <c r="P59" s="100"/>
      <c r="Q59" s="100"/>
      <c r="R59" s="100"/>
      <c r="S59" s="225">
        <f>_xlfn.XLOOKUP($K59,Inputs!$G$6:$G$23,Inputs!$J$6:$J$23)*$M59</f>
        <v>368.12286162742566</v>
      </c>
      <c r="T59" s="225">
        <f>_xlfn.XLOOKUP($K59,Inputs!$G$6:$G$23,Inputs!$K$6:$K$23)*$M59</f>
        <v>398.34190250728892</v>
      </c>
      <c r="U59" s="108" t="s">
        <v>717</v>
      </c>
      <c r="V59" s="107" t="s">
        <v>1109</v>
      </c>
      <c r="W59" s="108" t="s">
        <v>665</v>
      </c>
      <c r="X59" s="107" t="s">
        <v>1073</v>
      </c>
      <c r="Y59" s="11"/>
      <c r="Z59" s="11"/>
      <c r="AA59" s="11"/>
      <c r="AB59" s="59">
        <v>54</v>
      </c>
    </row>
    <row r="60" spans="2:28" s="105" customFormat="1" ht="20" x14ac:dyDescent="0.2">
      <c r="B60" s="108" t="s">
        <v>312</v>
      </c>
      <c r="C60" s="35" t="s">
        <v>75</v>
      </c>
      <c r="D60" s="35" t="s">
        <v>762</v>
      </c>
      <c r="E60" s="109">
        <v>1</v>
      </c>
      <c r="F60" s="108" t="s">
        <v>371</v>
      </c>
      <c r="G60" s="110">
        <v>6.4638000000000009</v>
      </c>
      <c r="H60" s="110">
        <f t="shared" si="0"/>
        <v>3.99</v>
      </c>
      <c r="I60" s="110">
        <v>6.4638000000000009</v>
      </c>
      <c r="J60" s="110">
        <f t="shared" si="1"/>
        <v>3.99</v>
      </c>
      <c r="K60" s="109">
        <v>115</v>
      </c>
      <c r="L60" s="223">
        <f>_xlfn.XLOOKUP($K60,Inputs!$C$6:$C$23,Inputs!$D$6:$D$23)*$I60</f>
        <v>2.6963280000000003</v>
      </c>
      <c r="M60" s="224">
        <f t="shared" si="2"/>
        <v>3</v>
      </c>
      <c r="N60" s="100"/>
      <c r="O60" s="100"/>
      <c r="P60" s="100"/>
      <c r="Q60" s="100"/>
      <c r="R60" s="100"/>
      <c r="S60" s="225">
        <f>_xlfn.XLOOKUP($K60,Inputs!$G$6:$G$23,Inputs!$J$6:$J$23)*$M60</f>
        <v>98.449131513647643</v>
      </c>
      <c r="T60" s="225">
        <f>_xlfn.XLOOKUP($K60,Inputs!$G$6:$G$23,Inputs!$K$6:$K$23)*$M60</f>
        <v>108.40163934426229</v>
      </c>
      <c r="U60" s="111" t="s">
        <v>653</v>
      </c>
      <c r="V60" s="107" t="s">
        <v>1116</v>
      </c>
      <c r="W60" s="111" t="s">
        <v>666</v>
      </c>
      <c r="X60" s="107" t="s">
        <v>1130</v>
      </c>
      <c r="Y60" s="11"/>
      <c r="Z60" s="104"/>
      <c r="AA60" s="104"/>
      <c r="AB60" s="59">
        <v>55</v>
      </c>
    </row>
    <row r="61" spans="2:28" s="2" customFormat="1" ht="20" x14ac:dyDescent="0.2">
      <c r="B61" s="108" t="s">
        <v>235</v>
      </c>
      <c r="C61" s="35" t="s">
        <v>75</v>
      </c>
      <c r="D61" s="35" t="s">
        <v>762</v>
      </c>
      <c r="E61" s="109">
        <v>1</v>
      </c>
      <c r="F61" s="108" t="s">
        <v>371</v>
      </c>
      <c r="G61" s="110">
        <v>146.60433070866139</v>
      </c>
      <c r="H61" s="110">
        <f t="shared" si="0"/>
        <v>90.496500437445292</v>
      </c>
      <c r="I61" s="110">
        <v>146.60433070866139</v>
      </c>
      <c r="J61" s="110">
        <f t="shared" si="1"/>
        <v>90.496500437445292</v>
      </c>
      <c r="K61" s="109">
        <v>230</v>
      </c>
      <c r="L61" s="223">
        <f>_xlfn.XLOOKUP($K61,Inputs!$C$6:$C$23,Inputs!$D$6:$D$23)*$I61</f>
        <v>70.370078740157467</v>
      </c>
      <c r="M61" s="224">
        <f t="shared" si="2"/>
        <v>2.1725370639702781</v>
      </c>
      <c r="N61" s="100"/>
      <c r="O61" s="100"/>
      <c r="P61" s="100"/>
      <c r="Q61" s="100"/>
      <c r="R61" s="100"/>
      <c r="S61" s="225">
        <f>_xlfn.XLOOKUP($K61,Inputs!$G$6:$G$23,Inputs!$J$6:$J$23)*$M61</f>
        <v>291.11996657201729</v>
      </c>
      <c r="T61" s="225">
        <f>_xlfn.XLOOKUP($K61,Inputs!$G$6:$G$23,Inputs!$K$6:$K$23)*$M61</f>
        <v>315.0178742756903</v>
      </c>
      <c r="U61" s="108" t="s">
        <v>718</v>
      </c>
      <c r="V61" s="107" t="s">
        <v>1089</v>
      </c>
      <c r="W61" s="108" t="s">
        <v>667</v>
      </c>
      <c r="X61" s="107" t="s">
        <v>1080</v>
      </c>
      <c r="Y61" s="11"/>
      <c r="Z61" s="11"/>
      <c r="AA61" s="11"/>
      <c r="AB61" s="59">
        <v>56</v>
      </c>
    </row>
    <row r="62" spans="2:28" s="2" customFormat="1" ht="20" x14ac:dyDescent="0.2">
      <c r="B62" s="108" t="s">
        <v>236</v>
      </c>
      <c r="C62" s="35" t="s">
        <v>75</v>
      </c>
      <c r="D62" s="35" t="s">
        <v>762</v>
      </c>
      <c r="E62" s="109">
        <v>1</v>
      </c>
      <c r="F62" s="108" t="s">
        <v>371</v>
      </c>
      <c r="G62" s="110">
        <v>54.415800000000011</v>
      </c>
      <c r="H62" s="110">
        <f t="shared" si="0"/>
        <v>33.590000000000003</v>
      </c>
      <c r="I62" s="110">
        <v>54.415800000000011</v>
      </c>
      <c r="J62" s="110">
        <f t="shared" si="1"/>
        <v>33.590000000000003</v>
      </c>
      <c r="K62" s="109">
        <v>230</v>
      </c>
      <c r="L62" s="223">
        <f>_xlfn.XLOOKUP($K62,Inputs!$C$6:$C$23,Inputs!$D$6:$D$23)*$I62</f>
        <v>26.119584000000003</v>
      </c>
      <c r="M62" s="224">
        <f t="shared" si="2"/>
        <v>3</v>
      </c>
      <c r="N62" s="100"/>
      <c r="O62" s="100"/>
      <c r="P62" s="100"/>
      <c r="Q62" s="100"/>
      <c r="R62" s="100"/>
      <c r="S62" s="225">
        <f>_xlfn.XLOOKUP($K62,Inputs!$G$6:$G$23,Inputs!$J$6:$J$23)*$M62</f>
        <v>402</v>
      </c>
      <c r="T62" s="225">
        <f>_xlfn.XLOOKUP($K62,Inputs!$G$6:$G$23,Inputs!$K$6:$K$23)*$M62</f>
        <v>435</v>
      </c>
      <c r="U62" s="108" t="s">
        <v>718</v>
      </c>
      <c r="V62" s="107" t="s">
        <v>1089</v>
      </c>
      <c r="W62" s="108" t="s">
        <v>668</v>
      </c>
      <c r="X62" s="107" t="s">
        <v>1094</v>
      </c>
      <c r="Y62" s="11"/>
      <c r="Z62" s="104"/>
      <c r="AA62" s="104"/>
      <c r="AB62" s="59">
        <v>57</v>
      </c>
    </row>
    <row r="63" spans="2:28" s="2" customFormat="1" ht="20" x14ac:dyDescent="0.2">
      <c r="B63" s="108" t="s">
        <v>313</v>
      </c>
      <c r="C63" s="35" t="s">
        <v>75</v>
      </c>
      <c r="D63" s="35" t="s">
        <v>762</v>
      </c>
      <c r="E63" s="109">
        <v>1</v>
      </c>
      <c r="F63" s="108" t="s">
        <v>371</v>
      </c>
      <c r="G63" s="110">
        <v>3.6774000000000004</v>
      </c>
      <c r="H63" s="110">
        <f t="shared" si="0"/>
        <v>2.27</v>
      </c>
      <c r="I63" s="110">
        <v>3.6774000000000004</v>
      </c>
      <c r="J63" s="110">
        <f t="shared" si="1"/>
        <v>2.27</v>
      </c>
      <c r="K63" s="109">
        <v>115</v>
      </c>
      <c r="L63" s="223">
        <f>_xlfn.XLOOKUP($K63,Inputs!$C$6:$C$23,Inputs!$D$6:$D$23)*$I63</f>
        <v>1.5340011428571432</v>
      </c>
      <c r="M63" s="224">
        <f t="shared" si="2"/>
        <v>3</v>
      </c>
      <c r="N63" s="100"/>
      <c r="O63" s="100"/>
      <c r="P63" s="100"/>
      <c r="Q63" s="100"/>
      <c r="R63" s="100"/>
      <c r="S63" s="225">
        <f>_xlfn.XLOOKUP($K63,Inputs!$G$6:$G$23,Inputs!$J$6:$J$23)*$M63</f>
        <v>98.449131513647643</v>
      </c>
      <c r="T63" s="225">
        <f>_xlfn.XLOOKUP($K63,Inputs!$G$6:$G$23,Inputs!$K$6:$K$23)*$M63</f>
        <v>108.40163934426229</v>
      </c>
      <c r="U63" s="108" t="s">
        <v>817</v>
      </c>
      <c r="V63" s="107" t="s">
        <v>1056</v>
      </c>
      <c r="W63" s="108" t="s">
        <v>669</v>
      </c>
      <c r="X63" s="107" t="s">
        <v>1126</v>
      </c>
      <c r="Y63" s="11"/>
      <c r="Z63" s="104"/>
      <c r="AA63" s="104"/>
      <c r="AB63" s="59">
        <v>58</v>
      </c>
    </row>
    <row r="64" spans="2:28" s="2" customFormat="1" ht="20" x14ac:dyDescent="0.2">
      <c r="B64" s="108" t="s">
        <v>314</v>
      </c>
      <c r="C64" s="35" t="s">
        <v>75</v>
      </c>
      <c r="D64" s="35" t="s">
        <v>762</v>
      </c>
      <c r="E64" s="109">
        <v>1</v>
      </c>
      <c r="F64" s="108" t="s">
        <v>371</v>
      </c>
      <c r="G64" s="110">
        <v>9.0719999999999992</v>
      </c>
      <c r="H64" s="110">
        <f t="shared" si="0"/>
        <v>5.5999999999999988</v>
      </c>
      <c r="I64" s="110">
        <v>9.0719999999999992</v>
      </c>
      <c r="J64" s="110">
        <f t="shared" si="1"/>
        <v>5.5999999999999988</v>
      </c>
      <c r="K64" s="109">
        <v>115</v>
      </c>
      <c r="L64" s="223">
        <f>_xlfn.XLOOKUP($K64,Inputs!$C$6:$C$23,Inputs!$D$6:$D$23)*$I64</f>
        <v>3.7843199999999997</v>
      </c>
      <c r="M64" s="224">
        <f t="shared" si="2"/>
        <v>3</v>
      </c>
      <c r="N64" s="100"/>
      <c r="O64" s="100"/>
      <c r="P64" s="100"/>
      <c r="Q64" s="100"/>
      <c r="R64" s="100"/>
      <c r="S64" s="225">
        <f>_xlfn.XLOOKUP($K64,Inputs!$G$6:$G$23,Inputs!$J$6:$J$23)*$M64</f>
        <v>98.449131513647643</v>
      </c>
      <c r="T64" s="225">
        <f>_xlfn.XLOOKUP($K64,Inputs!$G$6:$G$23,Inputs!$K$6:$K$23)*$M64</f>
        <v>108.40163934426229</v>
      </c>
      <c r="U64" s="111" t="s">
        <v>719</v>
      </c>
      <c r="V64" s="107" t="s">
        <v>1057</v>
      </c>
      <c r="W64" s="111" t="s">
        <v>666</v>
      </c>
      <c r="X64" s="107" t="s">
        <v>1130</v>
      </c>
      <c r="Y64" s="11"/>
      <c r="Z64" s="104"/>
      <c r="AA64" s="104"/>
      <c r="AB64" s="59">
        <v>59</v>
      </c>
    </row>
    <row r="65" spans="2:28" s="2" customFormat="1" ht="20" x14ac:dyDescent="0.2">
      <c r="B65" s="108" t="s">
        <v>237</v>
      </c>
      <c r="C65" s="35" t="s">
        <v>75</v>
      </c>
      <c r="D65" s="35" t="s">
        <v>762</v>
      </c>
      <c r="E65" s="109">
        <v>1</v>
      </c>
      <c r="F65" s="108" t="s">
        <v>371</v>
      </c>
      <c r="G65" s="110">
        <v>235.90440000000001</v>
      </c>
      <c r="H65" s="110">
        <f t="shared" si="0"/>
        <v>145.62</v>
      </c>
      <c r="I65" s="110">
        <v>235.90440000000001</v>
      </c>
      <c r="J65" s="110">
        <f t="shared" si="1"/>
        <v>145.62</v>
      </c>
      <c r="K65" s="109">
        <v>230</v>
      </c>
      <c r="L65" s="223">
        <f>_xlfn.XLOOKUP($K65,Inputs!$C$6:$C$23,Inputs!$D$6:$D$23)*$I65</f>
        <v>113.234112</v>
      </c>
      <c r="M65" s="224">
        <f t="shared" si="2"/>
        <v>1.5875287149275543</v>
      </c>
      <c r="N65" s="100"/>
      <c r="O65" s="100"/>
      <c r="P65" s="100"/>
      <c r="Q65" s="100"/>
      <c r="R65" s="100"/>
      <c r="S65" s="225">
        <f>_xlfn.XLOOKUP($K65,Inputs!$G$6:$G$23,Inputs!$J$6:$J$23)*$M65</f>
        <v>212.72884780029227</v>
      </c>
      <c r="T65" s="225">
        <f>_xlfn.XLOOKUP($K65,Inputs!$G$6:$G$23,Inputs!$K$6:$K$23)*$M65</f>
        <v>230.19166366449537</v>
      </c>
      <c r="U65" s="108" t="s">
        <v>748</v>
      </c>
      <c r="V65" s="107" t="s">
        <v>1022</v>
      </c>
      <c r="W65" s="108" t="s">
        <v>670</v>
      </c>
      <c r="X65" s="107" t="s">
        <v>1040</v>
      </c>
      <c r="Y65" s="11"/>
      <c r="Z65" s="104"/>
      <c r="AA65" s="104"/>
      <c r="AB65" s="59">
        <v>60</v>
      </c>
    </row>
    <row r="66" spans="2:28" s="2" customFormat="1" ht="20" x14ac:dyDescent="0.2">
      <c r="B66" s="108" t="s">
        <v>238</v>
      </c>
      <c r="C66" s="35" t="s">
        <v>75</v>
      </c>
      <c r="D66" s="35" t="s">
        <v>762</v>
      </c>
      <c r="E66" s="109">
        <v>1</v>
      </c>
      <c r="F66" s="108" t="s">
        <v>371</v>
      </c>
      <c r="G66" s="110">
        <v>235.90440000000001</v>
      </c>
      <c r="H66" s="110">
        <f t="shared" si="0"/>
        <v>145.62</v>
      </c>
      <c r="I66" s="110">
        <v>235.90440000000001</v>
      </c>
      <c r="J66" s="110">
        <f t="shared" si="1"/>
        <v>145.62</v>
      </c>
      <c r="K66" s="109">
        <v>230</v>
      </c>
      <c r="L66" s="223">
        <f>_xlfn.XLOOKUP($K66,Inputs!$C$6:$C$23,Inputs!$D$6:$D$23)*$I66</f>
        <v>113.234112</v>
      </c>
      <c r="M66" s="224">
        <f t="shared" si="2"/>
        <v>1.5875287149275543</v>
      </c>
      <c r="N66" s="100"/>
      <c r="O66" s="100"/>
      <c r="P66" s="100"/>
      <c r="Q66" s="100"/>
      <c r="R66" s="100"/>
      <c r="S66" s="225">
        <f>_xlfn.XLOOKUP($K66,Inputs!$G$6:$G$23,Inputs!$J$6:$J$23)*$M66</f>
        <v>212.72884780029227</v>
      </c>
      <c r="T66" s="225">
        <f>_xlfn.XLOOKUP($K66,Inputs!$G$6:$G$23,Inputs!$K$6:$K$23)*$M66</f>
        <v>230.19166366449537</v>
      </c>
      <c r="U66" s="108" t="s">
        <v>748</v>
      </c>
      <c r="V66" s="107" t="s">
        <v>1022</v>
      </c>
      <c r="W66" s="108" t="s">
        <v>670</v>
      </c>
      <c r="X66" s="107" t="s">
        <v>1040</v>
      </c>
      <c r="Y66" s="11"/>
      <c r="Z66" s="11"/>
      <c r="AA66" s="11"/>
      <c r="AB66" s="59">
        <v>61</v>
      </c>
    </row>
    <row r="67" spans="2:28" s="2" customFormat="1" ht="20" x14ac:dyDescent="0.2">
      <c r="B67" s="108" t="s">
        <v>239</v>
      </c>
      <c r="C67" s="35" t="s">
        <v>75</v>
      </c>
      <c r="D67" s="35" t="s">
        <v>762</v>
      </c>
      <c r="E67" s="109">
        <v>1</v>
      </c>
      <c r="F67" s="108" t="s">
        <v>371</v>
      </c>
      <c r="G67" s="110">
        <v>254.69640000000001</v>
      </c>
      <c r="H67" s="110">
        <f t="shared" si="0"/>
        <v>157.22</v>
      </c>
      <c r="I67" s="110">
        <v>254.69640000000001</v>
      </c>
      <c r="J67" s="110">
        <f t="shared" si="1"/>
        <v>157.22</v>
      </c>
      <c r="K67" s="109">
        <v>230</v>
      </c>
      <c r="L67" s="223">
        <f>_xlfn.XLOOKUP($K67,Inputs!$C$6:$C$23,Inputs!$D$6:$D$23)*$I67</f>
        <v>122.254272</v>
      </c>
      <c r="M67" s="224">
        <f t="shared" si="2"/>
        <v>1.5092770485249267</v>
      </c>
      <c r="N67" s="100"/>
      <c r="O67" s="100"/>
      <c r="P67" s="100"/>
      <c r="Q67" s="100"/>
      <c r="R67" s="100"/>
      <c r="S67" s="225">
        <f>_xlfn.XLOOKUP($K67,Inputs!$G$6:$G$23,Inputs!$J$6:$J$23)*$M67</f>
        <v>202.24312450234018</v>
      </c>
      <c r="T67" s="225">
        <f>_xlfn.XLOOKUP($K67,Inputs!$G$6:$G$23,Inputs!$K$6:$K$23)*$M67</f>
        <v>218.84517203611438</v>
      </c>
      <c r="U67" s="108" t="s">
        <v>748</v>
      </c>
      <c r="V67" s="107" t="s">
        <v>1022</v>
      </c>
      <c r="W67" s="108" t="s">
        <v>648</v>
      </c>
      <c r="X67" s="107" t="s">
        <v>1115</v>
      </c>
      <c r="Y67" s="11"/>
      <c r="Z67" s="11"/>
      <c r="AA67" s="11"/>
      <c r="AB67" s="59">
        <v>62</v>
      </c>
    </row>
    <row r="68" spans="2:28" s="2" customFormat="1" ht="20" x14ac:dyDescent="0.2">
      <c r="B68" s="108" t="s">
        <v>240</v>
      </c>
      <c r="C68" s="35" t="s">
        <v>75</v>
      </c>
      <c r="D68" s="35" t="s">
        <v>762</v>
      </c>
      <c r="E68" s="109">
        <v>1</v>
      </c>
      <c r="F68" s="108" t="s">
        <v>371</v>
      </c>
      <c r="G68" s="110">
        <v>64.249200000000002</v>
      </c>
      <c r="H68" s="110">
        <f t="shared" ref="H68:H131" si="3">G68/1.62</f>
        <v>39.659999999999997</v>
      </c>
      <c r="I68" s="110">
        <v>64.249200000000002</v>
      </c>
      <c r="J68" s="110">
        <f t="shared" ref="J68:J131" si="4">I68/1.62</f>
        <v>39.659999999999997</v>
      </c>
      <c r="K68" s="109">
        <v>230</v>
      </c>
      <c r="L68" s="223">
        <f>_xlfn.XLOOKUP($K68,Inputs!$C$6:$C$23,Inputs!$D$6:$D$23)*$I68</f>
        <v>30.839615999999999</v>
      </c>
      <c r="M68" s="224">
        <f t="shared" ref="M68:M131" si="5">IF((42.4*(J68)^(-0.6595))&gt;=3,3,(IF(42.4*(J68)^(-0.6595)&lt;=0.5,0.5,(42.4*(J68)^(-0.6595)))))</f>
        <v>3</v>
      </c>
      <c r="N68" s="100"/>
      <c r="O68" s="100"/>
      <c r="P68" s="100"/>
      <c r="Q68" s="100"/>
      <c r="R68" s="100"/>
      <c r="S68" s="225">
        <f>_xlfn.XLOOKUP($K68,Inputs!$G$6:$G$23,Inputs!$J$6:$J$23)*$M68</f>
        <v>402</v>
      </c>
      <c r="T68" s="225">
        <f>_xlfn.XLOOKUP($K68,Inputs!$G$6:$G$23,Inputs!$K$6:$K$23)*$M68</f>
        <v>435</v>
      </c>
      <c r="U68" s="108" t="s">
        <v>708</v>
      </c>
      <c r="V68" s="107" t="s">
        <v>1060</v>
      </c>
      <c r="W68" s="108" t="s">
        <v>671</v>
      </c>
      <c r="X68" s="107" t="s">
        <v>1049</v>
      </c>
      <c r="Y68" s="11"/>
      <c r="Z68" s="11"/>
      <c r="AA68" s="11"/>
      <c r="AB68" s="59">
        <v>63</v>
      </c>
    </row>
    <row r="69" spans="2:28" s="2" customFormat="1" ht="20" x14ac:dyDescent="0.2">
      <c r="B69" s="108" t="s">
        <v>241</v>
      </c>
      <c r="C69" s="35" t="s">
        <v>75</v>
      </c>
      <c r="D69" s="35" t="s">
        <v>762</v>
      </c>
      <c r="E69" s="109">
        <v>1</v>
      </c>
      <c r="F69" s="108" t="s">
        <v>371</v>
      </c>
      <c r="G69" s="110">
        <v>80.854200000000006</v>
      </c>
      <c r="H69" s="110">
        <f t="shared" si="3"/>
        <v>49.910000000000004</v>
      </c>
      <c r="I69" s="110">
        <v>80.854200000000006</v>
      </c>
      <c r="J69" s="110">
        <f t="shared" si="4"/>
        <v>49.910000000000004</v>
      </c>
      <c r="K69" s="109">
        <v>230</v>
      </c>
      <c r="L69" s="223">
        <f>_xlfn.XLOOKUP($K69,Inputs!$C$6:$C$23,Inputs!$D$6:$D$23)*$I69</f>
        <v>38.810016000000005</v>
      </c>
      <c r="M69" s="224">
        <f t="shared" si="5"/>
        <v>3</v>
      </c>
      <c r="N69" s="100"/>
      <c r="O69" s="100"/>
      <c r="P69" s="100"/>
      <c r="Q69" s="100"/>
      <c r="R69" s="100"/>
      <c r="S69" s="256">
        <v>700</v>
      </c>
      <c r="T69" s="256">
        <v>700</v>
      </c>
      <c r="U69" s="108" t="s">
        <v>708</v>
      </c>
      <c r="V69" s="107" t="s">
        <v>1060</v>
      </c>
      <c r="W69" s="108" t="s">
        <v>899</v>
      </c>
      <c r="X69" s="107" t="s">
        <v>830</v>
      </c>
      <c r="Y69" s="11"/>
      <c r="Z69" s="11"/>
      <c r="AA69" s="11"/>
      <c r="AB69" s="59">
        <v>64</v>
      </c>
    </row>
    <row r="70" spans="2:28" s="2" customFormat="1" ht="20" x14ac:dyDescent="0.2">
      <c r="B70" s="108" t="s">
        <v>242</v>
      </c>
      <c r="C70" s="35" t="s">
        <v>75</v>
      </c>
      <c r="D70" s="35" t="s">
        <v>762</v>
      </c>
      <c r="E70" s="109">
        <v>1</v>
      </c>
      <c r="F70" s="108" t="s">
        <v>371</v>
      </c>
      <c r="G70" s="110">
        <v>75</v>
      </c>
      <c r="H70" s="110">
        <f t="shared" si="3"/>
        <v>46.296296296296291</v>
      </c>
      <c r="I70" s="110">
        <v>175</v>
      </c>
      <c r="J70" s="110">
        <f t="shared" si="4"/>
        <v>108.02469135802468</v>
      </c>
      <c r="K70" s="109">
        <v>230</v>
      </c>
      <c r="L70" s="223">
        <f>_xlfn.XLOOKUP($K70,Inputs!$C$6:$C$23,Inputs!$D$6:$D$23)*$I70</f>
        <v>84</v>
      </c>
      <c r="M70" s="224">
        <f t="shared" si="5"/>
        <v>1.9331137751581835</v>
      </c>
      <c r="N70" s="100"/>
      <c r="O70" s="100"/>
      <c r="P70" s="100"/>
      <c r="Q70" s="100"/>
      <c r="R70" s="100"/>
      <c r="S70" s="225">
        <f>_xlfn.XLOOKUP($K70,Inputs!$G$6:$G$23,Inputs!$J$6:$J$23)*$M70</f>
        <v>259.0372458711966</v>
      </c>
      <c r="T70" s="225">
        <f>_xlfn.XLOOKUP($K70,Inputs!$G$6:$G$23,Inputs!$K$6:$K$23)*$M70</f>
        <v>280.3014973979366</v>
      </c>
      <c r="U70" s="111" t="s">
        <v>748</v>
      </c>
      <c r="V70" s="107" t="s">
        <v>1022</v>
      </c>
      <c r="W70" s="111" t="s">
        <v>789</v>
      </c>
      <c r="X70" s="107" t="s">
        <v>1121</v>
      </c>
      <c r="Y70" s="11"/>
      <c r="Z70" s="104"/>
      <c r="AA70" s="104"/>
      <c r="AB70" s="59">
        <v>65</v>
      </c>
    </row>
    <row r="71" spans="2:28" s="2" customFormat="1" ht="20" x14ac:dyDescent="0.2">
      <c r="B71" s="108" t="s">
        <v>242</v>
      </c>
      <c r="C71" s="35" t="s">
        <v>75</v>
      </c>
      <c r="D71" s="35" t="s">
        <v>762</v>
      </c>
      <c r="E71" s="109">
        <v>1</v>
      </c>
      <c r="F71" s="108" t="s">
        <v>371</v>
      </c>
      <c r="G71" s="110">
        <v>100</v>
      </c>
      <c r="H71" s="110">
        <f t="shared" si="3"/>
        <v>61.728395061728392</v>
      </c>
      <c r="I71" s="110">
        <v>175</v>
      </c>
      <c r="J71" s="110">
        <f t="shared" si="4"/>
        <v>108.02469135802468</v>
      </c>
      <c r="K71" s="109">
        <v>230</v>
      </c>
      <c r="L71" s="223">
        <f>_xlfn.XLOOKUP($K71,Inputs!$C$6:$C$23,Inputs!$D$6:$D$23)*$I71</f>
        <v>84</v>
      </c>
      <c r="M71" s="224">
        <f t="shared" si="5"/>
        <v>1.9331137751581835</v>
      </c>
      <c r="N71" s="100"/>
      <c r="O71" s="100"/>
      <c r="P71" s="100"/>
      <c r="Q71" s="100"/>
      <c r="R71" s="100"/>
      <c r="S71" s="225">
        <f>_xlfn.XLOOKUP($K71,Inputs!$G$6:$G$23,Inputs!$J$6:$J$23)*$M71</f>
        <v>259.0372458711966</v>
      </c>
      <c r="T71" s="225">
        <f>_xlfn.XLOOKUP($K71,Inputs!$G$6:$G$23,Inputs!$K$6:$K$23)*$M71</f>
        <v>280.3014973979366</v>
      </c>
      <c r="U71" s="111" t="s">
        <v>789</v>
      </c>
      <c r="V71" s="107" t="s">
        <v>1121</v>
      </c>
      <c r="W71" s="111" t="s">
        <v>672</v>
      </c>
      <c r="X71" s="107" t="s">
        <v>1092</v>
      </c>
      <c r="Y71" s="11"/>
      <c r="Z71" s="104"/>
      <c r="AA71" s="104"/>
      <c r="AB71" s="59">
        <v>66</v>
      </c>
    </row>
    <row r="72" spans="2:28" s="2" customFormat="1" ht="20" x14ac:dyDescent="0.2">
      <c r="B72" s="108" t="s">
        <v>243</v>
      </c>
      <c r="C72" s="35" t="s">
        <v>75</v>
      </c>
      <c r="D72" s="35" t="s">
        <v>762</v>
      </c>
      <c r="E72" s="109">
        <v>1</v>
      </c>
      <c r="F72" s="108" t="s">
        <v>371</v>
      </c>
      <c r="G72" s="110">
        <v>144.34200000000001</v>
      </c>
      <c r="H72" s="110">
        <f t="shared" si="3"/>
        <v>89.100000000000009</v>
      </c>
      <c r="I72" s="110">
        <v>144.34200000000001</v>
      </c>
      <c r="J72" s="110">
        <f t="shared" si="4"/>
        <v>89.100000000000009</v>
      </c>
      <c r="K72" s="109">
        <v>230</v>
      </c>
      <c r="L72" s="223">
        <f>_xlfn.XLOOKUP($K72,Inputs!$C$6:$C$23,Inputs!$D$6:$D$23)*$I72</f>
        <v>69.28416</v>
      </c>
      <c r="M72" s="224">
        <f t="shared" si="5"/>
        <v>2.1949342269837189</v>
      </c>
      <c r="N72" s="100"/>
      <c r="O72" s="100"/>
      <c r="P72" s="100"/>
      <c r="Q72" s="100"/>
      <c r="R72" s="100"/>
      <c r="S72" s="225">
        <f>_xlfn.XLOOKUP($K72,Inputs!$G$6:$G$23,Inputs!$J$6:$J$23)*$M72</f>
        <v>294.12118641581833</v>
      </c>
      <c r="T72" s="225">
        <f>_xlfn.XLOOKUP($K72,Inputs!$G$6:$G$23,Inputs!$K$6:$K$23)*$M72</f>
        <v>318.26546291263924</v>
      </c>
      <c r="U72" s="108" t="s">
        <v>748</v>
      </c>
      <c r="V72" s="107" t="s">
        <v>1022</v>
      </c>
      <c r="W72" s="108" t="s">
        <v>673</v>
      </c>
      <c r="X72" s="107" t="s">
        <v>1089</v>
      </c>
      <c r="Y72" s="11"/>
      <c r="Z72" s="11"/>
      <c r="AA72" s="11"/>
      <c r="AB72" s="59">
        <v>67</v>
      </c>
    </row>
    <row r="73" spans="2:28" s="2" customFormat="1" ht="20" x14ac:dyDescent="0.2">
      <c r="B73" s="108" t="s">
        <v>282</v>
      </c>
      <c r="C73" s="35" t="s">
        <v>75</v>
      </c>
      <c r="D73" s="35" t="s">
        <v>762</v>
      </c>
      <c r="E73" s="109">
        <v>1</v>
      </c>
      <c r="F73" s="108" t="s">
        <v>371</v>
      </c>
      <c r="G73" s="110">
        <v>91.708200000000005</v>
      </c>
      <c r="H73" s="110">
        <f t="shared" si="3"/>
        <v>56.61</v>
      </c>
      <c r="I73" s="110">
        <v>91.708200000000005</v>
      </c>
      <c r="J73" s="110">
        <f t="shared" si="4"/>
        <v>56.61</v>
      </c>
      <c r="K73" s="109">
        <v>138</v>
      </c>
      <c r="L73" s="223">
        <f>_xlfn.XLOOKUP($K73,Inputs!$C$6:$C$23,Inputs!$D$6:$D$23)*$I73</f>
        <v>39.76205528571429</v>
      </c>
      <c r="M73" s="224">
        <f t="shared" si="5"/>
        <v>2.9602802039428866</v>
      </c>
      <c r="N73" s="100"/>
      <c r="O73" s="100"/>
      <c r="P73" s="100"/>
      <c r="Q73" s="100"/>
      <c r="R73" s="100"/>
      <c r="S73" s="225">
        <f>_xlfn.XLOOKUP($K73,Inputs!$G$6:$G$23,Inputs!$J$6:$J$23)*$M73</f>
        <v>139.13316958531567</v>
      </c>
      <c r="T73" s="225">
        <f>_xlfn.XLOOKUP($K73,Inputs!$G$6:$G$23,Inputs!$K$6:$K$23)*$M73</f>
        <v>153.9345706050301</v>
      </c>
      <c r="U73" s="108" t="s">
        <v>720</v>
      </c>
      <c r="V73" s="107" t="s">
        <v>1061</v>
      </c>
      <c r="W73" s="108" t="s">
        <v>674</v>
      </c>
      <c r="X73" s="107" t="s">
        <v>1058</v>
      </c>
      <c r="Y73" s="11"/>
      <c r="Z73" s="11"/>
      <c r="AA73" s="11"/>
      <c r="AB73" s="59">
        <v>68</v>
      </c>
    </row>
    <row r="74" spans="2:28" s="2" customFormat="1" ht="20" x14ac:dyDescent="0.2">
      <c r="B74" s="108" t="s">
        <v>315</v>
      </c>
      <c r="C74" s="35" t="s">
        <v>75</v>
      </c>
      <c r="D74" s="35" t="s">
        <v>762</v>
      </c>
      <c r="E74" s="109">
        <v>1</v>
      </c>
      <c r="F74" s="108" t="s">
        <v>371</v>
      </c>
      <c r="G74" s="110">
        <v>19.148400000000002</v>
      </c>
      <c r="H74" s="110">
        <f t="shared" si="3"/>
        <v>11.82</v>
      </c>
      <c r="I74" s="110">
        <v>19.148400000000002</v>
      </c>
      <c r="J74" s="110">
        <f t="shared" si="4"/>
        <v>11.82</v>
      </c>
      <c r="K74" s="109">
        <v>115</v>
      </c>
      <c r="L74" s="223">
        <f>_xlfn.XLOOKUP($K74,Inputs!$C$6:$C$23,Inputs!$D$6:$D$23)*$I74</f>
        <v>7.9876182857142872</v>
      </c>
      <c r="M74" s="224">
        <f t="shared" si="5"/>
        <v>3</v>
      </c>
      <c r="N74" s="100"/>
      <c r="O74" s="100"/>
      <c r="P74" s="100"/>
      <c r="Q74" s="100"/>
      <c r="R74" s="100"/>
      <c r="S74" s="225">
        <f>_xlfn.XLOOKUP($K74,Inputs!$G$6:$G$23,Inputs!$J$6:$J$23)*$M74</f>
        <v>98.449131513647643</v>
      </c>
      <c r="T74" s="225">
        <f>_xlfn.XLOOKUP($K74,Inputs!$G$6:$G$23,Inputs!$K$6:$K$23)*$M74</f>
        <v>108.40163934426229</v>
      </c>
      <c r="U74" s="108" t="s">
        <v>749</v>
      </c>
      <c r="V74" s="107" t="s">
        <v>1021</v>
      </c>
      <c r="W74" s="108" t="s">
        <v>750</v>
      </c>
      <c r="X74" s="107" t="s">
        <v>1031</v>
      </c>
      <c r="Y74" s="11"/>
      <c r="Z74" s="104"/>
      <c r="AA74" s="104"/>
      <c r="AB74" s="59">
        <v>69</v>
      </c>
    </row>
    <row r="75" spans="2:28" s="2" customFormat="1" ht="20" x14ac:dyDescent="0.2">
      <c r="B75" s="108" t="s">
        <v>316</v>
      </c>
      <c r="C75" s="35" t="s">
        <v>75</v>
      </c>
      <c r="D75" s="35" t="s">
        <v>762</v>
      </c>
      <c r="E75" s="109">
        <v>1</v>
      </c>
      <c r="F75" s="108" t="s">
        <v>371</v>
      </c>
      <c r="G75" s="110">
        <v>54.94</v>
      </c>
      <c r="H75" s="110">
        <f t="shared" si="3"/>
        <v>33.913580246913575</v>
      </c>
      <c r="I75" s="110">
        <v>74.94</v>
      </c>
      <c r="J75" s="110">
        <f t="shared" si="4"/>
        <v>46.259259259259252</v>
      </c>
      <c r="K75" s="109">
        <v>115</v>
      </c>
      <c r="L75" s="223">
        <f>_xlfn.XLOOKUP($K75,Inputs!$C$6:$C$23,Inputs!$D$6:$D$23)*$I75</f>
        <v>31.260685714285714</v>
      </c>
      <c r="M75" s="224">
        <f t="shared" si="5"/>
        <v>3</v>
      </c>
      <c r="N75" s="100"/>
      <c r="O75" s="100"/>
      <c r="P75" s="100"/>
      <c r="Q75" s="100"/>
      <c r="R75" s="100"/>
      <c r="S75" s="225">
        <f>_xlfn.XLOOKUP($K75,Inputs!$G$6:$G$23,Inputs!$J$6:$J$23)*$M75</f>
        <v>98.449131513647643</v>
      </c>
      <c r="T75" s="225">
        <f>_xlfn.XLOOKUP($K75,Inputs!$G$6:$G$23,Inputs!$K$6:$K$23)*$M75</f>
        <v>108.40163934426229</v>
      </c>
      <c r="U75" s="108" t="s">
        <v>749</v>
      </c>
      <c r="V75" s="107" t="s">
        <v>1021</v>
      </c>
      <c r="W75" s="108" t="s">
        <v>855</v>
      </c>
      <c r="X75" s="107" t="s">
        <v>1047</v>
      </c>
      <c r="Y75" s="11"/>
      <c r="Z75" s="11"/>
      <c r="AA75" s="11"/>
      <c r="AB75" s="59">
        <v>70</v>
      </c>
    </row>
    <row r="76" spans="2:28" s="2" customFormat="1" ht="20" x14ac:dyDescent="0.2">
      <c r="B76" s="189" t="s">
        <v>316</v>
      </c>
      <c r="C76" s="35" t="s">
        <v>75</v>
      </c>
      <c r="D76" s="35" t="s">
        <v>762</v>
      </c>
      <c r="E76" s="196">
        <v>1</v>
      </c>
      <c r="F76" s="189" t="s">
        <v>371</v>
      </c>
      <c r="G76" s="195">
        <v>20</v>
      </c>
      <c r="H76" s="195">
        <f t="shared" si="3"/>
        <v>12.345679012345679</v>
      </c>
      <c r="I76" s="195">
        <v>74.94</v>
      </c>
      <c r="J76" s="195">
        <f t="shared" si="4"/>
        <v>46.259259259259252</v>
      </c>
      <c r="K76" s="196">
        <v>115</v>
      </c>
      <c r="L76" s="223">
        <f>_xlfn.XLOOKUP($K76,Inputs!$C$6:$C$23,Inputs!$D$6:$D$23)*$I76</f>
        <v>31.260685714285714</v>
      </c>
      <c r="M76" s="224">
        <f t="shared" si="5"/>
        <v>3</v>
      </c>
      <c r="N76" s="100"/>
      <c r="O76" s="100"/>
      <c r="P76" s="100"/>
      <c r="Q76" s="100"/>
      <c r="R76" s="100"/>
      <c r="S76" s="225">
        <f>_xlfn.XLOOKUP($K76,Inputs!$G$6:$G$23,Inputs!$J$6:$J$23)*$M76</f>
        <v>98.449131513647643</v>
      </c>
      <c r="T76" s="225">
        <f>_xlfn.XLOOKUP($K76,Inputs!$G$6:$G$23,Inputs!$K$6:$K$23)*$M76</f>
        <v>108.40163934426229</v>
      </c>
      <c r="U76" s="108" t="s">
        <v>855</v>
      </c>
      <c r="V76" s="107" t="s">
        <v>1047</v>
      </c>
      <c r="W76" s="108" t="s">
        <v>751</v>
      </c>
      <c r="X76" s="107" t="s">
        <v>1033</v>
      </c>
      <c r="Y76" s="265"/>
      <c r="Z76" s="11"/>
      <c r="AA76" s="11"/>
      <c r="AB76" s="59">
        <v>71</v>
      </c>
    </row>
    <row r="77" spans="2:28" s="2" customFormat="1" ht="20" x14ac:dyDescent="0.2">
      <c r="B77" s="108" t="s">
        <v>317</v>
      </c>
      <c r="C77" s="35" t="s">
        <v>75</v>
      </c>
      <c r="D77" s="35" t="s">
        <v>762</v>
      </c>
      <c r="E77" s="109">
        <v>1</v>
      </c>
      <c r="F77" s="108" t="s">
        <v>371</v>
      </c>
      <c r="G77" s="110">
        <v>74.941199999999995</v>
      </c>
      <c r="H77" s="110">
        <f t="shared" si="3"/>
        <v>46.259999999999991</v>
      </c>
      <c r="I77" s="110">
        <v>74.941199999999995</v>
      </c>
      <c r="J77" s="110">
        <f t="shared" si="4"/>
        <v>46.259999999999991</v>
      </c>
      <c r="K77" s="109">
        <v>115</v>
      </c>
      <c r="L77" s="223">
        <f>_xlfn.XLOOKUP($K77,Inputs!$C$6:$C$23,Inputs!$D$6:$D$23)*$I77</f>
        <v>31.261186285714285</v>
      </c>
      <c r="M77" s="224">
        <f t="shared" si="5"/>
        <v>3</v>
      </c>
      <c r="N77" s="100"/>
      <c r="O77" s="100"/>
      <c r="P77" s="100"/>
      <c r="Q77" s="100"/>
      <c r="R77" s="100"/>
      <c r="S77" s="225">
        <f>_xlfn.XLOOKUP($K77,Inputs!$G$6:$G$23,Inputs!$J$6:$J$23)*$M77</f>
        <v>98.449131513647643</v>
      </c>
      <c r="T77" s="225">
        <f>_xlfn.XLOOKUP($K77,Inputs!$G$6:$G$23,Inputs!$K$6:$K$23)*$M77</f>
        <v>108.40163934426229</v>
      </c>
      <c r="U77" s="108" t="s">
        <v>749</v>
      </c>
      <c r="V77" s="107" t="s">
        <v>1021</v>
      </c>
      <c r="W77" s="108" t="s">
        <v>751</v>
      </c>
      <c r="X77" s="107" t="s">
        <v>1033</v>
      </c>
      <c r="Y77" s="11"/>
      <c r="Z77" s="104"/>
      <c r="AA77" s="104"/>
      <c r="AB77" s="59">
        <v>72</v>
      </c>
    </row>
    <row r="78" spans="2:28" s="2" customFormat="1" ht="20" x14ac:dyDescent="0.2">
      <c r="B78" s="189" t="s">
        <v>852</v>
      </c>
      <c r="C78" s="35" t="s">
        <v>75</v>
      </c>
      <c r="D78" s="35" t="s">
        <v>762</v>
      </c>
      <c r="E78" s="196">
        <v>1</v>
      </c>
      <c r="F78" s="189" t="s">
        <v>371</v>
      </c>
      <c r="G78" s="188">
        <v>55</v>
      </c>
      <c r="H78" s="188">
        <f t="shared" si="3"/>
        <v>33.950617283950614</v>
      </c>
      <c r="I78" s="188">
        <v>55</v>
      </c>
      <c r="J78" s="188">
        <f t="shared" si="4"/>
        <v>33.950617283950614</v>
      </c>
      <c r="K78" s="196">
        <v>115</v>
      </c>
      <c r="L78" s="223">
        <f>_xlfn.XLOOKUP($K78,Inputs!$C$6:$C$23,Inputs!$D$6:$D$23)*$I78</f>
        <v>22.942857142857143</v>
      </c>
      <c r="M78" s="224">
        <f t="shared" si="5"/>
        <v>3</v>
      </c>
      <c r="N78" s="100"/>
      <c r="O78" s="100"/>
      <c r="P78" s="100"/>
      <c r="Q78" s="100"/>
      <c r="R78" s="100"/>
      <c r="S78" s="225">
        <f>_xlfn.XLOOKUP($K78,Inputs!$G$6:$G$23,Inputs!$J$6:$J$23)*$M78</f>
        <v>98.449131513647643</v>
      </c>
      <c r="T78" s="225">
        <f>_xlfn.XLOOKUP($K78,Inputs!$G$6:$G$23,Inputs!$K$6:$K$23)*$M78</f>
        <v>108.40163934426229</v>
      </c>
      <c r="U78" s="189" t="s">
        <v>854</v>
      </c>
      <c r="V78" s="107" t="s">
        <v>1043</v>
      </c>
      <c r="W78" s="189" t="s">
        <v>695</v>
      </c>
      <c r="X78" s="107" t="s">
        <v>1113</v>
      </c>
      <c r="Y78" s="11"/>
      <c r="Z78" s="104"/>
      <c r="AA78" s="104"/>
      <c r="AB78" s="59">
        <v>73</v>
      </c>
    </row>
    <row r="79" spans="2:28" s="2" customFormat="1" ht="20" x14ac:dyDescent="0.2">
      <c r="B79" s="108" t="s">
        <v>283</v>
      </c>
      <c r="C79" s="35" t="s">
        <v>75</v>
      </c>
      <c r="D79" s="35" t="s">
        <v>762</v>
      </c>
      <c r="E79" s="109">
        <v>1</v>
      </c>
      <c r="F79" s="108" t="s">
        <v>371</v>
      </c>
      <c r="G79" s="110">
        <v>34.133400000000002</v>
      </c>
      <c r="H79" s="110">
        <f t="shared" si="3"/>
        <v>21.07</v>
      </c>
      <c r="I79" s="110">
        <v>34.133400000000002</v>
      </c>
      <c r="J79" s="110">
        <f t="shared" si="4"/>
        <v>21.07</v>
      </c>
      <c r="K79" s="109">
        <v>138</v>
      </c>
      <c r="L79" s="223">
        <f>_xlfn.XLOOKUP($K79,Inputs!$C$6:$C$23,Inputs!$D$6:$D$23)*$I79</f>
        <v>14.799267000000002</v>
      </c>
      <c r="M79" s="224">
        <f t="shared" si="5"/>
        <v>3</v>
      </c>
      <c r="N79" s="100"/>
      <c r="O79" s="100"/>
      <c r="P79" s="100"/>
      <c r="Q79" s="100"/>
      <c r="R79" s="100"/>
      <c r="S79" s="225">
        <f>_xlfn.XLOOKUP($K79,Inputs!$G$6:$G$23,Inputs!$J$6:$J$23)*$M79</f>
        <v>141</v>
      </c>
      <c r="T79" s="225">
        <f>_xlfn.XLOOKUP($K79,Inputs!$G$6:$G$23,Inputs!$K$6:$K$23)*$M79</f>
        <v>156</v>
      </c>
      <c r="U79" s="111" t="s">
        <v>721</v>
      </c>
      <c r="V79" s="107" t="s">
        <v>1058</v>
      </c>
      <c r="W79" s="111" t="s">
        <v>675</v>
      </c>
      <c r="X79" s="107" t="s">
        <v>1151</v>
      </c>
      <c r="Y79" s="11"/>
      <c r="Z79" s="11"/>
      <c r="AA79" s="11"/>
      <c r="AB79" s="59">
        <v>74</v>
      </c>
    </row>
    <row r="80" spans="2:28" s="2" customFormat="1" ht="20" x14ac:dyDescent="0.2">
      <c r="B80" s="139" t="s">
        <v>572</v>
      </c>
      <c r="C80" s="35" t="s">
        <v>75</v>
      </c>
      <c r="D80" s="35" t="s">
        <v>762</v>
      </c>
      <c r="E80" s="140">
        <v>1</v>
      </c>
      <c r="F80" s="139" t="s">
        <v>371</v>
      </c>
      <c r="G80" s="159">
        <v>2</v>
      </c>
      <c r="H80" s="159">
        <f t="shared" si="3"/>
        <v>1.2345679012345678</v>
      </c>
      <c r="I80" s="159">
        <v>2</v>
      </c>
      <c r="J80" s="159">
        <f t="shared" si="4"/>
        <v>1.2345679012345678</v>
      </c>
      <c r="K80" s="140">
        <v>230</v>
      </c>
      <c r="L80" s="223">
        <f>_xlfn.XLOOKUP($K80,Inputs!$C$6:$C$23,Inputs!$D$6:$D$23)*$I80</f>
        <v>0.96</v>
      </c>
      <c r="M80" s="224">
        <f t="shared" si="5"/>
        <v>3</v>
      </c>
      <c r="N80" s="100"/>
      <c r="O80" s="100"/>
      <c r="P80" s="100"/>
      <c r="Q80" s="100"/>
      <c r="R80" s="100"/>
      <c r="S80" s="225">
        <f>_xlfn.XLOOKUP($K80,Inputs!$G$6:$G$23,Inputs!$J$6:$J$23)*$M80</f>
        <v>402</v>
      </c>
      <c r="T80" s="225">
        <f>_xlfn.XLOOKUP($K80,Inputs!$G$6:$G$23,Inputs!$K$6:$K$23)*$M80</f>
        <v>435</v>
      </c>
      <c r="U80" s="139" t="s">
        <v>743</v>
      </c>
      <c r="V80" s="107" t="s">
        <v>1026</v>
      </c>
      <c r="W80" s="139" t="s">
        <v>738</v>
      </c>
      <c r="X80" s="107" t="s">
        <v>1064</v>
      </c>
      <c r="Y80" s="11"/>
      <c r="Z80" s="106"/>
      <c r="AA80" s="106"/>
      <c r="AB80" s="59">
        <v>75</v>
      </c>
    </row>
    <row r="81" spans="2:28" s="2" customFormat="1" ht="20" x14ac:dyDescent="0.2">
      <c r="B81" s="139" t="s">
        <v>573</v>
      </c>
      <c r="C81" s="35" t="s">
        <v>75</v>
      </c>
      <c r="D81" s="35" t="s">
        <v>762</v>
      </c>
      <c r="E81" s="140">
        <v>1</v>
      </c>
      <c r="F81" s="139" t="s">
        <v>371</v>
      </c>
      <c r="G81" s="159">
        <v>2</v>
      </c>
      <c r="H81" s="159">
        <f t="shared" si="3"/>
        <v>1.2345679012345678</v>
      </c>
      <c r="I81" s="159">
        <v>2</v>
      </c>
      <c r="J81" s="159">
        <f t="shared" si="4"/>
        <v>1.2345679012345678</v>
      </c>
      <c r="K81" s="140">
        <v>230</v>
      </c>
      <c r="L81" s="223">
        <f>_xlfn.XLOOKUP($K81,Inputs!$C$6:$C$23,Inputs!$D$6:$D$23)*$I81</f>
        <v>0.96</v>
      </c>
      <c r="M81" s="224">
        <f t="shared" si="5"/>
        <v>3</v>
      </c>
      <c r="N81" s="100"/>
      <c r="O81" s="100"/>
      <c r="P81" s="100"/>
      <c r="Q81" s="100"/>
      <c r="R81" s="100"/>
      <c r="S81" s="225">
        <f>_xlfn.XLOOKUP($K81,Inputs!$G$6:$G$23,Inputs!$J$6:$J$23)*$M81</f>
        <v>402</v>
      </c>
      <c r="T81" s="225">
        <f>_xlfn.XLOOKUP($K81,Inputs!$G$6:$G$23,Inputs!$K$6:$K$23)*$M81</f>
        <v>435</v>
      </c>
      <c r="U81" s="139" t="s">
        <v>743</v>
      </c>
      <c r="V81" s="107" t="s">
        <v>1026</v>
      </c>
      <c r="W81" s="139" t="s">
        <v>738</v>
      </c>
      <c r="X81" s="107" t="s">
        <v>1064</v>
      </c>
      <c r="Y81" s="11"/>
      <c r="Z81" s="99"/>
      <c r="AA81" s="99"/>
      <c r="AB81" s="59">
        <v>76</v>
      </c>
    </row>
    <row r="82" spans="2:28" s="2" customFormat="1" ht="20" x14ac:dyDescent="0.2">
      <c r="B82" s="139" t="s">
        <v>574</v>
      </c>
      <c r="C82" s="35" t="s">
        <v>75</v>
      </c>
      <c r="D82" s="35" t="s">
        <v>762</v>
      </c>
      <c r="E82" s="140">
        <v>1</v>
      </c>
      <c r="F82" s="139" t="s">
        <v>371</v>
      </c>
      <c r="G82" s="159">
        <v>2</v>
      </c>
      <c r="H82" s="159">
        <f t="shared" si="3"/>
        <v>1.2345679012345678</v>
      </c>
      <c r="I82" s="159">
        <v>2</v>
      </c>
      <c r="J82" s="159">
        <f t="shared" si="4"/>
        <v>1.2345679012345678</v>
      </c>
      <c r="K82" s="140">
        <v>230</v>
      </c>
      <c r="L82" s="223">
        <f>_xlfn.XLOOKUP($K82,Inputs!$C$6:$C$23,Inputs!$D$6:$D$23)*$I82</f>
        <v>0.96</v>
      </c>
      <c r="M82" s="224">
        <f t="shared" si="5"/>
        <v>3</v>
      </c>
      <c r="N82" s="100"/>
      <c r="O82" s="100"/>
      <c r="P82" s="100"/>
      <c r="Q82" s="100"/>
      <c r="R82" s="100"/>
      <c r="S82" s="225">
        <f>_xlfn.XLOOKUP($K82,Inputs!$G$6:$G$23,Inputs!$J$6:$J$23)*$M82</f>
        <v>402</v>
      </c>
      <c r="T82" s="225">
        <f>_xlfn.XLOOKUP($K82,Inputs!$G$6:$G$23,Inputs!$K$6:$K$23)*$M82</f>
        <v>435</v>
      </c>
      <c r="U82" s="139" t="s">
        <v>743</v>
      </c>
      <c r="V82" s="107" t="s">
        <v>1026</v>
      </c>
      <c r="W82" s="139" t="s">
        <v>738</v>
      </c>
      <c r="X82" s="107" t="s">
        <v>1064</v>
      </c>
      <c r="Y82" s="11"/>
      <c r="Z82" s="99"/>
      <c r="AA82" s="99"/>
      <c r="AB82" s="59">
        <v>77</v>
      </c>
    </row>
    <row r="83" spans="2:28" s="2" customFormat="1" ht="20" x14ac:dyDescent="0.2">
      <c r="B83" s="139" t="s">
        <v>575</v>
      </c>
      <c r="C83" s="35" t="s">
        <v>75</v>
      </c>
      <c r="D83" s="35" t="s">
        <v>762</v>
      </c>
      <c r="E83" s="140">
        <v>1</v>
      </c>
      <c r="F83" s="139" t="s">
        <v>371</v>
      </c>
      <c r="G83" s="159">
        <v>2</v>
      </c>
      <c r="H83" s="159">
        <f t="shared" si="3"/>
        <v>1.2345679012345678</v>
      </c>
      <c r="I83" s="159">
        <v>2</v>
      </c>
      <c r="J83" s="159">
        <f t="shared" si="4"/>
        <v>1.2345679012345678</v>
      </c>
      <c r="K83" s="140">
        <v>230</v>
      </c>
      <c r="L83" s="223">
        <f>_xlfn.XLOOKUP($K83,Inputs!$C$6:$C$23,Inputs!$D$6:$D$23)*$I83</f>
        <v>0.96</v>
      </c>
      <c r="M83" s="224">
        <f t="shared" si="5"/>
        <v>3</v>
      </c>
      <c r="N83" s="100"/>
      <c r="O83" s="100"/>
      <c r="P83" s="100"/>
      <c r="Q83" s="100"/>
      <c r="R83" s="100"/>
      <c r="S83" s="225">
        <f>_xlfn.XLOOKUP($K83,Inputs!$G$6:$G$23,Inputs!$J$6:$J$23)*$M83</f>
        <v>402</v>
      </c>
      <c r="T83" s="225">
        <f>_xlfn.XLOOKUP($K83,Inputs!$G$6:$G$23,Inputs!$K$6:$K$23)*$M83</f>
        <v>435</v>
      </c>
      <c r="U83" s="139" t="s">
        <v>743</v>
      </c>
      <c r="V83" s="107" t="s">
        <v>1026</v>
      </c>
      <c r="W83" s="139" t="s">
        <v>738</v>
      </c>
      <c r="X83" s="107" t="s">
        <v>1064</v>
      </c>
      <c r="Y83" s="11"/>
      <c r="Z83" s="106"/>
      <c r="AA83" s="106"/>
      <c r="AB83" s="59">
        <v>78</v>
      </c>
    </row>
    <row r="84" spans="2:28" s="2" customFormat="1" ht="20" x14ac:dyDescent="0.2">
      <c r="B84" s="139" t="s">
        <v>576</v>
      </c>
      <c r="C84" s="35" t="s">
        <v>75</v>
      </c>
      <c r="D84" s="35" t="s">
        <v>762</v>
      </c>
      <c r="E84" s="140">
        <v>1</v>
      </c>
      <c r="F84" s="139" t="s">
        <v>371</v>
      </c>
      <c r="G84" s="159">
        <v>2</v>
      </c>
      <c r="H84" s="159">
        <f t="shared" si="3"/>
        <v>1.2345679012345678</v>
      </c>
      <c r="I84" s="159">
        <v>2</v>
      </c>
      <c r="J84" s="159">
        <f t="shared" si="4"/>
        <v>1.2345679012345678</v>
      </c>
      <c r="K84" s="140">
        <v>230</v>
      </c>
      <c r="L84" s="223">
        <f>_xlfn.XLOOKUP($K84,Inputs!$C$6:$C$23,Inputs!$D$6:$D$23)*$I84</f>
        <v>0.96</v>
      </c>
      <c r="M84" s="224">
        <f t="shared" si="5"/>
        <v>3</v>
      </c>
      <c r="N84" s="100"/>
      <c r="O84" s="100"/>
      <c r="P84" s="100"/>
      <c r="Q84" s="100"/>
      <c r="R84" s="100"/>
      <c r="S84" s="225">
        <f>_xlfn.XLOOKUP($K84,Inputs!$G$6:$G$23,Inputs!$J$6:$J$23)*$M84</f>
        <v>402</v>
      </c>
      <c r="T84" s="225">
        <f>_xlfn.XLOOKUP($K84,Inputs!$G$6:$G$23,Inputs!$K$6:$K$23)*$M84</f>
        <v>435</v>
      </c>
      <c r="U84" s="139" t="s">
        <v>743</v>
      </c>
      <c r="V84" s="107" t="s">
        <v>1026</v>
      </c>
      <c r="W84" s="139" t="s">
        <v>738</v>
      </c>
      <c r="X84" s="107" t="s">
        <v>1064</v>
      </c>
      <c r="Y84" s="104"/>
      <c r="Z84" s="106"/>
      <c r="AA84" s="106"/>
      <c r="AB84" s="59">
        <v>79</v>
      </c>
    </row>
    <row r="85" spans="2:28" s="2" customFormat="1" ht="20" x14ac:dyDescent="0.2">
      <c r="B85" s="108" t="s">
        <v>244</v>
      </c>
      <c r="C85" s="35" t="s">
        <v>75</v>
      </c>
      <c r="D85" s="35" t="s">
        <v>762</v>
      </c>
      <c r="E85" s="109">
        <v>1</v>
      </c>
      <c r="F85" s="108" t="s">
        <v>371</v>
      </c>
      <c r="G85" s="110">
        <v>134.78400000000002</v>
      </c>
      <c r="H85" s="110">
        <f t="shared" si="3"/>
        <v>83.2</v>
      </c>
      <c r="I85" s="110">
        <v>134.78400000000002</v>
      </c>
      <c r="J85" s="110">
        <f t="shared" si="4"/>
        <v>83.2</v>
      </c>
      <c r="K85" s="109">
        <v>230</v>
      </c>
      <c r="L85" s="223">
        <f>_xlfn.XLOOKUP($K85,Inputs!$C$6:$C$23,Inputs!$D$6:$D$23)*$I85</f>
        <v>64.696320000000014</v>
      </c>
      <c r="M85" s="224">
        <f t="shared" si="5"/>
        <v>2.2963840562294977</v>
      </c>
      <c r="N85" s="100"/>
      <c r="O85" s="100"/>
      <c r="P85" s="100"/>
      <c r="Q85" s="100"/>
      <c r="R85" s="100"/>
      <c r="S85" s="225">
        <f>_xlfn.XLOOKUP($K85,Inputs!$G$6:$G$23,Inputs!$J$6:$J$23)*$M85</f>
        <v>307.7154635347527</v>
      </c>
      <c r="T85" s="225">
        <f>_xlfn.XLOOKUP($K85,Inputs!$G$6:$G$23,Inputs!$K$6:$K$23)*$M85</f>
        <v>332.97568815327719</v>
      </c>
      <c r="U85" s="108" t="s">
        <v>722</v>
      </c>
      <c r="V85" s="107" t="s">
        <v>1065</v>
      </c>
      <c r="W85" s="108" t="s">
        <v>676</v>
      </c>
      <c r="X85" s="107" t="s">
        <v>1126</v>
      </c>
      <c r="Y85" s="11"/>
      <c r="Z85" s="11"/>
      <c r="AA85" s="11"/>
      <c r="AB85" s="59">
        <v>80</v>
      </c>
    </row>
    <row r="86" spans="2:28" s="2" customFormat="1" ht="20" x14ac:dyDescent="0.2">
      <c r="B86" s="108" t="s">
        <v>245</v>
      </c>
      <c r="C86" s="35" t="s">
        <v>75</v>
      </c>
      <c r="D86" s="35" t="s">
        <v>762</v>
      </c>
      <c r="E86" s="109">
        <v>1</v>
      </c>
      <c r="F86" s="108" t="s">
        <v>371</v>
      </c>
      <c r="G86" s="110">
        <v>166.536</v>
      </c>
      <c r="H86" s="110">
        <f t="shared" si="3"/>
        <v>102.8</v>
      </c>
      <c r="I86" s="110">
        <v>166.536</v>
      </c>
      <c r="J86" s="110">
        <f t="shared" si="4"/>
        <v>102.8</v>
      </c>
      <c r="K86" s="109">
        <v>230</v>
      </c>
      <c r="L86" s="223">
        <f>_xlfn.XLOOKUP($K86,Inputs!$C$6:$C$23,Inputs!$D$6:$D$23)*$I86</f>
        <v>79.937280000000001</v>
      </c>
      <c r="M86" s="224">
        <f t="shared" si="5"/>
        <v>1.9973602263568078</v>
      </c>
      <c r="N86" s="100"/>
      <c r="O86" s="100"/>
      <c r="P86" s="100"/>
      <c r="Q86" s="100"/>
      <c r="R86" s="100"/>
      <c r="S86" s="225">
        <f>_xlfn.XLOOKUP($K86,Inputs!$G$6:$G$23,Inputs!$J$6:$J$23)*$M86</f>
        <v>267.64627033181222</v>
      </c>
      <c r="T86" s="225">
        <f>_xlfn.XLOOKUP($K86,Inputs!$G$6:$G$23,Inputs!$K$6:$K$23)*$M86</f>
        <v>289.6172328217371</v>
      </c>
      <c r="U86" s="108" t="s">
        <v>722</v>
      </c>
      <c r="V86" s="107" t="s">
        <v>1065</v>
      </c>
      <c r="W86" s="108" t="s">
        <v>668</v>
      </c>
      <c r="X86" s="107" t="s">
        <v>1094</v>
      </c>
      <c r="Y86" s="11"/>
      <c r="Z86" s="104"/>
      <c r="AA86" s="104"/>
      <c r="AB86" s="59">
        <v>81</v>
      </c>
    </row>
    <row r="87" spans="2:28" s="2" customFormat="1" ht="20" x14ac:dyDescent="0.2">
      <c r="B87" s="108" t="s">
        <v>284</v>
      </c>
      <c r="C87" s="35" t="s">
        <v>75</v>
      </c>
      <c r="D87" s="35" t="s">
        <v>762</v>
      </c>
      <c r="E87" s="109">
        <v>1</v>
      </c>
      <c r="F87" s="108" t="s">
        <v>371</v>
      </c>
      <c r="G87" s="110">
        <v>75.168000000000006</v>
      </c>
      <c r="H87" s="110">
        <f t="shared" si="3"/>
        <v>46.4</v>
      </c>
      <c r="I87" s="110">
        <v>75.168000000000006</v>
      </c>
      <c r="J87" s="110">
        <f t="shared" si="4"/>
        <v>46.4</v>
      </c>
      <c r="K87" s="109">
        <v>138</v>
      </c>
      <c r="L87" s="223">
        <f>_xlfn.XLOOKUP($K87,Inputs!$C$6:$C$23,Inputs!$D$6:$D$23)*$I87</f>
        <v>32.590697142857145</v>
      </c>
      <c r="M87" s="224">
        <f t="shared" si="5"/>
        <v>3</v>
      </c>
      <c r="N87" s="100"/>
      <c r="O87" s="100"/>
      <c r="P87" s="100"/>
      <c r="Q87" s="100"/>
      <c r="R87" s="100"/>
      <c r="S87" s="225">
        <f>_xlfn.XLOOKUP($K87,Inputs!$G$6:$G$23,Inputs!$J$6:$J$23)*$M87</f>
        <v>141</v>
      </c>
      <c r="T87" s="225">
        <f>_xlfn.XLOOKUP($K87,Inputs!$G$6:$G$23,Inputs!$K$6:$K$23)*$M87</f>
        <v>156</v>
      </c>
      <c r="U87" s="108" t="s">
        <v>723</v>
      </c>
      <c r="V87" s="107" t="s">
        <v>1090</v>
      </c>
      <c r="W87" s="108" t="s">
        <v>677</v>
      </c>
      <c r="X87" s="107" t="s">
        <v>1061</v>
      </c>
      <c r="Y87" s="11"/>
      <c r="Z87" s="11"/>
      <c r="AA87" s="11"/>
      <c r="AB87" s="59">
        <v>82</v>
      </c>
    </row>
    <row r="88" spans="2:28" s="2" customFormat="1" ht="20" x14ac:dyDescent="0.2">
      <c r="B88" s="198" t="s">
        <v>863</v>
      </c>
      <c r="C88" s="35" t="s">
        <v>75</v>
      </c>
      <c r="D88" s="35" t="s">
        <v>762</v>
      </c>
      <c r="E88" s="199">
        <v>1</v>
      </c>
      <c r="F88" s="198" t="s">
        <v>371</v>
      </c>
      <c r="G88" s="188">
        <v>5</v>
      </c>
      <c r="H88" s="188">
        <f t="shared" si="3"/>
        <v>3.0864197530864197</v>
      </c>
      <c r="I88" s="188">
        <v>95</v>
      </c>
      <c r="J88" s="188">
        <f t="shared" si="4"/>
        <v>58.641975308641975</v>
      </c>
      <c r="K88" s="199">
        <v>115</v>
      </c>
      <c r="L88" s="223">
        <f>_xlfn.XLOOKUP($K88,Inputs!$C$6:$C$23,Inputs!$D$6:$D$23)*$I88</f>
        <v>39.628571428571426</v>
      </c>
      <c r="M88" s="224">
        <f t="shared" si="5"/>
        <v>2.8922264332537342</v>
      </c>
      <c r="N88" s="100"/>
      <c r="O88" s="100"/>
      <c r="P88" s="100"/>
      <c r="Q88" s="100"/>
      <c r="R88" s="100"/>
      <c r="S88" s="225">
        <f>_xlfn.XLOOKUP($K88,Inputs!$G$6:$G$23,Inputs!$J$6:$J$23)*$M88</f>
        <v>94.912393498214982</v>
      </c>
      <c r="T88" s="225">
        <f>_xlfn.XLOOKUP($K88,Inputs!$G$6:$G$23,Inputs!$K$6:$K$23)*$M88</f>
        <v>104.5073622398378</v>
      </c>
      <c r="U88" s="198" t="s">
        <v>685</v>
      </c>
      <c r="V88" s="107" t="s">
        <v>1065</v>
      </c>
      <c r="W88" s="198" t="s">
        <v>874</v>
      </c>
      <c r="X88" s="107" t="s">
        <v>1105</v>
      </c>
      <c r="Y88" s="11"/>
      <c r="Z88" s="11"/>
      <c r="AA88" s="11"/>
      <c r="AB88" s="59">
        <v>83</v>
      </c>
    </row>
    <row r="89" spans="2:28" s="2" customFormat="1" ht="20" x14ac:dyDescent="0.2">
      <c r="B89" s="198" t="s">
        <v>863</v>
      </c>
      <c r="C89" s="35" t="s">
        <v>75</v>
      </c>
      <c r="D89" s="35" t="s">
        <v>762</v>
      </c>
      <c r="E89" s="199">
        <v>1</v>
      </c>
      <c r="F89" s="198" t="s">
        <v>371</v>
      </c>
      <c r="G89" s="188">
        <v>15</v>
      </c>
      <c r="H89" s="188">
        <f t="shared" si="3"/>
        <v>9.2592592592592595</v>
      </c>
      <c r="I89" s="188">
        <v>95</v>
      </c>
      <c r="J89" s="188">
        <f t="shared" si="4"/>
        <v>58.641975308641975</v>
      </c>
      <c r="K89" s="199">
        <v>115</v>
      </c>
      <c r="L89" s="223">
        <f>_xlfn.XLOOKUP($K89,Inputs!$C$6:$C$23,Inputs!$D$6:$D$23)*$I89</f>
        <v>39.628571428571426</v>
      </c>
      <c r="M89" s="224">
        <f t="shared" si="5"/>
        <v>2.8922264332537342</v>
      </c>
      <c r="N89" s="100"/>
      <c r="O89" s="100"/>
      <c r="P89" s="100"/>
      <c r="Q89" s="100"/>
      <c r="R89" s="100"/>
      <c r="S89" s="225">
        <f>_xlfn.XLOOKUP($K89,Inputs!$G$6:$G$23,Inputs!$J$6:$J$23)*$M89</f>
        <v>94.912393498214982</v>
      </c>
      <c r="T89" s="225">
        <f>_xlfn.XLOOKUP($K89,Inputs!$G$6:$G$23,Inputs!$K$6:$K$23)*$M89</f>
        <v>104.5073622398378</v>
      </c>
      <c r="U89" s="198" t="s">
        <v>874</v>
      </c>
      <c r="V89" s="107" t="s">
        <v>1105</v>
      </c>
      <c r="W89" s="198" t="s">
        <v>865</v>
      </c>
      <c r="X89" s="107" t="s">
        <v>1063</v>
      </c>
      <c r="Y89" s="11"/>
      <c r="Z89" s="11"/>
      <c r="AA89" s="11"/>
      <c r="AB89" s="59">
        <v>84</v>
      </c>
    </row>
    <row r="90" spans="2:28" s="2" customFormat="1" ht="20" x14ac:dyDescent="0.2">
      <c r="B90" s="198" t="s">
        <v>863</v>
      </c>
      <c r="C90" s="35" t="s">
        <v>75</v>
      </c>
      <c r="D90" s="35" t="s">
        <v>762</v>
      </c>
      <c r="E90" s="199">
        <v>1</v>
      </c>
      <c r="F90" s="198" t="s">
        <v>371</v>
      </c>
      <c r="G90" s="188">
        <v>75</v>
      </c>
      <c r="H90" s="188">
        <f t="shared" si="3"/>
        <v>46.296296296296291</v>
      </c>
      <c r="I90" s="188">
        <v>95</v>
      </c>
      <c r="J90" s="188">
        <f t="shared" si="4"/>
        <v>58.641975308641975</v>
      </c>
      <c r="K90" s="199">
        <v>115</v>
      </c>
      <c r="L90" s="223">
        <f>_xlfn.XLOOKUP($K90,Inputs!$C$6:$C$23,Inputs!$D$6:$D$23)*$I90</f>
        <v>39.628571428571426</v>
      </c>
      <c r="M90" s="224">
        <f t="shared" si="5"/>
        <v>2.8922264332537342</v>
      </c>
      <c r="N90" s="100"/>
      <c r="O90" s="100"/>
      <c r="P90" s="100"/>
      <c r="Q90" s="100"/>
      <c r="R90" s="100"/>
      <c r="S90" s="225">
        <f>_xlfn.XLOOKUP($K90,Inputs!$G$6:$G$23,Inputs!$J$6:$J$23)*$M90</f>
        <v>94.912393498214982</v>
      </c>
      <c r="T90" s="225">
        <f>_xlfn.XLOOKUP($K90,Inputs!$G$6:$G$23,Inputs!$K$6:$K$23)*$M90</f>
        <v>104.5073622398378</v>
      </c>
      <c r="U90" s="198" t="s">
        <v>865</v>
      </c>
      <c r="V90" s="107" t="s">
        <v>1063</v>
      </c>
      <c r="W90" s="198" t="s">
        <v>864</v>
      </c>
      <c r="X90" s="107" t="s">
        <v>1146</v>
      </c>
      <c r="Y90" s="11"/>
      <c r="Z90" s="11"/>
      <c r="AA90" s="11"/>
      <c r="AB90" s="59">
        <v>85</v>
      </c>
    </row>
    <row r="91" spans="2:28" s="2" customFormat="1" ht="20" x14ac:dyDescent="0.2">
      <c r="B91" s="108" t="s">
        <v>318</v>
      </c>
      <c r="C91" s="35" t="s">
        <v>75</v>
      </c>
      <c r="D91" s="35" t="s">
        <v>762</v>
      </c>
      <c r="E91" s="109">
        <v>1</v>
      </c>
      <c r="F91" s="108" t="s">
        <v>371</v>
      </c>
      <c r="G91" s="110">
        <v>0.01</v>
      </c>
      <c r="H91" s="110">
        <f t="shared" si="3"/>
        <v>6.1728395061728392E-3</v>
      </c>
      <c r="I91" s="110">
        <v>0.01</v>
      </c>
      <c r="J91" s="110">
        <f t="shared" si="4"/>
        <v>6.1728395061728392E-3</v>
      </c>
      <c r="K91" s="109">
        <v>115</v>
      </c>
      <c r="L91" s="223">
        <f>_xlfn.XLOOKUP($K91,Inputs!$C$6:$C$23,Inputs!$D$6:$D$23)*$I91</f>
        <v>4.1714285714285716E-3</v>
      </c>
      <c r="M91" s="224">
        <f t="shared" si="5"/>
        <v>3</v>
      </c>
      <c r="N91" s="100"/>
      <c r="O91" s="100"/>
      <c r="P91" s="100"/>
      <c r="Q91" s="100"/>
      <c r="R91" s="100"/>
      <c r="S91" s="225">
        <f>_xlfn.XLOOKUP($K91,Inputs!$G$6:$G$23,Inputs!$J$6:$J$23)*$M91</f>
        <v>98.449131513647643</v>
      </c>
      <c r="T91" s="225">
        <f>_xlfn.XLOOKUP($K91,Inputs!$G$6:$G$23,Inputs!$K$6:$K$23)*$M91</f>
        <v>108.40163934426229</v>
      </c>
      <c r="U91" s="108" t="s">
        <v>817</v>
      </c>
      <c r="V91" s="107" t="s">
        <v>1056</v>
      </c>
      <c r="W91" s="108" t="s">
        <v>1286</v>
      </c>
      <c r="X91" s="107" t="s">
        <v>822</v>
      </c>
      <c r="Y91" s="11"/>
      <c r="Z91" s="11"/>
      <c r="AA91" s="11"/>
      <c r="AB91" s="59">
        <v>86</v>
      </c>
    </row>
    <row r="92" spans="2:28" s="2" customFormat="1" ht="20" x14ac:dyDescent="0.2">
      <c r="B92" s="108" t="s">
        <v>319</v>
      </c>
      <c r="C92" s="35" t="s">
        <v>75</v>
      </c>
      <c r="D92" s="35" t="s">
        <v>762</v>
      </c>
      <c r="E92" s="109">
        <v>1</v>
      </c>
      <c r="F92" s="108" t="s">
        <v>371</v>
      </c>
      <c r="G92" s="110">
        <v>0.01</v>
      </c>
      <c r="H92" s="110">
        <f t="shared" si="3"/>
        <v>6.1728395061728392E-3</v>
      </c>
      <c r="I92" s="110">
        <v>0.01</v>
      </c>
      <c r="J92" s="110">
        <f t="shared" si="4"/>
        <v>6.1728395061728392E-3</v>
      </c>
      <c r="K92" s="109">
        <v>115</v>
      </c>
      <c r="L92" s="223">
        <f>_xlfn.XLOOKUP($K92,Inputs!$C$6:$C$23,Inputs!$D$6:$D$23)*$I92</f>
        <v>4.1714285714285716E-3</v>
      </c>
      <c r="M92" s="224">
        <f t="shared" si="5"/>
        <v>3</v>
      </c>
      <c r="N92" s="100"/>
      <c r="O92" s="100"/>
      <c r="P92" s="100"/>
      <c r="Q92" s="100"/>
      <c r="R92" s="100"/>
      <c r="S92" s="225">
        <f>_xlfn.XLOOKUP($K92,Inputs!$G$6:$G$23,Inputs!$J$6:$J$23)*$M92</f>
        <v>98.449131513647643</v>
      </c>
      <c r="T92" s="225">
        <f>_xlfn.XLOOKUP($K92,Inputs!$G$6:$G$23,Inputs!$K$6:$K$23)*$M92</f>
        <v>108.40163934426229</v>
      </c>
      <c r="U92" s="108" t="s">
        <v>817</v>
      </c>
      <c r="V92" s="107" t="s">
        <v>1056</v>
      </c>
      <c r="W92" s="108" t="s">
        <v>1286</v>
      </c>
      <c r="X92" s="107" t="s">
        <v>822</v>
      </c>
      <c r="Y92" s="11"/>
      <c r="Z92" s="11"/>
      <c r="AA92" s="11"/>
      <c r="AB92" s="59">
        <v>87</v>
      </c>
    </row>
    <row r="93" spans="2:28" s="2" customFormat="1" ht="20" x14ac:dyDescent="0.2">
      <c r="B93" s="108" t="s">
        <v>246</v>
      </c>
      <c r="C93" s="35" t="s">
        <v>75</v>
      </c>
      <c r="D93" s="35" t="s">
        <v>762</v>
      </c>
      <c r="E93" s="109">
        <v>1</v>
      </c>
      <c r="F93" s="108" t="s">
        <v>371</v>
      </c>
      <c r="G93" s="110">
        <v>79.282799999999995</v>
      </c>
      <c r="H93" s="110">
        <f t="shared" si="3"/>
        <v>48.939999999999991</v>
      </c>
      <c r="I93" s="110">
        <v>79.282799999999995</v>
      </c>
      <c r="J93" s="110">
        <f t="shared" si="4"/>
        <v>48.939999999999991</v>
      </c>
      <c r="K93" s="109">
        <v>230</v>
      </c>
      <c r="L93" s="223">
        <f>_xlfn.XLOOKUP($K93,Inputs!$C$6:$C$23,Inputs!$D$6:$D$23)*$I93</f>
        <v>38.055743999999997</v>
      </c>
      <c r="M93" s="224">
        <f t="shared" si="5"/>
        <v>3</v>
      </c>
      <c r="N93" s="100"/>
      <c r="O93" s="100"/>
      <c r="P93" s="100"/>
      <c r="Q93" s="100"/>
      <c r="R93" s="100"/>
      <c r="S93" s="225">
        <f>_xlfn.XLOOKUP($K93,Inputs!$G$6:$G$23,Inputs!$J$6:$J$23)*$M93</f>
        <v>402</v>
      </c>
      <c r="T93" s="225">
        <f>_xlfn.XLOOKUP($K93,Inputs!$G$6:$G$23,Inputs!$K$6:$K$23)*$M93</f>
        <v>435</v>
      </c>
      <c r="U93" s="111" t="s">
        <v>752</v>
      </c>
      <c r="V93" s="107" t="s">
        <v>1023</v>
      </c>
      <c r="W93" s="111" t="s">
        <v>672</v>
      </c>
      <c r="X93" s="107" t="s">
        <v>1092</v>
      </c>
      <c r="Y93" s="11"/>
      <c r="Z93" s="11"/>
      <c r="AA93" s="11"/>
      <c r="AB93" s="59">
        <v>88</v>
      </c>
    </row>
    <row r="94" spans="2:28" s="2" customFormat="1" ht="20" x14ac:dyDescent="0.2">
      <c r="B94" s="152" t="s">
        <v>589</v>
      </c>
      <c r="C94" s="35" t="s">
        <v>75</v>
      </c>
      <c r="D94" s="35" t="s">
        <v>762</v>
      </c>
      <c r="E94" s="153">
        <v>1</v>
      </c>
      <c r="F94" s="152" t="s">
        <v>371</v>
      </c>
      <c r="G94" s="154">
        <v>5</v>
      </c>
      <c r="H94" s="154">
        <f t="shared" si="3"/>
        <v>3.0864197530864197</v>
      </c>
      <c r="I94" s="154">
        <v>5</v>
      </c>
      <c r="J94" s="154">
        <f t="shared" si="4"/>
        <v>3.0864197530864197</v>
      </c>
      <c r="K94" s="153">
        <v>230</v>
      </c>
      <c r="L94" s="223">
        <f>_xlfn.XLOOKUP($K94,Inputs!$C$6:$C$23,Inputs!$D$6:$D$23)*$I94</f>
        <v>2.4</v>
      </c>
      <c r="M94" s="224">
        <f t="shared" si="5"/>
        <v>3</v>
      </c>
      <c r="N94" s="100"/>
      <c r="O94" s="100"/>
      <c r="P94" s="100"/>
      <c r="Q94" s="100"/>
      <c r="R94" s="100"/>
      <c r="S94" s="225">
        <f>_xlfn.XLOOKUP($K94,Inputs!$G$6:$G$23,Inputs!$J$6:$J$23)*$M94</f>
        <v>402</v>
      </c>
      <c r="T94" s="225">
        <f>_xlfn.XLOOKUP($K94,Inputs!$G$6:$G$23,Inputs!$K$6:$K$23)*$M94</f>
        <v>435</v>
      </c>
      <c r="U94" s="152" t="s">
        <v>753</v>
      </c>
      <c r="V94" s="107" t="s">
        <v>1035</v>
      </c>
      <c r="W94" s="152" t="s">
        <v>665</v>
      </c>
      <c r="X94" s="107" t="s">
        <v>1073</v>
      </c>
      <c r="Y94" s="11"/>
      <c r="Z94" s="11"/>
      <c r="AA94" s="11"/>
      <c r="AB94" s="59">
        <v>89</v>
      </c>
    </row>
    <row r="95" spans="2:28" s="2" customFormat="1" ht="20" x14ac:dyDescent="0.2">
      <c r="B95" s="108" t="s">
        <v>320</v>
      </c>
      <c r="C95" s="35" t="s">
        <v>75</v>
      </c>
      <c r="D95" s="35" t="s">
        <v>762</v>
      </c>
      <c r="E95" s="109">
        <v>1</v>
      </c>
      <c r="F95" s="108" t="s">
        <v>371</v>
      </c>
      <c r="G95" s="110">
        <v>3.4020000000000006</v>
      </c>
      <c r="H95" s="110">
        <f t="shared" si="3"/>
        <v>2.1</v>
      </c>
      <c r="I95" s="110">
        <v>3.4020000000000006</v>
      </c>
      <c r="J95" s="110">
        <f t="shared" si="4"/>
        <v>2.1</v>
      </c>
      <c r="K95" s="109">
        <v>115</v>
      </c>
      <c r="L95" s="223">
        <f>_xlfn.XLOOKUP($K95,Inputs!$C$6:$C$23,Inputs!$D$6:$D$23)*$I95</f>
        <v>1.4191200000000002</v>
      </c>
      <c r="M95" s="224">
        <f t="shared" si="5"/>
        <v>3</v>
      </c>
      <c r="N95" s="100"/>
      <c r="O95" s="100"/>
      <c r="P95" s="100"/>
      <c r="Q95" s="100"/>
      <c r="R95" s="100"/>
      <c r="S95" s="225">
        <f>_xlfn.XLOOKUP($K95,Inputs!$G$6:$G$23,Inputs!$J$6:$J$23)*$M95</f>
        <v>98.449131513647643</v>
      </c>
      <c r="T95" s="225">
        <f>_xlfn.XLOOKUP($K95,Inputs!$G$6:$G$23,Inputs!$K$6:$K$23)*$M95</f>
        <v>108.40163934426229</v>
      </c>
      <c r="U95" s="108" t="s">
        <v>724</v>
      </c>
      <c r="V95" s="107" t="s">
        <v>1077</v>
      </c>
      <c r="W95" s="108" t="s">
        <v>678</v>
      </c>
      <c r="X95" s="107" t="s">
        <v>1145</v>
      </c>
      <c r="Y95" s="11"/>
      <c r="Z95" s="114"/>
      <c r="AA95" s="114"/>
      <c r="AB95" s="59">
        <v>90</v>
      </c>
    </row>
    <row r="96" spans="2:28" s="2" customFormat="1" ht="20" x14ac:dyDescent="0.2">
      <c r="B96" s="139" t="s">
        <v>559</v>
      </c>
      <c r="C96" s="35" t="s">
        <v>75</v>
      </c>
      <c r="D96" s="35" t="s">
        <v>762</v>
      </c>
      <c r="E96" s="140">
        <v>1</v>
      </c>
      <c r="F96" s="139" t="s">
        <v>371</v>
      </c>
      <c r="G96" s="159">
        <v>1</v>
      </c>
      <c r="H96" s="159">
        <f t="shared" si="3"/>
        <v>0.61728395061728392</v>
      </c>
      <c r="I96" s="159">
        <v>1</v>
      </c>
      <c r="J96" s="159">
        <f t="shared" si="4"/>
        <v>0.61728395061728392</v>
      </c>
      <c r="K96" s="140">
        <v>138</v>
      </c>
      <c r="L96" s="223">
        <f>_xlfn.XLOOKUP($K96,Inputs!$C$6:$C$23,Inputs!$D$6:$D$23)*$I96</f>
        <v>0.43357142857142861</v>
      </c>
      <c r="M96" s="224">
        <f t="shared" si="5"/>
        <v>3</v>
      </c>
      <c r="N96" s="100"/>
      <c r="O96" s="100"/>
      <c r="P96" s="100"/>
      <c r="Q96" s="100"/>
      <c r="R96" s="100"/>
      <c r="S96" s="225">
        <f>_xlfn.XLOOKUP($K96,Inputs!$G$6:$G$23,Inputs!$J$6:$J$23)*$M96</f>
        <v>141</v>
      </c>
      <c r="T96" s="225">
        <f>_xlfn.XLOOKUP($K96,Inputs!$G$6:$G$23,Inputs!$K$6:$K$23)*$M96</f>
        <v>156</v>
      </c>
      <c r="U96" s="139" t="s">
        <v>742</v>
      </c>
      <c r="V96" s="107" t="s">
        <v>1070</v>
      </c>
      <c r="W96" s="139" t="s">
        <v>786</v>
      </c>
      <c r="X96" s="107" t="s">
        <v>1032</v>
      </c>
      <c r="Y96" s="11"/>
      <c r="Z96" s="11"/>
      <c r="AA96" s="11"/>
      <c r="AB96" s="59">
        <v>91</v>
      </c>
    </row>
    <row r="97" spans="2:28" s="2" customFormat="1" ht="20" x14ac:dyDescent="0.2">
      <c r="B97" s="139" t="s">
        <v>563</v>
      </c>
      <c r="C97" s="35" t="s">
        <v>75</v>
      </c>
      <c r="D97" s="35" t="s">
        <v>762</v>
      </c>
      <c r="E97" s="140">
        <v>1</v>
      </c>
      <c r="F97" s="139" t="s">
        <v>371</v>
      </c>
      <c r="G97" s="159">
        <v>1</v>
      </c>
      <c r="H97" s="159">
        <f t="shared" si="3"/>
        <v>0.61728395061728392</v>
      </c>
      <c r="I97" s="159">
        <v>1</v>
      </c>
      <c r="J97" s="159">
        <f t="shared" si="4"/>
        <v>0.61728395061728392</v>
      </c>
      <c r="K97" s="140">
        <v>138</v>
      </c>
      <c r="L97" s="223">
        <f>_xlfn.XLOOKUP($K97,Inputs!$C$6:$C$23,Inputs!$D$6:$D$23)*$I97</f>
        <v>0.43357142857142861</v>
      </c>
      <c r="M97" s="224">
        <f t="shared" si="5"/>
        <v>3</v>
      </c>
      <c r="N97" s="100"/>
      <c r="O97" s="100"/>
      <c r="P97" s="100"/>
      <c r="Q97" s="100"/>
      <c r="R97" s="100"/>
      <c r="S97" s="225">
        <f>_xlfn.XLOOKUP($K97,Inputs!$G$6:$G$23,Inputs!$J$6:$J$23)*$M97</f>
        <v>141</v>
      </c>
      <c r="T97" s="225">
        <f>_xlfn.XLOOKUP($K97,Inputs!$G$6:$G$23,Inputs!$K$6:$K$23)*$M97</f>
        <v>156</v>
      </c>
      <c r="U97" s="139" t="s">
        <v>742</v>
      </c>
      <c r="V97" s="107" t="s">
        <v>1070</v>
      </c>
      <c r="W97" s="139" t="s">
        <v>786</v>
      </c>
      <c r="X97" s="107" t="s">
        <v>1032</v>
      </c>
      <c r="Y97" s="11"/>
      <c r="Z97" s="11"/>
      <c r="AA97" s="11"/>
      <c r="AB97" s="59">
        <v>92</v>
      </c>
    </row>
    <row r="98" spans="2:28" s="2" customFormat="1" ht="20" x14ac:dyDescent="0.2">
      <c r="B98" s="108" t="s">
        <v>247</v>
      </c>
      <c r="C98" s="35" t="s">
        <v>75</v>
      </c>
      <c r="D98" s="35" t="s">
        <v>762</v>
      </c>
      <c r="E98" s="109">
        <v>1</v>
      </c>
      <c r="F98" s="108" t="s">
        <v>371</v>
      </c>
      <c r="G98" s="110">
        <v>68.850000000000009</v>
      </c>
      <c r="H98" s="110">
        <f t="shared" si="3"/>
        <v>42.5</v>
      </c>
      <c r="I98" s="110">
        <v>68.850000000000009</v>
      </c>
      <c r="J98" s="110">
        <f t="shared" si="4"/>
        <v>42.5</v>
      </c>
      <c r="K98" s="109">
        <v>230</v>
      </c>
      <c r="L98" s="223">
        <f>_xlfn.XLOOKUP($K98,Inputs!$C$6:$C$23,Inputs!$D$6:$D$23)*$I98</f>
        <v>33.048000000000002</v>
      </c>
      <c r="M98" s="224">
        <f t="shared" si="5"/>
        <v>3</v>
      </c>
      <c r="N98" s="100"/>
      <c r="O98" s="100"/>
      <c r="P98" s="100"/>
      <c r="Q98" s="100"/>
      <c r="R98" s="100"/>
      <c r="S98" s="225">
        <f>_xlfn.XLOOKUP($K98,Inputs!$G$6:$G$23,Inputs!$J$6:$J$23)*$M98</f>
        <v>402</v>
      </c>
      <c r="T98" s="225">
        <f>_xlfn.XLOOKUP($K98,Inputs!$G$6:$G$23,Inputs!$K$6:$K$23)*$M98</f>
        <v>435</v>
      </c>
      <c r="U98" s="108" t="s">
        <v>645</v>
      </c>
      <c r="V98" s="107" t="s">
        <v>1119</v>
      </c>
      <c r="W98" s="108" t="s">
        <v>1289</v>
      </c>
      <c r="X98" s="107" t="s">
        <v>848</v>
      </c>
      <c r="Y98" s="11"/>
      <c r="Z98" s="11"/>
      <c r="AA98" s="11"/>
      <c r="AB98" s="59">
        <v>93</v>
      </c>
    </row>
    <row r="99" spans="2:28" s="2" customFormat="1" ht="20" x14ac:dyDescent="0.2">
      <c r="B99" s="108" t="s">
        <v>248</v>
      </c>
      <c r="C99" s="35" t="s">
        <v>75</v>
      </c>
      <c r="D99" s="35" t="s">
        <v>762</v>
      </c>
      <c r="E99" s="109">
        <v>1</v>
      </c>
      <c r="F99" s="108" t="s">
        <v>371</v>
      </c>
      <c r="G99" s="110">
        <v>68.850000000000009</v>
      </c>
      <c r="H99" s="110">
        <f t="shared" si="3"/>
        <v>42.5</v>
      </c>
      <c r="I99" s="110">
        <v>68.850000000000009</v>
      </c>
      <c r="J99" s="110">
        <f t="shared" si="4"/>
        <v>42.5</v>
      </c>
      <c r="K99" s="109">
        <v>230</v>
      </c>
      <c r="L99" s="223">
        <f>_xlfn.XLOOKUP($K99,Inputs!$C$6:$C$23,Inputs!$D$6:$D$23)*$I99</f>
        <v>33.048000000000002</v>
      </c>
      <c r="M99" s="224">
        <f t="shared" si="5"/>
        <v>3</v>
      </c>
      <c r="N99" s="100"/>
      <c r="O99" s="100"/>
      <c r="P99" s="100"/>
      <c r="Q99" s="100"/>
      <c r="R99" s="100"/>
      <c r="S99" s="225">
        <f>_xlfn.XLOOKUP($K99,Inputs!$G$6:$G$23,Inputs!$J$6:$J$23)*$M99</f>
        <v>402</v>
      </c>
      <c r="T99" s="225">
        <f>_xlfn.XLOOKUP($K99,Inputs!$G$6:$G$23,Inputs!$K$6:$K$23)*$M99</f>
        <v>435</v>
      </c>
      <c r="U99" s="108" t="s">
        <v>645</v>
      </c>
      <c r="V99" s="107" t="s">
        <v>1119</v>
      </c>
      <c r="W99" s="108" t="s">
        <v>1289</v>
      </c>
      <c r="X99" s="107" t="s">
        <v>848</v>
      </c>
      <c r="Y99" s="11"/>
      <c r="Z99" s="11"/>
      <c r="AA99" s="11"/>
      <c r="AB99" s="59">
        <v>94</v>
      </c>
    </row>
    <row r="100" spans="2:28" s="2" customFormat="1" ht="20" x14ac:dyDescent="0.2">
      <c r="B100" s="108" t="s">
        <v>249</v>
      </c>
      <c r="C100" s="35" t="s">
        <v>75</v>
      </c>
      <c r="D100" s="35" t="s">
        <v>762</v>
      </c>
      <c r="E100" s="109">
        <v>1</v>
      </c>
      <c r="F100" s="108" t="s">
        <v>371</v>
      </c>
      <c r="G100" s="110">
        <v>98.658000000000001</v>
      </c>
      <c r="H100" s="110">
        <f t="shared" si="3"/>
        <v>60.9</v>
      </c>
      <c r="I100" s="110">
        <v>98.658000000000001</v>
      </c>
      <c r="J100" s="110">
        <f t="shared" si="4"/>
        <v>60.9</v>
      </c>
      <c r="K100" s="109">
        <v>230</v>
      </c>
      <c r="L100" s="223">
        <f>_xlfn.XLOOKUP($K100,Inputs!$C$6:$C$23,Inputs!$D$6:$D$23)*$I100</f>
        <v>47.355840000000001</v>
      </c>
      <c r="M100" s="224">
        <f t="shared" si="5"/>
        <v>2.821049795301088</v>
      </c>
      <c r="N100" s="100"/>
      <c r="O100" s="100"/>
      <c r="P100" s="100"/>
      <c r="Q100" s="100"/>
      <c r="R100" s="100"/>
      <c r="S100" s="225">
        <f>_xlfn.XLOOKUP($K100,Inputs!$G$6:$G$23,Inputs!$J$6:$J$23)*$M100</f>
        <v>378.02067257034577</v>
      </c>
      <c r="T100" s="225">
        <f>_xlfn.XLOOKUP($K100,Inputs!$G$6:$G$23,Inputs!$K$6:$K$23)*$M100</f>
        <v>409.05222031865776</v>
      </c>
      <c r="U100" s="108" t="s">
        <v>1018</v>
      </c>
      <c r="V100" s="107" t="s">
        <v>1131</v>
      </c>
      <c r="W100" s="108" t="s">
        <v>679</v>
      </c>
      <c r="X100" s="107" t="s">
        <v>1044</v>
      </c>
      <c r="Y100" s="11"/>
      <c r="Z100" s="11"/>
      <c r="AA100" s="11"/>
      <c r="AB100" s="59">
        <v>95</v>
      </c>
    </row>
    <row r="101" spans="2:28" s="2" customFormat="1" ht="20" x14ac:dyDescent="0.2">
      <c r="B101" s="192" t="s">
        <v>839</v>
      </c>
      <c r="C101" s="35" t="s">
        <v>75</v>
      </c>
      <c r="D101" s="35" t="s">
        <v>762</v>
      </c>
      <c r="E101" s="194">
        <v>1</v>
      </c>
      <c r="F101" s="192" t="s">
        <v>371</v>
      </c>
      <c r="G101" s="193">
        <v>105</v>
      </c>
      <c r="H101" s="193">
        <f t="shared" si="3"/>
        <v>64.81481481481481</v>
      </c>
      <c r="I101" s="193">
        <v>105</v>
      </c>
      <c r="J101" s="193">
        <f t="shared" si="4"/>
        <v>64.81481481481481</v>
      </c>
      <c r="K101" s="194">
        <v>230</v>
      </c>
      <c r="L101" s="223">
        <f>_xlfn.XLOOKUP($K101,Inputs!$C$6:$C$23,Inputs!$D$6:$D$23)*$I101</f>
        <v>50.4</v>
      </c>
      <c r="M101" s="224">
        <f t="shared" si="5"/>
        <v>2.7074887824246536</v>
      </c>
      <c r="N101" s="100"/>
      <c r="O101" s="100"/>
      <c r="P101" s="100"/>
      <c r="Q101" s="100"/>
      <c r="R101" s="100"/>
      <c r="S101" s="225">
        <f>_xlfn.XLOOKUP($K101,Inputs!$G$6:$G$23,Inputs!$J$6:$J$23)*$M101</f>
        <v>362.80349684490358</v>
      </c>
      <c r="T101" s="225">
        <f>_xlfn.XLOOKUP($K101,Inputs!$G$6:$G$23,Inputs!$K$6:$K$23)*$M101</f>
        <v>392.5858734515748</v>
      </c>
      <c r="U101" s="108" t="s">
        <v>1018</v>
      </c>
      <c r="V101" s="107" t="s">
        <v>1131</v>
      </c>
      <c r="W101" s="108" t="s">
        <v>651</v>
      </c>
      <c r="X101" s="107" t="s">
        <v>1083</v>
      </c>
      <c r="Y101" s="11"/>
      <c r="Z101" s="11"/>
      <c r="AA101" s="11"/>
      <c r="AB101" s="59">
        <v>96</v>
      </c>
    </row>
    <row r="102" spans="2:28" s="2" customFormat="1" ht="20" x14ac:dyDescent="0.2">
      <c r="B102" s="139" t="s">
        <v>560</v>
      </c>
      <c r="C102" s="35" t="s">
        <v>75</v>
      </c>
      <c r="D102" s="35" t="s">
        <v>762</v>
      </c>
      <c r="E102" s="140">
        <v>1</v>
      </c>
      <c r="F102" s="139" t="s">
        <v>371</v>
      </c>
      <c r="G102" s="159">
        <v>1</v>
      </c>
      <c r="H102" s="159">
        <f t="shared" si="3"/>
        <v>0.61728395061728392</v>
      </c>
      <c r="I102" s="159">
        <v>1</v>
      </c>
      <c r="J102" s="159">
        <f t="shared" si="4"/>
        <v>0.61728395061728392</v>
      </c>
      <c r="K102" s="140">
        <v>138</v>
      </c>
      <c r="L102" s="223">
        <f>_xlfn.XLOOKUP($K102,Inputs!$C$6:$C$23,Inputs!$D$6:$D$23)*$I102</f>
        <v>0.43357142857142861</v>
      </c>
      <c r="M102" s="224">
        <f t="shared" si="5"/>
        <v>3</v>
      </c>
      <c r="N102" s="100"/>
      <c r="O102" s="100"/>
      <c r="P102" s="100"/>
      <c r="Q102" s="100"/>
      <c r="R102" s="100"/>
      <c r="S102" s="225">
        <f>_xlfn.XLOOKUP($K102,Inputs!$G$6:$G$23,Inputs!$J$6:$J$23)*$M102</f>
        <v>141</v>
      </c>
      <c r="T102" s="225">
        <f>_xlfn.XLOOKUP($K102,Inputs!$G$6:$G$23,Inputs!$K$6:$K$23)*$M102</f>
        <v>156</v>
      </c>
      <c r="U102" s="139" t="s">
        <v>742</v>
      </c>
      <c r="V102" s="107" t="s">
        <v>1070</v>
      </c>
      <c r="W102" s="139" t="s">
        <v>786</v>
      </c>
      <c r="X102" s="107" t="s">
        <v>1032</v>
      </c>
      <c r="Y102" s="11"/>
      <c r="Z102" s="99"/>
      <c r="AA102" s="99"/>
      <c r="AB102" s="59">
        <v>97</v>
      </c>
    </row>
    <row r="103" spans="2:28" s="2" customFormat="1" ht="20" x14ac:dyDescent="0.2">
      <c r="B103" s="139" t="s">
        <v>561</v>
      </c>
      <c r="C103" s="35" t="s">
        <v>75</v>
      </c>
      <c r="D103" s="35" t="s">
        <v>762</v>
      </c>
      <c r="E103" s="140">
        <v>1</v>
      </c>
      <c r="F103" s="139" t="s">
        <v>371</v>
      </c>
      <c r="G103" s="159">
        <v>1</v>
      </c>
      <c r="H103" s="159">
        <f t="shared" si="3"/>
        <v>0.61728395061728392</v>
      </c>
      <c r="I103" s="159">
        <v>1</v>
      </c>
      <c r="J103" s="159">
        <f t="shared" si="4"/>
        <v>0.61728395061728392</v>
      </c>
      <c r="K103" s="140">
        <v>138</v>
      </c>
      <c r="L103" s="223">
        <f>_xlfn.XLOOKUP($K103,Inputs!$C$6:$C$23,Inputs!$D$6:$D$23)*$I103</f>
        <v>0.43357142857142861</v>
      </c>
      <c r="M103" s="224">
        <f t="shared" si="5"/>
        <v>3</v>
      </c>
      <c r="N103" s="100"/>
      <c r="O103" s="100"/>
      <c r="P103" s="100"/>
      <c r="Q103" s="100"/>
      <c r="R103" s="100"/>
      <c r="S103" s="225">
        <f>_xlfn.XLOOKUP($K103,Inputs!$G$6:$G$23,Inputs!$J$6:$J$23)*$M103</f>
        <v>141</v>
      </c>
      <c r="T103" s="225">
        <f>_xlfn.XLOOKUP($K103,Inputs!$G$6:$G$23,Inputs!$K$6:$K$23)*$M103</f>
        <v>156</v>
      </c>
      <c r="U103" s="139" t="s">
        <v>742</v>
      </c>
      <c r="V103" s="107" t="s">
        <v>1070</v>
      </c>
      <c r="W103" s="139" t="s">
        <v>786</v>
      </c>
      <c r="X103" s="107" t="s">
        <v>1032</v>
      </c>
      <c r="Y103" s="11"/>
      <c r="Z103" s="99"/>
      <c r="AA103" s="99"/>
      <c r="AB103" s="59">
        <v>98</v>
      </c>
    </row>
    <row r="104" spans="2:28" s="2" customFormat="1" ht="20" x14ac:dyDescent="0.2">
      <c r="B104" s="139" t="s">
        <v>562</v>
      </c>
      <c r="C104" s="35" t="s">
        <v>75</v>
      </c>
      <c r="D104" s="35" t="s">
        <v>762</v>
      </c>
      <c r="E104" s="140">
        <v>1</v>
      </c>
      <c r="F104" s="139" t="s">
        <v>371</v>
      </c>
      <c r="G104" s="159">
        <v>1</v>
      </c>
      <c r="H104" s="159">
        <f t="shared" si="3"/>
        <v>0.61728395061728392</v>
      </c>
      <c r="I104" s="159">
        <v>1</v>
      </c>
      <c r="J104" s="159">
        <f t="shared" si="4"/>
        <v>0.61728395061728392</v>
      </c>
      <c r="K104" s="140">
        <v>138</v>
      </c>
      <c r="L104" s="223">
        <f>_xlfn.XLOOKUP($K104,Inputs!$C$6:$C$23,Inputs!$D$6:$D$23)*$I104</f>
        <v>0.43357142857142861</v>
      </c>
      <c r="M104" s="224">
        <f t="shared" si="5"/>
        <v>3</v>
      </c>
      <c r="N104" s="100"/>
      <c r="O104" s="100"/>
      <c r="P104" s="100"/>
      <c r="Q104" s="100"/>
      <c r="R104" s="100"/>
      <c r="S104" s="225">
        <f>_xlfn.XLOOKUP($K104,Inputs!$G$6:$G$23,Inputs!$J$6:$J$23)*$M104</f>
        <v>141</v>
      </c>
      <c r="T104" s="225">
        <f>_xlfn.XLOOKUP($K104,Inputs!$G$6:$G$23,Inputs!$K$6:$K$23)*$M104</f>
        <v>156</v>
      </c>
      <c r="U104" s="139" t="s">
        <v>742</v>
      </c>
      <c r="V104" s="107" t="s">
        <v>1070</v>
      </c>
      <c r="W104" s="139" t="s">
        <v>786</v>
      </c>
      <c r="X104" s="107" t="s">
        <v>1032</v>
      </c>
      <c r="Y104" s="11"/>
      <c r="Z104" s="99"/>
      <c r="AA104" s="99"/>
      <c r="AB104" s="59">
        <v>99</v>
      </c>
    </row>
    <row r="105" spans="2:28" s="2" customFormat="1" ht="20" x14ac:dyDescent="0.2">
      <c r="B105" s="139" t="s">
        <v>564</v>
      </c>
      <c r="C105" s="35" t="s">
        <v>75</v>
      </c>
      <c r="D105" s="35" t="s">
        <v>762</v>
      </c>
      <c r="E105" s="140">
        <v>1</v>
      </c>
      <c r="F105" s="139" t="s">
        <v>371</v>
      </c>
      <c r="G105" s="159">
        <v>1</v>
      </c>
      <c r="H105" s="159">
        <f t="shared" si="3"/>
        <v>0.61728395061728392</v>
      </c>
      <c r="I105" s="159">
        <v>1</v>
      </c>
      <c r="J105" s="159">
        <f t="shared" si="4"/>
        <v>0.61728395061728392</v>
      </c>
      <c r="K105" s="140">
        <v>138</v>
      </c>
      <c r="L105" s="223">
        <f>_xlfn.XLOOKUP($K105,Inputs!$C$6:$C$23,Inputs!$D$6:$D$23)*$I105</f>
        <v>0.43357142857142861</v>
      </c>
      <c r="M105" s="224">
        <f t="shared" si="5"/>
        <v>3</v>
      </c>
      <c r="N105" s="100"/>
      <c r="O105" s="100"/>
      <c r="P105" s="100"/>
      <c r="Q105" s="100"/>
      <c r="R105" s="100"/>
      <c r="S105" s="225">
        <f>_xlfn.XLOOKUP($K105,Inputs!$G$6:$G$23,Inputs!$J$6:$J$23)*$M105</f>
        <v>141</v>
      </c>
      <c r="T105" s="225">
        <f>_xlfn.XLOOKUP($K105,Inputs!$G$6:$G$23,Inputs!$K$6:$K$23)*$M105</f>
        <v>156</v>
      </c>
      <c r="U105" s="139" t="s">
        <v>742</v>
      </c>
      <c r="V105" s="107" t="s">
        <v>1070</v>
      </c>
      <c r="W105" s="139" t="s">
        <v>786</v>
      </c>
      <c r="X105" s="107" t="s">
        <v>1032</v>
      </c>
      <c r="Y105" s="11"/>
      <c r="Z105" s="99"/>
      <c r="AA105" s="99"/>
      <c r="AB105" s="59">
        <v>100</v>
      </c>
    </row>
    <row r="106" spans="2:28" s="2" customFormat="1" ht="20" x14ac:dyDescent="0.2">
      <c r="B106" s="139" t="s">
        <v>585</v>
      </c>
      <c r="C106" s="35" t="s">
        <v>75</v>
      </c>
      <c r="D106" s="35" t="s">
        <v>762</v>
      </c>
      <c r="E106" s="140">
        <v>1</v>
      </c>
      <c r="F106" s="139" t="s">
        <v>371</v>
      </c>
      <c r="G106" s="159">
        <v>27</v>
      </c>
      <c r="H106" s="159">
        <f t="shared" si="3"/>
        <v>16.666666666666664</v>
      </c>
      <c r="I106" s="159">
        <v>27</v>
      </c>
      <c r="J106" s="159">
        <f t="shared" si="4"/>
        <v>16.666666666666664</v>
      </c>
      <c r="K106" s="140">
        <v>230</v>
      </c>
      <c r="L106" s="223">
        <f>_xlfn.XLOOKUP($K106,Inputs!$C$6:$C$23,Inputs!$D$6:$D$23)*$I106</f>
        <v>12.959999999999999</v>
      </c>
      <c r="M106" s="224">
        <f t="shared" si="5"/>
        <v>3</v>
      </c>
      <c r="N106" s="100"/>
      <c r="O106" s="100"/>
      <c r="P106" s="100"/>
      <c r="Q106" s="100"/>
      <c r="R106" s="100"/>
      <c r="S106" s="225">
        <f>_xlfn.XLOOKUP($K106,Inputs!$G$6:$G$23,Inputs!$J$6:$J$23)*$M106</f>
        <v>402</v>
      </c>
      <c r="T106" s="225">
        <f>_xlfn.XLOOKUP($K106,Inputs!$G$6:$G$23,Inputs!$K$6:$K$23)*$M106</f>
        <v>435</v>
      </c>
      <c r="U106" s="139" t="s">
        <v>736</v>
      </c>
      <c r="V106" s="107" t="s">
        <v>1069</v>
      </c>
      <c r="W106" s="139" t="s">
        <v>738</v>
      </c>
      <c r="X106" s="107" t="s">
        <v>1064</v>
      </c>
      <c r="Y106" s="11"/>
      <c r="Z106" s="99"/>
      <c r="AA106" s="99"/>
      <c r="AB106" s="59">
        <v>101</v>
      </c>
    </row>
    <row r="107" spans="2:28" s="2" customFormat="1" ht="20" x14ac:dyDescent="0.2">
      <c r="B107" s="139" t="s">
        <v>586</v>
      </c>
      <c r="C107" s="35" t="s">
        <v>75</v>
      </c>
      <c r="D107" s="35" t="s">
        <v>762</v>
      </c>
      <c r="E107" s="140">
        <v>1</v>
      </c>
      <c r="F107" s="139" t="s">
        <v>371</v>
      </c>
      <c r="G107" s="159">
        <v>27</v>
      </c>
      <c r="H107" s="159">
        <f t="shared" si="3"/>
        <v>16.666666666666664</v>
      </c>
      <c r="I107" s="159">
        <v>27</v>
      </c>
      <c r="J107" s="159">
        <f t="shared" si="4"/>
        <v>16.666666666666664</v>
      </c>
      <c r="K107" s="140">
        <v>230</v>
      </c>
      <c r="L107" s="223">
        <f>_xlfn.XLOOKUP($K107,Inputs!$C$6:$C$23,Inputs!$D$6:$D$23)*$I107</f>
        <v>12.959999999999999</v>
      </c>
      <c r="M107" s="224">
        <f t="shared" si="5"/>
        <v>3</v>
      </c>
      <c r="N107" s="100"/>
      <c r="O107" s="100"/>
      <c r="P107" s="100"/>
      <c r="Q107" s="100"/>
      <c r="R107" s="100"/>
      <c r="S107" s="225">
        <f>_xlfn.XLOOKUP($K107,Inputs!$G$6:$G$23,Inputs!$J$6:$J$23)*$M107</f>
        <v>402</v>
      </c>
      <c r="T107" s="225">
        <f>_xlfn.XLOOKUP($K107,Inputs!$G$6:$G$23,Inputs!$K$6:$K$23)*$M107</f>
        <v>435</v>
      </c>
      <c r="U107" s="139" t="s">
        <v>736</v>
      </c>
      <c r="V107" s="107" t="s">
        <v>1069</v>
      </c>
      <c r="W107" s="139" t="s">
        <v>738</v>
      </c>
      <c r="X107" s="107" t="s">
        <v>1064</v>
      </c>
      <c r="Y107" s="11"/>
      <c r="Z107" s="106"/>
      <c r="AA107" s="106"/>
      <c r="AB107" s="59">
        <v>102</v>
      </c>
    </row>
    <row r="108" spans="2:28" s="2" customFormat="1" ht="20" x14ac:dyDescent="0.2">
      <c r="B108" s="139" t="s">
        <v>587</v>
      </c>
      <c r="C108" s="35" t="s">
        <v>75</v>
      </c>
      <c r="D108" s="35" t="s">
        <v>762</v>
      </c>
      <c r="E108" s="140">
        <v>1</v>
      </c>
      <c r="F108" s="139" t="s">
        <v>371</v>
      </c>
      <c r="G108" s="159">
        <v>27</v>
      </c>
      <c r="H108" s="159">
        <f t="shared" si="3"/>
        <v>16.666666666666664</v>
      </c>
      <c r="I108" s="159">
        <v>27</v>
      </c>
      <c r="J108" s="159">
        <f t="shared" si="4"/>
        <v>16.666666666666664</v>
      </c>
      <c r="K108" s="140">
        <v>230</v>
      </c>
      <c r="L108" s="223">
        <f>_xlfn.XLOOKUP($K108,Inputs!$C$6:$C$23,Inputs!$D$6:$D$23)*$I108</f>
        <v>12.959999999999999</v>
      </c>
      <c r="M108" s="224">
        <f t="shared" si="5"/>
        <v>3</v>
      </c>
      <c r="N108" s="100"/>
      <c r="O108" s="100"/>
      <c r="P108" s="100"/>
      <c r="Q108" s="100"/>
      <c r="R108" s="100"/>
      <c r="S108" s="225">
        <f>_xlfn.XLOOKUP($K108,Inputs!$G$6:$G$23,Inputs!$J$6:$J$23)*$M108</f>
        <v>402</v>
      </c>
      <c r="T108" s="225">
        <f>_xlfn.XLOOKUP($K108,Inputs!$G$6:$G$23,Inputs!$K$6:$K$23)*$M108</f>
        <v>435</v>
      </c>
      <c r="U108" s="139" t="s">
        <v>736</v>
      </c>
      <c r="V108" s="107" t="s">
        <v>1069</v>
      </c>
      <c r="W108" s="139" t="s">
        <v>738</v>
      </c>
      <c r="X108" s="107" t="s">
        <v>1064</v>
      </c>
      <c r="Y108" s="11"/>
      <c r="Z108" s="106"/>
      <c r="AA108" s="106"/>
      <c r="AB108" s="59">
        <v>103</v>
      </c>
    </row>
    <row r="109" spans="2:28" s="2" customFormat="1" ht="20" x14ac:dyDescent="0.2">
      <c r="B109" s="139" t="s">
        <v>588</v>
      </c>
      <c r="C109" s="35" t="s">
        <v>75</v>
      </c>
      <c r="D109" s="35" t="s">
        <v>762</v>
      </c>
      <c r="E109" s="140">
        <v>1</v>
      </c>
      <c r="F109" s="139" t="s">
        <v>371</v>
      </c>
      <c r="G109" s="159">
        <v>27</v>
      </c>
      <c r="H109" s="159">
        <f t="shared" si="3"/>
        <v>16.666666666666664</v>
      </c>
      <c r="I109" s="159">
        <v>27</v>
      </c>
      <c r="J109" s="159">
        <f t="shared" si="4"/>
        <v>16.666666666666664</v>
      </c>
      <c r="K109" s="140">
        <v>230</v>
      </c>
      <c r="L109" s="223">
        <f>_xlfn.XLOOKUP($K109,Inputs!$C$6:$C$23,Inputs!$D$6:$D$23)*$I109</f>
        <v>12.959999999999999</v>
      </c>
      <c r="M109" s="224">
        <f t="shared" si="5"/>
        <v>3</v>
      </c>
      <c r="N109" s="100"/>
      <c r="O109" s="100"/>
      <c r="P109" s="100"/>
      <c r="Q109" s="100"/>
      <c r="R109" s="100"/>
      <c r="S109" s="225">
        <f>_xlfn.XLOOKUP($K109,Inputs!$G$6:$G$23,Inputs!$J$6:$J$23)*$M109</f>
        <v>402</v>
      </c>
      <c r="T109" s="225">
        <f>_xlfn.XLOOKUP($K109,Inputs!$G$6:$G$23,Inputs!$K$6:$K$23)*$M109</f>
        <v>435</v>
      </c>
      <c r="U109" s="139" t="s">
        <v>736</v>
      </c>
      <c r="V109" s="107" t="s">
        <v>1069</v>
      </c>
      <c r="W109" s="139" t="s">
        <v>738</v>
      </c>
      <c r="X109" s="107" t="s">
        <v>1064</v>
      </c>
      <c r="Y109" s="11"/>
      <c r="Z109" s="106"/>
      <c r="AA109" s="106"/>
      <c r="AB109" s="59">
        <v>104</v>
      </c>
    </row>
    <row r="110" spans="2:28" s="2" customFormat="1" ht="20" x14ac:dyDescent="0.2">
      <c r="B110" s="139" t="s">
        <v>565</v>
      </c>
      <c r="C110" s="35" t="s">
        <v>75</v>
      </c>
      <c r="D110" s="35" t="s">
        <v>762</v>
      </c>
      <c r="E110" s="140">
        <v>1</v>
      </c>
      <c r="F110" s="139" t="s">
        <v>371</v>
      </c>
      <c r="G110" s="159">
        <v>1</v>
      </c>
      <c r="H110" s="159">
        <f t="shared" si="3"/>
        <v>0.61728395061728392</v>
      </c>
      <c r="I110" s="159">
        <v>1</v>
      </c>
      <c r="J110" s="159">
        <f t="shared" si="4"/>
        <v>0.61728395061728392</v>
      </c>
      <c r="K110" s="140">
        <v>138</v>
      </c>
      <c r="L110" s="223">
        <f>_xlfn.XLOOKUP($K110,Inputs!$C$6:$C$23,Inputs!$D$6:$D$23)*$I110</f>
        <v>0.43357142857142861</v>
      </c>
      <c r="M110" s="224">
        <f t="shared" si="5"/>
        <v>3</v>
      </c>
      <c r="N110" s="100"/>
      <c r="O110" s="100"/>
      <c r="P110" s="100"/>
      <c r="Q110" s="100"/>
      <c r="R110" s="100"/>
      <c r="S110" s="225">
        <f>_xlfn.XLOOKUP($K110,Inputs!$G$6:$G$23,Inputs!$J$6:$J$23)*$M110</f>
        <v>141</v>
      </c>
      <c r="T110" s="225">
        <f>_xlfn.XLOOKUP($K110,Inputs!$G$6:$G$23,Inputs!$K$6:$K$23)*$M110</f>
        <v>156</v>
      </c>
      <c r="U110" s="139" t="s">
        <v>742</v>
      </c>
      <c r="V110" s="107" t="s">
        <v>1070</v>
      </c>
      <c r="W110" s="139" t="s">
        <v>786</v>
      </c>
      <c r="X110" s="107" t="s">
        <v>1032</v>
      </c>
      <c r="Y110" s="11"/>
      <c r="Z110" s="99"/>
      <c r="AA110" s="99"/>
      <c r="AB110" s="59">
        <v>105</v>
      </c>
    </row>
    <row r="111" spans="2:28" s="2" customFormat="1" ht="20" x14ac:dyDescent="0.2">
      <c r="B111" s="139" t="s">
        <v>568</v>
      </c>
      <c r="C111" s="35" t="s">
        <v>75</v>
      </c>
      <c r="D111" s="35" t="s">
        <v>762</v>
      </c>
      <c r="E111" s="140">
        <v>1</v>
      </c>
      <c r="F111" s="139" t="s">
        <v>371</v>
      </c>
      <c r="G111" s="159">
        <v>3</v>
      </c>
      <c r="H111" s="159">
        <f t="shared" si="3"/>
        <v>1.8518518518518516</v>
      </c>
      <c r="I111" s="159">
        <v>3</v>
      </c>
      <c r="J111" s="159">
        <f t="shared" si="4"/>
        <v>1.8518518518518516</v>
      </c>
      <c r="K111" s="140">
        <v>138</v>
      </c>
      <c r="L111" s="223">
        <f>_xlfn.XLOOKUP($K111,Inputs!$C$6:$C$23,Inputs!$D$6:$D$23)*$I111</f>
        <v>1.3007142857142857</v>
      </c>
      <c r="M111" s="224">
        <f t="shared" si="5"/>
        <v>3</v>
      </c>
      <c r="N111" s="100"/>
      <c r="O111" s="100"/>
      <c r="P111" s="100"/>
      <c r="Q111" s="100"/>
      <c r="R111" s="100"/>
      <c r="S111" s="225">
        <f>_xlfn.XLOOKUP($K111,Inputs!$G$6:$G$23,Inputs!$J$6:$J$23)*$M111</f>
        <v>141</v>
      </c>
      <c r="T111" s="225">
        <f>_xlfn.XLOOKUP($K111,Inputs!$G$6:$G$23,Inputs!$K$6:$K$23)*$M111</f>
        <v>156</v>
      </c>
      <c r="U111" s="139" t="s">
        <v>741</v>
      </c>
      <c r="V111" s="107" t="s">
        <v>1025</v>
      </c>
      <c r="W111" s="139" t="s">
        <v>735</v>
      </c>
      <c r="X111" s="107" t="s">
        <v>1122</v>
      </c>
      <c r="Y111" s="11"/>
      <c r="Z111" s="104"/>
      <c r="AA111" s="104"/>
      <c r="AB111" s="59">
        <v>106</v>
      </c>
    </row>
    <row r="112" spans="2:28" s="2" customFormat="1" ht="20" x14ac:dyDescent="0.2">
      <c r="B112" s="139" t="s">
        <v>569</v>
      </c>
      <c r="C112" s="35" t="s">
        <v>75</v>
      </c>
      <c r="D112" s="35" t="s">
        <v>762</v>
      </c>
      <c r="E112" s="140">
        <v>1</v>
      </c>
      <c r="F112" s="139" t="s">
        <v>371</v>
      </c>
      <c r="G112" s="159">
        <v>3</v>
      </c>
      <c r="H112" s="159">
        <f t="shared" si="3"/>
        <v>1.8518518518518516</v>
      </c>
      <c r="I112" s="159">
        <v>3</v>
      </c>
      <c r="J112" s="159">
        <f t="shared" si="4"/>
        <v>1.8518518518518516</v>
      </c>
      <c r="K112" s="140">
        <v>138</v>
      </c>
      <c r="L112" s="223">
        <f>_xlfn.XLOOKUP($K112,Inputs!$C$6:$C$23,Inputs!$D$6:$D$23)*$I112</f>
        <v>1.3007142857142857</v>
      </c>
      <c r="M112" s="224">
        <f t="shared" si="5"/>
        <v>3</v>
      </c>
      <c r="N112" s="100"/>
      <c r="O112" s="100"/>
      <c r="P112" s="100"/>
      <c r="Q112" s="100"/>
      <c r="R112" s="100"/>
      <c r="S112" s="225">
        <f>_xlfn.XLOOKUP($K112,Inputs!$G$6:$G$23,Inputs!$J$6:$J$23)*$M112</f>
        <v>141</v>
      </c>
      <c r="T112" s="225">
        <f>_xlfn.XLOOKUP($K112,Inputs!$G$6:$G$23,Inputs!$K$6:$K$23)*$M112</f>
        <v>156</v>
      </c>
      <c r="U112" s="139" t="s">
        <v>741</v>
      </c>
      <c r="V112" s="107" t="s">
        <v>1025</v>
      </c>
      <c r="W112" s="139" t="s">
        <v>735</v>
      </c>
      <c r="X112" s="107" t="s">
        <v>1122</v>
      </c>
      <c r="Y112" s="11"/>
      <c r="Z112" s="104"/>
      <c r="AA112" s="104"/>
      <c r="AB112" s="59">
        <v>107</v>
      </c>
    </row>
    <row r="113" spans="2:28" s="2" customFormat="1" ht="20" x14ac:dyDescent="0.2">
      <c r="B113" s="139" t="s">
        <v>570</v>
      </c>
      <c r="C113" s="35" t="s">
        <v>75</v>
      </c>
      <c r="D113" s="35" t="s">
        <v>762</v>
      </c>
      <c r="E113" s="140">
        <v>1</v>
      </c>
      <c r="F113" s="139" t="s">
        <v>371</v>
      </c>
      <c r="G113" s="159">
        <v>3</v>
      </c>
      <c r="H113" s="159">
        <f t="shared" si="3"/>
        <v>1.8518518518518516</v>
      </c>
      <c r="I113" s="159">
        <v>3</v>
      </c>
      <c r="J113" s="159">
        <f t="shared" si="4"/>
        <v>1.8518518518518516</v>
      </c>
      <c r="K113" s="140">
        <v>138</v>
      </c>
      <c r="L113" s="223">
        <f>_xlfn.XLOOKUP($K113,Inputs!$C$6:$C$23,Inputs!$D$6:$D$23)*$I113</f>
        <v>1.3007142857142857</v>
      </c>
      <c r="M113" s="224">
        <f t="shared" si="5"/>
        <v>3</v>
      </c>
      <c r="N113" s="100"/>
      <c r="O113" s="100"/>
      <c r="P113" s="100"/>
      <c r="Q113" s="100"/>
      <c r="R113" s="100"/>
      <c r="S113" s="225">
        <f>_xlfn.XLOOKUP($K113,Inputs!$G$6:$G$23,Inputs!$J$6:$J$23)*$M113</f>
        <v>141</v>
      </c>
      <c r="T113" s="225">
        <f>_xlfn.XLOOKUP($K113,Inputs!$G$6:$G$23,Inputs!$K$6:$K$23)*$M113</f>
        <v>156</v>
      </c>
      <c r="U113" s="139" t="s">
        <v>741</v>
      </c>
      <c r="V113" s="107" t="s">
        <v>1025</v>
      </c>
      <c r="W113" s="139" t="s">
        <v>735</v>
      </c>
      <c r="X113" s="107" t="s">
        <v>1122</v>
      </c>
      <c r="Y113" s="11"/>
      <c r="Z113" s="11"/>
      <c r="AA113" s="11"/>
      <c r="AB113" s="59">
        <v>108</v>
      </c>
    </row>
    <row r="114" spans="2:28" s="2" customFormat="1" ht="20" x14ac:dyDescent="0.2">
      <c r="B114" s="139" t="s">
        <v>571</v>
      </c>
      <c r="C114" s="35" t="s">
        <v>75</v>
      </c>
      <c r="D114" s="35" t="s">
        <v>762</v>
      </c>
      <c r="E114" s="140">
        <v>1</v>
      </c>
      <c r="F114" s="139" t="s">
        <v>371</v>
      </c>
      <c r="G114" s="159">
        <v>3</v>
      </c>
      <c r="H114" s="159">
        <f t="shared" si="3"/>
        <v>1.8518518518518516</v>
      </c>
      <c r="I114" s="159">
        <v>3</v>
      </c>
      <c r="J114" s="159">
        <f t="shared" si="4"/>
        <v>1.8518518518518516</v>
      </c>
      <c r="K114" s="140">
        <v>138</v>
      </c>
      <c r="L114" s="223">
        <f>_xlfn.XLOOKUP($K114,Inputs!$C$6:$C$23,Inputs!$D$6:$D$23)*$I114</f>
        <v>1.3007142857142857</v>
      </c>
      <c r="M114" s="224">
        <f t="shared" si="5"/>
        <v>3</v>
      </c>
      <c r="N114" s="100"/>
      <c r="O114" s="100"/>
      <c r="P114" s="100"/>
      <c r="Q114" s="100"/>
      <c r="R114" s="100"/>
      <c r="S114" s="225">
        <f>_xlfn.XLOOKUP($K114,Inputs!$G$6:$G$23,Inputs!$J$6:$J$23)*$M114</f>
        <v>141</v>
      </c>
      <c r="T114" s="225">
        <f>_xlfn.XLOOKUP($K114,Inputs!$G$6:$G$23,Inputs!$K$6:$K$23)*$M114</f>
        <v>156</v>
      </c>
      <c r="U114" s="139" t="s">
        <v>741</v>
      </c>
      <c r="V114" s="107" t="s">
        <v>1025</v>
      </c>
      <c r="W114" s="139" t="s">
        <v>735</v>
      </c>
      <c r="X114" s="107" t="s">
        <v>1122</v>
      </c>
      <c r="Y114" s="11"/>
      <c r="Z114" s="11"/>
      <c r="AA114" s="11"/>
      <c r="AB114" s="59">
        <v>109</v>
      </c>
    </row>
    <row r="115" spans="2:28" s="2" customFormat="1" ht="20" x14ac:dyDescent="0.2">
      <c r="B115" s="108" t="s">
        <v>285</v>
      </c>
      <c r="C115" s="35" t="s">
        <v>75</v>
      </c>
      <c r="D115" s="35" t="s">
        <v>762</v>
      </c>
      <c r="E115" s="109">
        <v>1</v>
      </c>
      <c r="F115" s="108" t="s">
        <v>371</v>
      </c>
      <c r="G115" s="110">
        <v>164.94839999999999</v>
      </c>
      <c r="H115" s="110">
        <f t="shared" si="3"/>
        <v>101.82</v>
      </c>
      <c r="I115" s="110">
        <v>164.94839999999999</v>
      </c>
      <c r="J115" s="110">
        <f t="shared" si="4"/>
        <v>101.82</v>
      </c>
      <c r="K115" s="109">
        <v>138</v>
      </c>
      <c r="L115" s="223">
        <f>_xlfn.XLOOKUP($K115,Inputs!$C$6:$C$23,Inputs!$D$6:$D$23)*$I115</f>
        <v>71.516913428571428</v>
      </c>
      <c r="M115" s="224">
        <f t="shared" si="5"/>
        <v>2.0100179321908715</v>
      </c>
      <c r="N115" s="100"/>
      <c r="O115" s="100"/>
      <c r="P115" s="100"/>
      <c r="Q115" s="100"/>
      <c r="R115" s="100"/>
      <c r="S115" s="225">
        <f>_xlfn.XLOOKUP($K115,Inputs!$G$6:$G$23,Inputs!$J$6:$J$23)*$M115</f>
        <v>94.470842812970957</v>
      </c>
      <c r="T115" s="225">
        <f>_xlfn.XLOOKUP($K115,Inputs!$G$6:$G$23,Inputs!$K$6:$K$23)*$M115</f>
        <v>104.52093247392531</v>
      </c>
      <c r="U115" s="108" t="s">
        <v>754</v>
      </c>
      <c r="V115" s="107" t="s">
        <v>1024</v>
      </c>
      <c r="W115" s="108" t="s">
        <v>680</v>
      </c>
      <c r="X115" s="107" t="s">
        <v>1090</v>
      </c>
      <c r="Y115" s="11"/>
      <c r="Z115" s="11"/>
      <c r="AA115" s="11"/>
      <c r="AB115" s="59">
        <v>110</v>
      </c>
    </row>
    <row r="116" spans="2:28" s="2" customFormat="1" ht="20" x14ac:dyDescent="0.2">
      <c r="B116" s="108" t="s">
        <v>286</v>
      </c>
      <c r="C116" s="35" t="s">
        <v>75</v>
      </c>
      <c r="D116" s="35" t="s">
        <v>762</v>
      </c>
      <c r="E116" s="109">
        <v>1</v>
      </c>
      <c r="F116" s="108" t="s">
        <v>371</v>
      </c>
      <c r="G116" s="110">
        <v>0.48599999999999999</v>
      </c>
      <c r="H116" s="110">
        <f t="shared" si="3"/>
        <v>0.3</v>
      </c>
      <c r="I116" s="110">
        <v>0.48599999999999999</v>
      </c>
      <c r="J116" s="110">
        <f t="shared" si="4"/>
        <v>0.3</v>
      </c>
      <c r="K116" s="109">
        <v>138</v>
      </c>
      <c r="L116" s="223">
        <f>_xlfn.XLOOKUP($K116,Inputs!$C$6:$C$23,Inputs!$D$6:$D$23)*$I116</f>
        <v>0.21071571428571431</v>
      </c>
      <c r="M116" s="224">
        <f t="shared" si="5"/>
        <v>3</v>
      </c>
      <c r="N116" s="100"/>
      <c r="O116" s="100"/>
      <c r="P116" s="100"/>
      <c r="Q116" s="100"/>
      <c r="R116" s="100"/>
      <c r="S116" s="225">
        <f>_xlfn.XLOOKUP($K116,Inputs!$G$6:$G$23,Inputs!$J$6:$J$23)*$M116</f>
        <v>141</v>
      </c>
      <c r="T116" s="225">
        <f>_xlfn.XLOOKUP($K116,Inputs!$G$6:$G$23,Inputs!$K$6:$K$23)*$M116</f>
        <v>156</v>
      </c>
      <c r="U116" s="108" t="s">
        <v>754</v>
      </c>
      <c r="V116" s="107" t="s">
        <v>1024</v>
      </c>
      <c r="W116" s="108" t="s">
        <v>1018</v>
      </c>
      <c r="X116" s="107" t="s">
        <v>1131</v>
      </c>
      <c r="Y116" s="11"/>
      <c r="Z116" s="11"/>
      <c r="AA116" s="11"/>
      <c r="AB116" s="59">
        <v>111</v>
      </c>
    </row>
    <row r="117" spans="2:28" s="2" customFormat="1" ht="20" x14ac:dyDescent="0.2">
      <c r="B117" s="108" t="s">
        <v>287</v>
      </c>
      <c r="C117" s="35" t="s">
        <v>75</v>
      </c>
      <c r="D117" s="35" t="s">
        <v>762</v>
      </c>
      <c r="E117" s="109">
        <v>1</v>
      </c>
      <c r="F117" s="108" t="s">
        <v>371</v>
      </c>
      <c r="G117" s="188">
        <v>75</v>
      </c>
      <c r="H117" s="188">
        <f t="shared" si="3"/>
        <v>46.296296296296291</v>
      </c>
      <c r="I117" s="188">
        <v>165</v>
      </c>
      <c r="J117" s="188">
        <f t="shared" si="4"/>
        <v>101.85185185185185</v>
      </c>
      <c r="K117" s="109">
        <v>138</v>
      </c>
      <c r="L117" s="223">
        <f>_xlfn.XLOOKUP($K117,Inputs!$C$6:$C$23,Inputs!$D$6:$D$23)*$I117</f>
        <v>71.539285714285725</v>
      </c>
      <c r="M117" s="224">
        <f t="shared" si="5"/>
        <v>2.0096033567087184</v>
      </c>
      <c r="N117" s="100"/>
      <c r="O117" s="100"/>
      <c r="P117" s="100"/>
      <c r="Q117" s="100"/>
      <c r="R117" s="100"/>
      <c r="S117" s="225">
        <f>_xlfn.XLOOKUP($K117,Inputs!$G$6:$G$23,Inputs!$J$6:$J$23)*$M117</f>
        <v>94.451357765309766</v>
      </c>
      <c r="T117" s="225">
        <f>_xlfn.XLOOKUP($K117,Inputs!$G$6:$G$23,Inputs!$K$6:$K$23)*$M117</f>
        <v>104.49937454885335</v>
      </c>
      <c r="U117" s="111" t="s">
        <v>754</v>
      </c>
      <c r="V117" s="107" t="s">
        <v>1024</v>
      </c>
      <c r="W117" s="108" t="s">
        <v>791</v>
      </c>
      <c r="X117" s="107" t="s">
        <v>1066</v>
      </c>
      <c r="Y117" s="11"/>
      <c r="Z117" s="11"/>
      <c r="AA117" s="11"/>
      <c r="AB117" s="59">
        <v>112</v>
      </c>
    </row>
    <row r="118" spans="2:28" s="2" customFormat="1" ht="20" x14ac:dyDescent="0.2">
      <c r="B118" s="108" t="s">
        <v>287</v>
      </c>
      <c r="C118" s="35" t="s">
        <v>75</v>
      </c>
      <c r="D118" s="35" t="s">
        <v>762</v>
      </c>
      <c r="E118" s="109">
        <v>1</v>
      </c>
      <c r="F118" s="108" t="s">
        <v>371</v>
      </c>
      <c r="G118" s="188">
        <v>85</v>
      </c>
      <c r="H118" s="188">
        <f t="shared" si="3"/>
        <v>52.469135802469133</v>
      </c>
      <c r="I118" s="188">
        <v>165</v>
      </c>
      <c r="J118" s="188">
        <f t="shared" si="4"/>
        <v>101.85185185185185</v>
      </c>
      <c r="K118" s="109">
        <v>138</v>
      </c>
      <c r="L118" s="223">
        <f>_xlfn.XLOOKUP($K118,Inputs!$C$6:$C$23,Inputs!$D$6:$D$23)*$I118</f>
        <v>71.539285714285725</v>
      </c>
      <c r="M118" s="224">
        <f t="shared" si="5"/>
        <v>2.0096033567087184</v>
      </c>
      <c r="N118" s="100"/>
      <c r="O118" s="100"/>
      <c r="P118" s="100"/>
      <c r="Q118" s="100"/>
      <c r="R118" s="100"/>
      <c r="S118" s="225">
        <f>_xlfn.XLOOKUP($K118,Inputs!$G$6:$G$23,Inputs!$J$6:$J$23)*$M118</f>
        <v>94.451357765309766</v>
      </c>
      <c r="T118" s="225">
        <f>_xlfn.XLOOKUP($K118,Inputs!$G$6:$G$23,Inputs!$K$6:$K$23)*$M118</f>
        <v>104.49937454885335</v>
      </c>
      <c r="U118" s="108" t="s">
        <v>791</v>
      </c>
      <c r="V118" s="107" t="s">
        <v>1066</v>
      </c>
      <c r="W118" s="108" t="s">
        <v>790</v>
      </c>
      <c r="X118" s="107" t="s">
        <v>1059</v>
      </c>
      <c r="Y118" s="11"/>
      <c r="Z118" s="11"/>
      <c r="AA118" s="11"/>
      <c r="AB118" s="59">
        <v>113</v>
      </c>
    </row>
    <row r="119" spans="2:28" s="2" customFormat="1" ht="20" x14ac:dyDescent="0.2">
      <c r="B119" s="108" t="s">
        <v>287</v>
      </c>
      <c r="C119" s="35" t="s">
        <v>75</v>
      </c>
      <c r="D119" s="35" t="s">
        <v>762</v>
      </c>
      <c r="E119" s="109">
        <v>1</v>
      </c>
      <c r="F119" s="108" t="s">
        <v>371</v>
      </c>
      <c r="G119" s="188">
        <v>5</v>
      </c>
      <c r="H119" s="188">
        <f t="shared" si="3"/>
        <v>3.0864197530864197</v>
      </c>
      <c r="I119" s="188">
        <v>165</v>
      </c>
      <c r="J119" s="188">
        <f t="shared" si="4"/>
        <v>101.85185185185185</v>
      </c>
      <c r="K119" s="109">
        <v>138</v>
      </c>
      <c r="L119" s="223">
        <f>_xlfn.XLOOKUP($K119,Inputs!$C$6:$C$23,Inputs!$D$6:$D$23)*$I119</f>
        <v>71.539285714285725</v>
      </c>
      <c r="M119" s="224">
        <f t="shared" si="5"/>
        <v>2.0096033567087184</v>
      </c>
      <c r="N119" s="100"/>
      <c r="O119" s="100"/>
      <c r="P119" s="100"/>
      <c r="Q119" s="100"/>
      <c r="R119" s="100"/>
      <c r="S119" s="225">
        <f>_xlfn.XLOOKUP($K119,Inputs!$G$6:$G$23,Inputs!$J$6:$J$23)*$M119</f>
        <v>94.451357765309766</v>
      </c>
      <c r="T119" s="225">
        <f>_xlfn.XLOOKUP($K119,Inputs!$G$6:$G$23,Inputs!$K$6:$K$23)*$M119</f>
        <v>104.49937454885335</v>
      </c>
      <c r="U119" s="108" t="s">
        <v>790</v>
      </c>
      <c r="V119" s="107" t="s">
        <v>1059</v>
      </c>
      <c r="W119" s="108" t="s">
        <v>786</v>
      </c>
      <c r="X119" s="107" t="s">
        <v>1032</v>
      </c>
      <c r="Y119" s="11"/>
      <c r="Z119" s="11"/>
      <c r="AA119" s="11"/>
      <c r="AB119" s="59">
        <v>114</v>
      </c>
    </row>
    <row r="120" spans="2:28" s="2" customFormat="1" ht="20" x14ac:dyDescent="0.2">
      <c r="B120" s="139" t="s">
        <v>288</v>
      </c>
      <c r="C120" s="35" t="s">
        <v>75</v>
      </c>
      <c r="D120" s="35" t="s">
        <v>762</v>
      </c>
      <c r="E120" s="140">
        <v>1</v>
      </c>
      <c r="F120" s="139" t="s">
        <v>371</v>
      </c>
      <c r="G120" s="159">
        <v>68</v>
      </c>
      <c r="H120" s="159">
        <f t="shared" si="3"/>
        <v>41.975308641975303</v>
      </c>
      <c r="I120" s="159">
        <v>68</v>
      </c>
      <c r="J120" s="159">
        <f t="shared" si="4"/>
        <v>41.975308641975303</v>
      </c>
      <c r="K120" s="140">
        <v>138</v>
      </c>
      <c r="L120" s="223">
        <f>_xlfn.XLOOKUP($K120,Inputs!$C$6:$C$23,Inputs!$D$6:$D$23)*$I120</f>
        <v>29.482857142857146</v>
      </c>
      <c r="M120" s="224">
        <f t="shared" si="5"/>
        <v>3</v>
      </c>
      <c r="N120" s="100"/>
      <c r="O120" s="100"/>
      <c r="P120" s="100"/>
      <c r="Q120" s="100"/>
      <c r="R120" s="100"/>
      <c r="S120" s="225">
        <f>_xlfn.XLOOKUP($K120,Inputs!$G$6:$G$23,Inputs!$J$6:$J$23)*$M120</f>
        <v>141</v>
      </c>
      <c r="T120" s="225">
        <f>_xlfn.XLOOKUP($K120,Inputs!$G$6:$G$23,Inputs!$K$6:$K$23)*$M120</f>
        <v>156</v>
      </c>
      <c r="U120" s="139" t="s">
        <v>735</v>
      </c>
      <c r="V120" s="107" t="s">
        <v>1122</v>
      </c>
      <c r="W120" s="139" t="s">
        <v>786</v>
      </c>
      <c r="X120" s="107" t="s">
        <v>1032</v>
      </c>
      <c r="Y120" s="11"/>
      <c r="Z120" s="11"/>
      <c r="AA120" s="11"/>
      <c r="AB120" s="59">
        <v>115</v>
      </c>
    </row>
    <row r="121" spans="2:28" s="2" customFormat="1" ht="20" x14ac:dyDescent="0.2">
      <c r="B121" s="139" t="s">
        <v>374</v>
      </c>
      <c r="C121" s="35" t="s">
        <v>75</v>
      </c>
      <c r="D121" s="35" t="s">
        <v>762</v>
      </c>
      <c r="E121" s="140">
        <v>1</v>
      </c>
      <c r="F121" s="139" t="s">
        <v>371</v>
      </c>
      <c r="G121" s="159">
        <v>68</v>
      </c>
      <c r="H121" s="159">
        <f t="shared" si="3"/>
        <v>41.975308641975303</v>
      </c>
      <c r="I121" s="159">
        <v>68</v>
      </c>
      <c r="J121" s="159">
        <f t="shared" si="4"/>
        <v>41.975308641975303</v>
      </c>
      <c r="K121" s="140">
        <v>138</v>
      </c>
      <c r="L121" s="223">
        <f>_xlfn.XLOOKUP($K121,Inputs!$C$6:$C$23,Inputs!$D$6:$D$23)*$I121</f>
        <v>29.482857142857146</v>
      </c>
      <c r="M121" s="224">
        <f t="shared" si="5"/>
        <v>3</v>
      </c>
      <c r="N121" s="100"/>
      <c r="O121" s="100"/>
      <c r="P121" s="100"/>
      <c r="Q121" s="100"/>
      <c r="R121" s="100"/>
      <c r="S121" s="225">
        <f>_xlfn.XLOOKUP($K121,Inputs!$G$6:$G$23,Inputs!$J$6:$J$23)*$M121</f>
        <v>141</v>
      </c>
      <c r="T121" s="225">
        <f>_xlfn.XLOOKUP($K121,Inputs!$G$6:$G$23,Inputs!$K$6:$K$23)*$M121</f>
        <v>156</v>
      </c>
      <c r="U121" s="139" t="s">
        <v>735</v>
      </c>
      <c r="V121" s="107" t="s">
        <v>1122</v>
      </c>
      <c r="W121" s="139" t="s">
        <v>786</v>
      </c>
      <c r="X121" s="107" t="s">
        <v>1032</v>
      </c>
      <c r="Y121" s="11"/>
      <c r="Z121" s="99"/>
      <c r="AA121" s="99"/>
      <c r="AB121" s="59">
        <v>116</v>
      </c>
    </row>
    <row r="122" spans="2:28" s="2" customFormat="1" ht="20" x14ac:dyDescent="0.2">
      <c r="B122" s="139" t="s">
        <v>375</v>
      </c>
      <c r="C122" s="35" t="s">
        <v>75</v>
      </c>
      <c r="D122" s="35" t="s">
        <v>762</v>
      </c>
      <c r="E122" s="140">
        <v>1</v>
      </c>
      <c r="F122" s="139" t="s">
        <v>371</v>
      </c>
      <c r="G122" s="159">
        <v>68</v>
      </c>
      <c r="H122" s="159">
        <f t="shared" si="3"/>
        <v>41.975308641975303</v>
      </c>
      <c r="I122" s="159">
        <v>68</v>
      </c>
      <c r="J122" s="159">
        <f t="shared" si="4"/>
        <v>41.975308641975303</v>
      </c>
      <c r="K122" s="140">
        <v>138</v>
      </c>
      <c r="L122" s="223">
        <f>_xlfn.XLOOKUP($K122,Inputs!$C$6:$C$23,Inputs!$D$6:$D$23)*$I122</f>
        <v>29.482857142857146</v>
      </c>
      <c r="M122" s="224">
        <f t="shared" si="5"/>
        <v>3</v>
      </c>
      <c r="N122" s="100"/>
      <c r="O122" s="100"/>
      <c r="P122" s="100"/>
      <c r="Q122" s="100"/>
      <c r="R122" s="100"/>
      <c r="S122" s="225">
        <f>_xlfn.XLOOKUP($K122,Inputs!$G$6:$G$23,Inputs!$J$6:$J$23)*$M122</f>
        <v>141</v>
      </c>
      <c r="T122" s="225">
        <f>_xlfn.XLOOKUP($K122,Inputs!$G$6:$G$23,Inputs!$K$6:$K$23)*$M122</f>
        <v>156</v>
      </c>
      <c r="U122" s="139" t="s">
        <v>735</v>
      </c>
      <c r="V122" s="107" t="s">
        <v>1122</v>
      </c>
      <c r="W122" s="139" t="s">
        <v>786</v>
      </c>
      <c r="X122" s="107" t="s">
        <v>1032</v>
      </c>
      <c r="Y122" s="11"/>
      <c r="Z122" s="99"/>
      <c r="AA122" s="99"/>
      <c r="AB122" s="59">
        <v>117</v>
      </c>
    </row>
    <row r="123" spans="2:28" s="2" customFormat="1" ht="20" x14ac:dyDescent="0.2">
      <c r="B123" s="108" t="s">
        <v>289</v>
      </c>
      <c r="C123" s="35" t="s">
        <v>75</v>
      </c>
      <c r="D123" s="35" t="s">
        <v>762</v>
      </c>
      <c r="E123" s="109">
        <v>1</v>
      </c>
      <c r="F123" s="108" t="s">
        <v>371</v>
      </c>
      <c r="G123" s="110">
        <v>48.4542</v>
      </c>
      <c r="H123" s="110">
        <f t="shared" si="3"/>
        <v>29.909999999999997</v>
      </c>
      <c r="I123" s="110">
        <v>48.4542</v>
      </c>
      <c r="J123" s="110">
        <f t="shared" si="4"/>
        <v>29.909999999999997</v>
      </c>
      <c r="K123" s="109">
        <v>138</v>
      </c>
      <c r="L123" s="223">
        <f>_xlfn.XLOOKUP($K123,Inputs!$C$6:$C$23,Inputs!$D$6:$D$23)*$I123</f>
        <v>21.008356714285718</v>
      </c>
      <c r="M123" s="224">
        <f t="shared" si="5"/>
        <v>3</v>
      </c>
      <c r="N123" s="100"/>
      <c r="O123" s="100"/>
      <c r="P123" s="100"/>
      <c r="Q123" s="100"/>
      <c r="R123" s="100"/>
      <c r="S123" s="225">
        <f>_xlfn.XLOOKUP($K123,Inputs!$G$6:$G$23,Inputs!$J$6:$J$23)*$M123</f>
        <v>141</v>
      </c>
      <c r="T123" s="225">
        <f>_xlfn.XLOOKUP($K123,Inputs!$G$6:$G$23,Inputs!$K$6:$K$23)*$M123</f>
        <v>156</v>
      </c>
      <c r="U123" s="108" t="s">
        <v>754</v>
      </c>
      <c r="V123" s="107" t="s">
        <v>1024</v>
      </c>
      <c r="W123" s="108" t="s">
        <v>119</v>
      </c>
      <c r="X123" s="107" t="s">
        <v>1147</v>
      </c>
      <c r="Y123" s="11"/>
      <c r="Z123" s="11"/>
      <c r="AA123" s="11"/>
      <c r="AB123" s="59">
        <v>118</v>
      </c>
    </row>
    <row r="124" spans="2:28" s="2" customFormat="1" ht="20" x14ac:dyDescent="0.2">
      <c r="B124" s="108" t="s">
        <v>290</v>
      </c>
      <c r="C124" s="35" t="s">
        <v>75</v>
      </c>
      <c r="D124" s="35" t="s">
        <v>762</v>
      </c>
      <c r="E124" s="109">
        <v>1</v>
      </c>
      <c r="F124" s="108" t="s">
        <v>371</v>
      </c>
      <c r="G124" s="110">
        <v>100.87740000000001</v>
      </c>
      <c r="H124" s="110">
        <f t="shared" si="3"/>
        <v>62.27</v>
      </c>
      <c r="I124" s="110">
        <v>100.87740000000001</v>
      </c>
      <c r="J124" s="110">
        <f t="shared" si="4"/>
        <v>62.27</v>
      </c>
      <c r="K124" s="109">
        <v>138</v>
      </c>
      <c r="L124" s="223">
        <f>_xlfn.XLOOKUP($K124,Inputs!$C$6:$C$23,Inputs!$D$6:$D$23)*$I124</f>
        <v>43.737558428571433</v>
      </c>
      <c r="M124" s="224">
        <f t="shared" si="5"/>
        <v>2.7799625451903585</v>
      </c>
      <c r="N124" s="100"/>
      <c r="O124" s="100"/>
      <c r="P124" s="100"/>
      <c r="Q124" s="100"/>
      <c r="R124" s="100"/>
      <c r="S124" s="225">
        <f>_xlfn.XLOOKUP($K124,Inputs!$G$6:$G$23,Inputs!$J$6:$J$23)*$M124</f>
        <v>130.65823962394686</v>
      </c>
      <c r="T124" s="225">
        <f>_xlfn.XLOOKUP($K124,Inputs!$G$6:$G$23,Inputs!$K$6:$K$23)*$M124</f>
        <v>144.55805234989865</v>
      </c>
      <c r="U124" s="108" t="s">
        <v>754</v>
      </c>
      <c r="V124" s="107" t="s">
        <v>1024</v>
      </c>
      <c r="W124" s="108" t="s">
        <v>654</v>
      </c>
      <c r="X124" s="107" t="s">
        <v>1067</v>
      </c>
      <c r="Y124" s="104"/>
      <c r="Z124" s="11"/>
      <c r="AA124" s="11"/>
      <c r="AB124" s="59">
        <v>119</v>
      </c>
    </row>
    <row r="125" spans="2:28" s="2" customFormat="1" ht="20" x14ac:dyDescent="0.2">
      <c r="B125" s="108" t="s">
        <v>291</v>
      </c>
      <c r="C125" s="35" t="s">
        <v>75</v>
      </c>
      <c r="D125" s="35" t="s">
        <v>762</v>
      </c>
      <c r="E125" s="109">
        <v>1</v>
      </c>
      <c r="F125" s="108" t="s">
        <v>371</v>
      </c>
      <c r="G125" s="110">
        <v>96.63300000000001</v>
      </c>
      <c r="H125" s="110">
        <f t="shared" si="3"/>
        <v>59.65</v>
      </c>
      <c r="I125" s="110">
        <v>96.63300000000001</v>
      </c>
      <c r="J125" s="110">
        <f t="shared" si="4"/>
        <v>59.65</v>
      </c>
      <c r="K125" s="109">
        <v>138</v>
      </c>
      <c r="L125" s="223">
        <f>_xlfn.XLOOKUP($K125,Inputs!$C$6:$C$23,Inputs!$D$6:$D$23)*$I125</f>
        <v>41.897307857142863</v>
      </c>
      <c r="M125" s="224">
        <f t="shared" si="5"/>
        <v>2.8598994625896297</v>
      </c>
      <c r="N125" s="100"/>
      <c r="O125" s="100"/>
      <c r="P125" s="100"/>
      <c r="Q125" s="100"/>
      <c r="R125" s="100"/>
      <c r="S125" s="225">
        <f>_xlfn.XLOOKUP($K125,Inputs!$G$6:$G$23,Inputs!$J$6:$J$23)*$M125</f>
        <v>134.41527474171261</v>
      </c>
      <c r="T125" s="225">
        <f>_xlfn.XLOOKUP($K125,Inputs!$G$6:$G$23,Inputs!$K$6:$K$23)*$M125</f>
        <v>148.71477205466076</v>
      </c>
      <c r="U125" s="108" t="s">
        <v>754</v>
      </c>
      <c r="V125" s="107" t="s">
        <v>1024</v>
      </c>
      <c r="W125" s="108" t="s">
        <v>654</v>
      </c>
      <c r="X125" s="107" t="s">
        <v>1067</v>
      </c>
      <c r="Y125" s="104"/>
      <c r="Z125" s="11"/>
      <c r="AA125" s="11"/>
      <c r="AB125" s="59">
        <v>120</v>
      </c>
    </row>
    <row r="126" spans="2:28" s="2" customFormat="1" ht="20" x14ac:dyDescent="0.2">
      <c r="B126" s="108" t="s">
        <v>321</v>
      </c>
      <c r="C126" s="35" t="s">
        <v>75</v>
      </c>
      <c r="D126" s="35" t="s">
        <v>762</v>
      </c>
      <c r="E126" s="109">
        <v>1</v>
      </c>
      <c r="F126" s="108" t="s">
        <v>371</v>
      </c>
      <c r="G126" s="110">
        <v>1.86</v>
      </c>
      <c r="H126" s="110">
        <f t="shared" si="3"/>
        <v>1.1481481481481481</v>
      </c>
      <c r="I126" s="110">
        <v>11.86</v>
      </c>
      <c r="J126" s="110">
        <f t="shared" si="4"/>
        <v>7.3209876543209864</v>
      </c>
      <c r="K126" s="109">
        <v>115</v>
      </c>
      <c r="L126" s="223">
        <f>_xlfn.XLOOKUP($K126,Inputs!$C$6:$C$23,Inputs!$D$6:$D$23)*$I126</f>
        <v>4.9473142857142856</v>
      </c>
      <c r="M126" s="224">
        <f t="shared" si="5"/>
        <v>3</v>
      </c>
      <c r="N126" s="100"/>
      <c r="O126" s="100"/>
      <c r="P126" s="100"/>
      <c r="Q126" s="100"/>
      <c r="R126" s="100"/>
      <c r="S126" s="225">
        <f>_xlfn.XLOOKUP($K126,Inputs!$G$6:$G$23,Inputs!$J$6:$J$23)*$M126</f>
        <v>98.449131513647643</v>
      </c>
      <c r="T126" s="225">
        <f>_xlfn.XLOOKUP($K126,Inputs!$G$6:$G$23,Inputs!$K$6:$K$23)*$M126</f>
        <v>108.40163934426229</v>
      </c>
      <c r="U126" s="108" t="s">
        <v>870</v>
      </c>
      <c r="V126" s="107" t="s">
        <v>1041</v>
      </c>
      <c r="W126" s="108" t="s">
        <v>725</v>
      </c>
      <c r="X126" s="107" t="s">
        <v>1132</v>
      </c>
      <c r="Y126" s="11" t="s">
        <v>1168</v>
      </c>
      <c r="Z126" s="11"/>
      <c r="AA126" s="11"/>
      <c r="AB126" s="59">
        <v>121</v>
      </c>
    </row>
    <row r="127" spans="2:28" s="2" customFormat="1" ht="20" x14ac:dyDescent="0.2">
      <c r="B127" s="108" t="s">
        <v>321</v>
      </c>
      <c r="C127" s="35" t="s">
        <v>75</v>
      </c>
      <c r="D127" s="35" t="s">
        <v>762</v>
      </c>
      <c r="E127" s="109">
        <v>1</v>
      </c>
      <c r="F127" s="108" t="s">
        <v>371</v>
      </c>
      <c r="G127" s="110">
        <v>10</v>
      </c>
      <c r="H127" s="110">
        <f t="shared" si="3"/>
        <v>6.1728395061728394</v>
      </c>
      <c r="I127" s="110">
        <v>11.86</v>
      </c>
      <c r="J127" s="110">
        <f t="shared" si="4"/>
        <v>7.3209876543209864</v>
      </c>
      <c r="K127" s="109">
        <v>115</v>
      </c>
      <c r="L127" s="223">
        <f>_xlfn.XLOOKUP($K127,Inputs!$C$6:$C$23,Inputs!$D$6:$D$23)*$I127</f>
        <v>4.9473142857142856</v>
      </c>
      <c r="M127" s="224">
        <f t="shared" si="5"/>
        <v>3</v>
      </c>
      <c r="N127" s="100"/>
      <c r="O127" s="100"/>
      <c r="P127" s="100"/>
      <c r="Q127" s="100"/>
      <c r="R127" s="100"/>
      <c r="S127" s="225">
        <f>_xlfn.XLOOKUP($K127,Inputs!$G$6:$G$23,Inputs!$J$6:$J$23)*$M127</f>
        <v>98.449131513647643</v>
      </c>
      <c r="T127" s="225">
        <f>_xlfn.XLOOKUP($K127,Inputs!$G$6:$G$23,Inputs!$K$6:$K$23)*$M127</f>
        <v>108.40163934426229</v>
      </c>
      <c r="U127" s="108" t="s">
        <v>711</v>
      </c>
      <c r="V127" s="107" t="s">
        <v>1071</v>
      </c>
      <c r="W127" s="108" t="s">
        <v>870</v>
      </c>
      <c r="X127" s="107" t="s">
        <v>1041</v>
      </c>
      <c r="Y127" s="11" t="s">
        <v>1168</v>
      </c>
      <c r="Z127" s="11"/>
      <c r="AA127" s="11"/>
      <c r="AB127" s="59">
        <v>122</v>
      </c>
    </row>
    <row r="128" spans="2:28" s="2" customFormat="1" ht="20" x14ac:dyDescent="0.2">
      <c r="B128" s="139" t="s">
        <v>580</v>
      </c>
      <c r="C128" s="35" t="s">
        <v>75</v>
      </c>
      <c r="D128" s="35" t="s">
        <v>762</v>
      </c>
      <c r="E128" s="140">
        <v>1</v>
      </c>
      <c r="F128" s="139" t="s">
        <v>371</v>
      </c>
      <c r="G128" s="159">
        <v>0.2</v>
      </c>
      <c r="H128" s="159">
        <f t="shared" si="3"/>
        <v>0.12345679012345678</v>
      </c>
      <c r="I128" s="159">
        <v>0.2</v>
      </c>
      <c r="J128" s="159">
        <f t="shared" si="4"/>
        <v>0.12345679012345678</v>
      </c>
      <c r="K128" s="140">
        <v>230</v>
      </c>
      <c r="L128" s="223">
        <f>_xlfn.XLOOKUP($K128,Inputs!$C$6:$C$23,Inputs!$D$6:$D$23)*$I128</f>
        <v>9.6000000000000002E-2</v>
      </c>
      <c r="M128" s="224">
        <f t="shared" si="5"/>
        <v>3</v>
      </c>
      <c r="N128" s="100"/>
      <c r="O128" s="100"/>
      <c r="P128" s="100"/>
      <c r="Q128" s="100"/>
      <c r="R128" s="100"/>
      <c r="S128" s="225">
        <f>_xlfn.XLOOKUP($K128,Inputs!$G$6:$G$23,Inputs!$J$6:$J$23)*$M128</f>
        <v>402</v>
      </c>
      <c r="T128" s="225">
        <f>_xlfn.XLOOKUP($K128,Inputs!$G$6:$G$23,Inputs!$K$6:$K$23)*$M128</f>
        <v>435</v>
      </c>
      <c r="U128" s="139" t="s">
        <v>744</v>
      </c>
      <c r="V128" s="107" t="s">
        <v>1028</v>
      </c>
      <c r="W128" s="139" t="s">
        <v>734</v>
      </c>
      <c r="X128" s="107" t="s">
        <v>1133</v>
      </c>
      <c r="Y128" s="11"/>
      <c r="Z128" s="99"/>
      <c r="AA128" s="99"/>
      <c r="AB128" s="59">
        <v>123</v>
      </c>
    </row>
    <row r="129" spans="2:28" s="2" customFormat="1" ht="20" x14ac:dyDescent="0.2">
      <c r="B129" s="139" t="s">
        <v>581</v>
      </c>
      <c r="C129" s="35" t="s">
        <v>75</v>
      </c>
      <c r="D129" s="35" t="s">
        <v>762</v>
      </c>
      <c r="E129" s="140">
        <v>1</v>
      </c>
      <c r="F129" s="139" t="s">
        <v>371</v>
      </c>
      <c r="G129" s="159">
        <v>0.2</v>
      </c>
      <c r="H129" s="159">
        <f t="shared" si="3"/>
        <v>0.12345679012345678</v>
      </c>
      <c r="I129" s="159">
        <v>0.2</v>
      </c>
      <c r="J129" s="159">
        <f t="shared" si="4"/>
        <v>0.12345679012345678</v>
      </c>
      <c r="K129" s="140">
        <v>230</v>
      </c>
      <c r="L129" s="223">
        <f>_xlfn.XLOOKUP($K129,Inputs!$C$6:$C$23,Inputs!$D$6:$D$23)*$I129</f>
        <v>9.6000000000000002E-2</v>
      </c>
      <c r="M129" s="224">
        <f t="shared" si="5"/>
        <v>3</v>
      </c>
      <c r="N129" s="100"/>
      <c r="O129" s="100"/>
      <c r="P129" s="100"/>
      <c r="Q129" s="100"/>
      <c r="R129" s="100"/>
      <c r="S129" s="225">
        <f>_xlfn.XLOOKUP($K129,Inputs!$G$6:$G$23,Inputs!$J$6:$J$23)*$M129</f>
        <v>402</v>
      </c>
      <c r="T129" s="225">
        <f>_xlfn.XLOOKUP($K129,Inputs!$G$6:$G$23,Inputs!$K$6:$K$23)*$M129</f>
        <v>435</v>
      </c>
      <c r="U129" s="139" t="s">
        <v>744</v>
      </c>
      <c r="V129" s="107" t="s">
        <v>1028</v>
      </c>
      <c r="W129" s="139" t="s">
        <v>734</v>
      </c>
      <c r="X129" s="107" t="s">
        <v>1133</v>
      </c>
      <c r="Y129" s="11"/>
      <c r="Z129" s="106"/>
      <c r="AA129" s="106"/>
      <c r="AB129" s="59">
        <v>124</v>
      </c>
    </row>
    <row r="130" spans="2:28" s="2" customFormat="1" ht="20" x14ac:dyDescent="0.2">
      <c r="B130" s="108" t="s">
        <v>250</v>
      </c>
      <c r="C130" s="35" t="s">
        <v>75</v>
      </c>
      <c r="D130" s="35" t="s">
        <v>762</v>
      </c>
      <c r="E130" s="109">
        <v>1</v>
      </c>
      <c r="F130" s="108" t="s">
        <v>371</v>
      </c>
      <c r="G130" s="110">
        <v>15.600600000000002</v>
      </c>
      <c r="H130" s="110">
        <f t="shared" si="3"/>
        <v>9.6300000000000008</v>
      </c>
      <c r="I130" s="110">
        <v>15.600600000000002</v>
      </c>
      <c r="J130" s="110">
        <f t="shared" si="4"/>
        <v>9.6300000000000008</v>
      </c>
      <c r="K130" s="109">
        <v>230</v>
      </c>
      <c r="L130" s="223">
        <f>_xlfn.XLOOKUP($K130,Inputs!$C$6:$C$23,Inputs!$D$6:$D$23)*$I130</f>
        <v>7.4882880000000007</v>
      </c>
      <c r="M130" s="224">
        <f t="shared" si="5"/>
        <v>3</v>
      </c>
      <c r="N130" s="100"/>
      <c r="O130" s="100"/>
      <c r="P130" s="100"/>
      <c r="Q130" s="100"/>
      <c r="R130" s="100"/>
      <c r="S130" s="256">
        <v>100</v>
      </c>
      <c r="T130" s="256">
        <v>100</v>
      </c>
      <c r="U130" s="108" t="s">
        <v>709</v>
      </c>
      <c r="V130" s="107" t="s">
        <v>1073</v>
      </c>
      <c r="W130" s="108" t="s">
        <v>895</v>
      </c>
      <c r="X130" s="107" t="s">
        <v>826</v>
      </c>
      <c r="Y130" s="11"/>
      <c r="Z130" s="106"/>
      <c r="AA130" s="106"/>
      <c r="AB130" s="59">
        <v>125</v>
      </c>
    </row>
    <row r="131" spans="2:28" s="2" customFormat="1" ht="20" x14ac:dyDescent="0.2">
      <c r="B131" s="139" t="s">
        <v>582</v>
      </c>
      <c r="C131" s="35" t="s">
        <v>75</v>
      </c>
      <c r="D131" s="35" t="s">
        <v>762</v>
      </c>
      <c r="E131" s="140">
        <v>1</v>
      </c>
      <c r="F131" s="139" t="s">
        <v>371</v>
      </c>
      <c r="G131" s="159">
        <v>0.2</v>
      </c>
      <c r="H131" s="159">
        <f t="shared" si="3"/>
        <v>0.12345679012345678</v>
      </c>
      <c r="I131" s="159">
        <v>0.2</v>
      </c>
      <c r="J131" s="159">
        <f t="shared" si="4"/>
        <v>0.12345679012345678</v>
      </c>
      <c r="K131" s="140">
        <v>230</v>
      </c>
      <c r="L131" s="223">
        <f>_xlfn.XLOOKUP($K131,Inputs!$C$6:$C$23,Inputs!$D$6:$D$23)*$I131</f>
        <v>9.6000000000000002E-2</v>
      </c>
      <c r="M131" s="224">
        <f t="shared" si="5"/>
        <v>3</v>
      </c>
      <c r="N131" s="100"/>
      <c r="O131" s="100"/>
      <c r="P131" s="100"/>
      <c r="Q131" s="100"/>
      <c r="R131" s="100"/>
      <c r="S131" s="225">
        <f>_xlfn.XLOOKUP($K131,Inputs!$G$6:$G$23,Inputs!$J$6:$J$23)*$M131</f>
        <v>402</v>
      </c>
      <c r="T131" s="225">
        <f>_xlfn.XLOOKUP($K131,Inputs!$G$6:$G$23,Inputs!$K$6:$K$23)*$M131</f>
        <v>435</v>
      </c>
      <c r="U131" s="139" t="s">
        <v>744</v>
      </c>
      <c r="V131" s="107" t="s">
        <v>1028</v>
      </c>
      <c r="W131" s="139" t="s">
        <v>734</v>
      </c>
      <c r="X131" s="107" t="s">
        <v>1133</v>
      </c>
      <c r="Y131" s="11"/>
      <c r="Z131" s="99"/>
      <c r="AA131" s="99"/>
      <c r="AB131" s="59">
        <v>126</v>
      </c>
    </row>
    <row r="132" spans="2:28" s="2" customFormat="1" ht="20" x14ac:dyDescent="0.2">
      <c r="B132" s="139" t="s">
        <v>583</v>
      </c>
      <c r="C132" s="35" t="s">
        <v>75</v>
      </c>
      <c r="D132" s="35" t="s">
        <v>762</v>
      </c>
      <c r="E132" s="140">
        <v>1</v>
      </c>
      <c r="F132" s="139" t="s">
        <v>371</v>
      </c>
      <c r="G132" s="159">
        <v>0.2</v>
      </c>
      <c r="H132" s="159">
        <f t="shared" ref="H132:H195" si="6">G132/1.62</f>
        <v>0.12345679012345678</v>
      </c>
      <c r="I132" s="159">
        <v>0.2</v>
      </c>
      <c r="J132" s="159">
        <f t="shared" ref="J132:J195" si="7">I132/1.62</f>
        <v>0.12345679012345678</v>
      </c>
      <c r="K132" s="140">
        <v>230</v>
      </c>
      <c r="L132" s="223">
        <f>_xlfn.XLOOKUP($K132,Inputs!$C$6:$C$23,Inputs!$D$6:$D$23)*$I132</f>
        <v>9.6000000000000002E-2</v>
      </c>
      <c r="M132" s="224">
        <f t="shared" ref="M132:M195" si="8">IF((42.4*(J132)^(-0.6595))&gt;=3,3,(IF(42.4*(J132)^(-0.6595)&lt;=0.5,0.5,(42.4*(J132)^(-0.6595)))))</f>
        <v>3</v>
      </c>
      <c r="N132" s="100"/>
      <c r="O132" s="100"/>
      <c r="P132" s="100"/>
      <c r="Q132" s="100"/>
      <c r="R132" s="100"/>
      <c r="S132" s="225">
        <f>_xlfn.XLOOKUP($K132,Inputs!$G$6:$G$23,Inputs!$J$6:$J$23)*$M132</f>
        <v>402</v>
      </c>
      <c r="T132" s="225">
        <f>_xlfn.XLOOKUP($K132,Inputs!$G$6:$G$23,Inputs!$K$6:$K$23)*$M132</f>
        <v>435</v>
      </c>
      <c r="U132" s="139" t="s">
        <v>744</v>
      </c>
      <c r="V132" s="107" t="s">
        <v>1028</v>
      </c>
      <c r="W132" s="139" t="s">
        <v>734</v>
      </c>
      <c r="X132" s="107" t="s">
        <v>1133</v>
      </c>
      <c r="Y132" s="11"/>
      <c r="Z132" s="99"/>
      <c r="AA132" s="99"/>
      <c r="AB132" s="59">
        <v>127</v>
      </c>
    </row>
    <row r="133" spans="2:28" s="2" customFormat="1" ht="20" x14ac:dyDescent="0.2">
      <c r="B133" s="139" t="s">
        <v>843</v>
      </c>
      <c r="C133" s="35" t="s">
        <v>75</v>
      </c>
      <c r="D133" s="35" t="s">
        <v>762</v>
      </c>
      <c r="E133" s="140">
        <v>1</v>
      </c>
      <c r="F133" s="139" t="s">
        <v>371</v>
      </c>
      <c r="G133" s="159">
        <v>20</v>
      </c>
      <c r="H133" s="159">
        <f t="shared" si="6"/>
        <v>12.345679012345679</v>
      </c>
      <c r="I133" s="159">
        <v>20</v>
      </c>
      <c r="J133" s="159">
        <f t="shared" si="7"/>
        <v>12.345679012345679</v>
      </c>
      <c r="K133" s="140">
        <v>230</v>
      </c>
      <c r="L133" s="223">
        <f>_xlfn.XLOOKUP($K133,Inputs!$C$6:$C$23,Inputs!$D$6:$D$23)*$I133</f>
        <v>9.6</v>
      </c>
      <c r="M133" s="224">
        <f t="shared" si="8"/>
        <v>3</v>
      </c>
      <c r="N133" s="100"/>
      <c r="O133" s="100"/>
      <c r="P133" s="100"/>
      <c r="Q133" s="100"/>
      <c r="R133" s="100"/>
      <c r="S133" s="225">
        <f>_xlfn.XLOOKUP($K133,Inputs!$G$6:$G$23,Inputs!$J$6:$J$23)*$M133</f>
        <v>402</v>
      </c>
      <c r="T133" s="225">
        <f>_xlfn.XLOOKUP($K133,Inputs!$G$6:$G$23,Inputs!$K$6:$K$23)*$M133</f>
        <v>435</v>
      </c>
      <c r="U133" s="139" t="s">
        <v>786</v>
      </c>
      <c r="V133" s="107" t="s">
        <v>1032</v>
      </c>
      <c r="W133" s="139" t="s">
        <v>734</v>
      </c>
      <c r="X133" s="107" t="s">
        <v>1133</v>
      </c>
      <c r="Y133" s="11"/>
      <c r="Z133" s="106"/>
      <c r="AA133" s="106"/>
      <c r="AB133" s="59">
        <v>128</v>
      </c>
    </row>
    <row r="134" spans="2:28" s="2" customFormat="1" ht="20" x14ac:dyDescent="0.2">
      <c r="B134" s="139" t="s">
        <v>844</v>
      </c>
      <c r="C134" s="35" t="s">
        <v>75</v>
      </c>
      <c r="D134" s="35" t="s">
        <v>762</v>
      </c>
      <c r="E134" s="140">
        <v>1</v>
      </c>
      <c r="F134" s="139" t="s">
        <v>371</v>
      </c>
      <c r="G134" s="159">
        <v>20</v>
      </c>
      <c r="H134" s="159">
        <f t="shared" si="6"/>
        <v>12.345679012345679</v>
      </c>
      <c r="I134" s="159">
        <v>20</v>
      </c>
      <c r="J134" s="159">
        <f t="shared" si="7"/>
        <v>12.345679012345679</v>
      </c>
      <c r="K134" s="140">
        <v>230</v>
      </c>
      <c r="L134" s="223">
        <f>_xlfn.XLOOKUP($K134,Inputs!$C$6:$C$23,Inputs!$D$6:$D$23)*$I134</f>
        <v>9.6</v>
      </c>
      <c r="M134" s="224">
        <f t="shared" si="8"/>
        <v>3</v>
      </c>
      <c r="N134" s="100"/>
      <c r="O134" s="100"/>
      <c r="P134" s="100"/>
      <c r="Q134" s="100"/>
      <c r="R134" s="100"/>
      <c r="S134" s="225">
        <f>_xlfn.XLOOKUP($K134,Inputs!$G$6:$G$23,Inputs!$J$6:$J$23)*$M134</f>
        <v>402</v>
      </c>
      <c r="T134" s="225">
        <f>_xlfn.XLOOKUP($K134,Inputs!$G$6:$G$23,Inputs!$K$6:$K$23)*$M134</f>
        <v>435</v>
      </c>
      <c r="U134" s="139" t="s">
        <v>786</v>
      </c>
      <c r="V134" s="107" t="s">
        <v>1032</v>
      </c>
      <c r="W134" s="139" t="s">
        <v>734</v>
      </c>
      <c r="X134" s="107" t="s">
        <v>1133</v>
      </c>
      <c r="Y134" s="11"/>
      <c r="Z134" s="99"/>
      <c r="AA134" s="99"/>
      <c r="AB134" s="59">
        <v>129</v>
      </c>
    </row>
    <row r="135" spans="2:28" s="2" customFormat="1" ht="20" x14ac:dyDescent="0.2">
      <c r="B135" s="139" t="s">
        <v>845</v>
      </c>
      <c r="C135" s="35" t="s">
        <v>75</v>
      </c>
      <c r="D135" s="35" t="s">
        <v>762</v>
      </c>
      <c r="E135" s="140">
        <v>1</v>
      </c>
      <c r="F135" s="139" t="s">
        <v>371</v>
      </c>
      <c r="G135" s="159">
        <v>20</v>
      </c>
      <c r="H135" s="159">
        <f t="shared" si="6"/>
        <v>12.345679012345679</v>
      </c>
      <c r="I135" s="159">
        <v>20</v>
      </c>
      <c r="J135" s="159">
        <f t="shared" si="7"/>
        <v>12.345679012345679</v>
      </c>
      <c r="K135" s="140">
        <v>230</v>
      </c>
      <c r="L135" s="223">
        <f>_xlfn.XLOOKUP($K135,Inputs!$C$6:$C$23,Inputs!$D$6:$D$23)*$I135</f>
        <v>9.6</v>
      </c>
      <c r="M135" s="224">
        <f t="shared" si="8"/>
        <v>3</v>
      </c>
      <c r="N135" s="100"/>
      <c r="O135" s="100"/>
      <c r="P135" s="100"/>
      <c r="Q135" s="100"/>
      <c r="R135" s="100"/>
      <c r="S135" s="225">
        <f>_xlfn.XLOOKUP($K135,Inputs!$G$6:$G$23,Inputs!$J$6:$J$23)*$M135</f>
        <v>402</v>
      </c>
      <c r="T135" s="225">
        <f>_xlfn.XLOOKUP($K135,Inputs!$G$6:$G$23,Inputs!$K$6:$K$23)*$M135</f>
        <v>435</v>
      </c>
      <c r="U135" s="139" t="s">
        <v>786</v>
      </c>
      <c r="V135" s="107" t="s">
        <v>1032</v>
      </c>
      <c r="W135" s="139" t="s">
        <v>734</v>
      </c>
      <c r="X135" s="107" t="s">
        <v>1133</v>
      </c>
      <c r="Y135" s="11"/>
      <c r="Z135" s="99"/>
      <c r="AA135" s="99"/>
      <c r="AB135" s="59">
        <v>130</v>
      </c>
    </row>
    <row r="136" spans="2:28" s="2" customFormat="1" ht="20" x14ac:dyDescent="0.2">
      <c r="B136" s="139" t="s">
        <v>577</v>
      </c>
      <c r="C136" s="35" t="s">
        <v>75</v>
      </c>
      <c r="D136" s="35" t="s">
        <v>762</v>
      </c>
      <c r="E136" s="140">
        <v>1</v>
      </c>
      <c r="F136" s="139" t="s">
        <v>371</v>
      </c>
      <c r="G136" s="159">
        <v>20</v>
      </c>
      <c r="H136" s="159">
        <f t="shared" si="6"/>
        <v>12.345679012345679</v>
      </c>
      <c r="I136" s="159">
        <v>20</v>
      </c>
      <c r="J136" s="159">
        <f t="shared" si="7"/>
        <v>12.345679012345679</v>
      </c>
      <c r="K136" s="140">
        <v>230</v>
      </c>
      <c r="L136" s="223">
        <f>_xlfn.XLOOKUP($K136,Inputs!$C$6:$C$23,Inputs!$D$6:$D$23)*$I136</f>
        <v>9.6</v>
      </c>
      <c r="M136" s="224">
        <f t="shared" si="8"/>
        <v>3</v>
      </c>
      <c r="N136" s="100"/>
      <c r="O136" s="100"/>
      <c r="P136" s="100"/>
      <c r="Q136" s="100"/>
      <c r="R136" s="100"/>
      <c r="S136" s="225">
        <f>_xlfn.XLOOKUP($K136,Inputs!$G$6:$G$23,Inputs!$J$6:$J$23)*$M136</f>
        <v>402</v>
      </c>
      <c r="T136" s="225">
        <f>_xlfn.XLOOKUP($K136,Inputs!$G$6:$G$23,Inputs!$K$6:$K$23)*$M136</f>
        <v>435</v>
      </c>
      <c r="U136" s="139" t="s">
        <v>738</v>
      </c>
      <c r="V136" s="107" t="s">
        <v>1064</v>
      </c>
      <c r="W136" s="139" t="s">
        <v>734</v>
      </c>
      <c r="X136" s="107" t="s">
        <v>1133</v>
      </c>
      <c r="Y136" s="11"/>
      <c r="Z136" s="106"/>
      <c r="AA136" s="106"/>
      <c r="AB136" s="59">
        <v>131</v>
      </c>
    </row>
    <row r="137" spans="2:28" s="2" customFormat="1" ht="20" x14ac:dyDescent="0.2">
      <c r="B137" s="139" t="s">
        <v>578</v>
      </c>
      <c r="C137" s="35" t="s">
        <v>75</v>
      </c>
      <c r="D137" s="35" t="s">
        <v>762</v>
      </c>
      <c r="E137" s="140">
        <v>1</v>
      </c>
      <c r="F137" s="139" t="s">
        <v>371</v>
      </c>
      <c r="G137" s="159">
        <v>20</v>
      </c>
      <c r="H137" s="159">
        <f t="shared" si="6"/>
        <v>12.345679012345679</v>
      </c>
      <c r="I137" s="159">
        <v>20</v>
      </c>
      <c r="J137" s="159">
        <f t="shared" si="7"/>
        <v>12.345679012345679</v>
      </c>
      <c r="K137" s="140">
        <v>230</v>
      </c>
      <c r="L137" s="223">
        <f>_xlfn.XLOOKUP($K137,Inputs!$C$6:$C$23,Inputs!$D$6:$D$23)*$I137</f>
        <v>9.6</v>
      </c>
      <c r="M137" s="224">
        <f t="shared" si="8"/>
        <v>3</v>
      </c>
      <c r="N137" s="100"/>
      <c r="O137" s="100"/>
      <c r="P137" s="100"/>
      <c r="Q137" s="100"/>
      <c r="R137" s="100"/>
      <c r="S137" s="225">
        <f>_xlfn.XLOOKUP($K137,Inputs!$G$6:$G$23,Inputs!$J$6:$J$23)*$M137</f>
        <v>402</v>
      </c>
      <c r="T137" s="225">
        <f>_xlfn.XLOOKUP($K137,Inputs!$G$6:$G$23,Inputs!$K$6:$K$23)*$M137</f>
        <v>435</v>
      </c>
      <c r="U137" s="139" t="s">
        <v>738</v>
      </c>
      <c r="V137" s="107" t="s">
        <v>1064</v>
      </c>
      <c r="W137" s="139" t="s">
        <v>734</v>
      </c>
      <c r="X137" s="107" t="s">
        <v>1133</v>
      </c>
      <c r="Y137" s="11"/>
      <c r="Z137" s="99"/>
      <c r="AA137" s="99"/>
      <c r="AB137" s="59">
        <v>132</v>
      </c>
    </row>
    <row r="138" spans="2:28" s="2" customFormat="1" ht="20" x14ac:dyDescent="0.2">
      <c r="B138" s="139" t="s">
        <v>579</v>
      </c>
      <c r="C138" s="35" t="s">
        <v>75</v>
      </c>
      <c r="D138" s="35" t="s">
        <v>762</v>
      </c>
      <c r="E138" s="140">
        <v>1</v>
      </c>
      <c r="F138" s="139" t="s">
        <v>371</v>
      </c>
      <c r="G138" s="159">
        <v>20</v>
      </c>
      <c r="H138" s="159">
        <f t="shared" si="6"/>
        <v>12.345679012345679</v>
      </c>
      <c r="I138" s="159">
        <v>20</v>
      </c>
      <c r="J138" s="159">
        <f t="shared" si="7"/>
        <v>12.345679012345679</v>
      </c>
      <c r="K138" s="140">
        <v>230</v>
      </c>
      <c r="L138" s="223">
        <f>_xlfn.XLOOKUP($K138,Inputs!$C$6:$C$23,Inputs!$D$6:$D$23)*$I138</f>
        <v>9.6</v>
      </c>
      <c r="M138" s="224">
        <f t="shared" si="8"/>
        <v>3</v>
      </c>
      <c r="N138" s="100"/>
      <c r="O138" s="100"/>
      <c r="P138" s="100"/>
      <c r="Q138" s="100"/>
      <c r="R138" s="100"/>
      <c r="S138" s="225">
        <f>_xlfn.XLOOKUP($K138,Inputs!$G$6:$G$23,Inputs!$J$6:$J$23)*$M138</f>
        <v>402</v>
      </c>
      <c r="T138" s="225">
        <f>_xlfn.XLOOKUP($K138,Inputs!$G$6:$G$23,Inputs!$K$6:$K$23)*$M138</f>
        <v>435</v>
      </c>
      <c r="U138" s="139" t="s">
        <v>738</v>
      </c>
      <c r="V138" s="107" t="s">
        <v>1064</v>
      </c>
      <c r="W138" s="139" t="s">
        <v>734</v>
      </c>
      <c r="X138" s="107" t="s">
        <v>1133</v>
      </c>
      <c r="Y138" s="11"/>
      <c r="Z138" s="99"/>
      <c r="AA138" s="99"/>
      <c r="AB138" s="59">
        <v>133</v>
      </c>
    </row>
    <row r="139" spans="2:28" s="2" customFormat="1" ht="20" x14ac:dyDescent="0.2">
      <c r="B139" s="139" t="s">
        <v>584</v>
      </c>
      <c r="C139" s="35" t="s">
        <v>75</v>
      </c>
      <c r="D139" s="35" t="s">
        <v>762</v>
      </c>
      <c r="E139" s="140">
        <v>1</v>
      </c>
      <c r="F139" s="139" t="s">
        <v>371</v>
      </c>
      <c r="G139" s="159">
        <v>0.2</v>
      </c>
      <c r="H139" s="159">
        <f t="shared" si="6"/>
        <v>0.12345679012345678</v>
      </c>
      <c r="I139" s="159">
        <v>0.2</v>
      </c>
      <c r="J139" s="159">
        <f t="shared" si="7"/>
        <v>0.12345679012345678</v>
      </c>
      <c r="K139" s="140">
        <v>230</v>
      </c>
      <c r="L139" s="223">
        <f>_xlfn.XLOOKUP($K139,Inputs!$C$6:$C$23,Inputs!$D$6:$D$23)*$I139</f>
        <v>9.6000000000000002E-2</v>
      </c>
      <c r="M139" s="224">
        <f t="shared" si="8"/>
        <v>3</v>
      </c>
      <c r="N139" s="100"/>
      <c r="O139" s="100"/>
      <c r="P139" s="100"/>
      <c r="Q139" s="100"/>
      <c r="R139" s="100"/>
      <c r="S139" s="225">
        <f>_xlfn.XLOOKUP($K139,Inputs!$G$6:$G$23,Inputs!$J$6:$J$23)*$M139</f>
        <v>402</v>
      </c>
      <c r="T139" s="225">
        <f>_xlfn.XLOOKUP($K139,Inputs!$G$6:$G$23,Inputs!$K$6:$K$23)*$M139</f>
        <v>435</v>
      </c>
      <c r="U139" s="139" t="s">
        <v>744</v>
      </c>
      <c r="V139" s="107" t="s">
        <v>1028</v>
      </c>
      <c r="W139" s="139" t="s">
        <v>734</v>
      </c>
      <c r="X139" s="107" t="s">
        <v>1133</v>
      </c>
      <c r="Y139" s="11"/>
      <c r="Z139" s="99"/>
      <c r="AA139" s="99"/>
      <c r="AB139" s="59">
        <v>134</v>
      </c>
    </row>
    <row r="140" spans="2:28" s="2" customFormat="1" ht="20" x14ac:dyDescent="0.2">
      <c r="B140" s="139" t="s">
        <v>376</v>
      </c>
      <c r="C140" s="35" t="s">
        <v>75</v>
      </c>
      <c r="D140" s="35" t="s">
        <v>762</v>
      </c>
      <c r="E140" s="140">
        <v>1</v>
      </c>
      <c r="F140" s="139" t="s">
        <v>371</v>
      </c>
      <c r="G140" s="159">
        <v>60</v>
      </c>
      <c r="H140" s="159">
        <f t="shared" si="6"/>
        <v>37.037037037037038</v>
      </c>
      <c r="I140" s="159">
        <v>60</v>
      </c>
      <c r="J140" s="159">
        <f t="shared" si="7"/>
        <v>37.037037037037038</v>
      </c>
      <c r="K140" s="140">
        <v>230</v>
      </c>
      <c r="L140" s="223">
        <f>_xlfn.XLOOKUP($K140,Inputs!$C$6:$C$23,Inputs!$D$6:$D$23)*$I140</f>
        <v>28.799999999999997</v>
      </c>
      <c r="M140" s="224">
        <f t="shared" si="8"/>
        <v>3</v>
      </c>
      <c r="N140" s="100"/>
      <c r="O140" s="100"/>
      <c r="P140" s="100"/>
      <c r="Q140" s="100"/>
      <c r="R140" s="100"/>
      <c r="S140" s="225">
        <f>_xlfn.XLOOKUP($K140,Inputs!$G$6:$G$23,Inputs!$J$6:$J$23)*$M140</f>
        <v>402</v>
      </c>
      <c r="T140" s="225">
        <f>_xlfn.XLOOKUP($K140,Inputs!$G$6:$G$23,Inputs!$K$6:$K$23)*$M140</f>
        <v>435</v>
      </c>
      <c r="U140" s="139" t="s">
        <v>736</v>
      </c>
      <c r="V140" s="107" t="s">
        <v>1069</v>
      </c>
      <c r="W140" s="139" t="s">
        <v>734</v>
      </c>
      <c r="X140" s="107" t="s">
        <v>1133</v>
      </c>
      <c r="Y140" s="11"/>
      <c r="Z140" s="106"/>
      <c r="AA140" s="106"/>
      <c r="AB140" s="59">
        <v>135</v>
      </c>
    </row>
    <row r="141" spans="2:28" s="2" customFormat="1" ht="20" x14ac:dyDescent="0.2">
      <c r="B141" s="108" t="s">
        <v>251</v>
      </c>
      <c r="C141" s="35" t="s">
        <v>75</v>
      </c>
      <c r="D141" s="35" t="s">
        <v>762</v>
      </c>
      <c r="E141" s="109">
        <v>1</v>
      </c>
      <c r="F141" s="108" t="s">
        <v>371</v>
      </c>
      <c r="G141" s="110">
        <v>12.474000000000002</v>
      </c>
      <c r="H141" s="110">
        <f t="shared" si="6"/>
        <v>7.7000000000000011</v>
      </c>
      <c r="I141" s="110">
        <v>12.474000000000002</v>
      </c>
      <c r="J141" s="110">
        <f t="shared" si="7"/>
        <v>7.7000000000000011</v>
      </c>
      <c r="K141" s="109">
        <v>230</v>
      </c>
      <c r="L141" s="223">
        <f>_xlfn.XLOOKUP($K141,Inputs!$C$6:$C$23,Inputs!$D$6:$D$23)*$I141</f>
        <v>5.9875200000000008</v>
      </c>
      <c r="M141" s="224">
        <f t="shared" si="8"/>
        <v>3</v>
      </c>
      <c r="N141" s="100"/>
      <c r="O141" s="100"/>
      <c r="P141" s="100"/>
      <c r="Q141" s="100"/>
      <c r="R141" s="100"/>
      <c r="S141" s="225">
        <f>_xlfn.XLOOKUP($K141,Inputs!$G$6:$G$23,Inputs!$J$6:$J$23)*$M141</f>
        <v>402</v>
      </c>
      <c r="T141" s="225">
        <f>_xlfn.XLOOKUP($K141,Inputs!$G$6:$G$23,Inputs!$K$6:$K$23)*$M141</f>
        <v>435</v>
      </c>
      <c r="U141" s="108" t="s">
        <v>663</v>
      </c>
      <c r="V141" s="107" t="s">
        <v>1099</v>
      </c>
      <c r="W141" s="108" t="s">
        <v>661</v>
      </c>
      <c r="X141" s="107" t="s">
        <v>1140</v>
      </c>
      <c r="Y141" s="11"/>
      <c r="Z141" s="104"/>
      <c r="AA141" s="104"/>
      <c r="AB141" s="59">
        <v>136</v>
      </c>
    </row>
    <row r="142" spans="2:28" s="2" customFormat="1" ht="20" x14ac:dyDescent="0.2">
      <c r="B142" s="108" t="s">
        <v>252</v>
      </c>
      <c r="C142" s="35" t="s">
        <v>75</v>
      </c>
      <c r="D142" s="35" t="s">
        <v>762</v>
      </c>
      <c r="E142" s="109">
        <v>1</v>
      </c>
      <c r="F142" s="108" t="s">
        <v>371</v>
      </c>
      <c r="G142" s="110">
        <v>12.474000000000002</v>
      </c>
      <c r="H142" s="110">
        <f t="shared" si="6"/>
        <v>7.7000000000000011</v>
      </c>
      <c r="I142" s="110">
        <v>12.474000000000002</v>
      </c>
      <c r="J142" s="110">
        <f t="shared" si="7"/>
        <v>7.7000000000000011</v>
      </c>
      <c r="K142" s="109">
        <v>230</v>
      </c>
      <c r="L142" s="223">
        <f>_xlfn.XLOOKUP($K142,Inputs!$C$6:$C$23,Inputs!$D$6:$D$23)*$I142</f>
        <v>5.9875200000000008</v>
      </c>
      <c r="M142" s="224">
        <f t="shared" si="8"/>
        <v>3</v>
      </c>
      <c r="N142" s="100"/>
      <c r="O142" s="100"/>
      <c r="P142" s="100"/>
      <c r="Q142" s="100"/>
      <c r="R142" s="100"/>
      <c r="S142" s="225">
        <f>_xlfn.XLOOKUP($K142,Inputs!$G$6:$G$23,Inputs!$J$6:$J$23)*$M142</f>
        <v>402</v>
      </c>
      <c r="T142" s="225">
        <f>_xlfn.XLOOKUP($K142,Inputs!$G$6:$G$23,Inputs!$K$6:$K$23)*$M142</f>
        <v>435</v>
      </c>
      <c r="U142" s="108" t="s">
        <v>663</v>
      </c>
      <c r="V142" s="107" t="s">
        <v>1099</v>
      </c>
      <c r="W142" s="108" t="s">
        <v>661</v>
      </c>
      <c r="X142" s="107" t="s">
        <v>1140</v>
      </c>
      <c r="Y142" s="11"/>
      <c r="Z142" s="104"/>
      <c r="AA142" s="104"/>
      <c r="AB142" s="59">
        <v>137</v>
      </c>
    </row>
    <row r="143" spans="2:28" s="2" customFormat="1" ht="20" x14ac:dyDescent="0.2">
      <c r="B143" s="108" t="s">
        <v>253</v>
      </c>
      <c r="C143" s="35" t="s">
        <v>75</v>
      </c>
      <c r="D143" s="35" t="s">
        <v>762</v>
      </c>
      <c r="E143" s="109">
        <v>1</v>
      </c>
      <c r="F143" s="108" t="s">
        <v>371</v>
      </c>
      <c r="G143" s="110">
        <v>132.99481030780242</v>
      </c>
      <c r="H143" s="110">
        <f t="shared" si="6"/>
        <v>82.095561918396555</v>
      </c>
      <c r="I143" s="110">
        <v>132.99481030780242</v>
      </c>
      <c r="J143" s="110">
        <f t="shared" si="7"/>
        <v>82.095561918396555</v>
      </c>
      <c r="K143" s="109">
        <v>230</v>
      </c>
      <c r="L143" s="223">
        <f>_xlfn.XLOOKUP($K143,Inputs!$C$6:$C$23,Inputs!$D$6:$D$23)*$I143</f>
        <v>63.837508947745164</v>
      </c>
      <c r="M143" s="224">
        <f t="shared" si="8"/>
        <v>2.3167118908633135</v>
      </c>
      <c r="N143" s="100"/>
      <c r="O143" s="100"/>
      <c r="P143" s="100"/>
      <c r="Q143" s="100"/>
      <c r="R143" s="100"/>
      <c r="S143" s="225">
        <f>_xlfn.XLOOKUP($K143,Inputs!$G$6:$G$23,Inputs!$J$6:$J$23)*$M143</f>
        <v>310.43939337568401</v>
      </c>
      <c r="T143" s="225">
        <f>_xlfn.XLOOKUP($K143,Inputs!$G$6:$G$23,Inputs!$K$6:$K$23)*$M143</f>
        <v>335.92322417518045</v>
      </c>
      <c r="U143" s="108" t="s">
        <v>726</v>
      </c>
      <c r="V143" s="107" t="s">
        <v>1080</v>
      </c>
      <c r="W143" s="108" t="s">
        <v>648</v>
      </c>
      <c r="X143" s="107" t="s">
        <v>1115</v>
      </c>
      <c r="Y143" s="11"/>
      <c r="Z143" s="11"/>
      <c r="AA143" s="11"/>
      <c r="AB143" s="59">
        <v>138</v>
      </c>
    </row>
    <row r="144" spans="2:28" s="105" customFormat="1" ht="20" x14ac:dyDescent="0.2">
      <c r="B144" s="108" t="s">
        <v>254</v>
      </c>
      <c r="C144" s="35" t="s">
        <v>75</v>
      </c>
      <c r="D144" s="35" t="s">
        <v>762</v>
      </c>
      <c r="E144" s="109">
        <v>1</v>
      </c>
      <c r="F144" s="108" t="s">
        <v>371</v>
      </c>
      <c r="G144" s="110">
        <v>63.714600000000004</v>
      </c>
      <c r="H144" s="110">
        <f t="shared" si="6"/>
        <v>39.33</v>
      </c>
      <c r="I144" s="110">
        <v>63.714600000000004</v>
      </c>
      <c r="J144" s="110">
        <f t="shared" si="7"/>
        <v>39.33</v>
      </c>
      <c r="K144" s="109">
        <v>230</v>
      </c>
      <c r="L144" s="223">
        <f>_xlfn.XLOOKUP($K144,Inputs!$C$6:$C$23,Inputs!$D$6:$D$23)*$I144</f>
        <v>30.583008</v>
      </c>
      <c r="M144" s="224">
        <f t="shared" si="8"/>
        <v>3</v>
      </c>
      <c r="N144" s="100"/>
      <c r="O144" s="100"/>
      <c r="P144" s="100"/>
      <c r="Q144" s="100"/>
      <c r="R144" s="100"/>
      <c r="S144" s="225">
        <f>_xlfn.XLOOKUP($K144,Inputs!$G$6:$G$23,Inputs!$J$6:$J$23)*$M144</f>
        <v>402</v>
      </c>
      <c r="T144" s="225">
        <f>_xlfn.XLOOKUP($K144,Inputs!$G$6:$G$23,Inputs!$K$6:$K$23)*$M144</f>
        <v>435</v>
      </c>
      <c r="U144" s="108" t="s">
        <v>710</v>
      </c>
      <c r="V144" s="107" t="s">
        <v>1098</v>
      </c>
      <c r="W144" s="108" t="s">
        <v>661</v>
      </c>
      <c r="X144" s="107" t="s">
        <v>1140</v>
      </c>
      <c r="Y144" s="11"/>
      <c r="Z144" s="11" t="s">
        <v>879</v>
      </c>
      <c r="AA144" s="11"/>
      <c r="AB144" s="59">
        <v>139</v>
      </c>
    </row>
    <row r="145" spans="2:28" s="105" customFormat="1" ht="20" x14ac:dyDescent="0.2">
      <c r="B145" s="108" t="s">
        <v>214</v>
      </c>
      <c r="C145" s="35" t="s">
        <v>75</v>
      </c>
      <c r="D145" s="35" t="s">
        <v>762</v>
      </c>
      <c r="E145" s="109">
        <v>1</v>
      </c>
      <c r="F145" s="108" t="s">
        <v>371</v>
      </c>
      <c r="G145" s="110">
        <v>194.51339999999999</v>
      </c>
      <c r="H145" s="110">
        <f t="shared" si="6"/>
        <v>120.06999999999998</v>
      </c>
      <c r="I145" s="110">
        <v>194.51339999999999</v>
      </c>
      <c r="J145" s="110">
        <f t="shared" si="7"/>
        <v>120.06999999999998</v>
      </c>
      <c r="K145" s="109">
        <v>500</v>
      </c>
      <c r="L145" s="223">
        <f>_xlfn.XLOOKUP($K145,Inputs!$C$6:$C$23,Inputs!$D$6:$D$23)*$I145</f>
        <v>76.832792999999995</v>
      </c>
      <c r="M145" s="224">
        <f t="shared" si="8"/>
        <v>1.8029297158892947</v>
      </c>
      <c r="N145" s="100"/>
      <c r="O145" s="100"/>
      <c r="P145" s="100"/>
      <c r="Q145" s="100"/>
      <c r="R145" s="100"/>
      <c r="S145" s="256">
        <v>500</v>
      </c>
      <c r="T145" s="256">
        <v>500</v>
      </c>
      <c r="U145" s="108" t="s">
        <v>663</v>
      </c>
      <c r="V145" s="107" t="s">
        <v>1099</v>
      </c>
      <c r="W145" s="108" t="s">
        <v>896</v>
      </c>
      <c r="X145" s="107" t="s">
        <v>827</v>
      </c>
      <c r="Y145" s="11"/>
      <c r="Z145" s="113"/>
      <c r="AA145" s="113"/>
      <c r="AB145" s="59">
        <v>140</v>
      </c>
    </row>
    <row r="146" spans="2:28" s="2" customFormat="1" ht="20" x14ac:dyDescent="0.2">
      <c r="B146" s="108" t="s">
        <v>255</v>
      </c>
      <c r="C146" s="35" t="s">
        <v>75</v>
      </c>
      <c r="D146" s="35" t="s">
        <v>762</v>
      </c>
      <c r="E146" s="109">
        <v>1</v>
      </c>
      <c r="F146" s="108" t="s">
        <v>371</v>
      </c>
      <c r="G146" s="110">
        <v>7.6140000000000008</v>
      </c>
      <c r="H146" s="110">
        <f t="shared" si="6"/>
        <v>4.7</v>
      </c>
      <c r="I146" s="110">
        <v>7.6140000000000008</v>
      </c>
      <c r="J146" s="110">
        <f t="shared" si="7"/>
        <v>4.7</v>
      </c>
      <c r="K146" s="109">
        <v>230</v>
      </c>
      <c r="L146" s="223">
        <f>_xlfn.XLOOKUP($K146,Inputs!$C$6:$C$23,Inputs!$D$6:$D$23)*$I146</f>
        <v>3.6547200000000002</v>
      </c>
      <c r="M146" s="224">
        <f t="shared" si="8"/>
        <v>3</v>
      </c>
      <c r="N146" s="100"/>
      <c r="O146" s="100"/>
      <c r="P146" s="100"/>
      <c r="Q146" s="100"/>
      <c r="R146" s="100"/>
      <c r="S146" s="225">
        <f>_xlfn.XLOOKUP($K146,Inputs!$G$6:$G$23,Inputs!$J$6:$J$23)*$M146</f>
        <v>402</v>
      </c>
      <c r="T146" s="225">
        <f>_xlfn.XLOOKUP($K146,Inputs!$G$6:$G$23,Inputs!$K$6:$K$23)*$M146</f>
        <v>435</v>
      </c>
      <c r="U146" s="108" t="s">
        <v>663</v>
      </c>
      <c r="V146" s="107" t="s">
        <v>1099</v>
      </c>
      <c r="W146" s="108" t="s">
        <v>646</v>
      </c>
      <c r="X146" s="107" t="s">
        <v>1108</v>
      </c>
      <c r="Y146" s="11"/>
      <c r="Z146" s="104"/>
      <c r="AA146" s="104"/>
      <c r="AB146" s="59">
        <v>141</v>
      </c>
    </row>
    <row r="147" spans="2:28" s="2" customFormat="1" ht="20" x14ac:dyDescent="0.2">
      <c r="B147" s="108" t="s">
        <v>256</v>
      </c>
      <c r="C147" s="35" t="s">
        <v>75</v>
      </c>
      <c r="D147" s="35" t="s">
        <v>762</v>
      </c>
      <c r="E147" s="109">
        <v>1</v>
      </c>
      <c r="F147" s="108" t="s">
        <v>371</v>
      </c>
      <c r="G147" s="110">
        <v>7.6140000000000008</v>
      </c>
      <c r="H147" s="110">
        <f t="shared" si="6"/>
        <v>4.7</v>
      </c>
      <c r="I147" s="110">
        <v>7.6140000000000008</v>
      </c>
      <c r="J147" s="110">
        <f t="shared" si="7"/>
        <v>4.7</v>
      </c>
      <c r="K147" s="109">
        <v>230</v>
      </c>
      <c r="L147" s="223">
        <f>_xlfn.XLOOKUP($K147,Inputs!$C$6:$C$23,Inputs!$D$6:$D$23)*$I147</f>
        <v>3.6547200000000002</v>
      </c>
      <c r="M147" s="224">
        <f t="shared" si="8"/>
        <v>3</v>
      </c>
      <c r="N147" s="100"/>
      <c r="O147" s="100"/>
      <c r="P147" s="100"/>
      <c r="Q147" s="100"/>
      <c r="R147" s="100"/>
      <c r="S147" s="225">
        <f>_xlfn.XLOOKUP($K147,Inputs!$G$6:$G$23,Inputs!$J$6:$J$23)*$M147</f>
        <v>402</v>
      </c>
      <c r="T147" s="225">
        <f>_xlfn.XLOOKUP($K147,Inputs!$G$6:$G$23,Inputs!$K$6:$K$23)*$M147</f>
        <v>435</v>
      </c>
      <c r="U147" s="108" t="s">
        <v>663</v>
      </c>
      <c r="V147" s="107" t="s">
        <v>1099</v>
      </c>
      <c r="W147" s="108" t="s">
        <v>646</v>
      </c>
      <c r="X147" s="107" t="s">
        <v>1108</v>
      </c>
      <c r="Y147" s="11"/>
      <c r="Z147" s="11"/>
      <c r="AA147" s="11"/>
      <c r="AB147" s="59">
        <v>142</v>
      </c>
    </row>
    <row r="148" spans="2:28" s="2" customFormat="1" ht="20" x14ac:dyDescent="0.2">
      <c r="B148" s="108" t="s">
        <v>257</v>
      </c>
      <c r="C148" s="35" t="s">
        <v>75</v>
      </c>
      <c r="D148" s="35" t="s">
        <v>762</v>
      </c>
      <c r="E148" s="109">
        <v>1</v>
      </c>
      <c r="F148" s="108" t="s">
        <v>371</v>
      </c>
      <c r="G148" s="188">
        <v>84</v>
      </c>
      <c r="H148" s="188">
        <f t="shared" si="6"/>
        <v>51.851851851851848</v>
      </c>
      <c r="I148" s="188">
        <v>134</v>
      </c>
      <c r="J148" s="188">
        <f t="shared" si="7"/>
        <v>82.716049382716051</v>
      </c>
      <c r="K148" s="109">
        <v>230</v>
      </c>
      <c r="L148" s="223">
        <f>_xlfn.XLOOKUP($K148,Inputs!$C$6:$C$23,Inputs!$D$6:$D$23)*$I148</f>
        <v>64.319999999999993</v>
      </c>
      <c r="M148" s="224">
        <f t="shared" si="8"/>
        <v>2.3052360052380712</v>
      </c>
      <c r="N148" s="100"/>
      <c r="O148" s="100"/>
      <c r="P148" s="100"/>
      <c r="Q148" s="100"/>
      <c r="R148" s="100"/>
      <c r="S148" s="225">
        <f>_xlfn.XLOOKUP($K148,Inputs!$G$6:$G$23,Inputs!$J$6:$J$23)*$M148</f>
        <v>308.90162470190154</v>
      </c>
      <c r="T148" s="225">
        <f>_xlfn.XLOOKUP($K148,Inputs!$G$6:$G$23,Inputs!$K$6:$K$23)*$M148</f>
        <v>334.2592207595203</v>
      </c>
      <c r="U148" s="108" t="s">
        <v>663</v>
      </c>
      <c r="V148" s="107" t="s">
        <v>1099</v>
      </c>
      <c r="W148" s="108" t="s">
        <v>681</v>
      </c>
      <c r="X148" s="107" t="s">
        <v>1098</v>
      </c>
      <c r="Y148" s="11"/>
      <c r="Z148" s="11" t="s">
        <v>879</v>
      </c>
      <c r="AA148" s="11"/>
      <c r="AB148" s="59">
        <v>143</v>
      </c>
    </row>
    <row r="149" spans="2:28" s="2" customFormat="1" ht="20" x14ac:dyDescent="0.2">
      <c r="B149" s="108" t="s">
        <v>257</v>
      </c>
      <c r="C149" s="35" t="s">
        <v>75</v>
      </c>
      <c r="D149" s="35" t="s">
        <v>762</v>
      </c>
      <c r="E149" s="109">
        <v>1</v>
      </c>
      <c r="F149" s="108" t="s">
        <v>371</v>
      </c>
      <c r="G149" s="188">
        <v>50</v>
      </c>
      <c r="H149" s="188">
        <f t="shared" si="6"/>
        <v>30.864197530864196</v>
      </c>
      <c r="I149" s="188">
        <v>134</v>
      </c>
      <c r="J149" s="188">
        <f t="shared" si="7"/>
        <v>82.716049382716051</v>
      </c>
      <c r="K149" s="109">
        <v>230</v>
      </c>
      <c r="L149" s="223">
        <f>_xlfn.XLOOKUP($K149,Inputs!$C$6:$C$23,Inputs!$D$6:$D$23)*$I149</f>
        <v>64.319999999999993</v>
      </c>
      <c r="M149" s="224">
        <f t="shared" si="8"/>
        <v>2.3052360052380712</v>
      </c>
      <c r="N149" s="100"/>
      <c r="O149" s="100"/>
      <c r="P149" s="100"/>
      <c r="Q149" s="100"/>
      <c r="R149" s="100"/>
      <c r="S149" s="225">
        <f>_xlfn.XLOOKUP($K149,Inputs!$G$6:$G$23,Inputs!$J$6:$J$23)*$M149</f>
        <v>308.90162470190154</v>
      </c>
      <c r="T149" s="225">
        <f>_xlfn.XLOOKUP($K149,Inputs!$G$6:$G$23,Inputs!$K$6:$K$23)*$M149</f>
        <v>334.2592207595203</v>
      </c>
      <c r="U149" s="108" t="s">
        <v>878</v>
      </c>
      <c r="V149" s="107" t="s">
        <v>1117</v>
      </c>
      <c r="W149" s="108" t="s">
        <v>681</v>
      </c>
      <c r="X149" s="107" t="s">
        <v>1098</v>
      </c>
      <c r="Y149" s="11"/>
      <c r="Z149" s="11" t="s">
        <v>879</v>
      </c>
      <c r="AA149" s="11"/>
      <c r="AB149" s="59">
        <v>144</v>
      </c>
    </row>
    <row r="150" spans="2:28" s="105" customFormat="1" ht="20" x14ac:dyDescent="0.2">
      <c r="B150" s="198" t="s">
        <v>1169</v>
      </c>
      <c r="C150" s="35" t="s">
        <v>75</v>
      </c>
      <c r="D150" s="35" t="s">
        <v>762</v>
      </c>
      <c r="E150" s="109">
        <v>1</v>
      </c>
      <c r="F150" s="108" t="s">
        <v>371</v>
      </c>
      <c r="G150" s="188">
        <v>0.8</v>
      </c>
      <c r="H150" s="188">
        <f t="shared" si="6"/>
        <v>0.49382716049382713</v>
      </c>
      <c r="I150" s="188">
        <v>0.8</v>
      </c>
      <c r="J150" s="188">
        <f t="shared" si="7"/>
        <v>0.49382716049382713</v>
      </c>
      <c r="K150" s="109">
        <v>115</v>
      </c>
      <c r="L150" s="223">
        <f>_xlfn.XLOOKUP($K150,Inputs!$C$6:$C$23,Inputs!$D$6:$D$23)*$I150</f>
        <v>0.33371428571428574</v>
      </c>
      <c r="M150" s="224">
        <f t="shared" si="8"/>
        <v>3</v>
      </c>
      <c r="N150" s="100"/>
      <c r="O150" s="100"/>
      <c r="P150" s="100"/>
      <c r="Q150" s="100"/>
      <c r="R150" s="100"/>
      <c r="S150" s="225">
        <f>_xlfn.XLOOKUP($K150,Inputs!$G$6:$G$23,Inputs!$J$6:$J$23)*$M150</f>
        <v>98.449131513647643</v>
      </c>
      <c r="T150" s="225">
        <f>_xlfn.XLOOKUP($K150,Inputs!$G$6:$G$23,Inputs!$K$6:$K$23)*$M150</f>
        <v>108.40163934426229</v>
      </c>
      <c r="U150" s="111" t="s">
        <v>868</v>
      </c>
      <c r="V150" s="107" t="s">
        <v>1078</v>
      </c>
      <c r="W150" s="111" t="s">
        <v>694</v>
      </c>
      <c r="X150" s="107" t="s">
        <v>1136</v>
      </c>
      <c r="Y150" s="11"/>
      <c r="Z150" s="104"/>
      <c r="AA150" s="104"/>
      <c r="AB150" s="59">
        <v>145</v>
      </c>
    </row>
    <row r="151" spans="2:28" s="2" customFormat="1" ht="20" x14ac:dyDescent="0.2">
      <c r="B151" s="108" t="s">
        <v>322</v>
      </c>
      <c r="C151" s="35" t="s">
        <v>75</v>
      </c>
      <c r="D151" s="35" t="s">
        <v>762</v>
      </c>
      <c r="E151" s="109">
        <v>1</v>
      </c>
      <c r="F151" s="108" t="s">
        <v>371</v>
      </c>
      <c r="G151" s="188">
        <v>15</v>
      </c>
      <c r="H151" s="188">
        <f t="shared" si="6"/>
        <v>9.2592592592592595</v>
      </c>
      <c r="I151" s="188">
        <v>15</v>
      </c>
      <c r="J151" s="188">
        <f t="shared" si="7"/>
        <v>9.2592592592592595</v>
      </c>
      <c r="K151" s="109">
        <v>115</v>
      </c>
      <c r="L151" s="223">
        <f>_xlfn.XLOOKUP($K151,Inputs!$C$6:$C$23,Inputs!$D$6:$D$23)*$I151</f>
        <v>6.2571428571428571</v>
      </c>
      <c r="M151" s="224">
        <f t="shared" si="8"/>
        <v>3</v>
      </c>
      <c r="N151" s="100"/>
      <c r="O151" s="100"/>
      <c r="P151" s="100"/>
      <c r="Q151" s="100"/>
      <c r="R151" s="100"/>
      <c r="S151" s="225">
        <f>_xlfn.XLOOKUP($K151,Inputs!$G$6:$G$23,Inputs!$J$6:$J$23)*$M151</f>
        <v>98.449131513647643</v>
      </c>
      <c r="T151" s="225">
        <f>_xlfn.XLOOKUP($K151,Inputs!$G$6:$G$23,Inputs!$K$6:$K$23)*$M151</f>
        <v>108.40163934426229</v>
      </c>
      <c r="U151" s="111" t="s">
        <v>682</v>
      </c>
      <c r="V151" s="107" t="s">
        <v>1091</v>
      </c>
      <c r="W151" s="111" t="s">
        <v>694</v>
      </c>
      <c r="X151" s="107" t="s">
        <v>1136</v>
      </c>
      <c r="Y151" s="11"/>
      <c r="Z151" s="104"/>
      <c r="AA151" s="104"/>
      <c r="AB151" s="59">
        <v>146</v>
      </c>
    </row>
    <row r="152" spans="2:28" s="2" customFormat="1" ht="20" x14ac:dyDescent="0.2">
      <c r="B152" s="108" t="s">
        <v>323</v>
      </c>
      <c r="C152" s="35" t="s">
        <v>75</v>
      </c>
      <c r="D152" s="35" t="s">
        <v>762</v>
      </c>
      <c r="E152" s="109">
        <v>1</v>
      </c>
      <c r="F152" s="108" t="s">
        <v>371</v>
      </c>
      <c r="G152" s="188">
        <v>40</v>
      </c>
      <c r="H152" s="188">
        <f t="shared" si="6"/>
        <v>24.691358024691358</v>
      </c>
      <c r="I152" s="188">
        <v>190.029</v>
      </c>
      <c r="J152" s="188">
        <f t="shared" si="7"/>
        <v>117.30185185185184</v>
      </c>
      <c r="K152" s="109">
        <v>115</v>
      </c>
      <c r="L152" s="223">
        <f>_xlfn.XLOOKUP($K152,Inputs!$C$6:$C$23,Inputs!$D$6:$D$23)*$I152</f>
        <v>79.269239999999996</v>
      </c>
      <c r="M152" s="224">
        <f t="shared" si="8"/>
        <v>1.830877534982283</v>
      </c>
      <c r="N152" s="100"/>
      <c r="O152" s="100"/>
      <c r="P152" s="100"/>
      <c r="Q152" s="100"/>
      <c r="R152" s="100"/>
      <c r="S152" s="225">
        <f>_xlfn.XLOOKUP($K152,Inputs!$G$6:$G$23,Inputs!$J$6:$J$23)*$M152</f>
        <v>60.082767742284602</v>
      </c>
      <c r="T152" s="225">
        <f>_xlfn.XLOOKUP($K152,Inputs!$G$6:$G$23,Inputs!$K$6:$K$23)*$M152</f>
        <v>66.156708743553807</v>
      </c>
      <c r="U152" s="108" t="s">
        <v>887</v>
      </c>
      <c r="V152" s="107" t="s">
        <v>1096</v>
      </c>
      <c r="W152" s="108" t="s">
        <v>727</v>
      </c>
      <c r="X152" s="107" t="s">
        <v>1081</v>
      </c>
      <c r="Y152" s="11"/>
      <c r="Z152" s="104"/>
      <c r="AA152" s="104"/>
      <c r="AB152" s="59">
        <v>147</v>
      </c>
    </row>
    <row r="153" spans="2:28" s="2" customFormat="1" ht="20" x14ac:dyDescent="0.2">
      <c r="B153" s="108" t="s">
        <v>323</v>
      </c>
      <c r="C153" s="35" t="s">
        <v>75</v>
      </c>
      <c r="D153" s="35" t="s">
        <v>762</v>
      </c>
      <c r="E153" s="109">
        <v>1</v>
      </c>
      <c r="F153" s="108" t="s">
        <v>371</v>
      </c>
      <c r="G153" s="188">
        <v>44</v>
      </c>
      <c r="H153" s="188">
        <f t="shared" si="6"/>
        <v>27.160493827160494</v>
      </c>
      <c r="I153" s="188">
        <v>190.029</v>
      </c>
      <c r="J153" s="188">
        <f t="shared" si="7"/>
        <v>117.30185185185184</v>
      </c>
      <c r="K153" s="109">
        <v>115</v>
      </c>
      <c r="L153" s="223">
        <f>_xlfn.XLOOKUP($K153,Inputs!$C$6:$C$23,Inputs!$D$6:$D$23)*$I153</f>
        <v>79.269239999999996</v>
      </c>
      <c r="M153" s="224">
        <f t="shared" si="8"/>
        <v>1.830877534982283</v>
      </c>
      <c r="N153" s="100"/>
      <c r="O153" s="100"/>
      <c r="P153" s="100"/>
      <c r="Q153" s="100"/>
      <c r="R153" s="100"/>
      <c r="S153" s="225">
        <f>_xlfn.XLOOKUP($K153,Inputs!$G$6:$G$23,Inputs!$J$6:$J$23)*$M153</f>
        <v>60.082767742284602</v>
      </c>
      <c r="T153" s="225">
        <f>_xlfn.XLOOKUP($K153,Inputs!$G$6:$G$23,Inputs!$K$6:$K$23)*$M153</f>
        <v>66.156708743553807</v>
      </c>
      <c r="U153" s="108" t="s">
        <v>745</v>
      </c>
      <c r="V153" s="107" t="s">
        <v>1020</v>
      </c>
      <c r="W153" s="108" t="s">
        <v>887</v>
      </c>
      <c r="X153" s="107" t="s">
        <v>1096</v>
      </c>
      <c r="Y153" s="11"/>
      <c r="Z153" s="104"/>
      <c r="AA153" s="104"/>
      <c r="AB153" s="59">
        <v>147</v>
      </c>
    </row>
    <row r="154" spans="2:28" s="2" customFormat="1" ht="20" x14ac:dyDescent="0.2">
      <c r="B154" s="108" t="s">
        <v>323</v>
      </c>
      <c r="C154" s="35" t="s">
        <v>75</v>
      </c>
      <c r="D154" s="35" t="s">
        <v>762</v>
      </c>
      <c r="E154" s="109">
        <v>1</v>
      </c>
      <c r="F154" s="108" t="s">
        <v>371</v>
      </c>
      <c r="G154" s="110">
        <v>106.02900000000001</v>
      </c>
      <c r="H154" s="110">
        <f t="shared" si="6"/>
        <v>65.45</v>
      </c>
      <c r="I154" s="110">
        <v>190.029</v>
      </c>
      <c r="J154" s="110">
        <f t="shared" si="7"/>
        <v>117.30185185185184</v>
      </c>
      <c r="K154" s="109">
        <v>115</v>
      </c>
      <c r="L154" s="223">
        <f>_xlfn.XLOOKUP($K154,Inputs!$C$6:$C$23,Inputs!$D$6:$D$23)*$I154</f>
        <v>79.269239999999996</v>
      </c>
      <c r="M154" s="224">
        <f t="shared" si="8"/>
        <v>1.830877534982283</v>
      </c>
      <c r="N154" s="100"/>
      <c r="O154" s="100"/>
      <c r="P154" s="100"/>
      <c r="Q154" s="100"/>
      <c r="R154" s="100"/>
      <c r="S154" s="225">
        <f>_xlfn.XLOOKUP($K154,Inputs!$G$6:$G$23,Inputs!$J$6:$J$23)*$M154</f>
        <v>60.082767742284602</v>
      </c>
      <c r="T154" s="225">
        <f>_xlfn.XLOOKUP($K154,Inputs!$G$6:$G$23,Inputs!$K$6:$K$23)*$M154</f>
        <v>66.156708743553807</v>
      </c>
      <c r="U154" s="108" t="s">
        <v>727</v>
      </c>
      <c r="V154" s="107" t="s">
        <v>1081</v>
      </c>
      <c r="W154" s="108" t="s">
        <v>683</v>
      </c>
      <c r="X154" s="107" t="s">
        <v>1139</v>
      </c>
      <c r="Y154" s="11"/>
      <c r="Z154" s="104"/>
      <c r="AA154" s="104"/>
      <c r="AB154" s="59">
        <v>147</v>
      </c>
    </row>
    <row r="155" spans="2:28" s="2" customFormat="1" ht="20" x14ac:dyDescent="0.2">
      <c r="B155" s="108" t="s">
        <v>258</v>
      </c>
      <c r="C155" s="35" t="s">
        <v>75</v>
      </c>
      <c r="D155" s="35" t="s">
        <v>762</v>
      </c>
      <c r="E155" s="109">
        <v>1</v>
      </c>
      <c r="F155" s="108" t="s">
        <v>371</v>
      </c>
      <c r="G155" s="110">
        <v>57.202200000000005</v>
      </c>
      <c r="H155" s="110">
        <f t="shared" si="6"/>
        <v>35.31</v>
      </c>
      <c r="I155" s="110">
        <v>57.202200000000005</v>
      </c>
      <c r="J155" s="110">
        <f t="shared" si="7"/>
        <v>35.31</v>
      </c>
      <c r="K155" s="109">
        <v>230</v>
      </c>
      <c r="L155" s="223">
        <f>_xlfn.XLOOKUP($K155,Inputs!$C$6:$C$23,Inputs!$D$6:$D$23)*$I155</f>
        <v>27.457056000000001</v>
      </c>
      <c r="M155" s="224">
        <f t="shared" si="8"/>
        <v>3</v>
      </c>
      <c r="N155" s="100"/>
      <c r="O155" s="100"/>
      <c r="P155" s="100"/>
      <c r="Q155" s="100"/>
      <c r="R155" s="100"/>
      <c r="S155" s="225">
        <f>_xlfn.XLOOKUP($K155,Inputs!$G$6:$G$23,Inputs!$J$6:$J$23)*$M155</f>
        <v>402</v>
      </c>
      <c r="T155" s="225">
        <f>_xlfn.XLOOKUP($K155,Inputs!$G$6:$G$23,Inputs!$K$6:$K$23)*$M155</f>
        <v>435</v>
      </c>
      <c r="U155" s="108" t="s">
        <v>662</v>
      </c>
      <c r="V155" s="107" t="s">
        <v>1084</v>
      </c>
      <c r="W155" s="108" t="s">
        <v>671</v>
      </c>
      <c r="X155" s="107" t="s">
        <v>1049</v>
      </c>
      <c r="Y155" s="11"/>
      <c r="Z155" s="11"/>
      <c r="AA155" s="11"/>
      <c r="AB155" s="59">
        <v>148</v>
      </c>
    </row>
    <row r="156" spans="2:28" s="2" customFormat="1" ht="20" x14ac:dyDescent="0.2">
      <c r="B156" s="108" t="s">
        <v>324</v>
      </c>
      <c r="C156" s="35" t="s">
        <v>75</v>
      </c>
      <c r="D156" s="35" t="s">
        <v>762</v>
      </c>
      <c r="E156" s="109">
        <v>1</v>
      </c>
      <c r="F156" s="108" t="s">
        <v>371</v>
      </c>
      <c r="G156" s="110">
        <v>30.634200000000003</v>
      </c>
      <c r="H156" s="110">
        <f t="shared" si="6"/>
        <v>18.91</v>
      </c>
      <c r="I156" s="110">
        <v>30.634200000000003</v>
      </c>
      <c r="J156" s="110">
        <f t="shared" si="7"/>
        <v>18.91</v>
      </c>
      <c r="K156" s="109">
        <v>115</v>
      </c>
      <c r="L156" s="223">
        <f>_xlfn.XLOOKUP($K156,Inputs!$C$6:$C$23,Inputs!$D$6:$D$23)*$I156</f>
        <v>12.778837714285716</v>
      </c>
      <c r="M156" s="224">
        <f t="shared" si="8"/>
        <v>3</v>
      </c>
      <c r="N156" s="100"/>
      <c r="O156" s="100"/>
      <c r="P156" s="100"/>
      <c r="Q156" s="100"/>
      <c r="R156" s="100"/>
      <c r="S156" s="225">
        <f>_xlfn.XLOOKUP($K156,Inputs!$G$6:$G$23,Inputs!$J$6:$J$23)*$M156</f>
        <v>98.449131513647643</v>
      </c>
      <c r="T156" s="225">
        <f>_xlfn.XLOOKUP($K156,Inputs!$G$6:$G$23,Inputs!$K$6:$K$23)*$M156</f>
        <v>108.40163934426229</v>
      </c>
      <c r="U156" s="108" t="s">
        <v>728</v>
      </c>
      <c r="V156" s="107" t="s">
        <v>1085</v>
      </c>
      <c r="W156" s="108" t="s">
        <v>684</v>
      </c>
      <c r="X156" s="107" t="s">
        <v>1081</v>
      </c>
      <c r="Y156" s="11"/>
      <c r="Z156" s="11"/>
      <c r="AA156" s="11"/>
      <c r="AB156" s="59">
        <v>149</v>
      </c>
    </row>
    <row r="157" spans="2:28" s="2" customFormat="1" ht="20" x14ac:dyDescent="0.2">
      <c r="B157" s="108" t="s">
        <v>259</v>
      </c>
      <c r="C157" s="35" t="s">
        <v>75</v>
      </c>
      <c r="D157" s="35" t="s">
        <v>762</v>
      </c>
      <c r="E157" s="109">
        <v>1</v>
      </c>
      <c r="F157" s="108" t="s">
        <v>371</v>
      </c>
      <c r="G157" s="110">
        <v>63.714600000000004</v>
      </c>
      <c r="H157" s="110">
        <f t="shared" si="6"/>
        <v>39.33</v>
      </c>
      <c r="I157" s="110">
        <v>63.714600000000004</v>
      </c>
      <c r="J157" s="110">
        <f t="shared" si="7"/>
        <v>39.33</v>
      </c>
      <c r="K157" s="109">
        <v>230</v>
      </c>
      <c r="L157" s="223">
        <f>_xlfn.XLOOKUP($K157,Inputs!$C$6:$C$23,Inputs!$D$6:$D$23)*$I157</f>
        <v>30.583008</v>
      </c>
      <c r="M157" s="224">
        <f t="shared" si="8"/>
        <v>3</v>
      </c>
      <c r="N157" s="100"/>
      <c r="O157" s="100"/>
      <c r="P157" s="100"/>
      <c r="Q157" s="100"/>
      <c r="R157" s="100"/>
      <c r="S157" s="225">
        <f>_xlfn.XLOOKUP($K157,Inputs!$G$6:$G$23,Inputs!$J$6:$J$23)*$M157</f>
        <v>402</v>
      </c>
      <c r="T157" s="225">
        <f>_xlfn.XLOOKUP($K157,Inputs!$G$6:$G$23,Inputs!$K$6:$K$23)*$M157</f>
        <v>435</v>
      </c>
      <c r="U157" s="108" t="s">
        <v>729</v>
      </c>
      <c r="V157" s="107" t="s">
        <v>1092</v>
      </c>
      <c r="W157" s="108" t="s">
        <v>685</v>
      </c>
      <c r="X157" s="107" t="s">
        <v>1065</v>
      </c>
      <c r="Y157" s="11"/>
      <c r="Z157" s="11"/>
      <c r="AA157" s="11"/>
      <c r="AB157" s="59">
        <v>150</v>
      </c>
    </row>
    <row r="158" spans="2:28" s="2" customFormat="1" ht="20" x14ac:dyDescent="0.2">
      <c r="B158" s="108" t="s">
        <v>260</v>
      </c>
      <c r="C158" s="35" t="s">
        <v>75</v>
      </c>
      <c r="D158" s="35" t="s">
        <v>762</v>
      </c>
      <c r="E158" s="109">
        <v>1</v>
      </c>
      <c r="F158" s="108" t="s">
        <v>371</v>
      </c>
      <c r="G158" s="110">
        <v>153.18720000000002</v>
      </c>
      <c r="H158" s="110">
        <f t="shared" si="6"/>
        <v>94.56</v>
      </c>
      <c r="I158" s="110">
        <v>153.18720000000002</v>
      </c>
      <c r="J158" s="110">
        <f t="shared" si="7"/>
        <v>94.56</v>
      </c>
      <c r="K158" s="109">
        <v>230</v>
      </c>
      <c r="L158" s="223">
        <f>_xlfn.XLOOKUP($K158,Inputs!$C$6:$C$23,Inputs!$D$6:$D$23)*$I158</f>
        <v>73.529856000000009</v>
      </c>
      <c r="M158" s="224">
        <f t="shared" si="8"/>
        <v>2.1105069390403268</v>
      </c>
      <c r="N158" s="100"/>
      <c r="O158" s="100"/>
      <c r="P158" s="100"/>
      <c r="Q158" s="100"/>
      <c r="R158" s="100"/>
      <c r="S158" s="225">
        <f>_xlfn.XLOOKUP($K158,Inputs!$G$6:$G$23,Inputs!$J$6:$J$23)*$M158</f>
        <v>282.80792983140378</v>
      </c>
      <c r="T158" s="225">
        <f>_xlfn.XLOOKUP($K158,Inputs!$G$6:$G$23,Inputs!$K$6:$K$23)*$M158</f>
        <v>306.02350616084738</v>
      </c>
      <c r="U158" s="108" t="s">
        <v>729</v>
      </c>
      <c r="V158" s="107" t="s">
        <v>1092</v>
      </c>
      <c r="W158" s="108" t="s">
        <v>651</v>
      </c>
      <c r="X158" s="107" t="s">
        <v>1083</v>
      </c>
      <c r="Y158" s="11"/>
      <c r="Z158" s="104"/>
      <c r="AA158" s="104"/>
      <c r="AB158" s="59">
        <v>151</v>
      </c>
    </row>
    <row r="159" spans="2:28" s="2" customFormat="1" ht="20" x14ac:dyDescent="0.2">
      <c r="B159" s="108" t="s">
        <v>261</v>
      </c>
      <c r="C159" s="35" t="s">
        <v>75</v>
      </c>
      <c r="D159" s="35" t="s">
        <v>762</v>
      </c>
      <c r="E159" s="109">
        <v>1</v>
      </c>
      <c r="F159" s="108" t="s">
        <v>371</v>
      </c>
      <c r="G159" s="110">
        <v>52.94</v>
      </c>
      <c r="H159" s="110">
        <f t="shared" si="6"/>
        <v>32.679012345679006</v>
      </c>
      <c r="I159" s="110">
        <v>52.94</v>
      </c>
      <c r="J159" s="110">
        <f t="shared" si="7"/>
        <v>32.679012345679006</v>
      </c>
      <c r="K159" s="109">
        <v>230</v>
      </c>
      <c r="L159" s="223">
        <f>_xlfn.XLOOKUP($K159,Inputs!$C$6:$C$23,Inputs!$D$6:$D$23)*$I159</f>
        <v>25.411199999999997</v>
      </c>
      <c r="M159" s="224">
        <f t="shared" si="8"/>
        <v>3</v>
      </c>
      <c r="N159" s="100"/>
      <c r="O159" s="100"/>
      <c r="P159" s="100"/>
      <c r="Q159" s="100"/>
      <c r="R159" s="100"/>
      <c r="S159" s="225">
        <f>_xlfn.XLOOKUP($K159,Inputs!$G$6:$G$23,Inputs!$J$6:$J$23)*$M159</f>
        <v>402</v>
      </c>
      <c r="T159" s="225">
        <f>_xlfn.XLOOKUP($K159,Inputs!$G$6:$G$23,Inputs!$K$6:$K$23)*$M159</f>
        <v>435</v>
      </c>
      <c r="U159" s="112" t="s">
        <v>705</v>
      </c>
      <c r="V159" s="107" t="s">
        <v>1094</v>
      </c>
      <c r="W159" s="112" t="s">
        <v>1285</v>
      </c>
      <c r="X159" s="107" t="s">
        <v>823</v>
      </c>
      <c r="Y159" s="11"/>
      <c r="Z159" s="104"/>
      <c r="AA159" s="104"/>
      <c r="AB159" s="59">
        <v>152</v>
      </c>
    </row>
    <row r="160" spans="2:28" s="2" customFormat="1" ht="20" x14ac:dyDescent="0.2">
      <c r="B160" s="108" t="s">
        <v>262</v>
      </c>
      <c r="C160" s="35" t="s">
        <v>75</v>
      </c>
      <c r="D160" s="35" t="s">
        <v>762</v>
      </c>
      <c r="E160" s="109">
        <v>1</v>
      </c>
      <c r="F160" s="108" t="s">
        <v>371</v>
      </c>
      <c r="G160" s="188">
        <v>90.67</v>
      </c>
      <c r="H160" s="188">
        <f t="shared" si="6"/>
        <v>55.969135802469133</v>
      </c>
      <c r="I160" s="188">
        <v>130.67000000000002</v>
      </c>
      <c r="J160" s="188">
        <f t="shared" si="7"/>
        <v>80.660493827160494</v>
      </c>
      <c r="K160" s="109">
        <v>230</v>
      </c>
      <c r="L160" s="223">
        <f>_xlfn.XLOOKUP($K160,Inputs!$C$6:$C$23,Inputs!$D$6:$D$23)*$I160</f>
        <v>62.721600000000002</v>
      </c>
      <c r="M160" s="224">
        <f t="shared" si="8"/>
        <v>2.3438132685048991</v>
      </c>
      <c r="N160" s="100"/>
      <c r="O160" s="100"/>
      <c r="P160" s="100"/>
      <c r="Q160" s="100"/>
      <c r="R160" s="100"/>
      <c r="S160" s="225">
        <f>_xlfn.XLOOKUP($K160,Inputs!$G$6:$G$23,Inputs!$J$6:$J$23)*$M160</f>
        <v>314.0709779796565</v>
      </c>
      <c r="T160" s="225">
        <f>_xlfn.XLOOKUP($K160,Inputs!$G$6:$G$23,Inputs!$K$6:$K$23)*$M160</f>
        <v>339.85292393321038</v>
      </c>
      <c r="U160" s="112" t="s">
        <v>705</v>
      </c>
      <c r="V160" s="107" t="s">
        <v>1094</v>
      </c>
      <c r="W160" s="112" t="s">
        <v>859</v>
      </c>
      <c r="X160" s="107" t="s">
        <v>1051</v>
      </c>
      <c r="Y160" s="11"/>
      <c r="Z160" s="11"/>
      <c r="AA160" s="11"/>
      <c r="AB160" s="59">
        <v>154</v>
      </c>
    </row>
    <row r="161" spans="2:28" s="2" customFormat="1" ht="20" x14ac:dyDescent="0.2">
      <c r="B161" s="108" t="s">
        <v>262</v>
      </c>
      <c r="C161" s="35" t="s">
        <v>75</v>
      </c>
      <c r="D161" s="35" t="s">
        <v>762</v>
      </c>
      <c r="E161" s="109">
        <v>1</v>
      </c>
      <c r="F161" s="108" t="s">
        <v>371</v>
      </c>
      <c r="G161" s="188">
        <v>40</v>
      </c>
      <c r="H161" s="188">
        <f t="shared" si="6"/>
        <v>24.691358024691358</v>
      </c>
      <c r="I161" s="188">
        <v>130.67000000000002</v>
      </c>
      <c r="J161" s="188">
        <f t="shared" si="7"/>
        <v>80.660493827160494</v>
      </c>
      <c r="K161" s="109">
        <v>230</v>
      </c>
      <c r="L161" s="223">
        <f>_xlfn.XLOOKUP($K161,Inputs!$C$6:$C$23,Inputs!$D$6:$D$23)*$I161</f>
        <v>62.721600000000002</v>
      </c>
      <c r="M161" s="224">
        <f t="shared" si="8"/>
        <v>2.3438132685048991</v>
      </c>
      <c r="N161" s="100"/>
      <c r="O161" s="100"/>
      <c r="P161" s="100"/>
      <c r="Q161" s="100"/>
      <c r="R161" s="100"/>
      <c r="S161" s="225">
        <f>_xlfn.XLOOKUP($K161,Inputs!$G$6:$G$23,Inputs!$J$6:$J$23)*$M161</f>
        <v>314.0709779796565</v>
      </c>
      <c r="T161" s="225">
        <f>_xlfn.XLOOKUP($K161,Inputs!$G$6:$G$23,Inputs!$K$6:$K$23)*$M161</f>
        <v>339.85292393321038</v>
      </c>
      <c r="U161" s="112" t="s">
        <v>859</v>
      </c>
      <c r="V161" s="107" t="s">
        <v>1051</v>
      </c>
      <c r="W161" s="112" t="s">
        <v>676</v>
      </c>
      <c r="X161" s="107" t="s">
        <v>1126</v>
      </c>
      <c r="Y161" s="11"/>
      <c r="Z161" s="11"/>
      <c r="AA161" s="11"/>
      <c r="AB161" s="59">
        <v>155</v>
      </c>
    </row>
    <row r="162" spans="2:28" s="2" customFormat="1" ht="20" x14ac:dyDescent="0.2">
      <c r="B162" s="108" t="s">
        <v>263</v>
      </c>
      <c r="C162" s="35" t="s">
        <v>75</v>
      </c>
      <c r="D162" s="35" t="s">
        <v>762</v>
      </c>
      <c r="E162" s="109">
        <v>1</v>
      </c>
      <c r="F162" s="108" t="s">
        <v>371</v>
      </c>
      <c r="G162" s="110">
        <v>125.46900000000001</v>
      </c>
      <c r="H162" s="110">
        <f t="shared" si="6"/>
        <v>77.45</v>
      </c>
      <c r="I162" s="110">
        <v>125.46900000000001</v>
      </c>
      <c r="J162" s="110">
        <f t="shared" si="7"/>
        <v>77.45</v>
      </c>
      <c r="K162" s="109">
        <v>230</v>
      </c>
      <c r="L162" s="223">
        <f>_xlfn.XLOOKUP($K162,Inputs!$C$6:$C$23,Inputs!$D$6:$D$23)*$I162</f>
        <v>60.225120000000004</v>
      </c>
      <c r="M162" s="224">
        <f t="shared" si="8"/>
        <v>2.4074441940786468</v>
      </c>
      <c r="N162" s="100"/>
      <c r="O162" s="100"/>
      <c r="P162" s="100"/>
      <c r="Q162" s="100"/>
      <c r="R162" s="100"/>
      <c r="S162" s="225">
        <f>_xlfn.XLOOKUP($K162,Inputs!$G$6:$G$23,Inputs!$J$6:$J$23)*$M162</f>
        <v>322.59752200653867</v>
      </c>
      <c r="T162" s="225">
        <f>_xlfn.XLOOKUP($K162,Inputs!$G$6:$G$23,Inputs!$K$6:$K$23)*$M162</f>
        <v>349.0794081414038</v>
      </c>
      <c r="U162" s="108" t="s">
        <v>730</v>
      </c>
      <c r="V162" s="107" t="s">
        <v>1093</v>
      </c>
      <c r="W162" s="108" t="s">
        <v>671</v>
      </c>
      <c r="X162" s="107" t="s">
        <v>1049</v>
      </c>
      <c r="Y162" s="11"/>
      <c r="Z162" s="11"/>
      <c r="AA162" s="11"/>
      <c r="AB162" s="59">
        <v>156</v>
      </c>
    </row>
    <row r="163" spans="2:28" s="2" customFormat="1" ht="20" x14ac:dyDescent="0.2">
      <c r="B163" s="108" t="s">
        <v>325</v>
      </c>
      <c r="C163" s="35" t="s">
        <v>75</v>
      </c>
      <c r="D163" s="35" t="s">
        <v>762</v>
      </c>
      <c r="E163" s="109">
        <v>1</v>
      </c>
      <c r="F163" s="108" t="s">
        <v>371</v>
      </c>
      <c r="G163" s="188">
        <v>50</v>
      </c>
      <c r="H163" s="188">
        <f t="shared" si="6"/>
        <v>30.864197530864196</v>
      </c>
      <c r="I163" s="188">
        <v>84.580199999999991</v>
      </c>
      <c r="J163" s="188">
        <f t="shared" si="7"/>
        <v>52.209999999999994</v>
      </c>
      <c r="K163" s="109">
        <v>115</v>
      </c>
      <c r="L163" s="223">
        <f>_xlfn.XLOOKUP($K163,Inputs!$C$6:$C$23,Inputs!$D$6:$D$23)*$I163</f>
        <v>35.282026285714281</v>
      </c>
      <c r="M163" s="224">
        <f t="shared" si="8"/>
        <v>3</v>
      </c>
      <c r="N163" s="100"/>
      <c r="O163" s="100"/>
      <c r="P163" s="100"/>
      <c r="Q163" s="100"/>
      <c r="R163" s="100"/>
      <c r="S163" s="225">
        <f>_xlfn.XLOOKUP($K163,Inputs!$G$6:$G$23,Inputs!$J$6:$J$23)*$M163</f>
        <v>98.449131513647643</v>
      </c>
      <c r="T163" s="225">
        <f>_xlfn.XLOOKUP($K163,Inputs!$G$6:$G$23,Inputs!$K$6:$K$23)*$M163</f>
        <v>108.40163934426229</v>
      </c>
      <c r="U163" s="111" t="s">
        <v>755</v>
      </c>
      <c r="V163" s="107" t="s">
        <v>1031</v>
      </c>
      <c r="W163" s="111" t="s">
        <v>866</v>
      </c>
      <c r="X163" s="107" t="s">
        <v>1074</v>
      </c>
      <c r="Y163" s="11"/>
      <c r="Z163" s="11"/>
      <c r="AA163" s="11"/>
      <c r="AB163" s="59">
        <v>157</v>
      </c>
    </row>
    <row r="164" spans="2:28" s="2" customFormat="1" ht="20" x14ac:dyDescent="0.2">
      <c r="B164" s="108" t="s">
        <v>325</v>
      </c>
      <c r="C164" s="35" t="s">
        <v>75</v>
      </c>
      <c r="D164" s="35" t="s">
        <v>762</v>
      </c>
      <c r="E164" s="109">
        <v>1</v>
      </c>
      <c r="F164" s="108" t="s">
        <v>371</v>
      </c>
      <c r="G164" s="188">
        <v>34.580199999999998</v>
      </c>
      <c r="H164" s="188">
        <f t="shared" si="6"/>
        <v>21.345802469135801</v>
      </c>
      <c r="I164" s="188">
        <v>84.580199999999991</v>
      </c>
      <c r="J164" s="188">
        <f t="shared" si="7"/>
        <v>52.209999999999994</v>
      </c>
      <c r="K164" s="109">
        <v>115</v>
      </c>
      <c r="L164" s="223">
        <f>_xlfn.XLOOKUP($K164,Inputs!$C$6:$C$23,Inputs!$D$6:$D$23)*$I164</f>
        <v>35.282026285714281</v>
      </c>
      <c r="M164" s="224">
        <f t="shared" si="8"/>
        <v>3</v>
      </c>
      <c r="N164" s="100"/>
      <c r="O164" s="100"/>
      <c r="P164" s="100"/>
      <c r="Q164" s="100"/>
      <c r="R164" s="100"/>
      <c r="S164" s="225">
        <f>_xlfn.XLOOKUP($K164,Inputs!$G$6:$G$23,Inputs!$J$6:$J$23)*$M164</f>
        <v>98.449131513647643</v>
      </c>
      <c r="T164" s="225">
        <f>_xlfn.XLOOKUP($K164,Inputs!$G$6:$G$23,Inputs!$K$6:$K$23)*$M164</f>
        <v>108.40163934426229</v>
      </c>
      <c r="U164" s="111" t="s">
        <v>866</v>
      </c>
      <c r="V164" s="107" t="s">
        <v>1074</v>
      </c>
      <c r="W164" s="111" t="s">
        <v>682</v>
      </c>
      <c r="X164" s="107" t="s">
        <v>1091</v>
      </c>
      <c r="Y164" s="11"/>
      <c r="Z164" s="11"/>
      <c r="AA164" s="11"/>
      <c r="AB164" s="59">
        <v>158</v>
      </c>
    </row>
    <row r="165" spans="2:28" s="105" customFormat="1" ht="20" x14ac:dyDescent="0.2">
      <c r="B165" s="108" t="s">
        <v>326</v>
      </c>
      <c r="C165" s="35" t="s">
        <v>75</v>
      </c>
      <c r="D165" s="35" t="s">
        <v>762</v>
      </c>
      <c r="E165" s="109">
        <v>1</v>
      </c>
      <c r="F165" s="108" t="s">
        <v>371</v>
      </c>
      <c r="G165" s="188">
        <v>30</v>
      </c>
      <c r="H165" s="188">
        <f t="shared" si="6"/>
        <v>18.518518518518519</v>
      </c>
      <c r="I165" s="188">
        <v>84.58</v>
      </c>
      <c r="J165" s="188">
        <f t="shared" si="7"/>
        <v>52.209876543209873</v>
      </c>
      <c r="K165" s="109">
        <v>115</v>
      </c>
      <c r="L165" s="223">
        <f>_xlfn.XLOOKUP($K165,Inputs!$C$6:$C$23,Inputs!$D$6:$D$23)*$I165</f>
        <v>35.281942857142859</v>
      </c>
      <c r="M165" s="224">
        <f t="shared" si="8"/>
        <v>3</v>
      </c>
      <c r="N165" s="100"/>
      <c r="O165" s="100"/>
      <c r="P165" s="100"/>
      <c r="Q165" s="100"/>
      <c r="R165" s="100"/>
      <c r="S165" s="225">
        <f>_xlfn.XLOOKUP($K165,Inputs!$G$6:$G$23,Inputs!$J$6:$J$23)*$M165</f>
        <v>98.449131513647643</v>
      </c>
      <c r="T165" s="225">
        <f>_xlfn.XLOOKUP($K165,Inputs!$G$6:$G$23,Inputs!$K$6:$K$23)*$M165</f>
        <v>108.40163934426229</v>
      </c>
      <c r="U165" s="108" t="s">
        <v>755</v>
      </c>
      <c r="V165" s="107" t="s">
        <v>1031</v>
      </c>
      <c r="W165" s="108" t="s">
        <v>121</v>
      </c>
      <c r="X165" s="107" t="s">
        <v>1062</v>
      </c>
      <c r="Y165" s="11"/>
      <c r="Z165" s="11"/>
      <c r="AA165" s="11"/>
      <c r="AB165" s="59">
        <v>159</v>
      </c>
    </row>
    <row r="166" spans="2:28" s="105" customFormat="1" ht="20" x14ac:dyDescent="0.2">
      <c r="B166" s="108" t="s">
        <v>326</v>
      </c>
      <c r="C166" s="35" t="s">
        <v>75</v>
      </c>
      <c r="D166" s="35" t="s">
        <v>762</v>
      </c>
      <c r="E166" s="109">
        <v>1</v>
      </c>
      <c r="F166" s="108" t="s">
        <v>371</v>
      </c>
      <c r="G166" s="188">
        <v>54.58</v>
      </c>
      <c r="H166" s="188">
        <f t="shared" si="6"/>
        <v>33.691358024691354</v>
      </c>
      <c r="I166" s="188">
        <v>84.58</v>
      </c>
      <c r="J166" s="188">
        <f t="shared" si="7"/>
        <v>52.209876543209873</v>
      </c>
      <c r="K166" s="109">
        <v>115</v>
      </c>
      <c r="L166" s="223">
        <f>_xlfn.XLOOKUP($K166,Inputs!$C$6:$C$23,Inputs!$D$6:$D$23)*$I166</f>
        <v>35.281942857142859</v>
      </c>
      <c r="M166" s="224">
        <f t="shared" si="8"/>
        <v>3</v>
      </c>
      <c r="N166" s="100"/>
      <c r="O166" s="100"/>
      <c r="P166" s="100"/>
      <c r="Q166" s="100"/>
      <c r="R166" s="100"/>
      <c r="S166" s="225">
        <f>_xlfn.XLOOKUP($K166,Inputs!$G$6:$G$23,Inputs!$J$6:$J$23)*$M166</f>
        <v>98.449131513647643</v>
      </c>
      <c r="T166" s="225">
        <f>_xlfn.XLOOKUP($K166,Inputs!$G$6:$G$23,Inputs!$K$6:$K$23)*$M166</f>
        <v>108.40163934426229</v>
      </c>
      <c r="U166" s="108" t="s">
        <v>121</v>
      </c>
      <c r="V166" s="107" t="s">
        <v>1062</v>
      </c>
      <c r="W166" s="108" t="s">
        <v>682</v>
      </c>
      <c r="X166" s="107" t="s">
        <v>1091</v>
      </c>
      <c r="Y166" s="11"/>
      <c r="Z166" s="11"/>
      <c r="AA166" s="11"/>
      <c r="AB166" s="59">
        <v>160</v>
      </c>
    </row>
    <row r="167" spans="2:28" s="2" customFormat="1" ht="20" x14ac:dyDescent="0.2">
      <c r="B167" s="108" t="s">
        <v>327</v>
      </c>
      <c r="C167" s="35" t="s">
        <v>75</v>
      </c>
      <c r="D167" s="35" t="s">
        <v>762</v>
      </c>
      <c r="E167" s="109">
        <v>1</v>
      </c>
      <c r="F167" s="108" t="s">
        <v>371</v>
      </c>
      <c r="G167" s="110">
        <v>115.992</v>
      </c>
      <c r="H167" s="110">
        <f t="shared" si="6"/>
        <v>71.599999999999994</v>
      </c>
      <c r="I167" s="110">
        <v>115.992</v>
      </c>
      <c r="J167" s="110">
        <f t="shared" si="7"/>
        <v>71.599999999999994</v>
      </c>
      <c r="K167" s="109">
        <v>115</v>
      </c>
      <c r="L167" s="223">
        <f>_xlfn.XLOOKUP($K167,Inputs!$C$6:$C$23,Inputs!$D$6:$D$23)*$I167</f>
        <v>48.38523428571429</v>
      </c>
      <c r="M167" s="224">
        <f t="shared" si="8"/>
        <v>2.5354247086949031</v>
      </c>
      <c r="N167" s="100"/>
      <c r="O167" s="100"/>
      <c r="P167" s="100"/>
      <c r="Q167" s="100"/>
      <c r="R167" s="100"/>
      <c r="S167" s="225">
        <f>_xlfn.XLOOKUP($K167,Inputs!$G$6:$G$23,Inputs!$J$6:$J$23)*$M167</f>
        <v>83.203453529752096</v>
      </c>
      <c r="T167" s="225">
        <f>_xlfn.XLOOKUP($K167,Inputs!$G$6:$G$23,Inputs!$K$6:$K$23)*$M167</f>
        <v>91.614731618825402</v>
      </c>
      <c r="U167" s="108" t="s">
        <v>755</v>
      </c>
      <c r="V167" s="107" t="s">
        <v>1031</v>
      </c>
      <c r="W167" s="108" t="s">
        <v>686</v>
      </c>
      <c r="X167" s="107" t="s">
        <v>1134</v>
      </c>
      <c r="Y167" s="11"/>
      <c r="Z167" s="11"/>
      <c r="AA167" s="11"/>
      <c r="AB167" s="59">
        <v>161</v>
      </c>
    </row>
    <row r="168" spans="2:28" s="2" customFormat="1" ht="20" x14ac:dyDescent="0.2">
      <c r="B168" s="108" t="s">
        <v>328</v>
      </c>
      <c r="C168" s="35" t="s">
        <v>75</v>
      </c>
      <c r="D168" s="35" t="s">
        <v>762</v>
      </c>
      <c r="E168" s="109">
        <v>1</v>
      </c>
      <c r="F168" s="108" t="s">
        <v>371</v>
      </c>
      <c r="G168" s="110">
        <v>28.479599999999998</v>
      </c>
      <c r="H168" s="110">
        <f t="shared" si="6"/>
        <v>17.579999999999998</v>
      </c>
      <c r="I168" s="110">
        <v>28.479599999999998</v>
      </c>
      <c r="J168" s="110">
        <f t="shared" si="7"/>
        <v>17.579999999999998</v>
      </c>
      <c r="K168" s="109">
        <v>115</v>
      </c>
      <c r="L168" s="223">
        <f>_xlfn.XLOOKUP($K168,Inputs!$C$6:$C$23,Inputs!$D$6:$D$23)*$I168</f>
        <v>11.880061714285713</v>
      </c>
      <c r="M168" s="224">
        <f t="shared" si="8"/>
        <v>3</v>
      </c>
      <c r="N168" s="100"/>
      <c r="O168" s="100"/>
      <c r="P168" s="100"/>
      <c r="Q168" s="100"/>
      <c r="R168" s="100"/>
      <c r="S168" s="225">
        <f>_xlfn.XLOOKUP($K168,Inputs!$G$6:$G$23,Inputs!$J$6:$J$23)*$M168</f>
        <v>98.449131513647643</v>
      </c>
      <c r="T168" s="225">
        <f>_xlfn.XLOOKUP($K168,Inputs!$G$6:$G$23,Inputs!$K$6:$K$23)*$M168</f>
        <v>108.40163934426229</v>
      </c>
      <c r="U168" s="108" t="s">
        <v>755</v>
      </c>
      <c r="V168" s="107" t="s">
        <v>1031</v>
      </c>
      <c r="W168" s="108" t="s">
        <v>820</v>
      </c>
      <c r="X168" s="107" t="s">
        <v>1029</v>
      </c>
      <c r="Y168" s="11"/>
      <c r="Z168" s="11"/>
      <c r="AA168" s="11"/>
      <c r="AB168" s="59">
        <v>162</v>
      </c>
    </row>
    <row r="169" spans="2:28" s="2" customFormat="1" ht="20" x14ac:dyDescent="0.2">
      <c r="B169" s="130" t="s">
        <v>543</v>
      </c>
      <c r="C169" s="35" t="s">
        <v>75</v>
      </c>
      <c r="D169" s="35" t="s">
        <v>762</v>
      </c>
      <c r="E169" s="131">
        <v>1</v>
      </c>
      <c r="F169" s="130" t="s">
        <v>371</v>
      </c>
      <c r="G169" s="132">
        <v>46.5</v>
      </c>
      <c r="H169" s="132">
        <f t="shared" si="6"/>
        <v>28.703703703703702</v>
      </c>
      <c r="I169" s="132">
        <v>46.5</v>
      </c>
      <c r="J169" s="132">
        <f t="shared" si="7"/>
        <v>28.703703703703702</v>
      </c>
      <c r="K169" s="131">
        <v>115</v>
      </c>
      <c r="L169" s="223">
        <f>_xlfn.XLOOKUP($K169,Inputs!$C$6:$C$23,Inputs!$D$6:$D$23)*$I169</f>
        <v>19.397142857142857</v>
      </c>
      <c r="M169" s="224">
        <f t="shared" si="8"/>
        <v>3</v>
      </c>
      <c r="N169" s="100"/>
      <c r="O169" s="100"/>
      <c r="P169" s="100"/>
      <c r="Q169" s="100"/>
      <c r="R169" s="100"/>
      <c r="S169" s="225">
        <f>_xlfn.XLOOKUP($K169,Inputs!$G$6:$G$23,Inputs!$J$6:$J$23)*$M169</f>
        <v>98.449131513647643</v>
      </c>
      <c r="T169" s="225">
        <f>_xlfn.XLOOKUP($K169,Inputs!$G$6:$G$23,Inputs!$K$6:$K$23)*$M169</f>
        <v>108.40163934426229</v>
      </c>
      <c r="U169" s="130" t="s">
        <v>740</v>
      </c>
      <c r="V169" s="107" t="s">
        <v>1030</v>
      </c>
      <c r="W169" s="130" t="s">
        <v>645</v>
      </c>
      <c r="X169" s="107" t="s">
        <v>1119</v>
      </c>
      <c r="Y169" s="11"/>
      <c r="Z169" s="11"/>
      <c r="AA169" s="11"/>
      <c r="AB169" s="59">
        <v>163</v>
      </c>
    </row>
    <row r="170" spans="2:28" s="2" customFormat="1" ht="20" x14ac:dyDescent="0.2">
      <c r="B170" s="108" t="s">
        <v>264</v>
      </c>
      <c r="C170" s="35" t="s">
        <v>75</v>
      </c>
      <c r="D170" s="35" t="s">
        <v>762</v>
      </c>
      <c r="E170" s="109">
        <v>1</v>
      </c>
      <c r="F170" s="108" t="s">
        <v>371</v>
      </c>
      <c r="G170" s="110">
        <v>16.443000000000001</v>
      </c>
      <c r="H170" s="110">
        <f t="shared" si="6"/>
        <v>10.15</v>
      </c>
      <c r="I170" s="110">
        <v>16.443000000000001</v>
      </c>
      <c r="J170" s="110">
        <f t="shared" si="7"/>
        <v>10.15</v>
      </c>
      <c r="K170" s="109">
        <v>230</v>
      </c>
      <c r="L170" s="223">
        <f>_xlfn.XLOOKUP($K170,Inputs!$C$6:$C$23,Inputs!$D$6:$D$23)*$I170</f>
        <v>7.8926400000000001</v>
      </c>
      <c r="M170" s="224">
        <f t="shared" si="8"/>
        <v>3</v>
      </c>
      <c r="N170" s="100"/>
      <c r="O170" s="100"/>
      <c r="P170" s="100"/>
      <c r="Q170" s="100"/>
      <c r="R170" s="100"/>
      <c r="S170" s="225">
        <f>_xlfn.XLOOKUP($K170,Inputs!$G$6:$G$23,Inputs!$J$6:$J$23)*$M170</f>
        <v>402</v>
      </c>
      <c r="T170" s="225">
        <f>_xlfn.XLOOKUP($K170,Inputs!$G$6:$G$23,Inputs!$K$6:$K$23)*$M170</f>
        <v>435</v>
      </c>
      <c r="U170" s="108" t="s">
        <v>658</v>
      </c>
      <c r="V170" s="107" t="s">
        <v>1103</v>
      </c>
      <c r="W170" s="108" t="s">
        <v>661</v>
      </c>
      <c r="X170" s="107" t="s">
        <v>1140</v>
      </c>
      <c r="Y170" s="11"/>
      <c r="Z170" s="11"/>
      <c r="AA170" s="11"/>
      <c r="AB170" s="59">
        <v>164</v>
      </c>
    </row>
    <row r="171" spans="2:28" s="2" customFormat="1" ht="20" x14ac:dyDescent="0.2">
      <c r="B171" s="108" t="s">
        <v>265</v>
      </c>
      <c r="C171" s="35" t="s">
        <v>75</v>
      </c>
      <c r="D171" s="35" t="s">
        <v>762</v>
      </c>
      <c r="E171" s="109">
        <v>1</v>
      </c>
      <c r="F171" s="108" t="s">
        <v>371</v>
      </c>
      <c r="G171" s="110">
        <v>15.39</v>
      </c>
      <c r="H171" s="110">
        <f t="shared" si="6"/>
        <v>9.5</v>
      </c>
      <c r="I171" s="110">
        <v>15.39</v>
      </c>
      <c r="J171" s="110">
        <f t="shared" si="7"/>
        <v>9.5</v>
      </c>
      <c r="K171" s="109">
        <v>230</v>
      </c>
      <c r="L171" s="223">
        <f>_xlfn.XLOOKUP($K171,Inputs!$C$6:$C$23,Inputs!$D$6:$D$23)*$I171</f>
        <v>7.3872</v>
      </c>
      <c r="M171" s="224">
        <f t="shared" si="8"/>
        <v>3</v>
      </c>
      <c r="N171" s="100"/>
      <c r="O171" s="100"/>
      <c r="P171" s="100"/>
      <c r="Q171" s="100"/>
      <c r="R171" s="100"/>
      <c r="S171" s="225">
        <f>_xlfn.XLOOKUP($K171,Inputs!$G$6:$G$23,Inputs!$J$6:$J$23)*$M171</f>
        <v>402</v>
      </c>
      <c r="T171" s="225">
        <f>_xlfn.XLOOKUP($K171,Inputs!$G$6:$G$23,Inputs!$K$6:$K$23)*$M171</f>
        <v>435</v>
      </c>
      <c r="U171" s="108" t="s">
        <v>706</v>
      </c>
      <c r="V171" s="107" t="s">
        <v>1100</v>
      </c>
      <c r="W171" s="108" t="s">
        <v>1290</v>
      </c>
      <c r="X171" s="107" t="s">
        <v>831</v>
      </c>
      <c r="Y171" s="11"/>
      <c r="Z171" s="11"/>
      <c r="AA171" s="11"/>
      <c r="AB171" s="59">
        <v>165</v>
      </c>
    </row>
    <row r="172" spans="2:28" s="2" customFormat="1" ht="20" x14ac:dyDescent="0.2">
      <c r="B172" s="108" t="s">
        <v>266</v>
      </c>
      <c r="C172" s="35" t="s">
        <v>75</v>
      </c>
      <c r="D172" s="35" t="s">
        <v>762</v>
      </c>
      <c r="E172" s="109">
        <v>1</v>
      </c>
      <c r="F172" s="108" t="s">
        <v>371</v>
      </c>
      <c r="G172" s="110">
        <v>130.19940000000003</v>
      </c>
      <c r="H172" s="110">
        <f t="shared" si="6"/>
        <v>80.37</v>
      </c>
      <c r="I172" s="110">
        <v>130.19940000000003</v>
      </c>
      <c r="J172" s="110">
        <f t="shared" si="7"/>
        <v>80.37</v>
      </c>
      <c r="K172" s="109">
        <v>230</v>
      </c>
      <c r="L172" s="223">
        <f>_xlfn.XLOOKUP($K172,Inputs!$C$6:$C$23,Inputs!$D$6:$D$23)*$I172</f>
        <v>62.495712000000012</v>
      </c>
      <c r="M172" s="224">
        <f t="shared" si="8"/>
        <v>2.349396862726393</v>
      </c>
      <c r="N172" s="100"/>
      <c r="O172" s="100"/>
      <c r="P172" s="100"/>
      <c r="Q172" s="100"/>
      <c r="R172" s="100"/>
      <c r="S172" s="225">
        <f>_xlfn.XLOOKUP($K172,Inputs!$G$6:$G$23,Inputs!$J$6:$J$23)*$M172</f>
        <v>314.81917960533667</v>
      </c>
      <c r="T172" s="225">
        <f>_xlfn.XLOOKUP($K172,Inputs!$G$6:$G$23,Inputs!$K$6:$K$23)*$M172</f>
        <v>340.662545095327</v>
      </c>
      <c r="U172" s="108" t="s">
        <v>786</v>
      </c>
      <c r="V172" s="107" t="s">
        <v>1032</v>
      </c>
      <c r="W172" s="108" t="s">
        <v>1018</v>
      </c>
      <c r="X172" s="107" t="s">
        <v>1131</v>
      </c>
      <c r="Y172" s="11"/>
      <c r="Z172" s="104"/>
      <c r="AA172" s="104"/>
      <c r="AB172" s="59">
        <v>166</v>
      </c>
    </row>
    <row r="173" spans="2:28" s="2" customFormat="1" ht="20" x14ac:dyDescent="0.2">
      <c r="B173" s="108" t="s">
        <v>267</v>
      </c>
      <c r="C173" s="35" t="s">
        <v>75</v>
      </c>
      <c r="D173" s="35" t="s">
        <v>762</v>
      </c>
      <c r="E173" s="109">
        <v>1</v>
      </c>
      <c r="F173" s="108" t="s">
        <v>371</v>
      </c>
      <c r="G173" s="110">
        <v>48.000599999999999</v>
      </c>
      <c r="H173" s="110">
        <f t="shared" si="6"/>
        <v>29.629999999999995</v>
      </c>
      <c r="I173" s="110">
        <v>48.000599999999999</v>
      </c>
      <c r="J173" s="110">
        <f t="shared" si="7"/>
        <v>29.629999999999995</v>
      </c>
      <c r="K173" s="109">
        <v>230</v>
      </c>
      <c r="L173" s="223">
        <f>_xlfn.XLOOKUP($K173,Inputs!$C$6:$C$23,Inputs!$D$6:$D$23)*$I173</f>
        <v>23.040287999999997</v>
      </c>
      <c r="M173" s="224">
        <f t="shared" si="8"/>
        <v>3</v>
      </c>
      <c r="N173" s="100"/>
      <c r="O173" s="100"/>
      <c r="P173" s="100"/>
      <c r="Q173" s="100"/>
      <c r="R173" s="100"/>
      <c r="S173" s="225">
        <f>_xlfn.XLOOKUP($K173,Inputs!$G$6:$G$23,Inputs!$J$6:$J$23)*$M173</f>
        <v>402</v>
      </c>
      <c r="T173" s="225">
        <f>_xlfn.XLOOKUP($K173,Inputs!$G$6:$G$23,Inputs!$K$6:$K$23)*$M173</f>
        <v>435</v>
      </c>
      <c r="U173" s="108" t="s">
        <v>707</v>
      </c>
      <c r="V173" s="107" t="s">
        <v>1097</v>
      </c>
      <c r="W173" s="108" t="s">
        <v>650</v>
      </c>
      <c r="X173" s="107" t="s">
        <v>1150</v>
      </c>
      <c r="Y173" s="11"/>
      <c r="Z173" s="11"/>
      <c r="AA173" s="11"/>
      <c r="AB173" s="59">
        <v>167</v>
      </c>
    </row>
    <row r="174" spans="2:28" s="2" customFormat="1" ht="20" x14ac:dyDescent="0.2">
      <c r="B174" s="108" t="s">
        <v>268</v>
      </c>
      <c r="C174" s="35" t="s">
        <v>75</v>
      </c>
      <c r="D174" s="35" t="s">
        <v>762</v>
      </c>
      <c r="E174" s="109">
        <v>1</v>
      </c>
      <c r="F174" s="108" t="s">
        <v>371</v>
      </c>
      <c r="G174" s="110">
        <v>100.0836</v>
      </c>
      <c r="H174" s="110">
        <f t="shared" si="6"/>
        <v>61.78</v>
      </c>
      <c r="I174" s="110">
        <v>100.0836</v>
      </c>
      <c r="J174" s="110">
        <f t="shared" si="7"/>
        <v>61.78</v>
      </c>
      <c r="K174" s="109">
        <v>230</v>
      </c>
      <c r="L174" s="223">
        <f>_xlfn.XLOOKUP($K174,Inputs!$C$6:$C$23,Inputs!$D$6:$D$23)*$I174</f>
        <v>48.040128000000003</v>
      </c>
      <c r="M174" s="224">
        <f t="shared" si="8"/>
        <v>2.7944842351811023</v>
      </c>
      <c r="N174" s="100"/>
      <c r="O174" s="100"/>
      <c r="P174" s="100"/>
      <c r="Q174" s="100"/>
      <c r="R174" s="100"/>
      <c r="S174" s="256">
        <v>175</v>
      </c>
      <c r="T174" s="256">
        <v>175</v>
      </c>
      <c r="U174" s="108" t="s">
        <v>710</v>
      </c>
      <c r="V174" s="107" t="s">
        <v>1098</v>
      </c>
      <c r="W174" s="108" t="s">
        <v>898</v>
      </c>
      <c r="X174" s="107" t="s">
        <v>829</v>
      </c>
      <c r="Y174" s="11"/>
      <c r="Z174" s="11"/>
      <c r="AA174" s="11"/>
      <c r="AB174" s="59">
        <v>168</v>
      </c>
    </row>
    <row r="175" spans="2:28" s="2" customFormat="1" ht="20" x14ac:dyDescent="0.2">
      <c r="B175" s="108" t="s">
        <v>269</v>
      </c>
      <c r="C175" s="35" t="s">
        <v>75</v>
      </c>
      <c r="D175" s="35" t="s">
        <v>762</v>
      </c>
      <c r="E175" s="109">
        <v>1</v>
      </c>
      <c r="F175" s="108" t="s">
        <v>371</v>
      </c>
      <c r="G175" s="110">
        <v>24.3</v>
      </c>
      <c r="H175" s="110">
        <f t="shared" si="6"/>
        <v>15</v>
      </c>
      <c r="I175" s="110">
        <v>24.3</v>
      </c>
      <c r="J175" s="110">
        <f t="shared" si="7"/>
        <v>15</v>
      </c>
      <c r="K175" s="109">
        <v>230</v>
      </c>
      <c r="L175" s="223">
        <f>_xlfn.XLOOKUP($K175,Inputs!$C$6:$C$23,Inputs!$D$6:$D$23)*$I175</f>
        <v>11.664</v>
      </c>
      <c r="M175" s="224">
        <f t="shared" si="8"/>
        <v>3</v>
      </c>
      <c r="N175" s="100"/>
      <c r="O175" s="100"/>
      <c r="P175" s="100"/>
      <c r="Q175" s="100"/>
      <c r="R175" s="100"/>
      <c r="S175" s="225">
        <f>_xlfn.XLOOKUP($K175,Inputs!$G$6:$G$23,Inputs!$J$6:$J$23)*$M175</f>
        <v>402</v>
      </c>
      <c r="T175" s="225">
        <f>_xlfn.XLOOKUP($K175,Inputs!$G$6:$G$23,Inputs!$K$6:$K$23)*$M175</f>
        <v>435</v>
      </c>
      <c r="U175" s="108" t="s">
        <v>707</v>
      </c>
      <c r="V175" s="107" t="s">
        <v>1097</v>
      </c>
      <c r="W175" s="108" t="s">
        <v>1284</v>
      </c>
      <c r="X175" s="107" t="s">
        <v>824</v>
      </c>
      <c r="Y175" s="11"/>
      <c r="Z175" s="11"/>
      <c r="AA175" s="11"/>
      <c r="AB175" s="59">
        <v>169</v>
      </c>
    </row>
    <row r="176" spans="2:28" s="2" customFormat="1" ht="20" x14ac:dyDescent="0.2">
      <c r="B176" s="108" t="s">
        <v>270</v>
      </c>
      <c r="C176" s="35" t="s">
        <v>75</v>
      </c>
      <c r="D176" s="35" t="s">
        <v>762</v>
      </c>
      <c r="E176" s="109">
        <v>1</v>
      </c>
      <c r="F176" s="108" t="s">
        <v>371</v>
      </c>
      <c r="G176" s="110">
        <v>12.522600000000002</v>
      </c>
      <c r="H176" s="110">
        <f t="shared" si="6"/>
        <v>7.7300000000000013</v>
      </c>
      <c r="I176" s="110">
        <v>12.522600000000002</v>
      </c>
      <c r="J176" s="110">
        <f t="shared" si="7"/>
        <v>7.7300000000000013</v>
      </c>
      <c r="K176" s="109">
        <v>230</v>
      </c>
      <c r="L176" s="223">
        <f>_xlfn.XLOOKUP($K176,Inputs!$C$6:$C$23,Inputs!$D$6:$D$23)*$I176</f>
        <v>6.0108480000000011</v>
      </c>
      <c r="M176" s="224">
        <f t="shared" si="8"/>
        <v>3</v>
      </c>
      <c r="N176" s="100"/>
      <c r="O176" s="100"/>
      <c r="P176" s="100"/>
      <c r="Q176" s="100"/>
      <c r="R176" s="100"/>
      <c r="S176" s="225">
        <f>_xlfn.XLOOKUP($K176,Inputs!$G$6:$G$23,Inputs!$J$6:$J$23)*$M176</f>
        <v>402</v>
      </c>
      <c r="T176" s="225">
        <f>_xlfn.XLOOKUP($K176,Inputs!$G$6:$G$23,Inputs!$K$6:$K$23)*$M176</f>
        <v>435</v>
      </c>
      <c r="U176" s="108" t="s">
        <v>658</v>
      </c>
      <c r="V176" s="107" t="s">
        <v>1103</v>
      </c>
      <c r="W176" s="108" t="s">
        <v>659</v>
      </c>
      <c r="X176" s="107" t="s">
        <v>1101</v>
      </c>
      <c r="Y176" s="11"/>
      <c r="Z176" s="104"/>
      <c r="AA176" s="104"/>
      <c r="AB176" s="59">
        <v>170</v>
      </c>
    </row>
    <row r="177" spans="2:28" s="2" customFormat="1" ht="20" x14ac:dyDescent="0.2">
      <c r="B177" s="108" t="s">
        <v>329</v>
      </c>
      <c r="C177" s="35" t="s">
        <v>75</v>
      </c>
      <c r="D177" s="35" t="s">
        <v>762</v>
      </c>
      <c r="E177" s="109">
        <v>1</v>
      </c>
      <c r="F177" s="108" t="s">
        <v>371</v>
      </c>
      <c r="G177" s="110">
        <v>2.835</v>
      </c>
      <c r="H177" s="110">
        <f t="shared" si="6"/>
        <v>1.7499999999999998</v>
      </c>
      <c r="I177" s="110">
        <v>2.835</v>
      </c>
      <c r="J177" s="110">
        <f t="shared" si="7"/>
        <v>1.7499999999999998</v>
      </c>
      <c r="K177" s="109">
        <v>115</v>
      </c>
      <c r="L177" s="223">
        <f>_xlfn.XLOOKUP($K177,Inputs!$C$6:$C$23,Inputs!$D$6:$D$23)*$I177</f>
        <v>1.1826000000000001</v>
      </c>
      <c r="M177" s="224">
        <f t="shared" si="8"/>
        <v>3</v>
      </c>
      <c r="N177" s="100"/>
      <c r="O177" s="100"/>
      <c r="P177" s="100"/>
      <c r="Q177" s="100"/>
      <c r="R177" s="100"/>
      <c r="S177" s="225">
        <f>_xlfn.XLOOKUP($K177,Inputs!$G$6:$G$23,Inputs!$J$6:$J$23)*$M177</f>
        <v>98.449131513647643</v>
      </c>
      <c r="T177" s="225">
        <f>_xlfn.XLOOKUP($K177,Inputs!$G$6:$G$23,Inputs!$K$6:$K$23)*$M177</f>
        <v>108.40163934426229</v>
      </c>
      <c r="U177" s="108" t="s">
        <v>731</v>
      </c>
      <c r="V177" s="107" t="s">
        <v>1102</v>
      </c>
      <c r="W177" s="108" t="s">
        <v>669</v>
      </c>
      <c r="X177" s="107" t="s">
        <v>1126</v>
      </c>
      <c r="Y177" s="11"/>
      <c r="Z177" s="11"/>
      <c r="AA177" s="11"/>
      <c r="AB177" s="59">
        <v>171</v>
      </c>
    </row>
    <row r="178" spans="2:28" s="2" customFormat="1" ht="20" x14ac:dyDescent="0.2">
      <c r="B178" s="108" t="s">
        <v>292</v>
      </c>
      <c r="C178" s="35" t="s">
        <v>75</v>
      </c>
      <c r="D178" s="35" t="s">
        <v>762</v>
      </c>
      <c r="E178" s="109">
        <v>1</v>
      </c>
      <c r="F178" s="108" t="s">
        <v>371</v>
      </c>
      <c r="G178" s="110">
        <v>270.702</v>
      </c>
      <c r="H178" s="110">
        <f t="shared" si="6"/>
        <v>167.1</v>
      </c>
      <c r="I178" s="110">
        <v>270.702</v>
      </c>
      <c r="J178" s="110">
        <f t="shared" si="7"/>
        <v>167.1</v>
      </c>
      <c r="K178" s="109">
        <v>138</v>
      </c>
      <c r="L178" s="223">
        <f>_xlfn.XLOOKUP($K178,Inputs!$C$6:$C$23,Inputs!$D$6:$D$23)*$I178</f>
        <v>117.36865285714286</v>
      </c>
      <c r="M178" s="224">
        <f t="shared" si="8"/>
        <v>1.4498159987388231</v>
      </c>
      <c r="N178" s="100"/>
      <c r="O178" s="100"/>
      <c r="P178" s="100"/>
      <c r="Q178" s="100"/>
      <c r="R178" s="100"/>
      <c r="S178" s="225">
        <f>_xlfn.XLOOKUP($K178,Inputs!$G$6:$G$23,Inputs!$J$6:$J$23)*$M178</f>
        <v>68.141351940724689</v>
      </c>
      <c r="T178" s="225">
        <f>_xlfn.XLOOKUP($K178,Inputs!$G$6:$G$23,Inputs!$K$6:$K$23)*$M178</f>
        <v>75.3904319344188</v>
      </c>
      <c r="U178" s="108" t="s">
        <v>786</v>
      </c>
      <c r="V178" s="107" t="s">
        <v>1032</v>
      </c>
      <c r="W178" s="108" t="s">
        <v>687</v>
      </c>
      <c r="X178" s="107" t="s">
        <v>1125</v>
      </c>
      <c r="Y178" s="11"/>
      <c r="Z178" s="11"/>
      <c r="AA178" s="11"/>
      <c r="AB178" s="59">
        <v>172</v>
      </c>
    </row>
    <row r="179" spans="2:28" s="2" customFormat="1" ht="20" x14ac:dyDescent="0.2">
      <c r="B179" s="108" t="s">
        <v>330</v>
      </c>
      <c r="C179" s="35" t="s">
        <v>75</v>
      </c>
      <c r="D179" s="35" t="s">
        <v>762</v>
      </c>
      <c r="E179" s="109">
        <v>1</v>
      </c>
      <c r="F179" s="108" t="s">
        <v>371</v>
      </c>
      <c r="G179" s="110">
        <v>1.1177999999999999</v>
      </c>
      <c r="H179" s="110">
        <f t="shared" si="6"/>
        <v>0.69</v>
      </c>
      <c r="I179" s="110">
        <v>1.1177999999999999</v>
      </c>
      <c r="J179" s="110">
        <f t="shared" si="7"/>
        <v>0.69</v>
      </c>
      <c r="K179" s="109">
        <v>115</v>
      </c>
      <c r="L179" s="223">
        <f>_xlfn.XLOOKUP($K179,Inputs!$C$6:$C$23,Inputs!$D$6:$D$23)*$I179</f>
        <v>0.4662822857142857</v>
      </c>
      <c r="M179" s="224">
        <f t="shared" si="8"/>
        <v>3</v>
      </c>
      <c r="N179" s="100"/>
      <c r="O179" s="100"/>
      <c r="P179" s="100"/>
      <c r="Q179" s="100"/>
      <c r="R179" s="100"/>
      <c r="S179" s="225">
        <f>_xlfn.XLOOKUP($K179,Inputs!$G$6:$G$23,Inputs!$J$6:$J$23)*$M179</f>
        <v>98.449131513647643</v>
      </c>
      <c r="T179" s="225">
        <f>_xlfn.XLOOKUP($K179,Inputs!$G$6:$G$23,Inputs!$K$6:$K$23)*$M179</f>
        <v>108.40163934426229</v>
      </c>
      <c r="U179" s="108" t="s">
        <v>731</v>
      </c>
      <c r="V179" s="107" t="s">
        <v>1102</v>
      </c>
      <c r="W179" s="108" t="s">
        <v>817</v>
      </c>
      <c r="X179" s="107" t="s">
        <v>1056</v>
      </c>
      <c r="Y179" s="11"/>
      <c r="Z179" s="11"/>
      <c r="AA179" s="11"/>
      <c r="AB179" s="59">
        <v>173</v>
      </c>
    </row>
    <row r="180" spans="2:28" s="2" customFormat="1" ht="20" x14ac:dyDescent="0.2">
      <c r="B180" s="198" t="s">
        <v>882</v>
      </c>
      <c r="C180" s="35" t="s">
        <v>75</v>
      </c>
      <c r="D180" s="35" t="s">
        <v>762</v>
      </c>
      <c r="E180" s="199">
        <v>1</v>
      </c>
      <c r="F180" s="198" t="s">
        <v>371</v>
      </c>
      <c r="G180" s="110">
        <v>6.8040000000000012</v>
      </c>
      <c r="H180" s="110">
        <f t="shared" si="6"/>
        <v>4.2</v>
      </c>
      <c r="I180" s="110">
        <v>6.8040000000000012</v>
      </c>
      <c r="J180" s="110">
        <f t="shared" si="7"/>
        <v>4.2</v>
      </c>
      <c r="K180" s="199">
        <v>115</v>
      </c>
      <c r="L180" s="223">
        <f>_xlfn.XLOOKUP($K180,Inputs!$C$6:$C$23,Inputs!$D$6:$D$23)*$I180</f>
        <v>2.8382400000000003</v>
      </c>
      <c r="M180" s="224">
        <f t="shared" si="8"/>
        <v>3</v>
      </c>
      <c r="N180" s="100"/>
      <c r="O180" s="100"/>
      <c r="P180" s="100"/>
      <c r="Q180" s="100"/>
      <c r="R180" s="100"/>
      <c r="S180" s="225">
        <f>_xlfn.XLOOKUP($K180,Inputs!$G$6:$G$23,Inputs!$J$6:$J$23)*$M180</f>
        <v>98.449131513647643</v>
      </c>
      <c r="T180" s="225">
        <f>_xlfn.XLOOKUP($K180,Inputs!$G$6:$G$23,Inputs!$K$6:$K$23)*$M180</f>
        <v>108.40163934426229</v>
      </c>
      <c r="U180" s="198" t="s">
        <v>658</v>
      </c>
      <c r="V180" s="107" t="s">
        <v>1103</v>
      </c>
      <c r="W180" s="198" t="s">
        <v>690</v>
      </c>
      <c r="X180" s="107" t="s">
        <v>1068</v>
      </c>
      <c r="Y180" s="11" t="s">
        <v>1168</v>
      </c>
      <c r="Z180" s="11"/>
      <c r="AA180" s="11"/>
      <c r="AB180" s="59">
        <v>174</v>
      </c>
    </row>
    <row r="181" spans="2:28" s="2" customFormat="1" ht="20" x14ac:dyDescent="0.2">
      <c r="B181" s="108" t="s">
        <v>337</v>
      </c>
      <c r="C181" s="35" t="s">
        <v>75</v>
      </c>
      <c r="D181" s="35" t="s">
        <v>762</v>
      </c>
      <c r="E181" s="109">
        <v>1</v>
      </c>
      <c r="F181" s="108" t="s">
        <v>371</v>
      </c>
      <c r="G181" s="110">
        <v>12.9114</v>
      </c>
      <c r="H181" s="110">
        <f t="shared" si="6"/>
        <v>7.97</v>
      </c>
      <c r="I181" s="110">
        <v>12.9114</v>
      </c>
      <c r="J181" s="110">
        <f t="shared" si="7"/>
        <v>7.97</v>
      </c>
      <c r="K181" s="109">
        <v>115</v>
      </c>
      <c r="L181" s="223">
        <f>_xlfn.XLOOKUP($K181,Inputs!$C$6:$C$23,Inputs!$D$6:$D$23)*$I181</f>
        <v>5.3858982857142861</v>
      </c>
      <c r="M181" s="224">
        <f t="shared" si="8"/>
        <v>3</v>
      </c>
      <c r="N181" s="100"/>
      <c r="O181" s="100"/>
      <c r="P181" s="100"/>
      <c r="Q181" s="100"/>
      <c r="R181" s="100"/>
      <c r="S181" s="225">
        <f>_xlfn.XLOOKUP($K181,Inputs!$G$6:$G$23,Inputs!$J$6:$J$23)*$M181</f>
        <v>98.449131513647643</v>
      </c>
      <c r="T181" s="225">
        <f>_xlfn.XLOOKUP($K181,Inputs!$G$6:$G$23,Inputs!$K$6:$K$23)*$M181</f>
        <v>108.40163934426229</v>
      </c>
      <c r="U181" s="108" t="s">
        <v>658</v>
      </c>
      <c r="V181" s="107" t="s">
        <v>1103</v>
      </c>
      <c r="W181" s="108" t="s">
        <v>688</v>
      </c>
      <c r="X181" s="107" t="s">
        <v>1077</v>
      </c>
      <c r="Y181" s="11"/>
      <c r="Z181" s="104"/>
      <c r="AA181" s="104"/>
      <c r="AB181" s="59">
        <v>175</v>
      </c>
    </row>
    <row r="182" spans="2:28" s="2" customFormat="1" ht="20" x14ac:dyDescent="0.2">
      <c r="B182" s="108" t="s">
        <v>331</v>
      </c>
      <c r="C182" s="35" t="s">
        <v>75</v>
      </c>
      <c r="D182" s="35" t="s">
        <v>762</v>
      </c>
      <c r="E182" s="109">
        <v>1</v>
      </c>
      <c r="F182" s="108" t="s">
        <v>371</v>
      </c>
      <c r="G182" s="110">
        <v>17.998200000000001</v>
      </c>
      <c r="H182" s="110">
        <f t="shared" si="6"/>
        <v>11.11</v>
      </c>
      <c r="I182" s="110">
        <v>17.998200000000001</v>
      </c>
      <c r="J182" s="110">
        <f t="shared" si="7"/>
        <v>11.11</v>
      </c>
      <c r="K182" s="109">
        <v>115</v>
      </c>
      <c r="L182" s="223">
        <f>_xlfn.XLOOKUP($K182,Inputs!$C$6:$C$23,Inputs!$D$6:$D$23)*$I182</f>
        <v>7.5078205714285717</v>
      </c>
      <c r="M182" s="224">
        <f t="shared" si="8"/>
        <v>3</v>
      </c>
      <c r="N182" s="100"/>
      <c r="O182" s="100"/>
      <c r="P182" s="100"/>
      <c r="Q182" s="100"/>
      <c r="R182" s="100"/>
      <c r="S182" s="225">
        <f>_xlfn.XLOOKUP($K182,Inputs!$G$6:$G$23,Inputs!$J$6:$J$23)*$M182</f>
        <v>98.449131513647643</v>
      </c>
      <c r="T182" s="225">
        <f>_xlfn.XLOOKUP($K182,Inputs!$G$6:$G$23,Inputs!$K$6:$K$23)*$M182</f>
        <v>108.40163934426229</v>
      </c>
      <c r="U182" s="108" t="s">
        <v>658</v>
      </c>
      <c r="V182" s="107" t="s">
        <v>1103</v>
      </c>
      <c r="W182" s="108" t="s">
        <v>689</v>
      </c>
      <c r="X182" s="107" t="s">
        <v>1132</v>
      </c>
      <c r="Y182" s="11"/>
      <c r="Z182" s="11"/>
      <c r="AA182" s="11"/>
      <c r="AB182" s="59">
        <v>176</v>
      </c>
    </row>
    <row r="183" spans="2:28" s="2" customFormat="1" ht="20" x14ac:dyDescent="0.2">
      <c r="B183" s="108" t="s">
        <v>332</v>
      </c>
      <c r="C183" s="35" t="s">
        <v>75</v>
      </c>
      <c r="D183" s="35" t="s">
        <v>762</v>
      </c>
      <c r="E183" s="109">
        <v>1</v>
      </c>
      <c r="F183" s="108" t="s">
        <v>371</v>
      </c>
      <c r="G183" s="110">
        <v>7.6140000000000008</v>
      </c>
      <c r="H183" s="110">
        <f t="shared" si="6"/>
        <v>4.7</v>
      </c>
      <c r="I183" s="110">
        <v>7.6140000000000008</v>
      </c>
      <c r="J183" s="110">
        <f t="shared" si="7"/>
        <v>4.7</v>
      </c>
      <c r="K183" s="109">
        <v>115</v>
      </c>
      <c r="L183" s="223">
        <f>_xlfn.XLOOKUP($K183,Inputs!$C$6:$C$23,Inputs!$D$6:$D$23)*$I183</f>
        <v>3.1761257142857144</v>
      </c>
      <c r="M183" s="224">
        <f t="shared" si="8"/>
        <v>3</v>
      </c>
      <c r="N183" s="100"/>
      <c r="O183" s="100"/>
      <c r="P183" s="100"/>
      <c r="Q183" s="100"/>
      <c r="R183" s="100"/>
      <c r="S183" s="225">
        <f>_xlfn.XLOOKUP($K183,Inputs!$G$6:$G$23,Inputs!$J$6:$J$23)*$M183</f>
        <v>98.449131513647643</v>
      </c>
      <c r="T183" s="225">
        <f>_xlfn.XLOOKUP($K183,Inputs!$G$6:$G$23,Inputs!$K$6:$K$23)*$M183</f>
        <v>108.40163934426229</v>
      </c>
      <c r="U183" s="108" t="s">
        <v>658</v>
      </c>
      <c r="V183" s="107" t="s">
        <v>1103</v>
      </c>
      <c r="W183" s="108" t="s">
        <v>821</v>
      </c>
      <c r="X183" s="107" t="s">
        <v>1135</v>
      </c>
      <c r="Y183" s="11"/>
      <c r="Z183" s="104"/>
      <c r="AA183" s="104"/>
      <c r="AB183" s="59">
        <v>177</v>
      </c>
    </row>
    <row r="184" spans="2:28" s="2" customFormat="1" ht="20" x14ac:dyDescent="0.2">
      <c r="B184" s="108" t="s">
        <v>333</v>
      </c>
      <c r="C184" s="35" t="s">
        <v>75</v>
      </c>
      <c r="D184" s="35" t="s">
        <v>762</v>
      </c>
      <c r="E184" s="109">
        <v>1</v>
      </c>
      <c r="F184" s="108" t="s">
        <v>371</v>
      </c>
      <c r="G184" s="110">
        <v>1.61</v>
      </c>
      <c r="H184" s="110">
        <f t="shared" si="6"/>
        <v>0.99382716049382713</v>
      </c>
      <c r="I184" s="110">
        <v>7.61</v>
      </c>
      <c r="J184" s="110">
        <f t="shared" si="7"/>
        <v>4.6975308641975309</v>
      </c>
      <c r="K184" s="109">
        <v>115</v>
      </c>
      <c r="L184" s="223">
        <f>_xlfn.XLOOKUP($K184,Inputs!$C$6:$C$23,Inputs!$D$6:$D$23)*$I184</f>
        <v>3.1744571428571429</v>
      </c>
      <c r="M184" s="224">
        <f t="shared" si="8"/>
        <v>3</v>
      </c>
      <c r="N184" s="100"/>
      <c r="O184" s="100"/>
      <c r="P184" s="100"/>
      <c r="Q184" s="100"/>
      <c r="R184" s="100"/>
      <c r="S184" s="225">
        <f>_xlfn.XLOOKUP($K184,Inputs!$G$6:$G$23,Inputs!$J$6:$J$23)*$M184</f>
        <v>98.449131513647643</v>
      </c>
      <c r="T184" s="225">
        <f>_xlfn.XLOOKUP($K184,Inputs!$G$6:$G$23,Inputs!$K$6:$K$23)*$M184</f>
        <v>108.40163934426229</v>
      </c>
      <c r="U184" s="108" t="s">
        <v>871</v>
      </c>
      <c r="V184" s="107" t="s">
        <v>1050</v>
      </c>
      <c r="W184" s="108" t="s">
        <v>821</v>
      </c>
      <c r="X184" s="107" t="s">
        <v>1135</v>
      </c>
      <c r="Y184" s="11" t="s">
        <v>1168</v>
      </c>
      <c r="Z184" s="11"/>
      <c r="AA184" s="11"/>
      <c r="AB184" s="59">
        <v>178</v>
      </c>
    </row>
    <row r="185" spans="2:28" s="2" customFormat="1" ht="20" x14ac:dyDescent="0.2">
      <c r="B185" s="108" t="s">
        <v>333</v>
      </c>
      <c r="C185" s="35" t="s">
        <v>75</v>
      </c>
      <c r="D185" s="35" t="s">
        <v>762</v>
      </c>
      <c r="E185" s="109">
        <v>1</v>
      </c>
      <c r="F185" s="108" t="s">
        <v>371</v>
      </c>
      <c r="G185" s="110">
        <v>6</v>
      </c>
      <c r="H185" s="110">
        <f t="shared" si="6"/>
        <v>3.7037037037037033</v>
      </c>
      <c r="I185" s="110">
        <v>7.61</v>
      </c>
      <c r="J185" s="110">
        <f t="shared" si="7"/>
        <v>4.6975308641975309</v>
      </c>
      <c r="K185" s="109">
        <v>115</v>
      </c>
      <c r="L185" s="223">
        <f>_xlfn.XLOOKUP($K185,Inputs!$C$6:$C$23,Inputs!$D$6:$D$23)*$I185</f>
        <v>3.1744571428571429</v>
      </c>
      <c r="M185" s="224">
        <f t="shared" si="8"/>
        <v>3</v>
      </c>
      <c r="N185" s="100"/>
      <c r="O185" s="100"/>
      <c r="P185" s="100"/>
      <c r="Q185" s="100"/>
      <c r="R185" s="100"/>
      <c r="S185" s="225">
        <f>_xlfn.XLOOKUP($K185,Inputs!$G$6:$G$23,Inputs!$J$6:$J$23)*$M185</f>
        <v>98.449131513647643</v>
      </c>
      <c r="T185" s="225">
        <f>_xlfn.XLOOKUP($K185,Inputs!$G$6:$G$23,Inputs!$K$6:$K$23)*$M185</f>
        <v>108.40163934426229</v>
      </c>
      <c r="U185" s="108" t="s">
        <v>658</v>
      </c>
      <c r="V185" s="107" t="s">
        <v>1103</v>
      </c>
      <c r="W185" s="108" t="s">
        <v>871</v>
      </c>
      <c r="X185" s="107" t="s">
        <v>1050</v>
      </c>
      <c r="Y185" s="11" t="s">
        <v>1168</v>
      </c>
      <c r="Z185" s="11"/>
      <c r="AA185" s="11"/>
      <c r="AB185" s="59">
        <v>179</v>
      </c>
    </row>
    <row r="186" spans="2:28" s="2" customFormat="1" ht="20" x14ac:dyDescent="0.2">
      <c r="B186" s="108" t="s">
        <v>334</v>
      </c>
      <c r="C186" s="35" t="s">
        <v>75</v>
      </c>
      <c r="D186" s="35" t="s">
        <v>762</v>
      </c>
      <c r="E186" s="109">
        <v>1</v>
      </c>
      <c r="F186" s="108" t="s">
        <v>371</v>
      </c>
      <c r="G186" s="110">
        <v>7.6140000000000008</v>
      </c>
      <c r="H186" s="110">
        <f t="shared" si="6"/>
        <v>4.7</v>
      </c>
      <c r="I186" s="110">
        <v>7.6140000000000008</v>
      </c>
      <c r="J186" s="110">
        <f t="shared" si="7"/>
        <v>4.7</v>
      </c>
      <c r="K186" s="109">
        <v>115</v>
      </c>
      <c r="L186" s="223">
        <f>_xlfn.XLOOKUP($K186,Inputs!$C$6:$C$23,Inputs!$D$6:$D$23)*$I186</f>
        <v>3.1761257142857144</v>
      </c>
      <c r="M186" s="224">
        <f t="shared" si="8"/>
        <v>3</v>
      </c>
      <c r="N186" s="100"/>
      <c r="O186" s="100"/>
      <c r="P186" s="100"/>
      <c r="Q186" s="100"/>
      <c r="R186" s="100"/>
      <c r="S186" s="225">
        <f>_xlfn.XLOOKUP($K186,Inputs!$G$6:$G$23,Inputs!$J$6:$J$23)*$M186</f>
        <v>98.449131513647643</v>
      </c>
      <c r="T186" s="225">
        <f>_xlfn.XLOOKUP($K186,Inputs!$G$6:$G$23,Inputs!$K$6:$K$23)*$M186</f>
        <v>108.40163934426229</v>
      </c>
      <c r="U186" s="108" t="s">
        <v>658</v>
      </c>
      <c r="V186" s="107" t="s">
        <v>1103</v>
      </c>
      <c r="W186" s="108" t="s">
        <v>821</v>
      </c>
      <c r="X186" s="107" t="s">
        <v>1135</v>
      </c>
      <c r="Y186" s="11"/>
      <c r="Z186" s="104"/>
      <c r="AA186" s="104"/>
      <c r="AB186" s="59">
        <v>180</v>
      </c>
    </row>
    <row r="187" spans="2:28" s="2" customFormat="1" ht="20" x14ac:dyDescent="0.2">
      <c r="B187" s="108" t="s">
        <v>335</v>
      </c>
      <c r="C187" s="35" t="s">
        <v>75</v>
      </c>
      <c r="D187" s="35" t="s">
        <v>762</v>
      </c>
      <c r="E187" s="109">
        <v>1</v>
      </c>
      <c r="F187" s="108" t="s">
        <v>371</v>
      </c>
      <c r="G187" s="110">
        <v>7.6140000000000008</v>
      </c>
      <c r="H187" s="110">
        <f t="shared" si="6"/>
        <v>4.7</v>
      </c>
      <c r="I187" s="110">
        <v>7.6140000000000008</v>
      </c>
      <c r="J187" s="110">
        <f t="shared" si="7"/>
        <v>4.7</v>
      </c>
      <c r="K187" s="109">
        <v>115</v>
      </c>
      <c r="L187" s="223">
        <f>_xlfn.XLOOKUP($K187,Inputs!$C$6:$C$23,Inputs!$D$6:$D$23)*$I187</f>
        <v>3.1761257142857144</v>
      </c>
      <c r="M187" s="224">
        <f t="shared" si="8"/>
        <v>3</v>
      </c>
      <c r="N187" s="100"/>
      <c r="O187" s="100"/>
      <c r="P187" s="100"/>
      <c r="Q187" s="100"/>
      <c r="R187" s="100"/>
      <c r="S187" s="225">
        <f>_xlfn.XLOOKUP($K187,Inputs!$G$6:$G$23,Inputs!$J$6:$J$23)*$M187</f>
        <v>98.449131513647643</v>
      </c>
      <c r="T187" s="225">
        <f>_xlfn.XLOOKUP($K187,Inputs!$G$6:$G$23,Inputs!$K$6:$K$23)*$M187</f>
        <v>108.40163934426229</v>
      </c>
      <c r="U187" s="108" t="s">
        <v>658</v>
      </c>
      <c r="V187" s="107" t="s">
        <v>1103</v>
      </c>
      <c r="W187" s="108" t="s">
        <v>821</v>
      </c>
      <c r="X187" s="107" t="s">
        <v>1135</v>
      </c>
      <c r="Y187" s="11"/>
      <c r="Z187" s="11"/>
      <c r="AA187" s="11"/>
      <c r="AB187" s="59">
        <v>181</v>
      </c>
    </row>
    <row r="188" spans="2:28" s="2" customFormat="1" ht="20" x14ac:dyDescent="0.2">
      <c r="B188" s="108" t="s">
        <v>336</v>
      </c>
      <c r="C188" s="35" t="s">
        <v>75</v>
      </c>
      <c r="D188" s="35" t="s">
        <v>762</v>
      </c>
      <c r="E188" s="109">
        <v>1</v>
      </c>
      <c r="F188" s="108" t="s">
        <v>371</v>
      </c>
      <c r="G188" s="110">
        <v>115.1982</v>
      </c>
      <c r="H188" s="110">
        <f t="shared" si="6"/>
        <v>71.11</v>
      </c>
      <c r="I188" s="110">
        <v>115.1982</v>
      </c>
      <c r="J188" s="110">
        <f t="shared" si="7"/>
        <v>71.11</v>
      </c>
      <c r="K188" s="109">
        <v>115</v>
      </c>
      <c r="L188" s="223">
        <f>_xlfn.XLOOKUP($K188,Inputs!$C$6:$C$23,Inputs!$D$6:$D$23)*$I188</f>
        <v>48.054106285714283</v>
      </c>
      <c r="M188" s="224">
        <f t="shared" si="8"/>
        <v>2.5469333139348636</v>
      </c>
      <c r="N188" s="100"/>
      <c r="O188" s="100"/>
      <c r="P188" s="100"/>
      <c r="Q188" s="100"/>
      <c r="R188" s="100"/>
      <c r="S188" s="225">
        <f>_xlfn.XLOOKUP($K188,Inputs!$G$6:$G$23,Inputs!$J$6:$J$23)*$M188</f>
        <v>83.581124260021269</v>
      </c>
      <c r="T188" s="225">
        <f>_xlfn.XLOOKUP($K188,Inputs!$G$6:$G$23,Inputs!$K$6:$K$23)*$M188</f>
        <v>92.030582177017962</v>
      </c>
      <c r="U188" s="108" t="s">
        <v>658</v>
      </c>
      <c r="V188" s="107" t="s">
        <v>1103</v>
      </c>
      <c r="W188" s="108" t="s">
        <v>656</v>
      </c>
      <c r="X188" s="107" t="s">
        <v>1143</v>
      </c>
      <c r="Y188" s="11"/>
      <c r="Z188" s="11"/>
      <c r="AA188" s="11"/>
      <c r="AB188" s="59">
        <v>182</v>
      </c>
    </row>
    <row r="189" spans="2:28" s="2" customFormat="1" ht="20" x14ac:dyDescent="0.2">
      <c r="B189" s="198" t="s">
        <v>881</v>
      </c>
      <c r="C189" s="35" t="s">
        <v>75</v>
      </c>
      <c r="D189" s="35" t="s">
        <v>762</v>
      </c>
      <c r="E189" s="199">
        <v>1</v>
      </c>
      <c r="F189" s="198" t="s">
        <v>371</v>
      </c>
      <c r="G189" s="110">
        <v>6.8040000000000012</v>
      </c>
      <c r="H189" s="110">
        <f t="shared" si="6"/>
        <v>4.2</v>
      </c>
      <c r="I189" s="110">
        <v>16.804000000000002</v>
      </c>
      <c r="J189" s="110">
        <f t="shared" si="7"/>
        <v>10.37283950617284</v>
      </c>
      <c r="K189" s="199">
        <v>115</v>
      </c>
      <c r="L189" s="223">
        <f>_xlfn.XLOOKUP($K189,Inputs!$C$6:$C$23,Inputs!$D$6:$D$23)*$I189</f>
        <v>7.0096685714285725</v>
      </c>
      <c r="M189" s="224">
        <f t="shared" si="8"/>
        <v>3</v>
      </c>
      <c r="N189" s="100"/>
      <c r="O189" s="100"/>
      <c r="P189" s="100"/>
      <c r="Q189" s="100"/>
      <c r="R189" s="100"/>
      <c r="S189" s="225">
        <f>_xlfn.XLOOKUP($K189,Inputs!$G$6:$G$23,Inputs!$J$6:$J$23)*$M189</f>
        <v>98.449131513647643</v>
      </c>
      <c r="T189" s="225">
        <f>_xlfn.XLOOKUP($K189,Inputs!$G$6:$G$23,Inputs!$K$6:$K$23)*$M189</f>
        <v>108.40163934426229</v>
      </c>
      <c r="U189" s="198" t="s">
        <v>658</v>
      </c>
      <c r="V189" s="107" t="s">
        <v>1103</v>
      </c>
      <c r="W189" s="198" t="s">
        <v>690</v>
      </c>
      <c r="X189" s="107" t="s">
        <v>1068</v>
      </c>
      <c r="Y189" s="11" t="s">
        <v>1168</v>
      </c>
      <c r="Z189" s="11"/>
      <c r="AA189" s="11"/>
      <c r="AB189" s="59">
        <v>183</v>
      </c>
    </row>
    <row r="190" spans="2:28" s="2" customFormat="1" ht="20" x14ac:dyDescent="0.2">
      <c r="B190" s="198" t="s">
        <v>881</v>
      </c>
      <c r="C190" s="35" t="s">
        <v>75</v>
      </c>
      <c r="D190" s="35" t="s">
        <v>762</v>
      </c>
      <c r="E190" s="199">
        <v>1</v>
      </c>
      <c r="F190" s="198" t="s">
        <v>371</v>
      </c>
      <c r="G190" s="188">
        <v>10</v>
      </c>
      <c r="H190" s="188">
        <f t="shared" si="6"/>
        <v>6.1728395061728394</v>
      </c>
      <c r="I190" s="188">
        <v>16.804000000000002</v>
      </c>
      <c r="J190" s="188">
        <f t="shared" si="7"/>
        <v>10.37283950617284</v>
      </c>
      <c r="K190" s="199">
        <v>115</v>
      </c>
      <c r="L190" s="223">
        <f>_xlfn.XLOOKUP($K190,Inputs!$C$6:$C$23,Inputs!$D$6:$D$23)*$I190</f>
        <v>7.0096685714285725</v>
      </c>
      <c r="M190" s="224">
        <f t="shared" si="8"/>
        <v>3</v>
      </c>
      <c r="N190" s="100"/>
      <c r="O190" s="100"/>
      <c r="P190" s="100"/>
      <c r="Q190" s="100"/>
      <c r="R190" s="100"/>
      <c r="S190" s="225">
        <f>_xlfn.XLOOKUP($K190,Inputs!$G$6:$G$23,Inputs!$J$6:$J$23)*$M190</f>
        <v>98.449131513647643</v>
      </c>
      <c r="T190" s="225">
        <f>_xlfn.XLOOKUP($K190,Inputs!$G$6:$G$23,Inputs!$K$6:$K$23)*$M190</f>
        <v>108.40163934426229</v>
      </c>
      <c r="U190" s="198" t="s">
        <v>690</v>
      </c>
      <c r="V190" s="107" t="s">
        <v>1068</v>
      </c>
      <c r="W190" s="198" t="s">
        <v>884</v>
      </c>
      <c r="X190" s="107" t="s">
        <v>1107</v>
      </c>
      <c r="Y190" s="11" t="s">
        <v>1168</v>
      </c>
      <c r="Z190" s="11"/>
      <c r="AA190" s="11"/>
      <c r="AB190" s="59">
        <v>184</v>
      </c>
    </row>
    <row r="191" spans="2:28" s="2" customFormat="1" ht="20" x14ac:dyDescent="0.2">
      <c r="B191" s="108" t="s">
        <v>338</v>
      </c>
      <c r="C191" s="35" t="s">
        <v>75</v>
      </c>
      <c r="D191" s="35" t="s">
        <v>762</v>
      </c>
      <c r="E191" s="109">
        <v>1</v>
      </c>
      <c r="F191" s="108" t="s">
        <v>371</v>
      </c>
      <c r="G191" s="110">
        <v>6.8040000000000012</v>
      </c>
      <c r="H191" s="110">
        <f t="shared" si="6"/>
        <v>4.2</v>
      </c>
      <c r="I191" s="110">
        <v>6.8040000000000012</v>
      </c>
      <c r="J191" s="110">
        <f t="shared" si="7"/>
        <v>4.2</v>
      </c>
      <c r="K191" s="109">
        <v>115</v>
      </c>
      <c r="L191" s="223">
        <f>_xlfn.XLOOKUP($K191,Inputs!$C$6:$C$23,Inputs!$D$6:$D$23)*$I191</f>
        <v>2.8382400000000003</v>
      </c>
      <c r="M191" s="224">
        <f t="shared" si="8"/>
        <v>3</v>
      </c>
      <c r="N191" s="100"/>
      <c r="O191" s="100"/>
      <c r="P191" s="100"/>
      <c r="Q191" s="100"/>
      <c r="R191" s="100"/>
      <c r="S191" s="225">
        <f>_xlfn.XLOOKUP($K191,Inputs!$G$6:$G$23,Inputs!$J$6:$J$23)*$M191</f>
        <v>98.449131513647643</v>
      </c>
      <c r="T191" s="225">
        <f>_xlfn.XLOOKUP($K191,Inputs!$G$6:$G$23,Inputs!$K$6:$K$23)*$M191</f>
        <v>108.40163934426229</v>
      </c>
      <c r="U191" s="108" t="s">
        <v>658</v>
      </c>
      <c r="V191" s="107" t="s">
        <v>1103</v>
      </c>
      <c r="W191" s="108" t="s">
        <v>690</v>
      </c>
      <c r="X191" s="107" t="s">
        <v>1068</v>
      </c>
      <c r="Y191" s="11"/>
      <c r="Z191" s="11"/>
      <c r="AA191" s="11"/>
      <c r="AB191" s="59">
        <v>185</v>
      </c>
    </row>
    <row r="192" spans="2:28" s="2" customFormat="1" ht="20" x14ac:dyDescent="0.2">
      <c r="B192" s="108" t="s">
        <v>339</v>
      </c>
      <c r="C192" s="35" t="s">
        <v>75</v>
      </c>
      <c r="D192" s="35" t="s">
        <v>762</v>
      </c>
      <c r="E192" s="109">
        <v>1</v>
      </c>
      <c r="F192" s="108" t="s">
        <v>371</v>
      </c>
      <c r="G192" s="110">
        <v>29.8566</v>
      </c>
      <c r="H192" s="110">
        <f t="shared" si="6"/>
        <v>18.43</v>
      </c>
      <c r="I192" s="110">
        <v>29.8566</v>
      </c>
      <c r="J192" s="110">
        <f t="shared" si="7"/>
        <v>18.43</v>
      </c>
      <c r="K192" s="109">
        <v>115</v>
      </c>
      <c r="L192" s="223">
        <f>_xlfn.XLOOKUP($K192,Inputs!$C$6:$C$23,Inputs!$D$6:$D$23)*$I192</f>
        <v>12.454467428571428</v>
      </c>
      <c r="M192" s="224">
        <f t="shared" si="8"/>
        <v>3</v>
      </c>
      <c r="N192" s="100"/>
      <c r="O192" s="100"/>
      <c r="P192" s="100"/>
      <c r="Q192" s="100"/>
      <c r="R192" s="100"/>
      <c r="S192" s="225">
        <f>_xlfn.XLOOKUP($K192,Inputs!$G$6:$G$23,Inputs!$J$6:$J$23)*$M192</f>
        <v>98.449131513647643</v>
      </c>
      <c r="T192" s="225">
        <f>_xlfn.XLOOKUP($K192,Inputs!$G$6:$G$23,Inputs!$K$6:$K$23)*$M192</f>
        <v>108.40163934426229</v>
      </c>
      <c r="U192" s="108" t="s">
        <v>658</v>
      </c>
      <c r="V192" s="107" t="s">
        <v>1103</v>
      </c>
      <c r="W192" s="108" t="s">
        <v>660</v>
      </c>
      <c r="X192" s="107" t="s">
        <v>1071</v>
      </c>
      <c r="Y192" s="11"/>
      <c r="Z192" s="11"/>
      <c r="AA192" s="11"/>
      <c r="AB192" s="59">
        <v>186</v>
      </c>
    </row>
    <row r="193" spans="2:28" s="2" customFormat="1" ht="20" x14ac:dyDescent="0.2">
      <c r="B193" s="108" t="s">
        <v>340</v>
      </c>
      <c r="C193" s="35" t="s">
        <v>75</v>
      </c>
      <c r="D193" s="35" t="s">
        <v>762</v>
      </c>
      <c r="E193" s="109">
        <v>1</v>
      </c>
      <c r="F193" s="108" t="s">
        <v>371</v>
      </c>
      <c r="G193" s="110">
        <v>139.83840000000001</v>
      </c>
      <c r="H193" s="110">
        <f t="shared" si="6"/>
        <v>86.32</v>
      </c>
      <c r="I193" s="110">
        <v>139.83840000000001</v>
      </c>
      <c r="J193" s="110">
        <f t="shared" si="7"/>
        <v>86.32</v>
      </c>
      <c r="K193" s="109">
        <v>115</v>
      </c>
      <c r="L193" s="223">
        <f>_xlfn.XLOOKUP($K193,Inputs!$C$6:$C$23,Inputs!$D$6:$D$23)*$I193</f>
        <v>58.332589714285717</v>
      </c>
      <c r="M193" s="224">
        <f t="shared" si="8"/>
        <v>2.2413019418715412</v>
      </c>
      <c r="N193" s="100"/>
      <c r="O193" s="100"/>
      <c r="P193" s="100"/>
      <c r="Q193" s="100"/>
      <c r="R193" s="100"/>
      <c r="S193" s="225">
        <f>_xlfn.XLOOKUP($K193,Inputs!$G$6:$G$23,Inputs!$J$6:$J$23)*$M193</f>
        <v>73.551409879035077</v>
      </c>
      <c r="T193" s="225">
        <f>_xlfn.XLOOKUP($K193,Inputs!$G$6:$G$23,Inputs!$K$6:$K$23)*$M193</f>
        <v>80.98693492145118</v>
      </c>
      <c r="U193" s="108" t="s">
        <v>756</v>
      </c>
      <c r="V193" s="107" t="s">
        <v>1034</v>
      </c>
      <c r="W193" s="108" t="s">
        <v>691</v>
      </c>
      <c r="X193" s="107" t="s">
        <v>1148</v>
      </c>
      <c r="Y193" s="11"/>
      <c r="Z193" s="11"/>
      <c r="AA193" s="11"/>
      <c r="AB193" s="59">
        <v>187</v>
      </c>
    </row>
    <row r="194" spans="2:28" s="2" customFormat="1" ht="20" x14ac:dyDescent="0.2">
      <c r="B194" s="108" t="s">
        <v>341</v>
      </c>
      <c r="C194" s="35" t="s">
        <v>75</v>
      </c>
      <c r="D194" s="35" t="s">
        <v>762</v>
      </c>
      <c r="E194" s="109">
        <v>1</v>
      </c>
      <c r="F194" s="108" t="s">
        <v>371</v>
      </c>
      <c r="G194" s="110">
        <v>139.83840000000001</v>
      </c>
      <c r="H194" s="110">
        <f t="shared" si="6"/>
        <v>86.32</v>
      </c>
      <c r="I194" s="110">
        <v>139.83840000000001</v>
      </c>
      <c r="J194" s="110">
        <f t="shared" si="7"/>
        <v>86.32</v>
      </c>
      <c r="K194" s="109">
        <v>115</v>
      </c>
      <c r="L194" s="223">
        <f>_xlfn.XLOOKUP($K194,Inputs!$C$6:$C$23,Inputs!$D$6:$D$23)*$I194</f>
        <v>58.332589714285717</v>
      </c>
      <c r="M194" s="224">
        <f t="shared" si="8"/>
        <v>2.2413019418715412</v>
      </c>
      <c r="N194" s="100"/>
      <c r="O194" s="100"/>
      <c r="P194" s="100"/>
      <c r="Q194" s="100"/>
      <c r="R194" s="100"/>
      <c r="S194" s="225">
        <f>_xlfn.XLOOKUP($K194,Inputs!$G$6:$G$23,Inputs!$J$6:$J$23)*$M194</f>
        <v>73.551409879035077</v>
      </c>
      <c r="T194" s="225">
        <f>_xlfn.XLOOKUP($K194,Inputs!$G$6:$G$23,Inputs!$K$6:$K$23)*$M194</f>
        <v>80.98693492145118</v>
      </c>
      <c r="U194" s="108" t="s">
        <v>756</v>
      </c>
      <c r="V194" s="107" t="s">
        <v>1034</v>
      </c>
      <c r="W194" s="108" t="s">
        <v>691</v>
      </c>
      <c r="X194" s="107" t="s">
        <v>1148</v>
      </c>
      <c r="Y194" s="11"/>
      <c r="Z194" s="104"/>
      <c r="AA194" s="104"/>
      <c r="AB194" s="59">
        <v>188</v>
      </c>
    </row>
    <row r="195" spans="2:28" s="2" customFormat="1" ht="20" x14ac:dyDescent="0.2">
      <c r="B195" s="108" t="s">
        <v>271</v>
      </c>
      <c r="C195" s="35" t="s">
        <v>75</v>
      </c>
      <c r="D195" s="35" t="s">
        <v>762</v>
      </c>
      <c r="E195" s="109">
        <v>1</v>
      </c>
      <c r="F195" s="108" t="s">
        <v>371</v>
      </c>
      <c r="G195" s="110">
        <v>51.985800000000012</v>
      </c>
      <c r="H195" s="110">
        <f t="shared" si="6"/>
        <v>32.090000000000003</v>
      </c>
      <c r="I195" s="110">
        <v>51.985800000000012</v>
      </c>
      <c r="J195" s="110">
        <f t="shared" si="7"/>
        <v>32.090000000000003</v>
      </c>
      <c r="K195" s="109">
        <v>230</v>
      </c>
      <c r="L195" s="223">
        <f>_xlfn.XLOOKUP($K195,Inputs!$C$6:$C$23,Inputs!$D$6:$D$23)*$I195</f>
        <v>24.953184000000004</v>
      </c>
      <c r="M195" s="224">
        <f t="shared" si="8"/>
        <v>3</v>
      </c>
      <c r="N195" s="100"/>
      <c r="O195" s="100"/>
      <c r="P195" s="100"/>
      <c r="Q195" s="100"/>
      <c r="R195" s="100"/>
      <c r="S195" s="225">
        <f>_xlfn.XLOOKUP($K195,Inputs!$G$6:$G$23,Inputs!$J$6:$J$23)*$M195</f>
        <v>402</v>
      </c>
      <c r="T195" s="225">
        <f>_xlfn.XLOOKUP($K195,Inputs!$G$6:$G$23,Inputs!$K$6:$K$23)*$M195</f>
        <v>435</v>
      </c>
      <c r="U195" s="108" t="s">
        <v>747</v>
      </c>
      <c r="V195" s="107" t="s">
        <v>1036</v>
      </c>
      <c r="W195" s="108" t="s">
        <v>692</v>
      </c>
      <c r="X195" s="107" t="s">
        <v>1060</v>
      </c>
      <c r="Y195" s="11"/>
      <c r="Z195" s="11"/>
      <c r="AA195" s="11"/>
      <c r="AB195" s="59">
        <v>189</v>
      </c>
    </row>
    <row r="196" spans="2:28" s="2" customFormat="1" ht="20" x14ac:dyDescent="0.2">
      <c r="B196" s="108" t="s">
        <v>273</v>
      </c>
      <c r="C196" s="35" t="s">
        <v>75</v>
      </c>
      <c r="D196" s="35" t="s">
        <v>762</v>
      </c>
      <c r="E196" s="109">
        <v>1</v>
      </c>
      <c r="F196" s="108" t="s">
        <v>371</v>
      </c>
      <c r="G196" s="110">
        <v>109.85220000000001</v>
      </c>
      <c r="H196" s="110">
        <f t="shared" ref="H196:H259" si="9">G196/1.62</f>
        <v>67.81</v>
      </c>
      <c r="I196" s="110">
        <v>109.85220000000001</v>
      </c>
      <c r="J196" s="110">
        <f t="shared" ref="J196:J259" si="10">I196/1.62</f>
        <v>67.81</v>
      </c>
      <c r="K196" s="109">
        <v>230</v>
      </c>
      <c r="L196" s="223">
        <f>_xlfn.XLOOKUP($K196,Inputs!$C$6:$C$23,Inputs!$D$6:$D$23)*$I196</f>
        <v>52.729056</v>
      </c>
      <c r="M196" s="224">
        <f t="shared" ref="M196:M235" si="11">IF((42.4*(J196)^(-0.6595))&gt;=3,3,(IF(42.4*(J196)^(-0.6595)&lt;=0.5,0.5,(42.4*(J196)^(-0.6595)))))</f>
        <v>2.628013744041533</v>
      </c>
      <c r="N196" s="100"/>
      <c r="O196" s="100"/>
      <c r="P196" s="100"/>
      <c r="Q196" s="100"/>
      <c r="R196" s="100"/>
      <c r="S196" s="225">
        <f>_xlfn.XLOOKUP($K196,Inputs!$G$6:$G$23,Inputs!$J$6:$J$23)*$M196</f>
        <v>352.1538417015654</v>
      </c>
      <c r="T196" s="225">
        <f>_xlfn.XLOOKUP($K196,Inputs!$G$6:$G$23,Inputs!$K$6:$K$23)*$M196</f>
        <v>381.06199288602227</v>
      </c>
      <c r="U196" s="108" t="s">
        <v>732</v>
      </c>
      <c r="V196" s="107" t="s">
        <v>1104</v>
      </c>
      <c r="W196" s="108" t="s">
        <v>658</v>
      </c>
      <c r="X196" s="107" t="s">
        <v>1103</v>
      </c>
      <c r="Y196" s="11"/>
      <c r="Z196" s="11"/>
      <c r="AA196" s="11"/>
      <c r="AB196" s="59">
        <v>190</v>
      </c>
    </row>
    <row r="197" spans="2:28" s="2" customFormat="1" ht="20" x14ac:dyDescent="0.2">
      <c r="B197" s="108" t="s">
        <v>272</v>
      </c>
      <c r="C197" s="35" t="s">
        <v>75</v>
      </c>
      <c r="D197" s="35" t="s">
        <v>762</v>
      </c>
      <c r="E197" s="109">
        <v>1</v>
      </c>
      <c r="F197" s="108" t="s">
        <v>371</v>
      </c>
      <c r="G197" s="110">
        <v>91.902600000000007</v>
      </c>
      <c r="H197" s="110">
        <f t="shared" si="9"/>
        <v>56.73</v>
      </c>
      <c r="I197" s="110">
        <v>91.902600000000007</v>
      </c>
      <c r="J197" s="110">
        <f t="shared" si="10"/>
        <v>56.73</v>
      </c>
      <c r="K197" s="109">
        <v>230</v>
      </c>
      <c r="L197" s="223">
        <f>_xlfn.XLOOKUP($K197,Inputs!$C$6:$C$23,Inputs!$D$6:$D$23)*$I197</f>
        <v>44.113247999999999</v>
      </c>
      <c r="M197" s="224">
        <f t="shared" si="11"/>
        <v>2.9561490383429594</v>
      </c>
      <c r="N197" s="100"/>
      <c r="O197" s="100"/>
      <c r="P197" s="100"/>
      <c r="Q197" s="100"/>
      <c r="R197" s="100"/>
      <c r="S197" s="225">
        <f>_xlfn.XLOOKUP($K197,Inputs!$G$6:$G$23,Inputs!$J$6:$J$23)*$M197</f>
        <v>396.12397113795657</v>
      </c>
      <c r="T197" s="225">
        <f>_xlfn.XLOOKUP($K197,Inputs!$G$6:$G$23,Inputs!$K$6:$K$23)*$M197</f>
        <v>428.64161055972909</v>
      </c>
      <c r="U197" s="108" t="s">
        <v>747</v>
      </c>
      <c r="V197" s="107" t="s">
        <v>1036</v>
      </c>
      <c r="W197" s="108" t="s">
        <v>693</v>
      </c>
      <c r="X197" s="107" t="s">
        <v>1109</v>
      </c>
      <c r="Y197" s="11"/>
      <c r="Z197" s="11"/>
      <c r="AA197" s="11"/>
      <c r="AB197" s="59">
        <v>191</v>
      </c>
    </row>
    <row r="198" spans="2:28" s="2" customFormat="1" ht="20" x14ac:dyDescent="0.2">
      <c r="B198" s="198" t="s">
        <v>885</v>
      </c>
      <c r="C198" s="35" t="s">
        <v>75</v>
      </c>
      <c r="D198" s="35" t="s">
        <v>762</v>
      </c>
      <c r="E198" s="199">
        <v>1</v>
      </c>
      <c r="F198" s="198" t="s">
        <v>371</v>
      </c>
      <c r="G198" s="151">
        <v>3.4020000000000006</v>
      </c>
      <c r="H198" s="151">
        <f t="shared" si="9"/>
        <v>2.1</v>
      </c>
      <c r="I198" s="151">
        <v>3.4020000000000006</v>
      </c>
      <c r="J198" s="151">
        <f t="shared" si="10"/>
        <v>2.1</v>
      </c>
      <c r="K198" s="199">
        <v>115</v>
      </c>
      <c r="L198" s="223">
        <f>_xlfn.XLOOKUP($K198,Inputs!$C$6:$C$23,Inputs!$D$6:$D$23)*$I198</f>
        <v>1.4191200000000002</v>
      </c>
      <c r="M198" s="224">
        <f t="shared" si="11"/>
        <v>3</v>
      </c>
      <c r="N198" s="100"/>
      <c r="O198" s="100"/>
      <c r="P198" s="100"/>
      <c r="Q198" s="100"/>
      <c r="R198" s="100"/>
      <c r="S198" s="225">
        <f>_xlfn.XLOOKUP($K198,Inputs!$G$6:$G$23,Inputs!$J$6:$J$23)*$M198</f>
        <v>98.449131513647643</v>
      </c>
      <c r="T198" s="225">
        <f>_xlfn.XLOOKUP($K198,Inputs!$G$6:$G$23,Inputs!$K$6:$K$23)*$M198</f>
        <v>108.40163934426229</v>
      </c>
      <c r="U198" s="198" t="s">
        <v>884</v>
      </c>
      <c r="V198" s="107" t="s">
        <v>1107</v>
      </c>
      <c r="W198" s="198" t="s">
        <v>678</v>
      </c>
      <c r="X198" s="107" t="s">
        <v>1145</v>
      </c>
      <c r="Y198" s="11" t="s">
        <v>1168</v>
      </c>
      <c r="Z198" s="114"/>
      <c r="AA198" s="114"/>
      <c r="AB198" s="59">
        <v>192</v>
      </c>
    </row>
    <row r="199" spans="2:28" s="2" customFormat="1" ht="20" x14ac:dyDescent="0.2">
      <c r="B199" s="108" t="s">
        <v>342</v>
      </c>
      <c r="C199" s="35" t="s">
        <v>75</v>
      </c>
      <c r="D199" s="35" t="s">
        <v>762</v>
      </c>
      <c r="E199" s="109">
        <v>1</v>
      </c>
      <c r="F199" s="108" t="s">
        <v>371</v>
      </c>
      <c r="G199" s="110">
        <v>21.3354</v>
      </c>
      <c r="H199" s="110">
        <f t="shared" si="9"/>
        <v>13.17</v>
      </c>
      <c r="I199" s="110">
        <v>21.3354</v>
      </c>
      <c r="J199" s="110">
        <f t="shared" si="10"/>
        <v>13.17</v>
      </c>
      <c r="K199" s="109">
        <v>115</v>
      </c>
      <c r="L199" s="223">
        <f>_xlfn.XLOOKUP($K199,Inputs!$C$6:$C$23,Inputs!$D$6:$D$23)*$I199</f>
        <v>8.8999097142857142</v>
      </c>
      <c r="M199" s="224">
        <f t="shared" si="11"/>
        <v>3</v>
      </c>
      <c r="N199" s="100"/>
      <c r="O199" s="100"/>
      <c r="P199" s="100"/>
      <c r="Q199" s="100"/>
      <c r="R199" s="100"/>
      <c r="S199" s="225">
        <f>_xlfn.XLOOKUP($K199,Inputs!$G$6:$G$23,Inputs!$J$6:$J$23)*$M199</f>
        <v>98.449131513647643</v>
      </c>
      <c r="T199" s="225">
        <f>_xlfn.XLOOKUP($K199,Inputs!$G$6:$G$23,Inputs!$K$6:$K$23)*$M199</f>
        <v>108.40163934426229</v>
      </c>
      <c r="U199" s="108" t="s">
        <v>751</v>
      </c>
      <c r="V199" s="107" t="s">
        <v>1033</v>
      </c>
      <c r="W199" s="108" t="s">
        <v>682</v>
      </c>
      <c r="X199" s="107" t="s">
        <v>1091</v>
      </c>
      <c r="Y199" s="11"/>
      <c r="Z199" s="11"/>
      <c r="AA199" s="11"/>
      <c r="AB199" s="59">
        <v>193</v>
      </c>
    </row>
    <row r="200" spans="2:28" s="2" customFormat="1" ht="20" x14ac:dyDescent="0.2">
      <c r="B200" s="108" t="s">
        <v>343</v>
      </c>
      <c r="C200" s="35" t="s">
        <v>75</v>
      </c>
      <c r="D200" s="35" t="s">
        <v>762</v>
      </c>
      <c r="E200" s="109">
        <v>1</v>
      </c>
      <c r="F200" s="108" t="s">
        <v>371</v>
      </c>
      <c r="G200" s="110">
        <v>25.8</v>
      </c>
      <c r="H200" s="110">
        <f t="shared" si="9"/>
        <v>15.925925925925926</v>
      </c>
      <c r="I200" s="110">
        <v>25.8</v>
      </c>
      <c r="J200" s="110">
        <f t="shared" si="10"/>
        <v>15.925925925925926</v>
      </c>
      <c r="K200" s="109">
        <v>115</v>
      </c>
      <c r="L200" s="223">
        <f>_xlfn.XLOOKUP($K200,Inputs!$C$6:$C$23,Inputs!$D$6:$D$23)*$I200</f>
        <v>10.762285714285715</v>
      </c>
      <c r="M200" s="224">
        <f t="shared" si="11"/>
        <v>3</v>
      </c>
      <c r="N200" s="100"/>
      <c r="O200" s="100"/>
      <c r="P200" s="100"/>
      <c r="Q200" s="100"/>
      <c r="R200" s="100"/>
      <c r="S200" s="225">
        <f>_xlfn.XLOOKUP($K200,Inputs!$G$6:$G$23,Inputs!$J$6:$J$23)*$M200</f>
        <v>98.449131513647643</v>
      </c>
      <c r="T200" s="225">
        <f>_xlfn.XLOOKUP($K200,Inputs!$G$6:$G$23,Inputs!$K$6:$K$23)*$M200</f>
        <v>108.40163934426229</v>
      </c>
      <c r="U200" s="189" t="s">
        <v>1170</v>
      </c>
      <c r="V200" s="107" t="s">
        <v>1187</v>
      </c>
      <c r="W200" s="108" t="s">
        <v>758</v>
      </c>
      <c r="X200" s="107" t="s">
        <v>1021</v>
      </c>
      <c r="Y200" s="11"/>
      <c r="Z200" s="11"/>
      <c r="AA200" s="11"/>
      <c r="AB200" s="59">
        <v>194</v>
      </c>
    </row>
    <row r="201" spans="2:28" s="2" customFormat="1" ht="20" x14ac:dyDescent="0.2">
      <c r="B201" s="108" t="s">
        <v>1179</v>
      </c>
      <c r="C201" s="35" t="s">
        <v>75</v>
      </c>
      <c r="D201" s="35" t="s">
        <v>762</v>
      </c>
      <c r="E201" s="109">
        <v>1</v>
      </c>
      <c r="F201" s="108" t="s">
        <v>371</v>
      </c>
      <c r="G201" s="110">
        <v>4.2</v>
      </c>
      <c r="H201" s="110">
        <f t="shared" si="9"/>
        <v>2.5925925925925926</v>
      </c>
      <c r="I201" s="110">
        <v>4.2</v>
      </c>
      <c r="J201" s="110">
        <f t="shared" si="10"/>
        <v>2.5925925925925926</v>
      </c>
      <c r="K201" s="109">
        <v>115</v>
      </c>
      <c r="L201" s="223">
        <f>_xlfn.XLOOKUP($K201,Inputs!$C$6:$C$23,Inputs!$D$6:$D$23)*$I201</f>
        <v>1.752</v>
      </c>
      <c r="M201" s="224">
        <f t="shared" si="11"/>
        <v>3</v>
      </c>
      <c r="N201" s="100"/>
      <c r="O201" s="100"/>
      <c r="P201" s="100"/>
      <c r="Q201" s="100"/>
      <c r="R201" s="100"/>
      <c r="S201" s="225">
        <f>_xlfn.XLOOKUP($K201,Inputs!$G$6:$G$23,Inputs!$J$6:$J$23)*$M201</f>
        <v>98.449131513647643</v>
      </c>
      <c r="T201" s="225">
        <f>_xlfn.XLOOKUP($K201,Inputs!$G$6:$G$23,Inputs!$K$6:$K$23)*$M201</f>
        <v>108.40163934426229</v>
      </c>
      <c r="U201" s="101" t="s">
        <v>1173</v>
      </c>
      <c r="V201" s="107" t="s">
        <v>1174</v>
      </c>
      <c r="W201" s="189" t="s">
        <v>1170</v>
      </c>
      <c r="X201" s="107" t="s">
        <v>1187</v>
      </c>
      <c r="Y201" s="11"/>
      <c r="Z201" s="11"/>
      <c r="AA201" s="11"/>
      <c r="AB201" s="59">
        <v>194</v>
      </c>
    </row>
    <row r="202" spans="2:28" s="2" customFormat="1" ht="20" x14ac:dyDescent="0.2">
      <c r="B202" s="108" t="s">
        <v>1178</v>
      </c>
      <c r="C202" s="35" t="s">
        <v>75</v>
      </c>
      <c r="D202" s="35" t="s">
        <v>762</v>
      </c>
      <c r="E202" s="109">
        <v>1</v>
      </c>
      <c r="F202" s="108" t="s">
        <v>371</v>
      </c>
      <c r="G202" s="110">
        <v>13.43</v>
      </c>
      <c r="H202" s="110">
        <f t="shared" si="9"/>
        <v>8.2901234567901234</v>
      </c>
      <c r="I202" s="110">
        <v>13.43</v>
      </c>
      <c r="J202" s="110">
        <f t="shared" si="10"/>
        <v>8.2901234567901234</v>
      </c>
      <c r="K202" s="109">
        <v>115</v>
      </c>
      <c r="L202" s="223">
        <f>_xlfn.XLOOKUP($K202,Inputs!$C$6:$C$23,Inputs!$D$6:$D$23)*$I202</f>
        <v>5.6022285714285713</v>
      </c>
      <c r="M202" s="224">
        <f t="shared" si="11"/>
        <v>3</v>
      </c>
      <c r="N202" s="100"/>
      <c r="O202" s="100"/>
      <c r="P202" s="100"/>
      <c r="Q202" s="100"/>
      <c r="R202" s="100"/>
      <c r="S202" s="225">
        <f>_xlfn.XLOOKUP($K202,Inputs!$G$6:$G$23,Inputs!$J$6:$J$23)*$M202</f>
        <v>98.449131513647643</v>
      </c>
      <c r="T202" s="225">
        <f>_xlfn.XLOOKUP($K202,Inputs!$G$6:$G$23,Inputs!$K$6:$K$23)*$M202</f>
        <v>108.40163934426229</v>
      </c>
      <c r="U202" s="108" t="s">
        <v>757</v>
      </c>
      <c r="V202" s="107" t="s">
        <v>1037</v>
      </c>
      <c r="W202" s="101" t="s">
        <v>1173</v>
      </c>
      <c r="X202" s="107" t="s">
        <v>1174</v>
      </c>
      <c r="Y202" s="11"/>
      <c r="Z202" s="11" t="s">
        <v>1175</v>
      </c>
      <c r="AA202" s="11"/>
      <c r="AB202" s="59">
        <v>194</v>
      </c>
    </row>
    <row r="203" spans="2:28" s="2" customFormat="1" ht="20" x14ac:dyDescent="0.2">
      <c r="B203" s="189" t="s">
        <v>1176</v>
      </c>
      <c r="C203" s="35" t="s">
        <v>75</v>
      </c>
      <c r="D203" s="35" t="s">
        <v>762</v>
      </c>
      <c r="E203" s="109">
        <v>1</v>
      </c>
      <c r="F203" s="108" t="s">
        <v>371</v>
      </c>
      <c r="G203" s="195">
        <v>30</v>
      </c>
      <c r="H203" s="195">
        <f t="shared" si="9"/>
        <v>18.518518518518519</v>
      </c>
      <c r="I203" s="195">
        <v>30</v>
      </c>
      <c r="J203" s="195">
        <f t="shared" si="10"/>
        <v>18.518518518518519</v>
      </c>
      <c r="K203" s="196">
        <v>115</v>
      </c>
      <c r="L203" s="223">
        <v>12.514285714285714</v>
      </c>
      <c r="M203" s="224">
        <f t="shared" si="11"/>
        <v>3</v>
      </c>
      <c r="N203" s="100"/>
      <c r="O203" s="100"/>
      <c r="P203" s="100"/>
      <c r="Q203" s="100"/>
      <c r="R203" s="100"/>
      <c r="S203" s="225">
        <v>98.449131513647643</v>
      </c>
      <c r="T203" s="225">
        <v>108.40163934426229</v>
      </c>
      <c r="U203" s="101" t="s">
        <v>1173</v>
      </c>
      <c r="V203" s="107" t="s">
        <v>1174</v>
      </c>
      <c r="W203" s="108" t="s">
        <v>1172</v>
      </c>
      <c r="X203" s="35" t="s">
        <v>1188</v>
      </c>
      <c r="Y203" s="11"/>
      <c r="Z203" s="11"/>
      <c r="AA203" s="11"/>
      <c r="AB203" s="59">
        <v>196</v>
      </c>
    </row>
    <row r="204" spans="2:28" s="2" customFormat="1" ht="20" x14ac:dyDescent="0.2">
      <c r="B204" s="189" t="s">
        <v>1177</v>
      </c>
      <c r="C204" s="35" t="s">
        <v>75</v>
      </c>
      <c r="D204" s="35" t="s">
        <v>762</v>
      </c>
      <c r="E204" s="109">
        <v>1</v>
      </c>
      <c r="F204" s="108" t="s">
        <v>371</v>
      </c>
      <c r="G204" s="195">
        <v>10</v>
      </c>
      <c r="H204" s="195">
        <f t="shared" si="9"/>
        <v>6.1728395061728394</v>
      </c>
      <c r="I204" s="195">
        <v>10</v>
      </c>
      <c r="J204" s="195">
        <f t="shared" si="10"/>
        <v>6.1728395061728394</v>
      </c>
      <c r="K204" s="196">
        <v>115</v>
      </c>
      <c r="L204" s="223">
        <v>4.1714285714285717</v>
      </c>
      <c r="M204" s="224">
        <f t="shared" si="11"/>
        <v>3</v>
      </c>
      <c r="N204" s="100"/>
      <c r="O204" s="100"/>
      <c r="P204" s="100"/>
      <c r="Q204" s="100"/>
      <c r="R204" s="100"/>
      <c r="S204" s="225">
        <v>98.449131513647643</v>
      </c>
      <c r="T204" s="225">
        <v>108.40163934426229</v>
      </c>
      <c r="U204" s="108" t="s">
        <v>1172</v>
      </c>
      <c r="V204" s="35" t="s">
        <v>1188</v>
      </c>
      <c r="W204" s="189" t="s">
        <v>854</v>
      </c>
      <c r="X204" s="35" t="s">
        <v>1043</v>
      </c>
      <c r="Y204" s="11"/>
      <c r="Z204" s="11"/>
      <c r="AA204" s="11"/>
      <c r="AB204" s="59">
        <v>197</v>
      </c>
    </row>
    <row r="205" spans="2:28" s="2" customFormat="1" ht="20" x14ac:dyDescent="0.2">
      <c r="B205" s="108" t="s">
        <v>372</v>
      </c>
      <c r="C205" s="35" t="s">
        <v>75</v>
      </c>
      <c r="D205" s="35" t="s">
        <v>762</v>
      </c>
      <c r="E205" s="109">
        <v>1</v>
      </c>
      <c r="F205" s="108" t="s">
        <v>371</v>
      </c>
      <c r="G205" s="188">
        <v>75</v>
      </c>
      <c r="H205" s="188">
        <f t="shared" si="9"/>
        <v>46.296296296296291</v>
      </c>
      <c r="I205" s="188">
        <v>120</v>
      </c>
      <c r="J205" s="188">
        <f t="shared" si="10"/>
        <v>74.074074074074076</v>
      </c>
      <c r="K205" s="109">
        <v>115</v>
      </c>
      <c r="L205" s="223">
        <f>_xlfn.XLOOKUP($K205,Inputs!$C$6:$C$23,Inputs!$D$6:$D$23)*$I205</f>
        <v>50.057142857142857</v>
      </c>
      <c r="M205" s="224">
        <f t="shared" si="11"/>
        <v>2.479253739246511</v>
      </c>
      <c r="N205" s="100"/>
      <c r="O205" s="100"/>
      <c r="P205" s="100"/>
      <c r="Q205" s="100"/>
      <c r="R205" s="100"/>
      <c r="S205" s="225">
        <f>_xlfn.XLOOKUP($K205,Inputs!$G$6:$G$23,Inputs!$J$6:$J$23)*$M205</f>
        <v>81.360125810260826</v>
      </c>
      <c r="T205" s="225">
        <f>_xlfn.XLOOKUP($K205,Inputs!$G$6:$G$23,Inputs!$K$6:$K$23)*$M205</f>
        <v>89.585056561571335</v>
      </c>
      <c r="U205" s="108" t="s">
        <v>757</v>
      </c>
      <c r="V205" s="107" t="s">
        <v>1037</v>
      </c>
      <c r="W205" s="108" t="s">
        <v>851</v>
      </c>
      <c r="X205" s="107" t="s">
        <v>1046</v>
      </c>
      <c r="Y205" s="11"/>
      <c r="Z205" s="11"/>
      <c r="AA205" s="11"/>
      <c r="AB205" s="59">
        <v>198</v>
      </c>
    </row>
    <row r="206" spans="2:28" s="2" customFormat="1" ht="20" x14ac:dyDescent="0.2">
      <c r="B206" s="108" t="s">
        <v>372</v>
      </c>
      <c r="C206" s="35" t="s">
        <v>75</v>
      </c>
      <c r="D206" s="35" t="s">
        <v>762</v>
      </c>
      <c r="E206" s="109">
        <v>1</v>
      </c>
      <c r="F206" s="108" t="s">
        <v>371</v>
      </c>
      <c r="G206" s="188">
        <v>30</v>
      </c>
      <c r="H206" s="188">
        <f t="shared" si="9"/>
        <v>18.518518518518519</v>
      </c>
      <c r="I206" s="188">
        <v>120</v>
      </c>
      <c r="J206" s="188">
        <f t="shared" si="10"/>
        <v>74.074074074074076</v>
      </c>
      <c r="K206" s="109">
        <v>115</v>
      </c>
      <c r="L206" s="223">
        <f>_xlfn.XLOOKUP($K206,Inputs!$C$6:$C$23,Inputs!$D$6:$D$23)*$I206</f>
        <v>50.057142857142857</v>
      </c>
      <c r="M206" s="224">
        <f t="shared" si="11"/>
        <v>2.479253739246511</v>
      </c>
      <c r="N206" s="100"/>
      <c r="O206" s="100"/>
      <c r="P206" s="100"/>
      <c r="Q206" s="100"/>
      <c r="R206" s="100"/>
      <c r="S206" s="225">
        <f>_xlfn.XLOOKUP($K206,Inputs!$G$6:$G$23,Inputs!$J$6:$J$23)*$M206</f>
        <v>81.360125810260826</v>
      </c>
      <c r="T206" s="225">
        <f>_xlfn.XLOOKUP($K206,Inputs!$G$6:$G$23,Inputs!$K$6:$K$23)*$M206</f>
        <v>89.585056561571335</v>
      </c>
      <c r="U206" s="108" t="s">
        <v>851</v>
      </c>
      <c r="V206" s="107" t="s">
        <v>1046</v>
      </c>
      <c r="W206" s="108" t="s">
        <v>850</v>
      </c>
      <c r="X206" s="107" t="s">
        <v>1110</v>
      </c>
      <c r="Y206" s="11"/>
      <c r="Z206" s="11"/>
      <c r="AA206" s="11"/>
      <c r="AB206" s="59">
        <v>200</v>
      </c>
    </row>
    <row r="207" spans="2:28" s="2" customFormat="1" ht="20" x14ac:dyDescent="0.2">
      <c r="B207" s="108" t="s">
        <v>372</v>
      </c>
      <c r="C207" s="35" t="s">
        <v>75</v>
      </c>
      <c r="D207" s="35" t="s">
        <v>762</v>
      </c>
      <c r="E207" s="109">
        <v>1</v>
      </c>
      <c r="F207" s="108" t="s">
        <v>371</v>
      </c>
      <c r="G207" s="188">
        <v>15</v>
      </c>
      <c r="H207" s="188">
        <f t="shared" si="9"/>
        <v>9.2592592592592595</v>
      </c>
      <c r="I207" s="188">
        <v>120</v>
      </c>
      <c r="J207" s="188">
        <f t="shared" si="10"/>
        <v>74.074074074074076</v>
      </c>
      <c r="K207" s="109">
        <v>115</v>
      </c>
      <c r="L207" s="223">
        <f>_xlfn.XLOOKUP($K207,Inputs!$C$6:$C$23,Inputs!$D$6:$D$23)*$I207</f>
        <v>50.057142857142857</v>
      </c>
      <c r="M207" s="224">
        <f t="shared" si="11"/>
        <v>2.479253739246511</v>
      </c>
      <c r="N207" s="100"/>
      <c r="O207" s="100"/>
      <c r="P207" s="100"/>
      <c r="Q207" s="100"/>
      <c r="R207" s="100"/>
      <c r="S207" s="225">
        <f>_xlfn.XLOOKUP($K207,Inputs!$G$6:$G$23,Inputs!$J$6:$J$23)*$M207</f>
        <v>81.360125810260826</v>
      </c>
      <c r="T207" s="225">
        <f>_xlfn.XLOOKUP($K207,Inputs!$G$6:$G$23,Inputs!$K$6:$K$23)*$M207</f>
        <v>89.585056561571335</v>
      </c>
      <c r="U207" s="108" t="s">
        <v>850</v>
      </c>
      <c r="V207" s="107" t="s">
        <v>1110</v>
      </c>
      <c r="W207" s="108" t="s">
        <v>1287</v>
      </c>
      <c r="X207" s="107" t="s">
        <v>849</v>
      </c>
      <c r="Y207" s="11"/>
      <c r="Z207" s="11"/>
      <c r="AA207" s="11"/>
      <c r="AB207" s="59">
        <v>201</v>
      </c>
    </row>
    <row r="208" spans="2:28" s="2" customFormat="1" ht="20" x14ac:dyDescent="0.2">
      <c r="B208" s="108" t="s">
        <v>344</v>
      </c>
      <c r="C208" s="35" t="s">
        <v>75</v>
      </c>
      <c r="D208" s="35" t="s">
        <v>762</v>
      </c>
      <c r="E208" s="109">
        <v>1</v>
      </c>
      <c r="F208" s="108" t="s">
        <v>371</v>
      </c>
      <c r="G208" s="110">
        <v>4.9733999999999998</v>
      </c>
      <c r="H208" s="110">
        <f t="shared" si="9"/>
        <v>3.07</v>
      </c>
      <c r="I208" s="110">
        <v>4.9733999999999998</v>
      </c>
      <c r="J208" s="110">
        <f t="shared" si="10"/>
        <v>3.07</v>
      </c>
      <c r="K208" s="109">
        <v>115</v>
      </c>
      <c r="L208" s="223">
        <f>_xlfn.XLOOKUP($K208,Inputs!$C$6:$C$23,Inputs!$D$6:$D$23)*$I208</f>
        <v>2.0746182857142856</v>
      </c>
      <c r="M208" s="224">
        <f t="shared" si="11"/>
        <v>3</v>
      </c>
      <c r="N208" s="100"/>
      <c r="O208" s="100"/>
      <c r="P208" s="100"/>
      <c r="Q208" s="100"/>
      <c r="R208" s="100"/>
      <c r="S208" s="225">
        <f>_xlfn.XLOOKUP($K208,Inputs!$G$6:$G$23,Inputs!$J$6:$J$23)*$M208</f>
        <v>98.449131513647643</v>
      </c>
      <c r="T208" s="225">
        <f>_xlfn.XLOOKUP($K208,Inputs!$G$6:$G$23,Inputs!$K$6:$K$23)*$M208</f>
        <v>108.40163934426229</v>
      </c>
      <c r="U208" s="108" t="s">
        <v>751</v>
      </c>
      <c r="V208" s="107" t="s">
        <v>1033</v>
      </c>
      <c r="W208" s="108" t="s">
        <v>694</v>
      </c>
      <c r="X208" s="107" t="s">
        <v>1136</v>
      </c>
      <c r="Y208" s="11"/>
      <c r="Z208" s="11"/>
      <c r="AA208" s="11"/>
      <c r="AB208" s="59">
        <v>202</v>
      </c>
    </row>
    <row r="209" spans="1:28" s="2" customFormat="1" ht="20" x14ac:dyDescent="0.2">
      <c r="B209" s="108" t="s">
        <v>345</v>
      </c>
      <c r="C209" s="35" t="s">
        <v>75</v>
      </c>
      <c r="D209" s="35" t="s">
        <v>762</v>
      </c>
      <c r="E209" s="109">
        <v>1</v>
      </c>
      <c r="F209" s="108" t="s">
        <v>371</v>
      </c>
      <c r="G209" s="110">
        <v>37.616399999999999</v>
      </c>
      <c r="H209" s="110">
        <f t="shared" si="9"/>
        <v>23.22</v>
      </c>
      <c r="I209" s="110">
        <v>37.616399999999999</v>
      </c>
      <c r="J209" s="110">
        <f t="shared" si="10"/>
        <v>23.22</v>
      </c>
      <c r="K209" s="109">
        <v>115</v>
      </c>
      <c r="L209" s="223">
        <f>_xlfn.XLOOKUP($K209,Inputs!$C$6:$C$23,Inputs!$D$6:$D$23)*$I209</f>
        <v>15.691412571428572</v>
      </c>
      <c r="M209" s="224">
        <f t="shared" si="11"/>
        <v>3</v>
      </c>
      <c r="N209" s="100"/>
      <c r="O209" s="100"/>
      <c r="P209" s="100"/>
      <c r="Q209" s="100"/>
      <c r="R209" s="100"/>
      <c r="S209" s="225">
        <f>_xlfn.XLOOKUP($K209,Inputs!$G$6:$G$23,Inputs!$J$6:$J$23)*$M209</f>
        <v>98.449131513647643</v>
      </c>
      <c r="T209" s="225">
        <f>_xlfn.XLOOKUP($K209,Inputs!$G$6:$G$23,Inputs!$K$6:$K$23)*$M209</f>
        <v>108.40163934426229</v>
      </c>
      <c r="U209" s="108" t="s">
        <v>757</v>
      </c>
      <c r="V209" s="107" t="s">
        <v>1037</v>
      </c>
      <c r="W209" s="108" t="s">
        <v>820</v>
      </c>
      <c r="X209" s="107" t="s">
        <v>1029</v>
      </c>
      <c r="Y209" s="11"/>
      <c r="Z209" s="11"/>
      <c r="AA209" s="11"/>
      <c r="AB209" s="59">
        <v>203</v>
      </c>
    </row>
    <row r="210" spans="1:28" s="2" customFormat="1" ht="20" x14ac:dyDescent="0.2">
      <c r="B210" s="189" t="s">
        <v>853</v>
      </c>
      <c r="C210" s="35" t="s">
        <v>75</v>
      </c>
      <c r="D210" s="35" t="s">
        <v>762</v>
      </c>
      <c r="E210" s="196">
        <v>1</v>
      </c>
      <c r="F210" s="189" t="s">
        <v>371</v>
      </c>
      <c r="G210" s="188">
        <v>55</v>
      </c>
      <c r="H210" s="188">
        <f t="shared" si="9"/>
        <v>33.950617283950614</v>
      </c>
      <c r="I210" s="188">
        <v>55</v>
      </c>
      <c r="J210" s="188">
        <f t="shared" si="10"/>
        <v>33.950617283950614</v>
      </c>
      <c r="K210" s="196">
        <v>115</v>
      </c>
      <c r="L210" s="223">
        <f>_xlfn.XLOOKUP($K210,Inputs!$C$6:$C$23,Inputs!$D$6:$D$23)*$I210</f>
        <v>22.942857142857143</v>
      </c>
      <c r="M210" s="224">
        <f t="shared" si="11"/>
        <v>3</v>
      </c>
      <c r="N210" s="100"/>
      <c r="O210" s="100"/>
      <c r="P210" s="100"/>
      <c r="Q210" s="100"/>
      <c r="R210" s="100"/>
      <c r="S210" s="225">
        <f>_xlfn.XLOOKUP($K210,Inputs!$G$6:$G$23,Inputs!$J$6:$J$23)*$M210</f>
        <v>98.449131513647643</v>
      </c>
      <c r="T210" s="225">
        <f>_xlfn.XLOOKUP($K210,Inputs!$G$6:$G$23,Inputs!$K$6:$K$23)*$M210</f>
        <v>108.40163934426229</v>
      </c>
      <c r="U210" s="189" t="s">
        <v>854</v>
      </c>
      <c r="V210" s="107" t="s">
        <v>1043</v>
      </c>
      <c r="W210" s="189" t="s">
        <v>695</v>
      </c>
      <c r="X210" s="107" t="s">
        <v>1113</v>
      </c>
      <c r="Y210" s="11"/>
      <c r="Z210" s="11"/>
      <c r="AA210" s="11"/>
      <c r="AB210" s="59">
        <v>204</v>
      </c>
    </row>
    <row r="211" spans="1:28" s="2" customFormat="1" ht="20" x14ac:dyDescent="0.2">
      <c r="B211" s="108" t="s">
        <v>346</v>
      </c>
      <c r="C211" s="35" t="s">
        <v>75</v>
      </c>
      <c r="D211" s="35" t="s">
        <v>762</v>
      </c>
      <c r="E211" s="109">
        <v>1</v>
      </c>
      <c r="F211" s="108" t="s">
        <v>371</v>
      </c>
      <c r="G211" s="110">
        <v>78.245999999999995</v>
      </c>
      <c r="H211" s="110">
        <f t="shared" si="9"/>
        <v>48.3</v>
      </c>
      <c r="I211" s="110">
        <v>78.245999999999995</v>
      </c>
      <c r="J211" s="110">
        <f t="shared" si="10"/>
        <v>48.3</v>
      </c>
      <c r="K211" s="109">
        <v>115</v>
      </c>
      <c r="L211" s="223">
        <f>_xlfn.XLOOKUP($K211,Inputs!$C$6:$C$23,Inputs!$D$6:$D$23)*$I211</f>
        <v>32.639759999999995</v>
      </c>
      <c r="M211" s="224">
        <f t="shared" si="11"/>
        <v>3</v>
      </c>
      <c r="N211" s="100"/>
      <c r="O211" s="100"/>
      <c r="P211" s="100"/>
      <c r="Q211" s="100"/>
      <c r="R211" s="100"/>
      <c r="S211" s="225">
        <f>_xlfn.XLOOKUP($K211,Inputs!$G$6:$G$23,Inputs!$J$6:$J$23)*$M211</f>
        <v>98.449131513647643</v>
      </c>
      <c r="T211" s="225">
        <f>_xlfn.XLOOKUP($K211,Inputs!$G$6:$G$23,Inputs!$K$6:$K$23)*$M211</f>
        <v>108.40163934426229</v>
      </c>
      <c r="U211" s="108" t="s">
        <v>757</v>
      </c>
      <c r="V211" s="107" t="s">
        <v>1037</v>
      </c>
      <c r="W211" s="108" t="s">
        <v>695</v>
      </c>
      <c r="X211" s="107" t="s">
        <v>1113</v>
      </c>
      <c r="Y211" s="11"/>
      <c r="Z211" s="11"/>
      <c r="AA211" s="11"/>
      <c r="AB211" s="59">
        <v>205</v>
      </c>
    </row>
    <row r="212" spans="1:28" s="2" customFormat="1" ht="20" x14ac:dyDescent="0.2">
      <c r="B212" s="108" t="s">
        <v>347</v>
      </c>
      <c r="C212" s="35" t="s">
        <v>75</v>
      </c>
      <c r="D212" s="35" t="s">
        <v>762</v>
      </c>
      <c r="E212" s="109">
        <v>1</v>
      </c>
      <c r="F212" s="108" t="s">
        <v>371</v>
      </c>
      <c r="G212" s="188">
        <v>40.5</v>
      </c>
      <c r="H212" s="188">
        <f t="shared" si="9"/>
        <v>25</v>
      </c>
      <c r="I212" s="188">
        <v>78.245999999999995</v>
      </c>
      <c r="J212" s="188">
        <f t="shared" si="10"/>
        <v>48.3</v>
      </c>
      <c r="K212" s="109">
        <v>115</v>
      </c>
      <c r="L212" s="223">
        <f>_xlfn.XLOOKUP($K212,Inputs!$C$6:$C$23,Inputs!$D$6:$D$23)*$I212</f>
        <v>32.639759999999995</v>
      </c>
      <c r="M212" s="224">
        <f t="shared" si="11"/>
        <v>3</v>
      </c>
      <c r="N212" s="100"/>
      <c r="O212" s="100"/>
      <c r="P212" s="100"/>
      <c r="Q212" s="100"/>
      <c r="R212" s="100"/>
      <c r="S212" s="225">
        <f>_xlfn.XLOOKUP($K212,Inputs!$G$6:$G$23,Inputs!$J$6:$J$23)*$M212</f>
        <v>98.449131513647643</v>
      </c>
      <c r="T212" s="225">
        <f>_xlfn.XLOOKUP($K212,Inputs!$G$6:$G$23,Inputs!$K$6:$K$23)*$M212</f>
        <v>108.40163934426229</v>
      </c>
      <c r="U212" s="108" t="s">
        <v>757</v>
      </c>
      <c r="V212" s="107" t="s">
        <v>1037</v>
      </c>
      <c r="W212" s="108" t="s">
        <v>878</v>
      </c>
      <c r="X212" s="107" t="s">
        <v>1117</v>
      </c>
      <c r="Y212" s="11" t="s">
        <v>1168</v>
      </c>
      <c r="Z212" s="104"/>
      <c r="AA212" s="104"/>
      <c r="AB212" s="59">
        <v>206</v>
      </c>
    </row>
    <row r="213" spans="1:28" s="2" customFormat="1" ht="20" x14ac:dyDescent="0.2">
      <c r="B213" s="108" t="s">
        <v>347</v>
      </c>
      <c r="C213" s="35" t="s">
        <v>75</v>
      </c>
      <c r="D213" s="35" t="s">
        <v>762</v>
      </c>
      <c r="E213" s="109">
        <v>1</v>
      </c>
      <c r="F213" s="108" t="s">
        <v>371</v>
      </c>
      <c r="G213" s="188">
        <v>13.446000000000002</v>
      </c>
      <c r="H213" s="188">
        <f t="shared" si="9"/>
        <v>8.3000000000000007</v>
      </c>
      <c r="I213" s="188">
        <v>78.245999999999995</v>
      </c>
      <c r="J213" s="188">
        <f t="shared" si="10"/>
        <v>48.3</v>
      </c>
      <c r="K213" s="109">
        <v>115</v>
      </c>
      <c r="L213" s="223">
        <f>_xlfn.XLOOKUP($K213,Inputs!$C$6:$C$23,Inputs!$D$6:$D$23)*$I213</f>
        <v>32.639759999999995</v>
      </c>
      <c r="M213" s="224">
        <f t="shared" si="11"/>
        <v>3</v>
      </c>
      <c r="N213" s="100"/>
      <c r="O213" s="100"/>
      <c r="P213" s="100"/>
      <c r="Q213" s="100"/>
      <c r="R213" s="100"/>
      <c r="S213" s="225">
        <f>_xlfn.XLOOKUP($K213,Inputs!$G$6:$G$23,Inputs!$J$6:$J$23)*$M213</f>
        <v>98.449131513647643</v>
      </c>
      <c r="T213" s="225">
        <f>_xlfn.XLOOKUP($K213,Inputs!$G$6:$G$23,Inputs!$K$6:$K$23)*$M213</f>
        <v>108.40163934426229</v>
      </c>
      <c r="U213" s="108" t="s">
        <v>878</v>
      </c>
      <c r="V213" s="107" t="s">
        <v>1117</v>
      </c>
      <c r="W213" s="108" t="s">
        <v>799</v>
      </c>
      <c r="X213" s="107" t="s">
        <v>1039</v>
      </c>
      <c r="Y213" s="11" t="s">
        <v>1168</v>
      </c>
      <c r="Z213" s="104"/>
      <c r="AA213" s="104"/>
      <c r="AB213" s="59">
        <v>207</v>
      </c>
    </row>
    <row r="214" spans="1:28" s="2" customFormat="1" ht="20" x14ac:dyDescent="0.2">
      <c r="B214" s="108" t="s">
        <v>347</v>
      </c>
      <c r="C214" s="35" t="s">
        <v>75</v>
      </c>
      <c r="D214" s="35" t="s">
        <v>762</v>
      </c>
      <c r="E214" s="109">
        <v>1</v>
      </c>
      <c r="F214" s="108" t="s">
        <v>371</v>
      </c>
      <c r="G214" s="188">
        <v>24.3</v>
      </c>
      <c r="H214" s="188">
        <f t="shared" si="9"/>
        <v>15</v>
      </c>
      <c r="I214" s="188">
        <v>78.245999999999995</v>
      </c>
      <c r="J214" s="188">
        <f t="shared" si="10"/>
        <v>48.3</v>
      </c>
      <c r="K214" s="109">
        <v>115</v>
      </c>
      <c r="L214" s="223">
        <f>_xlfn.XLOOKUP($K214,Inputs!$C$6:$C$23,Inputs!$D$6:$D$23)*$I214</f>
        <v>32.639759999999995</v>
      </c>
      <c r="M214" s="224">
        <f t="shared" si="11"/>
        <v>3</v>
      </c>
      <c r="N214" s="100"/>
      <c r="O214" s="100"/>
      <c r="P214" s="100"/>
      <c r="Q214" s="100"/>
      <c r="R214" s="100"/>
      <c r="S214" s="225">
        <f>_xlfn.XLOOKUP($K214,Inputs!$G$6:$G$23,Inputs!$J$6:$J$23)*$M214</f>
        <v>98.449131513647643</v>
      </c>
      <c r="T214" s="225">
        <f>_xlfn.XLOOKUP($K214,Inputs!$G$6:$G$23,Inputs!$K$6:$K$23)*$M214</f>
        <v>108.40163934426229</v>
      </c>
      <c r="U214" s="108" t="s">
        <v>799</v>
      </c>
      <c r="V214" s="107" t="s">
        <v>1039</v>
      </c>
      <c r="W214" s="108" t="s">
        <v>695</v>
      </c>
      <c r="X214" s="107" t="s">
        <v>1113</v>
      </c>
      <c r="Y214" s="11" t="s">
        <v>1168</v>
      </c>
      <c r="Z214" s="104"/>
      <c r="AA214" s="104"/>
      <c r="AB214" s="59">
        <v>207</v>
      </c>
    </row>
    <row r="215" spans="1:28" s="2" customFormat="1" ht="20" x14ac:dyDescent="0.2">
      <c r="B215" s="108" t="s">
        <v>348</v>
      </c>
      <c r="C215" s="35" t="s">
        <v>75</v>
      </c>
      <c r="D215" s="35" t="s">
        <v>762</v>
      </c>
      <c r="E215" s="109">
        <v>1</v>
      </c>
      <c r="F215" s="108" t="s">
        <v>371</v>
      </c>
      <c r="G215" s="188">
        <v>37.26</v>
      </c>
      <c r="H215" s="188">
        <f t="shared" si="9"/>
        <v>22.999999999999996</v>
      </c>
      <c r="I215" s="188">
        <v>52.26</v>
      </c>
      <c r="J215" s="188">
        <f t="shared" si="10"/>
        <v>32.259259259259252</v>
      </c>
      <c r="K215" s="109">
        <v>115</v>
      </c>
      <c r="L215" s="223">
        <f>_xlfn.XLOOKUP($K215,Inputs!$C$6:$C$23,Inputs!$D$6:$D$23)*$I215</f>
        <v>21.799885714285715</v>
      </c>
      <c r="M215" s="224">
        <f t="shared" si="11"/>
        <v>3</v>
      </c>
      <c r="N215" s="100"/>
      <c r="O215" s="100"/>
      <c r="P215" s="100"/>
      <c r="Q215" s="100"/>
      <c r="R215" s="100"/>
      <c r="S215" s="225">
        <f>_xlfn.XLOOKUP($K215,Inputs!$G$6:$G$23,Inputs!$J$6:$J$23)*$M215</f>
        <v>98.449131513647643</v>
      </c>
      <c r="T215" s="225">
        <f>_xlfn.XLOOKUP($K215,Inputs!$G$6:$G$23,Inputs!$K$6:$K$23)*$M215</f>
        <v>108.40163934426229</v>
      </c>
      <c r="U215" s="108" t="s">
        <v>869</v>
      </c>
      <c r="V215" s="107" t="s">
        <v>1079</v>
      </c>
      <c r="W215" s="108" t="s">
        <v>646</v>
      </c>
      <c r="X215" s="107" t="s">
        <v>1108</v>
      </c>
      <c r="Y215" s="11"/>
      <c r="Z215" s="104"/>
      <c r="AA215" s="104"/>
      <c r="AB215" s="59">
        <v>208</v>
      </c>
    </row>
    <row r="216" spans="1:28" s="2" customFormat="1" ht="20" x14ac:dyDescent="0.2">
      <c r="B216" s="108" t="s">
        <v>348</v>
      </c>
      <c r="C216" s="35" t="s">
        <v>75</v>
      </c>
      <c r="D216" s="35" t="s">
        <v>762</v>
      </c>
      <c r="E216" s="109">
        <v>1</v>
      </c>
      <c r="F216" s="108" t="s">
        <v>371</v>
      </c>
      <c r="G216" s="188">
        <v>15</v>
      </c>
      <c r="H216" s="188">
        <f t="shared" si="9"/>
        <v>9.2592592592592595</v>
      </c>
      <c r="I216" s="188">
        <v>52.26</v>
      </c>
      <c r="J216" s="188">
        <f t="shared" si="10"/>
        <v>32.259259259259252</v>
      </c>
      <c r="K216" s="109">
        <v>115</v>
      </c>
      <c r="L216" s="223">
        <f>_xlfn.XLOOKUP($K216,Inputs!$C$6:$C$23,Inputs!$D$6:$D$23)*$I216</f>
        <v>21.799885714285715</v>
      </c>
      <c r="M216" s="224">
        <f t="shared" si="11"/>
        <v>3</v>
      </c>
      <c r="N216" s="100"/>
      <c r="O216" s="100"/>
      <c r="P216" s="100"/>
      <c r="Q216" s="100"/>
      <c r="R216" s="100"/>
      <c r="S216" s="225">
        <f>_xlfn.XLOOKUP($K216,Inputs!$G$6:$G$23,Inputs!$J$6:$J$23)*$M216</f>
        <v>98.449131513647643</v>
      </c>
      <c r="T216" s="225">
        <f>_xlfn.XLOOKUP($K216,Inputs!$G$6:$G$23,Inputs!$K$6:$K$23)*$M216</f>
        <v>108.40163934426229</v>
      </c>
      <c r="U216" s="108" t="s">
        <v>751</v>
      </c>
      <c r="V216" s="107" t="s">
        <v>1033</v>
      </c>
      <c r="W216" s="108" t="s">
        <v>869</v>
      </c>
      <c r="X216" s="107" t="s">
        <v>1079</v>
      </c>
      <c r="Y216" s="11"/>
      <c r="Z216" s="11"/>
      <c r="AA216" s="11"/>
      <c r="AB216" s="59">
        <v>209</v>
      </c>
    </row>
    <row r="217" spans="1:28" s="2" customFormat="1" ht="20" x14ac:dyDescent="0.2">
      <c r="B217" s="108" t="s">
        <v>349</v>
      </c>
      <c r="C217" s="35" t="s">
        <v>75</v>
      </c>
      <c r="D217" s="35" t="s">
        <v>762</v>
      </c>
      <c r="E217" s="109">
        <v>1</v>
      </c>
      <c r="F217" s="108" t="s">
        <v>371</v>
      </c>
      <c r="G217" s="110">
        <v>2.3814000000000002</v>
      </c>
      <c r="H217" s="110">
        <f t="shared" si="9"/>
        <v>1.47</v>
      </c>
      <c r="I217" s="110">
        <v>2.3814000000000002</v>
      </c>
      <c r="J217" s="110">
        <f t="shared" si="10"/>
        <v>1.47</v>
      </c>
      <c r="K217" s="109">
        <v>115</v>
      </c>
      <c r="L217" s="223">
        <f>_xlfn.XLOOKUP($K217,Inputs!$C$6:$C$23,Inputs!$D$6:$D$23)*$I217</f>
        <v>0.99338400000000004</v>
      </c>
      <c r="M217" s="224">
        <f t="shared" si="11"/>
        <v>3</v>
      </c>
      <c r="N217" s="100"/>
      <c r="O217" s="100"/>
      <c r="P217" s="100"/>
      <c r="Q217" s="100"/>
      <c r="R217" s="100"/>
      <c r="S217" s="225">
        <f>_xlfn.XLOOKUP($K217,Inputs!$G$6:$G$23,Inputs!$J$6:$J$23)*$M217</f>
        <v>98.449131513647643</v>
      </c>
      <c r="T217" s="225">
        <f>_xlfn.XLOOKUP($K217,Inputs!$G$6:$G$23,Inputs!$K$6:$K$23)*$M217</f>
        <v>108.40163934426229</v>
      </c>
      <c r="U217" s="108" t="s">
        <v>757</v>
      </c>
      <c r="V217" s="107" t="s">
        <v>1037</v>
      </c>
      <c r="W217" s="108" t="s">
        <v>645</v>
      </c>
      <c r="X217" s="107" t="s">
        <v>1119</v>
      </c>
      <c r="Y217" s="11"/>
      <c r="Z217" s="11"/>
      <c r="AA217" s="11"/>
      <c r="AB217" s="59">
        <v>210</v>
      </c>
    </row>
    <row r="218" spans="1:28" s="2" customFormat="1" ht="20" x14ac:dyDescent="0.2">
      <c r="B218" s="108" t="s">
        <v>350</v>
      </c>
      <c r="C218" s="35" t="s">
        <v>75</v>
      </c>
      <c r="D218" s="35" t="s">
        <v>762</v>
      </c>
      <c r="E218" s="109">
        <v>1</v>
      </c>
      <c r="F218" s="108" t="s">
        <v>371</v>
      </c>
      <c r="G218" s="110">
        <v>2.7702</v>
      </c>
      <c r="H218" s="110">
        <f t="shared" si="9"/>
        <v>1.71</v>
      </c>
      <c r="I218" s="110">
        <v>2.7702</v>
      </c>
      <c r="J218" s="110">
        <f t="shared" si="10"/>
        <v>1.71</v>
      </c>
      <c r="K218" s="109">
        <v>115</v>
      </c>
      <c r="L218" s="223">
        <f>_xlfn.XLOOKUP($K218,Inputs!$C$6:$C$23,Inputs!$D$6:$D$23)*$I218</f>
        <v>1.1555691428571429</v>
      </c>
      <c r="M218" s="224">
        <f t="shared" si="11"/>
        <v>3</v>
      </c>
      <c r="N218" s="100"/>
      <c r="O218" s="100"/>
      <c r="P218" s="100"/>
      <c r="Q218" s="100"/>
      <c r="R218" s="100"/>
      <c r="S218" s="225">
        <f>_xlfn.XLOOKUP($K218,Inputs!$G$6:$G$23,Inputs!$J$6:$J$23)*$M218</f>
        <v>98.449131513647643</v>
      </c>
      <c r="T218" s="225">
        <f>_xlfn.XLOOKUP($K218,Inputs!$G$6:$G$23,Inputs!$K$6:$K$23)*$M218</f>
        <v>108.40163934426229</v>
      </c>
      <c r="U218" s="108" t="s">
        <v>757</v>
      </c>
      <c r="V218" s="107" t="s">
        <v>1037</v>
      </c>
      <c r="W218" s="108" t="s">
        <v>645</v>
      </c>
      <c r="X218" s="107" t="s">
        <v>1119</v>
      </c>
      <c r="Y218" s="11"/>
      <c r="Z218" s="11"/>
      <c r="AA218" s="11"/>
      <c r="AB218" s="59">
        <v>211</v>
      </c>
    </row>
    <row r="219" spans="1:28" s="2" customFormat="1" ht="20" x14ac:dyDescent="0.2">
      <c r="B219" s="108" t="s">
        <v>351</v>
      </c>
      <c r="C219" s="35" t="s">
        <v>75</v>
      </c>
      <c r="D219" s="35" t="s">
        <v>762</v>
      </c>
      <c r="E219" s="109">
        <v>1</v>
      </c>
      <c r="F219" s="108" t="s">
        <v>371</v>
      </c>
      <c r="G219" s="110">
        <v>2.7702</v>
      </c>
      <c r="H219" s="110">
        <f t="shared" si="9"/>
        <v>1.71</v>
      </c>
      <c r="I219" s="110">
        <v>2.7702</v>
      </c>
      <c r="J219" s="110">
        <f t="shared" si="10"/>
        <v>1.71</v>
      </c>
      <c r="K219" s="109">
        <v>115</v>
      </c>
      <c r="L219" s="223">
        <f>_xlfn.XLOOKUP($K219,Inputs!$C$6:$C$23,Inputs!$D$6:$D$23)*$I219</f>
        <v>1.1555691428571429</v>
      </c>
      <c r="M219" s="224">
        <f t="shared" si="11"/>
        <v>3</v>
      </c>
      <c r="N219" s="100"/>
      <c r="O219" s="100"/>
      <c r="P219" s="100"/>
      <c r="Q219" s="100"/>
      <c r="R219" s="100"/>
      <c r="S219" s="225">
        <f>_xlfn.XLOOKUP($K219,Inputs!$G$6:$G$23,Inputs!$J$6:$J$23)*$M219</f>
        <v>98.449131513647643</v>
      </c>
      <c r="T219" s="225">
        <f>_xlfn.XLOOKUP($K219,Inputs!$G$6:$G$23,Inputs!$K$6:$K$23)*$M219</f>
        <v>108.40163934426229</v>
      </c>
      <c r="U219" s="108" t="s">
        <v>757</v>
      </c>
      <c r="V219" s="107" t="s">
        <v>1037</v>
      </c>
      <c r="W219" s="108" t="s">
        <v>645</v>
      </c>
      <c r="X219" s="107" t="s">
        <v>1119</v>
      </c>
      <c r="Y219" s="11"/>
      <c r="Z219" s="11"/>
      <c r="AA219" s="11"/>
      <c r="AB219" s="59">
        <v>212</v>
      </c>
    </row>
    <row r="220" spans="1:28" s="2" customFormat="1" ht="20" x14ac:dyDescent="0.2">
      <c r="B220" s="108" t="s">
        <v>352</v>
      </c>
      <c r="C220" s="35" t="s">
        <v>75</v>
      </c>
      <c r="D220" s="35" t="s">
        <v>762</v>
      </c>
      <c r="E220" s="109">
        <v>1</v>
      </c>
      <c r="F220" s="108" t="s">
        <v>371</v>
      </c>
      <c r="G220" s="110">
        <v>3.5964000000000005</v>
      </c>
      <c r="H220" s="110">
        <f t="shared" si="9"/>
        <v>2.2200000000000002</v>
      </c>
      <c r="I220" s="110">
        <v>3.5964000000000005</v>
      </c>
      <c r="J220" s="110">
        <f t="shared" si="10"/>
        <v>2.2200000000000002</v>
      </c>
      <c r="K220" s="109">
        <v>115</v>
      </c>
      <c r="L220" s="223">
        <f>_xlfn.XLOOKUP($K220,Inputs!$C$6:$C$23,Inputs!$D$6:$D$23)*$I220</f>
        <v>1.5002125714285717</v>
      </c>
      <c r="M220" s="224">
        <f t="shared" si="11"/>
        <v>3</v>
      </c>
      <c r="N220" s="100"/>
      <c r="O220" s="100"/>
      <c r="P220" s="100"/>
      <c r="Q220" s="100"/>
      <c r="R220" s="100"/>
      <c r="S220" s="225">
        <f>_xlfn.XLOOKUP($K220,Inputs!$G$6:$G$23,Inputs!$J$6:$J$23)*$M220</f>
        <v>98.449131513647643</v>
      </c>
      <c r="T220" s="225">
        <f>_xlfn.XLOOKUP($K220,Inputs!$G$6:$G$23,Inputs!$K$6:$K$23)*$M220</f>
        <v>108.40163934426229</v>
      </c>
      <c r="U220" s="108" t="s">
        <v>757</v>
      </c>
      <c r="V220" s="107" t="s">
        <v>1037</v>
      </c>
      <c r="W220" s="108" t="s">
        <v>645</v>
      </c>
      <c r="X220" s="107" t="s">
        <v>1119</v>
      </c>
      <c r="Y220" s="11"/>
      <c r="Z220" s="11"/>
      <c r="AA220" s="11"/>
      <c r="AB220" s="59">
        <v>213</v>
      </c>
    </row>
    <row r="221" spans="1:28" s="2" customFormat="1" ht="20" x14ac:dyDescent="0.2">
      <c r="B221" s="108" t="s">
        <v>353</v>
      </c>
      <c r="C221" s="35" t="s">
        <v>75</v>
      </c>
      <c r="D221" s="35" t="s">
        <v>762</v>
      </c>
      <c r="E221" s="109">
        <v>1</v>
      </c>
      <c r="F221" s="108" t="s">
        <v>371</v>
      </c>
      <c r="G221" s="110">
        <v>13.283999999999999</v>
      </c>
      <c r="H221" s="110">
        <f t="shared" si="9"/>
        <v>8.1999999999999993</v>
      </c>
      <c r="I221" s="110">
        <v>13.283999999999999</v>
      </c>
      <c r="J221" s="110">
        <f t="shared" si="10"/>
        <v>8.1999999999999993</v>
      </c>
      <c r="K221" s="109">
        <v>115</v>
      </c>
      <c r="L221" s="223">
        <f>_xlfn.XLOOKUP($K221,Inputs!$C$6:$C$23,Inputs!$D$6:$D$23)*$I221</f>
        <v>5.5413257142857137</v>
      </c>
      <c r="M221" s="224">
        <f t="shared" si="11"/>
        <v>3</v>
      </c>
      <c r="N221" s="100"/>
      <c r="O221" s="100"/>
      <c r="P221" s="100"/>
      <c r="Q221" s="100"/>
      <c r="R221" s="100"/>
      <c r="S221" s="225">
        <f>_xlfn.XLOOKUP($K221,Inputs!$G$6:$G$23,Inputs!$J$6:$J$23)*$M221</f>
        <v>98.449131513647643</v>
      </c>
      <c r="T221" s="225">
        <f>_xlfn.XLOOKUP($K221,Inputs!$G$6:$G$23,Inputs!$K$6:$K$23)*$M221</f>
        <v>108.40163934426229</v>
      </c>
      <c r="U221" s="108" t="s">
        <v>733</v>
      </c>
      <c r="V221" s="107" t="s">
        <v>1113</v>
      </c>
      <c r="W221" s="108" t="s">
        <v>696</v>
      </c>
      <c r="X221" s="107" t="s">
        <v>1138</v>
      </c>
      <c r="Y221" s="11"/>
      <c r="Z221" s="11"/>
      <c r="AA221" s="11"/>
      <c r="AB221" s="59">
        <v>215</v>
      </c>
    </row>
    <row r="222" spans="1:28" s="2" customFormat="1" ht="20" x14ac:dyDescent="0.2">
      <c r="A222" s="105"/>
      <c r="B222" s="108" t="s">
        <v>354</v>
      </c>
      <c r="C222" s="35" t="s">
        <v>75</v>
      </c>
      <c r="D222" s="35" t="s">
        <v>762</v>
      </c>
      <c r="E222" s="109">
        <v>1</v>
      </c>
      <c r="F222" s="108" t="s">
        <v>371</v>
      </c>
      <c r="G222" s="110">
        <v>0.81</v>
      </c>
      <c r="H222" s="110">
        <f t="shared" si="9"/>
        <v>0.5</v>
      </c>
      <c r="I222" s="110">
        <v>31.023</v>
      </c>
      <c r="J222" s="110">
        <f t="shared" si="10"/>
        <v>19.149999999999999</v>
      </c>
      <c r="K222" s="109">
        <v>115</v>
      </c>
      <c r="L222" s="223">
        <f>_xlfn.XLOOKUP($K222,Inputs!$C$6:$C$23,Inputs!$D$6:$D$23)*$I222</f>
        <v>12.941022857142856</v>
      </c>
      <c r="M222" s="224">
        <f t="shared" si="11"/>
        <v>3</v>
      </c>
      <c r="N222" s="100"/>
      <c r="O222" s="100"/>
      <c r="P222" s="100"/>
      <c r="Q222" s="100"/>
      <c r="R222" s="100"/>
      <c r="S222" s="225">
        <f>_xlfn.XLOOKUP($K222,Inputs!$G$6:$G$23,Inputs!$J$6:$J$23)*$M222</f>
        <v>98.449131513647643</v>
      </c>
      <c r="T222" s="225">
        <f>_xlfn.XLOOKUP($K222,Inputs!$G$6:$G$23,Inputs!$K$6:$K$23)*$M222</f>
        <v>108.40163934426229</v>
      </c>
      <c r="U222" s="108" t="s">
        <v>733</v>
      </c>
      <c r="V222" s="107" t="s">
        <v>1113</v>
      </c>
      <c r="W222" s="108" t="s">
        <v>862</v>
      </c>
      <c r="X222" s="107" t="s">
        <v>1152</v>
      </c>
      <c r="Y222" s="11"/>
      <c r="Z222" s="11"/>
      <c r="AA222" s="11"/>
      <c r="AB222" s="59">
        <v>216</v>
      </c>
    </row>
    <row r="223" spans="1:28" s="2" customFormat="1" ht="20" x14ac:dyDescent="0.2">
      <c r="A223" s="105"/>
      <c r="B223" s="108" t="s">
        <v>354</v>
      </c>
      <c r="C223" s="35" t="s">
        <v>75</v>
      </c>
      <c r="D223" s="35" t="s">
        <v>762</v>
      </c>
      <c r="E223" s="109">
        <v>1</v>
      </c>
      <c r="F223" s="108" t="s">
        <v>371</v>
      </c>
      <c r="G223" s="110">
        <v>30.213000000000001</v>
      </c>
      <c r="H223" s="110">
        <f t="shared" si="9"/>
        <v>18.649999999999999</v>
      </c>
      <c r="I223" s="110">
        <v>31.023</v>
      </c>
      <c r="J223" s="110">
        <f t="shared" si="10"/>
        <v>19.149999999999999</v>
      </c>
      <c r="K223" s="109">
        <v>115</v>
      </c>
      <c r="L223" s="223">
        <f>_xlfn.XLOOKUP($K223,Inputs!$C$6:$C$23,Inputs!$D$6:$D$23)*$I223</f>
        <v>12.941022857142856</v>
      </c>
      <c r="M223" s="224">
        <f t="shared" si="11"/>
        <v>3</v>
      </c>
      <c r="N223" s="100"/>
      <c r="O223" s="100"/>
      <c r="P223" s="100"/>
      <c r="Q223" s="100"/>
      <c r="R223" s="100"/>
      <c r="S223" s="225">
        <f>_xlfn.XLOOKUP($K223,Inputs!$G$6:$G$23,Inputs!$J$6:$J$23)*$M223</f>
        <v>98.449131513647643</v>
      </c>
      <c r="T223" s="225">
        <f>_xlfn.XLOOKUP($K223,Inputs!$G$6:$G$23,Inputs!$K$6:$K$23)*$M223</f>
        <v>108.40163934426229</v>
      </c>
      <c r="U223" s="108" t="s">
        <v>862</v>
      </c>
      <c r="V223" s="107" t="s">
        <v>1152</v>
      </c>
      <c r="W223" s="108" t="s">
        <v>658</v>
      </c>
      <c r="X223" s="107" t="s">
        <v>1103</v>
      </c>
      <c r="Y223" s="11"/>
      <c r="Z223" s="11"/>
      <c r="AA223" s="11"/>
      <c r="AB223" s="59">
        <v>216</v>
      </c>
    </row>
    <row r="224" spans="1:28" s="2" customFormat="1" ht="20" x14ac:dyDescent="0.2">
      <c r="B224" s="108" t="s">
        <v>355</v>
      </c>
      <c r="C224" s="35" t="s">
        <v>75</v>
      </c>
      <c r="D224" s="35" t="s">
        <v>762</v>
      </c>
      <c r="E224" s="109">
        <v>1</v>
      </c>
      <c r="F224" s="108" t="s">
        <v>371</v>
      </c>
      <c r="G224" s="188">
        <v>12</v>
      </c>
      <c r="H224" s="188">
        <f t="shared" si="9"/>
        <v>7.4074074074074066</v>
      </c>
      <c r="I224" s="188">
        <v>72.5</v>
      </c>
      <c r="J224" s="188">
        <f t="shared" si="10"/>
        <v>44.753086419753082</v>
      </c>
      <c r="K224" s="109">
        <v>115</v>
      </c>
      <c r="L224" s="223">
        <f>_xlfn.XLOOKUP($K224,Inputs!$C$6:$C$23,Inputs!$D$6:$D$23)*$I224</f>
        <v>30.242857142857144</v>
      </c>
      <c r="M224" s="224">
        <f t="shared" si="11"/>
        <v>3</v>
      </c>
      <c r="N224" s="100"/>
      <c r="O224" s="100"/>
      <c r="P224" s="100"/>
      <c r="Q224" s="100"/>
      <c r="R224" s="100"/>
      <c r="S224" s="225">
        <f>_xlfn.XLOOKUP($K224,Inputs!$G$6:$G$23,Inputs!$J$6:$J$23)*$M224</f>
        <v>98.449131513647643</v>
      </c>
      <c r="T224" s="225">
        <f>_xlfn.XLOOKUP($K224,Inputs!$G$6:$G$23,Inputs!$K$6:$K$23)*$M224</f>
        <v>108.40163934426229</v>
      </c>
      <c r="U224" s="108" t="s">
        <v>733</v>
      </c>
      <c r="V224" s="107" t="s">
        <v>1113</v>
      </c>
      <c r="W224" s="108" t="s">
        <v>872</v>
      </c>
      <c r="X224" s="107" t="s">
        <v>1088</v>
      </c>
      <c r="Y224" s="11" t="s">
        <v>1168</v>
      </c>
      <c r="Z224" s="104"/>
      <c r="AA224" s="104"/>
      <c r="AB224" s="59">
        <v>217</v>
      </c>
    </row>
    <row r="225" spans="2:28" s="2" customFormat="1" ht="20" x14ac:dyDescent="0.2">
      <c r="B225" s="108" t="s">
        <v>355</v>
      </c>
      <c r="C225" s="35" t="s">
        <v>75</v>
      </c>
      <c r="D225" s="35" t="s">
        <v>762</v>
      </c>
      <c r="E225" s="109">
        <v>1</v>
      </c>
      <c r="F225" s="108" t="s">
        <v>371</v>
      </c>
      <c r="G225" s="188">
        <v>30</v>
      </c>
      <c r="H225" s="188">
        <f t="shared" si="9"/>
        <v>18.518518518518519</v>
      </c>
      <c r="I225" s="188">
        <v>72.5</v>
      </c>
      <c r="J225" s="188">
        <f t="shared" si="10"/>
        <v>44.753086419753082</v>
      </c>
      <c r="K225" s="109">
        <v>115</v>
      </c>
      <c r="L225" s="223">
        <f>_xlfn.XLOOKUP($K225,Inputs!$C$6:$C$23,Inputs!$D$6:$D$23)*$I225</f>
        <v>30.242857142857144</v>
      </c>
      <c r="M225" s="224">
        <f t="shared" si="11"/>
        <v>3</v>
      </c>
      <c r="N225" s="100"/>
      <c r="O225" s="100"/>
      <c r="P225" s="100"/>
      <c r="Q225" s="100"/>
      <c r="R225" s="100"/>
      <c r="S225" s="225">
        <f>_xlfn.XLOOKUP($K225,Inputs!$G$6:$G$23,Inputs!$J$6:$J$23)*$M225</f>
        <v>98.449131513647643</v>
      </c>
      <c r="T225" s="225">
        <f>_xlfn.XLOOKUP($K225,Inputs!$G$6:$G$23,Inputs!$K$6:$K$23)*$M225</f>
        <v>108.40163934426229</v>
      </c>
      <c r="U225" s="108" t="s">
        <v>872</v>
      </c>
      <c r="V225" s="107" t="s">
        <v>1088</v>
      </c>
      <c r="W225" s="108" t="s">
        <v>798</v>
      </c>
      <c r="X225" s="107" t="s">
        <v>1114</v>
      </c>
      <c r="Y225" s="11" t="s">
        <v>1168</v>
      </c>
      <c r="Z225" s="104"/>
      <c r="AA225" s="104"/>
      <c r="AB225" s="59">
        <v>218</v>
      </c>
    </row>
    <row r="226" spans="2:28" s="2" customFormat="1" ht="20" x14ac:dyDescent="0.2">
      <c r="B226" s="108" t="s">
        <v>355</v>
      </c>
      <c r="C226" s="35" t="s">
        <v>75</v>
      </c>
      <c r="D226" s="35" t="s">
        <v>762</v>
      </c>
      <c r="E226" s="109">
        <v>1</v>
      </c>
      <c r="F226" s="108" t="s">
        <v>371</v>
      </c>
      <c r="G226" s="188">
        <v>30</v>
      </c>
      <c r="H226" s="188">
        <f t="shared" si="9"/>
        <v>18.518518518518519</v>
      </c>
      <c r="I226" s="188">
        <v>72.5</v>
      </c>
      <c r="J226" s="188">
        <f t="shared" si="10"/>
        <v>44.753086419753082</v>
      </c>
      <c r="K226" s="109">
        <v>115</v>
      </c>
      <c r="L226" s="223">
        <f>_xlfn.XLOOKUP($K226,Inputs!$C$6:$C$23,Inputs!$D$6:$D$23)*$I226</f>
        <v>30.242857142857144</v>
      </c>
      <c r="M226" s="224">
        <f t="shared" si="11"/>
        <v>3</v>
      </c>
      <c r="N226" s="100"/>
      <c r="O226" s="100"/>
      <c r="P226" s="100"/>
      <c r="Q226" s="100"/>
      <c r="R226" s="100"/>
      <c r="S226" s="225">
        <f>_xlfn.XLOOKUP($K226,Inputs!$G$6:$G$23,Inputs!$J$6:$J$23)*$M226</f>
        <v>98.449131513647643</v>
      </c>
      <c r="T226" s="225">
        <f>_xlfn.XLOOKUP($K226,Inputs!$G$6:$G$23,Inputs!$K$6:$K$23)*$M226</f>
        <v>108.40163934426229</v>
      </c>
      <c r="U226" s="108" t="s">
        <v>798</v>
      </c>
      <c r="V226" s="107" t="s">
        <v>1114</v>
      </c>
      <c r="W226" s="108" t="s">
        <v>861</v>
      </c>
      <c r="X226" s="107" t="s">
        <v>1055</v>
      </c>
      <c r="Y226" s="11" t="s">
        <v>1168</v>
      </c>
      <c r="Z226" s="104"/>
      <c r="AA226" s="104"/>
      <c r="AB226" s="59">
        <v>219</v>
      </c>
    </row>
    <row r="227" spans="2:28" s="2" customFormat="1" ht="20" x14ac:dyDescent="0.2">
      <c r="B227" s="189" t="s">
        <v>355</v>
      </c>
      <c r="C227" s="35" t="s">
        <v>75</v>
      </c>
      <c r="D227" s="35" t="s">
        <v>762</v>
      </c>
      <c r="E227" s="196">
        <v>1</v>
      </c>
      <c r="F227" s="189" t="s">
        <v>371</v>
      </c>
      <c r="G227" s="195">
        <v>0.5</v>
      </c>
      <c r="H227" s="195">
        <f t="shared" si="9"/>
        <v>0.30864197530864196</v>
      </c>
      <c r="I227" s="195">
        <v>72.5</v>
      </c>
      <c r="J227" s="195">
        <f t="shared" si="10"/>
        <v>44.753086419753082</v>
      </c>
      <c r="K227" s="196">
        <v>115</v>
      </c>
      <c r="L227" s="223">
        <f>_xlfn.XLOOKUP($K227,Inputs!$C$6:$C$23,Inputs!$D$6:$D$23)*$I227</f>
        <v>30.242857142857144</v>
      </c>
      <c r="M227" s="224">
        <f t="shared" si="11"/>
        <v>3</v>
      </c>
      <c r="N227" s="100"/>
      <c r="O227" s="100"/>
      <c r="P227" s="100"/>
      <c r="Q227" s="100"/>
      <c r="R227" s="100"/>
      <c r="S227" s="225">
        <f>_xlfn.XLOOKUP($K227,Inputs!$G$6:$G$23,Inputs!$J$6:$J$23)*$M227</f>
        <v>98.449131513647643</v>
      </c>
      <c r="T227" s="225">
        <f>_xlfn.XLOOKUP($K227,Inputs!$G$6:$G$23,Inputs!$K$6:$K$23)*$M227</f>
        <v>108.40163934426229</v>
      </c>
      <c r="U227" s="189" t="s">
        <v>861</v>
      </c>
      <c r="V227" s="107" t="s">
        <v>1055</v>
      </c>
      <c r="W227" s="189" t="s">
        <v>751</v>
      </c>
      <c r="X227" s="107" t="s">
        <v>1033</v>
      </c>
      <c r="Y227" s="11" t="s">
        <v>1168</v>
      </c>
      <c r="Z227" s="104"/>
      <c r="AA227" s="104"/>
      <c r="AB227" s="59">
        <v>220</v>
      </c>
    </row>
    <row r="228" spans="2:28" s="2" customFormat="1" ht="20" x14ac:dyDescent="0.2">
      <c r="B228" s="108" t="s">
        <v>356</v>
      </c>
      <c r="C228" s="35" t="s">
        <v>75</v>
      </c>
      <c r="D228" s="35" t="s">
        <v>762</v>
      </c>
      <c r="E228" s="109">
        <v>1</v>
      </c>
      <c r="F228" s="108" t="s">
        <v>371</v>
      </c>
      <c r="G228" s="110">
        <v>16.054200000000002</v>
      </c>
      <c r="H228" s="110">
        <f t="shared" si="9"/>
        <v>9.91</v>
      </c>
      <c r="I228" s="110">
        <v>16.054200000000002</v>
      </c>
      <c r="J228" s="110">
        <f t="shared" si="10"/>
        <v>9.91</v>
      </c>
      <c r="K228" s="109">
        <v>115</v>
      </c>
      <c r="L228" s="223">
        <f>_xlfn.XLOOKUP($K228,Inputs!$C$6:$C$23,Inputs!$D$6:$D$23)*$I228</f>
        <v>6.6968948571428575</v>
      </c>
      <c r="M228" s="224">
        <f t="shared" si="11"/>
        <v>3</v>
      </c>
      <c r="N228" s="100"/>
      <c r="O228" s="100"/>
      <c r="P228" s="100"/>
      <c r="Q228" s="100"/>
      <c r="R228" s="100"/>
      <c r="S228" s="225">
        <f>_xlfn.XLOOKUP($K228,Inputs!$G$6:$G$23,Inputs!$J$6:$J$23)*$M228</f>
        <v>98.449131513647643</v>
      </c>
      <c r="T228" s="225">
        <f>_xlfn.XLOOKUP($K228,Inputs!$G$6:$G$23,Inputs!$K$6:$K$23)*$M228</f>
        <v>108.40163934426229</v>
      </c>
      <c r="U228" s="108" t="s">
        <v>733</v>
      </c>
      <c r="V228" s="107" t="s">
        <v>1113</v>
      </c>
      <c r="W228" s="108" t="s">
        <v>646</v>
      </c>
      <c r="X228" s="107" t="s">
        <v>1108</v>
      </c>
      <c r="Y228" s="11"/>
      <c r="Z228" s="11"/>
      <c r="AA228" s="11"/>
      <c r="AB228" s="59">
        <v>221</v>
      </c>
    </row>
    <row r="229" spans="2:28" s="2" customFormat="1" ht="20" x14ac:dyDescent="0.2">
      <c r="B229" s="108" t="s">
        <v>357</v>
      </c>
      <c r="C229" s="35" t="s">
        <v>75</v>
      </c>
      <c r="D229" s="35" t="s">
        <v>762</v>
      </c>
      <c r="E229" s="109">
        <v>1</v>
      </c>
      <c r="F229" s="108" t="s">
        <v>371</v>
      </c>
      <c r="G229" s="110">
        <v>16.054200000000002</v>
      </c>
      <c r="H229" s="110">
        <f t="shared" si="9"/>
        <v>9.91</v>
      </c>
      <c r="I229" s="110">
        <v>16.054200000000002</v>
      </c>
      <c r="J229" s="110">
        <f t="shared" si="10"/>
        <v>9.91</v>
      </c>
      <c r="K229" s="109">
        <v>115</v>
      </c>
      <c r="L229" s="223">
        <f>_xlfn.XLOOKUP($K229,Inputs!$C$6:$C$23,Inputs!$D$6:$D$23)*$I229</f>
        <v>6.6968948571428575</v>
      </c>
      <c r="M229" s="224">
        <f t="shared" si="11"/>
        <v>3</v>
      </c>
      <c r="N229" s="100"/>
      <c r="O229" s="100"/>
      <c r="P229" s="100"/>
      <c r="Q229" s="100"/>
      <c r="R229" s="100"/>
      <c r="S229" s="225">
        <f>_xlfn.XLOOKUP($K229,Inputs!$G$6:$G$23,Inputs!$J$6:$J$23)*$M229</f>
        <v>98.449131513647643</v>
      </c>
      <c r="T229" s="225">
        <f>_xlfn.XLOOKUP($K229,Inputs!$G$6:$G$23,Inputs!$K$6:$K$23)*$M229</f>
        <v>108.40163934426229</v>
      </c>
      <c r="U229" s="108" t="s">
        <v>733</v>
      </c>
      <c r="V229" s="107" t="s">
        <v>1113</v>
      </c>
      <c r="W229" s="108" t="s">
        <v>646</v>
      </c>
      <c r="X229" s="107" t="s">
        <v>1108</v>
      </c>
      <c r="Y229" s="11"/>
      <c r="Z229" s="11"/>
      <c r="AA229" s="11"/>
      <c r="AB229" s="59">
        <v>222</v>
      </c>
    </row>
    <row r="230" spans="2:28" s="2" customFormat="1" ht="20" x14ac:dyDescent="0.2">
      <c r="B230" s="108" t="s">
        <v>293</v>
      </c>
      <c r="C230" s="35" t="s">
        <v>75</v>
      </c>
      <c r="D230" s="35" t="s">
        <v>762</v>
      </c>
      <c r="E230" s="109">
        <v>1</v>
      </c>
      <c r="F230" s="108" t="s">
        <v>371</v>
      </c>
      <c r="G230" s="110">
        <v>1.2636000000000001</v>
      </c>
      <c r="H230" s="110">
        <f t="shared" si="9"/>
        <v>0.78</v>
      </c>
      <c r="I230" s="110">
        <v>1.2636000000000001</v>
      </c>
      <c r="J230" s="110">
        <f t="shared" si="10"/>
        <v>0.78</v>
      </c>
      <c r="K230" s="109">
        <v>138</v>
      </c>
      <c r="L230" s="223">
        <f>_xlfn.XLOOKUP($K230,Inputs!$C$6:$C$23,Inputs!$D$6:$D$23)*$I230</f>
        <v>0.54786085714285726</v>
      </c>
      <c r="M230" s="224">
        <f t="shared" si="11"/>
        <v>3</v>
      </c>
      <c r="N230" s="100"/>
      <c r="O230" s="100"/>
      <c r="P230" s="100"/>
      <c r="Q230" s="100"/>
      <c r="R230" s="100"/>
      <c r="S230" s="225">
        <f>_xlfn.XLOOKUP($K230,Inputs!$G$6:$G$23,Inputs!$J$6:$J$23)*$M230</f>
        <v>141</v>
      </c>
      <c r="T230" s="225">
        <f>_xlfn.XLOOKUP($K230,Inputs!$G$6:$G$23,Inputs!$K$6:$K$23)*$M230</f>
        <v>156</v>
      </c>
      <c r="U230" s="108" t="s">
        <v>654</v>
      </c>
      <c r="V230" s="107" t="s">
        <v>1067</v>
      </c>
      <c r="W230" s="108" t="s">
        <v>651</v>
      </c>
      <c r="X230" s="107" t="s">
        <v>1083</v>
      </c>
      <c r="Y230" s="11"/>
      <c r="Z230" s="11"/>
      <c r="AA230" s="11"/>
      <c r="AB230" s="59">
        <v>223</v>
      </c>
    </row>
    <row r="231" spans="2:28" s="2" customFormat="1" ht="20" x14ac:dyDescent="0.2">
      <c r="B231" s="108" t="s">
        <v>274</v>
      </c>
      <c r="C231" s="35" t="s">
        <v>75</v>
      </c>
      <c r="D231" s="35" t="s">
        <v>762</v>
      </c>
      <c r="E231" s="109">
        <v>1</v>
      </c>
      <c r="F231" s="108" t="s">
        <v>371</v>
      </c>
      <c r="G231" s="110">
        <v>233.78220000000002</v>
      </c>
      <c r="H231" s="110">
        <f t="shared" si="9"/>
        <v>144.31</v>
      </c>
      <c r="I231" s="110">
        <v>233.78220000000002</v>
      </c>
      <c r="J231" s="110">
        <f t="shared" si="10"/>
        <v>144.31</v>
      </c>
      <c r="K231" s="109">
        <v>230</v>
      </c>
      <c r="L231" s="223">
        <f>_xlfn.XLOOKUP($K231,Inputs!$C$6:$C$23,Inputs!$D$6:$D$23)*$I231</f>
        <v>112.215456</v>
      </c>
      <c r="M231" s="224">
        <f t="shared" si="11"/>
        <v>1.5970181915483199</v>
      </c>
      <c r="N231" s="100"/>
      <c r="O231" s="100"/>
      <c r="P231" s="100"/>
      <c r="Q231" s="100"/>
      <c r="R231" s="100"/>
      <c r="S231" s="225">
        <f>_xlfn.XLOOKUP($K231,Inputs!$G$6:$G$23,Inputs!$J$6:$J$23)*$M231</f>
        <v>214.00043766747487</v>
      </c>
      <c r="T231" s="225">
        <f>_xlfn.XLOOKUP($K231,Inputs!$G$6:$G$23,Inputs!$K$6:$K$23)*$M231</f>
        <v>231.56763777450638</v>
      </c>
      <c r="U231" s="108" t="s">
        <v>712</v>
      </c>
      <c r="V231" s="107" t="s">
        <v>1040</v>
      </c>
      <c r="W231" s="108" t="s">
        <v>659</v>
      </c>
      <c r="X231" s="107" t="s">
        <v>1101</v>
      </c>
      <c r="Y231" s="11"/>
      <c r="Z231" s="104"/>
      <c r="AA231" s="104"/>
      <c r="AB231" s="59">
        <v>224</v>
      </c>
    </row>
    <row r="232" spans="2:28" s="2" customFormat="1" ht="20" x14ac:dyDescent="0.2">
      <c r="B232" s="108" t="s">
        <v>358</v>
      </c>
      <c r="C232" s="35" t="s">
        <v>75</v>
      </c>
      <c r="D232" s="35" t="s">
        <v>762</v>
      </c>
      <c r="E232" s="109">
        <v>1</v>
      </c>
      <c r="F232" s="108" t="s">
        <v>371</v>
      </c>
      <c r="G232" s="110">
        <v>92.761200000000002</v>
      </c>
      <c r="H232" s="110">
        <f t="shared" si="9"/>
        <v>57.26</v>
      </c>
      <c r="I232" s="110">
        <v>92.761200000000002</v>
      </c>
      <c r="J232" s="110">
        <f t="shared" si="10"/>
        <v>57.26</v>
      </c>
      <c r="K232" s="109">
        <v>115</v>
      </c>
      <c r="L232" s="223">
        <f>_xlfn.XLOOKUP($K232,Inputs!$C$6:$C$23,Inputs!$D$6:$D$23)*$I232</f>
        <v>38.694672000000004</v>
      </c>
      <c r="M232" s="224">
        <f t="shared" si="11"/>
        <v>2.9380751193150214</v>
      </c>
      <c r="N232" s="100"/>
      <c r="O232" s="100"/>
      <c r="P232" s="100"/>
      <c r="Q232" s="100"/>
      <c r="R232" s="100"/>
      <c r="S232" s="225">
        <f>_xlfn.XLOOKUP($K232,Inputs!$G$6:$G$23,Inputs!$J$6:$J$23)*$M232</f>
        <v>96.416981272806851</v>
      </c>
      <c r="T232" s="225">
        <f>_xlfn.XLOOKUP($K232,Inputs!$G$6:$G$23,Inputs!$K$6:$K$23)*$M232</f>
        <v>106.16405315011247</v>
      </c>
      <c r="U232" s="108" t="s">
        <v>659</v>
      </c>
      <c r="V232" s="107" t="s">
        <v>1101</v>
      </c>
      <c r="W232" s="108" t="s">
        <v>644</v>
      </c>
      <c r="X232" s="107" t="s">
        <v>1093</v>
      </c>
      <c r="Y232" s="11"/>
      <c r="Z232" s="104"/>
      <c r="AA232" s="104"/>
      <c r="AB232" s="59">
        <v>225</v>
      </c>
    </row>
    <row r="233" spans="2:28" s="2" customFormat="1" ht="20" x14ac:dyDescent="0.2">
      <c r="B233" s="108" t="s">
        <v>275</v>
      </c>
      <c r="C233" s="35" t="s">
        <v>75</v>
      </c>
      <c r="D233" s="35" t="s">
        <v>762</v>
      </c>
      <c r="E233" s="109">
        <v>1</v>
      </c>
      <c r="F233" s="108" t="s">
        <v>371</v>
      </c>
      <c r="G233" s="110">
        <v>100.27800000000001</v>
      </c>
      <c r="H233" s="110">
        <f t="shared" si="9"/>
        <v>61.9</v>
      </c>
      <c r="I233" s="110">
        <v>100.27800000000001</v>
      </c>
      <c r="J233" s="110">
        <f t="shared" si="10"/>
        <v>61.9</v>
      </c>
      <c r="K233" s="109">
        <v>230</v>
      </c>
      <c r="L233" s="223">
        <f>_xlfn.XLOOKUP($K233,Inputs!$C$6:$C$23,Inputs!$D$6:$D$23)*$I233</f>
        <v>48.13344</v>
      </c>
      <c r="M233" s="224">
        <f t="shared" si="11"/>
        <v>2.7909102684977434</v>
      </c>
      <c r="N233" s="100"/>
      <c r="O233" s="100"/>
      <c r="P233" s="100"/>
      <c r="Q233" s="100"/>
      <c r="R233" s="100"/>
      <c r="S233" s="225">
        <f>_xlfn.XLOOKUP($K233,Inputs!$G$6:$G$23,Inputs!$J$6:$J$23)*$M233</f>
        <v>373.98197597869762</v>
      </c>
      <c r="T233" s="225">
        <f>_xlfn.XLOOKUP($K233,Inputs!$G$6:$G$23,Inputs!$K$6:$K$23)*$M233</f>
        <v>404.68198893217277</v>
      </c>
      <c r="U233" s="108" t="s">
        <v>648</v>
      </c>
      <c r="V233" s="107" t="s">
        <v>1115</v>
      </c>
      <c r="W233" s="108" t="s">
        <v>649</v>
      </c>
      <c r="X233" s="107" t="s">
        <v>1139</v>
      </c>
      <c r="Y233" s="11"/>
      <c r="Z233" s="104"/>
      <c r="AA233" s="104"/>
      <c r="AB233" s="59">
        <v>226</v>
      </c>
    </row>
    <row r="234" spans="2:28" s="2" customFormat="1" ht="20" x14ac:dyDescent="0.2">
      <c r="B234" s="108" t="s">
        <v>276</v>
      </c>
      <c r="C234" s="35" t="s">
        <v>75</v>
      </c>
      <c r="D234" s="35" t="s">
        <v>762</v>
      </c>
      <c r="E234" s="109">
        <v>1</v>
      </c>
      <c r="F234" s="108" t="s">
        <v>371</v>
      </c>
      <c r="G234" s="110">
        <v>89.262000000000015</v>
      </c>
      <c r="H234" s="110">
        <f t="shared" si="9"/>
        <v>55.100000000000009</v>
      </c>
      <c r="I234" s="110">
        <v>89.262000000000015</v>
      </c>
      <c r="J234" s="110">
        <f t="shared" si="10"/>
        <v>55.100000000000009</v>
      </c>
      <c r="K234" s="109">
        <v>230</v>
      </c>
      <c r="L234" s="223">
        <f>_xlfn.XLOOKUP($K234,Inputs!$C$6:$C$23,Inputs!$D$6:$D$23)*$I234</f>
        <v>42.845760000000006</v>
      </c>
      <c r="M234" s="224">
        <f t="shared" si="11"/>
        <v>3</v>
      </c>
      <c r="N234" s="100"/>
      <c r="O234" s="100"/>
      <c r="P234" s="100"/>
      <c r="Q234" s="100"/>
      <c r="R234" s="100"/>
      <c r="S234" s="225">
        <f>_xlfn.XLOOKUP($K234,Inputs!$G$6:$G$23,Inputs!$J$6:$J$23)*$M234</f>
        <v>402</v>
      </c>
      <c r="T234" s="225">
        <f>_xlfn.XLOOKUP($K234,Inputs!$G$6:$G$23,Inputs!$K$6:$K$23)*$M234</f>
        <v>435</v>
      </c>
      <c r="U234" s="108" t="s">
        <v>648</v>
      </c>
      <c r="V234" s="107" t="s">
        <v>1115</v>
      </c>
      <c r="W234" s="108" t="s">
        <v>697</v>
      </c>
      <c r="X234" s="107" t="s">
        <v>1100</v>
      </c>
      <c r="Y234" s="11"/>
      <c r="Z234" s="104"/>
      <c r="AA234" s="104"/>
      <c r="AB234" s="59">
        <v>227</v>
      </c>
    </row>
    <row r="235" spans="2:28" s="2" customFormat="1" ht="20" x14ac:dyDescent="0.2">
      <c r="B235" s="148" t="s">
        <v>556</v>
      </c>
      <c r="C235" s="35" t="s">
        <v>75</v>
      </c>
      <c r="D235" s="35" t="s">
        <v>762</v>
      </c>
      <c r="E235" s="149">
        <v>1</v>
      </c>
      <c r="F235" s="148" t="s">
        <v>371</v>
      </c>
      <c r="G235" s="149">
        <v>119</v>
      </c>
      <c r="H235" s="149">
        <f t="shared" si="9"/>
        <v>73.456790123456784</v>
      </c>
      <c r="I235" s="149">
        <v>119</v>
      </c>
      <c r="J235" s="149">
        <f t="shared" si="10"/>
        <v>73.456790123456784</v>
      </c>
      <c r="K235" s="149">
        <v>230</v>
      </c>
      <c r="L235" s="223">
        <f>_xlfn.XLOOKUP($K235,Inputs!$C$6:$C$23,Inputs!$D$6:$D$23)*$I235</f>
        <v>57.12</v>
      </c>
      <c r="M235" s="224">
        <f t="shared" si="11"/>
        <v>2.4929742210574939</v>
      </c>
      <c r="N235" s="100"/>
      <c r="O235" s="100"/>
      <c r="P235" s="100"/>
      <c r="Q235" s="100"/>
      <c r="R235" s="100"/>
      <c r="S235" s="225">
        <f>_xlfn.XLOOKUP($K235,Inputs!$G$6:$G$23,Inputs!$J$6:$J$23)*$M235</f>
        <v>334.05854562170418</v>
      </c>
      <c r="T235" s="225">
        <f>_xlfn.XLOOKUP($K235,Inputs!$G$6:$G$23,Inputs!$K$6:$K$23)*$M235</f>
        <v>361.48126205333659</v>
      </c>
      <c r="U235" s="148" t="s">
        <v>709</v>
      </c>
      <c r="V235" s="107" t="s">
        <v>1073</v>
      </c>
      <c r="W235" s="148" t="s">
        <v>646</v>
      </c>
      <c r="X235" s="107" t="s">
        <v>1108</v>
      </c>
      <c r="Y235" s="11"/>
      <c r="Z235" s="141"/>
      <c r="AA235" s="141"/>
      <c r="AB235" s="59">
        <v>228</v>
      </c>
    </row>
    <row r="236" spans="2:28" s="2" customFormat="1" ht="20" x14ac:dyDescent="0.2">
      <c r="B236" s="139" t="s">
        <v>547</v>
      </c>
      <c r="C236" s="35" t="s">
        <v>75</v>
      </c>
      <c r="D236" s="35" t="s">
        <v>762</v>
      </c>
      <c r="E236" s="140">
        <v>1</v>
      </c>
      <c r="F236" s="139" t="s">
        <v>546</v>
      </c>
      <c r="G236" s="126">
        <v>895</v>
      </c>
      <c r="H236" s="126">
        <f t="shared" si="9"/>
        <v>552.46913580246905</v>
      </c>
      <c r="I236" s="126">
        <v>895</v>
      </c>
      <c r="J236" s="126">
        <f t="shared" si="10"/>
        <v>552.46913580246905</v>
      </c>
      <c r="K236" s="140">
        <v>463.5</v>
      </c>
      <c r="L236" s="100"/>
      <c r="M236" s="231"/>
      <c r="N236" s="100"/>
      <c r="O236" s="100"/>
      <c r="P236" s="100"/>
      <c r="Q236" s="100"/>
      <c r="R236" s="100"/>
      <c r="S236" s="140">
        <v>927</v>
      </c>
      <c r="T236" s="140">
        <v>927</v>
      </c>
      <c r="U236" s="139" t="s">
        <v>786</v>
      </c>
      <c r="V236" s="107" t="s">
        <v>1032</v>
      </c>
      <c r="W236" s="139" t="s">
        <v>737</v>
      </c>
      <c r="X236" s="107" t="s">
        <v>1127</v>
      </c>
      <c r="Y236" s="11"/>
      <c r="Z236" s="141"/>
      <c r="AA236" s="141"/>
      <c r="AB236" s="59">
        <v>229</v>
      </c>
    </row>
    <row r="237" spans="2:28" s="2" customFormat="1" ht="20" x14ac:dyDescent="0.2">
      <c r="B237" s="139" t="s">
        <v>548</v>
      </c>
      <c r="C237" s="35" t="s">
        <v>75</v>
      </c>
      <c r="D237" s="35" t="s">
        <v>762</v>
      </c>
      <c r="E237" s="140">
        <v>1</v>
      </c>
      <c r="F237" s="139" t="s">
        <v>546</v>
      </c>
      <c r="G237" s="126">
        <v>895</v>
      </c>
      <c r="H237" s="126">
        <f t="shared" si="9"/>
        <v>552.46913580246905</v>
      </c>
      <c r="I237" s="126">
        <v>895</v>
      </c>
      <c r="J237" s="126">
        <f t="shared" si="10"/>
        <v>552.46913580246905</v>
      </c>
      <c r="K237" s="140">
        <v>463.5</v>
      </c>
      <c r="L237" s="100"/>
      <c r="M237" s="231"/>
      <c r="N237" s="100"/>
      <c r="O237" s="100"/>
      <c r="P237" s="100"/>
      <c r="Q237" s="100"/>
      <c r="R237" s="100"/>
      <c r="S237" s="140">
        <v>927</v>
      </c>
      <c r="T237" s="140">
        <v>927</v>
      </c>
      <c r="U237" s="139" t="s">
        <v>786</v>
      </c>
      <c r="V237" s="107" t="s">
        <v>1032</v>
      </c>
      <c r="W237" s="139" t="s">
        <v>737</v>
      </c>
      <c r="X237" s="107" t="s">
        <v>1127</v>
      </c>
      <c r="Y237" s="11"/>
      <c r="Z237" s="141"/>
      <c r="AA237" s="141"/>
      <c r="AB237" s="59">
        <v>230</v>
      </c>
    </row>
    <row r="238" spans="2:28" s="2" customFormat="1" ht="20" x14ac:dyDescent="0.2">
      <c r="B238" s="139" t="s">
        <v>558</v>
      </c>
      <c r="C238" s="35" t="s">
        <v>75</v>
      </c>
      <c r="D238" s="35" t="s">
        <v>762</v>
      </c>
      <c r="E238" s="140">
        <v>1</v>
      </c>
      <c r="F238" s="139" t="s">
        <v>546</v>
      </c>
      <c r="G238" s="126">
        <v>937</v>
      </c>
      <c r="H238" s="126">
        <f t="shared" si="9"/>
        <v>578.39506172839504</v>
      </c>
      <c r="I238" s="126">
        <v>937</v>
      </c>
      <c r="J238" s="126">
        <f t="shared" si="10"/>
        <v>578.39506172839504</v>
      </c>
      <c r="K238" s="140">
        <v>500</v>
      </c>
      <c r="L238" s="100"/>
      <c r="M238" s="231"/>
      <c r="N238" s="100"/>
      <c r="O238" s="100"/>
      <c r="P238" s="100"/>
      <c r="Q238" s="100"/>
      <c r="R238" s="100"/>
      <c r="S238" s="140">
        <v>1000</v>
      </c>
      <c r="T238" s="140">
        <v>1000</v>
      </c>
      <c r="U238" s="139" t="s">
        <v>738</v>
      </c>
      <c r="V238" s="107" t="s">
        <v>1064</v>
      </c>
      <c r="W238" s="139" t="s">
        <v>737</v>
      </c>
      <c r="X238" s="107" t="s">
        <v>1127</v>
      </c>
      <c r="Y238" s="11"/>
      <c r="Z238" s="11"/>
      <c r="AA238" s="11"/>
      <c r="AB238" s="59">
        <v>231</v>
      </c>
    </row>
    <row r="239" spans="2:28" s="2" customFormat="1" ht="20" x14ac:dyDescent="0.2">
      <c r="B239" s="139" t="s">
        <v>557</v>
      </c>
      <c r="C239" s="35" t="s">
        <v>75</v>
      </c>
      <c r="D239" s="35" t="s">
        <v>762</v>
      </c>
      <c r="E239" s="140">
        <v>1</v>
      </c>
      <c r="F239" s="139" t="s">
        <v>546</v>
      </c>
      <c r="G239" s="126">
        <v>937</v>
      </c>
      <c r="H239" s="126">
        <f t="shared" si="9"/>
        <v>578.39506172839504</v>
      </c>
      <c r="I239" s="126">
        <v>937</v>
      </c>
      <c r="J239" s="126">
        <f t="shared" si="10"/>
        <v>578.39506172839504</v>
      </c>
      <c r="K239" s="140">
        <v>500</v>
      </c>
      <c r="L239" s="100"/>
      <c r="M239" s="231"/>
      <c r="N239" s="100"/>
      <c r="O239" s="100"/>
      <c r="P239" s="100"/>
      <c r="Q239" s="100"/>
      <c r="R239" s="100"/>
      <c r="S239" s="140">
        <v>1000</v>
      </c>
      <c r="T239" s="140">
        <v>1000</v>
      </c>
      <c r="U239" s="139" t="s">
        <v>738</v>
      </c>
      <c r="V239" s="107" t="s">
        <v>1064</v>
      </c>
      <c r="W239" s="139" t="s">
        <v>737</v>
      </c>
      <c r="X239" s="107" t="s">
        <v>1127</v>
      </c>
      <c r="Y239" s="11"/>
      <c r="Z239" s="11"/>
      <c r="AA239" s="11"/>
      <c r="AB239" s="59">
        <v>232</v>
      </c>
    </row>
    <row r="240" spans="2:28" s="2" customFormat="1" ht="20" x14ac:dyDescent="0.2">
      <c r="B240" s="139" t="s">
        <v>567</v>
      </c>
      <c r="C240" s="35" t="s">
        <v>75</v>
      </c>
      <c r="D240" s="35" t="s">
        <v>762</v>
      </c>
      <c r="E240" s="140">
        <v>1</v>
      </c>
      <c r="F240" s="139" t="s">
        <v>546</v>
      </c>
      <c r="G240" s="159">
        <v>1376</v>
      </c>
      <c r="H240" s="159">
        <f t="shared" si="9"/>
        <v>849.38271604938268</v>
      </c>
      <c r="I240" s="159">
        <v>1376</v>
      </c>
      <c r="J240" s="159">
        <f t="shared" si="10"/>
        <v>849.38271604938268</v>
      </c>
      <c r="K240" s="140">
        <v>500</v>
      </c>
      <c r="L240" s="100"/>
      <c r="M240" s="231"/>
      <c r="N240" s="100"/>
      <c r="O240" s="100"/>
      <c r="P240" s="100"/>
      <c r="Q240" s="100"/>
      <c r="R240" s="100"/>
      <c r="S240" s="140">
        <v>1000</v>
      </c>
      <c r="T240" s="140">
        <v>1000</v>
      </c>
      <c r="U240" s="139" t="s">
        <v>736</v>
      </c>
      <c r="V240" s="107" t="s">
        <v>1069</v>
      </c>
      <c r="W240" s="139" t="s">
        <v>739</v>
      </c>
      <c r="X240" s="107" t="s">
        <v>1141</v>
      </c>
      <c r="Y240" s="11"/>
      <c r="Z240" s="245"/>
      <c r="AA240" s="245"/>
      <c r="AB240" s="59">
        <v>233</v>
      </c>
    </row>
    <row r="241" spans="2:28" s="2" customFormat="1" ht="20" x14ac:dyDescent="0.2">
      <c r="B241" s="139" t="s">
        <v>566</v>
      </c>
      <c r="C241" s="35" t="s">
        <v>75</v>
      </c>
      <c r="D241" s="35" t="s">
        <v>762</v>
      </c>
      <c r="E241" s="140">
        <v>1</v>
      </c>
      <c r="F241" s="139" t="s">
        <v>546</v>
      </c>
      <c r="G241" s="159">
        <v>1376</v>
      </c>
      <c r="H241" s="159">
        <f t="shared" si="9"/>
        <v>849.38271604938268</v>
      </c>
      <c r="I241" s="159">
        <v>1376</v>
      </c>
      <c r="J241" s="159">
        <f t="shared" si="10"/>
        <v>849.38271604938268</v>
      </c>
      <c r="K241" s="140">
        <v>500</v>
      </c>
      <c r="L241" s="100"/>
      <c r="M241" s="231"/>
      <c r="N241" s="100"/>
      <c r="O241" s="100"/>
      <c r="P241" s="100"/>
      <c r="Q241" s="100"/>
      <c r="R241" s="100"/>
      <c r="S241" s="140">
        <v>1000</v>
      </c>
      <c r="T241" s="140">
        <v>1000</v>
      </c>
      <c r="U241" s="139" t="s">
        <v>736</v>
      </c>
      <c r="V241" s="107" t="s">
        <v>1069</v>
      </c>
      <c r="W241" s="139" t="s">
        <v>739</v>
      </c>
      <c r="X241" s="107" t="s">
        <v>1141</v>
      </c>
      <c r="Y241" s="11"/>
      <c r="Z241" s="245"/>
      <c r="AA241" s="245"/>
      <c r="AB241" s="59">
        <v>234</v>
      </c>
    </row>
    <row r="242" spans="2:28" s="2" customFormat="1" ht="20" x14ac:dyDescent="0.2">
      <c r="B242" s="108" t="s">
        <v>359</v>
      </c>
      <c r="C242" s="35" t="s">
        <v>75</v>
      </c>
      <c r="D242" s="35" t="s">
        <v>762</v>
      </c>
      <c r="E242" s="109">
        <v>1</v>
      </c>
      <c r="F242" s="108" t="s">
        <v>371</v>
      </c>
      <c r="G242" s="110">
        <v>13.753800000000002</v>
      </c>
      <c r="H242" s="110">
        <f t="shared" si="9"/>
        <v>8.49</v>
      </c>
      <c r="I242" s="110">
        <v>27.507600000000004</v>
      </c>
      <c r="J242" s="110">
        <f t="shared" si="10"/>
        <v>16.98</v>
      </c>
      <c r="K242" s="109">
        <v>115</v>
      </c>
      <c r="L242" s="223">
        <f>_xlfn.XLOOKUP($K242,Inputs!$C$6:$C$23,Inputs!$D$6:$D$23)*$I242</f>
        <v>11.474598857142858</v>
      </c>
      <c r="M242" s="224">
        <f t="shared" ref="M242:M274" si="12">IF((42.4*(J242)^(-0.6595))&gt;=3,3,(IF(42.4*(J242)^(-0.6595)&lt;=0.5,0.5,(42.4*(J242)^(-0.6595)))))</f>
        <v>3</v>
      </c>
      <c r="N242" s="100"/>
      <c r="O242" s="100"/>
      <c r="P242" s="100"/>
      <c r="Q242" s="100"/>
      <c r="R242" s="100"/>
      <c r="S242" s="225">
        <f>_xlfn.XLOOKUP($K242,Inputs!$G$6:$G$23,Inputs!$J$6:$J$23)*$M242</f>
        <v>98.449131513647643</v>
      </c>
      <c r="T242" s="225">
        <f>_xlfn.XLOOKUP($K242,Inputs!$G$6:$G$23,Inputs!$K$6:$K$23)*$M242</f>
        <v>108.40163934426229</v>
      </c>
      <c r="U242" s="112" t="s">
        <v>646</v>
      </c>
      <c r="V242" s="107" t="s">
        <v>1108</v>
      </c>
      <c r="W242" s="108" t="s">
        <v>860</v>
      </c>
      <c r="X242" s="107" t="s">
        <v>1053</v>
      </c>
      <c r="Y242" s="11" t="s">
        <v>1168</v>
      </c>
      <c r="Z242" s="11"/>
      <c r="AA242" s="11"/>
      <c r="AB242" s="59">
        <v>235</v>
      </c>
    </row>
    <row r="243" spans="2:28" s="2" customFormat="1" ht="20" x14ac:dyDescent="0.2">
      <c r="B243" s="108" t="s">
        <v>359</v>
      </c>
      <c r="C243" s="35" t="s">
        <v>75</v>
      </c>
      <c r="D243" s="35" t="s">
        <v>762</v>
      </c>
      <c r="E243" s="109">
        <v>1</v>
      </c>
      <c r="F243" s="108" t="s">
        <v>371</v>
      </c>
      <c r="G243" s="110">
        <v>13.753800000000002</v>
      </c>
      <c r="H243" s="110">
        <f t="shared" si="9"/>
        <v>8.49</v>
      </c>
      <c r="I243" s="110">
        <v>27.507600000000004</v>
      </c>
      <c r="J243" s="110">
        <f t="shared" si="10"/>
        <v>16.98</v>
      </c>
      <c r="K243" s="109">
        <v>115</v>
      </c>
      <c r="L243" s="223">
        <f>_xlfn.XLOOKUP($K243,Inputs!$C$6:$C$23,Inputs!$D$6:$D$23)*$I243</f>
        <v>11.474598857142858</v>
      </c>
      <c r="M243" s="224">
        <f t="shared" si="12"/>
        <v>3</v>
      </c>
      <c r="N243" s="100"/>
      <c r="O243" s="100"/>
      <c r="P243" s="100"/>
      <c r="Q243" s="100"/>
      <c r="R243" s="100"/>
      <c r="S243" s="225">
        <f>_xlfn.XLOOKUP($K243,Inputs!$G$6:$G$23,Inputs!$J$6:$J$23)*$M243</f>
        <v>98.449131513647643</v>
      </c>
      <c r="T243" s="225">
        <f>_xlfn.XLOOKUP($K243,Inputs!$G$6:$G$23,Inputs!$K$6:$K$23)*$M243</f>
        <v>108.40163934426229</v>
      </c>
      <c r="U243" s="108" t="s">
        <v>860</v>
      </c>
      <c r="V243" s="107" t="s">
        <v>1053</v>
      </c>
      <c r="W243" s="112" t="s">
        <v>698</v>
      </c>
      <c r="X243" s="107" t="s">
        <v>1129</v>
      </c>
      <c r="Y243" s="11" t="s">
        <v>1168</v>
      </c>
      <c r="Z243" s="11"/>
      <c r="AA243" s="11"/>
      <c r="AB243" s="59">
        <v>236</v>
      </c>
    </row>
    <row r="244" spans="2:28" s="2" customFormat="1" ht="20" x14ac:dyDescent="0.2">
      <c r="B244" s="189" t="s">
        <v>841</v>
      </c>
      <c r="C244" s="35" t="s">
        <v>75</v>
      </c>
      <c r="D244" s="35" t="s">
        <v>762</v>
      </c>
      <c r="E244" s="196">
        <v>1</v>
      </c>
      <c r="F244" s="189" t="s">
        <v>371</v>
      </c>
      <c r="G244" s="195">
        <v>52</v>
      </c>
      <c r="H244" s="195">
        <f t="shared" si="9"/>
        <v>32.098765432098766</v>
      </c>
      <c r="I244" s="195">
        <v>64</v>
      </c>
      <c r="J244" s="195">
        <f t="shared" si="10"/>
        <v>39.506172839506171</v>
      </c>
      <c r="K244" s="196">
        <v>115</v>
      </c>
      <c r="L244" s="223">
        <f>_xlfn.XLOOKUP($K244,Inputs!$C$6:$C$23,Inputs!$D$6:$D$23)*$I244</f>
        <v>26.697142857142858</v>
      </c>
      <c r="M244" s="224">
        <f t="shared" si="12"/>
        <v>3</v>
      </c>
      <c r="N244" s="100"/>
      <c r="O244" s="100"/>
      <c r="P244" s="100"/>
      <c r="Q244" s="100"/>
      <c r="R244" s="100"/>
      <c r="S244" s="225">
        <f>_xlfn.XLOOKUP($K244,Inputs!$G$6:$G$23,Inputs!$J$6:$J$23)*$M244</f>
        <v>98.449131513647643</v>
      </c>
      <c r="T244" s="225">
        <f>_xlfn.XLOOKUP($K244,Inputs!$G$6:$G$23,Inputs!$K$6:$K$23)*$M244</f>
        <v>108.40163934426229</v>
      </c>
      <c r="U244" s="197" t="s">
        <v>646</v>
      </c>
      <c r="V244" s="107" t="s">
        <v>1108</v>
      </c>
      <c r="W244" s="197" t="s">
        <v>873</v>
      </c>
      <c r="X244" s="107" t="s">
        <v>1095</v>
      </c>
      <c r="Y244" s="11"/>
      <c r="Z244" s="11"/>
      <c r="AA244" s="11"/>
      <c r="AB244" s="59">
        <v>237</v>
      </c>
    </row>
    <row r="245" spans="2:28" s="2" customFormat="1" ht="20" x14ac:dyDescent="0.2">
      <c r="B245" s="189" t="s">
        <v>841</v>
      </c>
      <c r="C245" s="35" t="s">
        <v>75</v>
      </c>
      <c r="D245" s="35" t="s">
        <v>762</v>
      </c>
      <c r="E245" s="196">
        <v>1</v>
      </c>
      <c r="F245" s="189" t="s">
        <v>371</v>
      </c>
      <c r="G245" s="195">
        <v>12</v>
      </c>
      <c r="H245" s="195">
        <f t="shared" si="9"/>
        <v>7.4074074074074066</v>
      </c>
      <c r="I245" s="195">
        <v>64</v>
      </c>
      <c r="J245" s="195">
        <f t="shared" si="10"/>
        <v>39.506172839506171</v>
      </c>
      <c r="K245" s="196">
        <v>115</v>
      </c>
      <c r="L245" s="223">
        <f>_xlfn.XLOOKUP($K245,Inputs!$C$6:$C$23,Inputs!$D$6:$D$23)*$I245</f>
        <v>26.697142857142858</v>
      </c>
      <c r="M245" s="224">
        <f t="shared" si="12"/>
        <v>3</v>
      </c>
      <c r="N245" s="100"/>
      <c r="O245" s="100"/>
      <c r="P245" s="100"/>
      <c r="Q245" s="100"/>
      <c r="R245" s="100"/>
      <c r="S245" s="225">
        <f>_xlfn.XLOOKUP($K245,Inputs!$G$6:$G$23,Inputs!$J$6:$J$23)*$M245</f>
        <v>98.449131513647643</v>
      </c>
      <c r="T245" s="225">
        <f>_xlfn.XLOOKUP($K245,Inputs!$G$6:$G$23,Inputs!$K$6:$K$23)*$M245</f>
        <v>108.40163934426229</v>
      </c>
      <c r="U245" s="197" t="s">
        <v>873</v>
      </c>
      <c r="V245" s="107" t="s">
        <v>1095</v>
      </c>
      <c r="W245" s="197" t="s">
        <v>847</v>
      </c>
      <c r="X245" s="107" t="s">
        <v>1128</v>
      </c>
      <c r="Y245" s="11"/>
      <c r="Z245" s="11"/>
      <c r="AA245" s="11"/>
      <c r="AB245" s="59">
        <v>238</v>
      </c>
    </row>
    <row r="246" spans="2:28" s="2" customFormat="1" ht="20" x14ac:dyDescent="0.2">
      <c r="B246" s="108" t="s">
        <v>360</v>
      </c>
      <c r="C246" s="35" t="s">
        <v>75</v>
      </c>
      <c r="D246" s="35" t="s">
        <v>762</v>
      </c>
      <c r="E246" s="109">
        <v>1</v>
      </c>
      <c r="F246" s="108" t="s">
        <v>371</v>
      </c>
      <c r="G246" s="110">
        <v>3.9204000000000003</v>
      </c>
      <c r="H246" s="110">
        <f t="shared" si="9"/>
        <v>2.42</v>
      </c>
      <c r="I246" s="110">
        <v>3.9204000000000003</v>
      </c>
      <c r="J246" s="110">
        <f t="shared" si="10"/>
        <v>2.42</v>
      </c>
      <c r="K246" s="109">
        <v>115</v>
      </c>
      <c r="L246" s="223">
        <f>_xlfn.XLOOKUP($K246,Inputs!$C$6:$C$23,Inputs!$D$6:$D$23)*$I246</f>
        <v>1.6353668571428572</v>
      </c>
      <c r="M246" s="224">
        <f t="shared" si="12"/>
        <v>3</v>
      </c>
      <c r="N246" s="100"/>
      <c r="O246" s="100"/>
      <c r="P246" s="100"/>
      <c r="Q246" s="100"/>
      <c r="R246" s="100"/>
      <c r="S246" s="225">
        <f>_xlfn.XLOOKUP($K246,Inputs!$G$6:$G$23,Inputs!$J$6:$J$23)*$M246</f>
        <v>98.449131513647643</v>
      </c>
      <c r="T246" s="225">
        <f>_xlfn.XLOOKUP($K246,Inputs!$G$6:$G$23,Inputs!$K$6:$K$23)*$M246</f>
        <v>108.40163934426229</v>
      </c>
      <c r="U246" s="112" t="s">
        <v>646</v>
      </c>
      <c r="V246" s="107" t="s">
        <v>1108</v>
      </c>
      <c r="W246" s="112" t="s">
        <v>696</v>
      </c>
      <c r="X246" s="107" t="s">
        <v>1138</v>
      </c>
      <c r="Y246" s="11"/>
      <c r="Z246" s="11"/>
      <c r="AA246" s="11"/>
      <c r="AB246" s="59">
        <v>239</v>
      </c>
    </row>
    <row r="247" spans="2:28" s="2" customFormat="1" ht="20" x14ac:dyDescent="0.2">
      <c r="B247" s="189" t="s">
        <v>842</v>
      </c>
      <c r="C247" s="35" t="s">
        <v>75</v>
      </c>
      <c r="D247" s="35" t="s">
        <v>762</v>
      </c>
      <c r="E247" s="196">
        <v>1</v>
      </c>
      <c r="F247" s="189" t="s">
        <v>371</v>
      </c>
      <c r="G247" s="195">
        <v>52</v>
      </c>
      <c r="H247" s="195">
        <f t="shared" si="9"/>
        <v>32.098765432098766</v>
      </c>
      <c r="I247" s="195">
        <v>64</v>
      </c>
      <c r="J247" s="195">
        <f t="shared" si="10"/>
        <v>39.506172839506171</v>
      </c>
      <c r="K247" s="196">
        <v>115</v>
      </c>
      <c r="L247" s="223">
        <f>_xlfn.XLOOKUP($K247,Inputs!$C$6:$C$23,Inputs!$D$6:$D$23)*$I247</f>
        <v>26.697142857142858</v>
      </c>
      <c r="M247" s="224">
        <f t="shared" si="12"/>
        <v>3</v>
      </c>
      <c r="N247" s="100"/>
      <c r="O247" s="100"/>
      <c r="P247" s="100"/>
      <c r="Q247" s="100"/>
      <c r="R247" s="100"/>
      <c r="S247" s="225">
        <f>_xlfn.XLOOKUP($K247,Inputs!$G$6:$G$23,Inputs!$J$6:$J$23)*$M247</f>
        <v>98.449131513647643</v>
      </c>
      <c r="T247" s="225">
        <f>_xlfn.XLOOKUP($K247,Inputs!$G$6:$G$23,Inputs!$K$6:$K$23)*$M247</f>
        <v>108.40163934426229</v>
      </c>
      <c r="U247" s="197" t="s">
        <v>646</v>
      </c>
      <c r="V247" s="107" t="s">
        <v>1108</v>
      </c>
      <c r="W247" s="197" t="s">
        <v>873</v>
      </c>
      <c r="X247" s="107" t="s">
        <v>1095</v>
      </c>
      <c r="Y247" s="11"/>
      <c r="Z247" s="11"/>
      <c r="AA247" s="11"/>
      <c r="AB247" s="59">
        <v>240</v>
      </c>
    </row>
    <row r="248" spans="2:28" s="2" customFormat="1" ht="20" x14ac:dyDescent="0.2">
      <c r="B248" s="189" t="s">
        <v>842</v>
      </c>
      <c r="C248" s="35" t="s">
        <v>75</v>
      </c>
      <c r="D248" s="35" t="s">
        <v>762</v>
      </c>
      <c r="E248" s="196">
        <v>1</v>
      </c>
      <c r="F248" s="189" t="s">
        <v>371</v>
      </c>
      <c r="G248" s="195">
        <v>12</v>
      </c>
      <c r="H248" s="195">
        <f t="shared" si="9"/>
        <v>7.4074074074074066</v>
      </c>
      <c r="I248" s="195">
        <v>64</v>
      </c>
      <c r="J248" s="195">
        <f t="shared" si="10"/>
        <v>39.506172839506171</v>
      </c>
      <c r="K248" s="196">
        <v>115</v>
      </c>
      <c r="L248" s="223">
        <f>_xlfn.XLOOKUP($K248,Inputs!$C$6:$C$23,Inputs!$D$6:$D$23)*$I248</f>
        <v>26.697142857142858</v>
      </c>
      <c r="M248" s="224">
        <f t="shared" si="12"/>
        <v>3</v>
      </c>
      <c r="N248" s="100"/>
      <c r="O248" s="100"/>
      <c r="P248" s="100"/>
      <c r="Q248" s="100"/>
      <c r="R248" s="100"/>
      <c r="S248" s="225">
        <f>_xlfn.XLOOKUP($K248,Inputs!$G$6:$G$23,Inputs!$J$6:$J$23)*$M248</f>
        <v>98.449131513647643</v>
      </c>
      <c r="T248" s="225">
        <f>_xlfn.XLOOKUP($K248,Inputs!$G$6:$G$23,Inputs!$K$6:$K$23)*$M248</f>
        <v>108.40163934426229</v>
      </c>
      <c r="U248" s="197" t="s">
        <v>873</v>
      </c>
      <c r="V248" s="107" t="s">
        <v>1095</v>
      </c>
      <c r="W248" s="197" t="s">
        <v>847</v>
      </c>
      <c r="X248" s="107" t="s">
        <v>1128</v>
      </c>
      <c r="Y248" s="11"/>
      <c r="Z248" s="11"/>
      <c r="AA248" s="11"/>
      <c r="AB248" s="59">
        <v>241</v>
      </c>
    </row>
    <row r="249" spans="2:28" s="2" customFormat="1" ht="20" x14ac:dyDescent="0.2">
      <c r="B249" s="108" t="s">
        <v>361</v>
      </c>
      <c r="C249" s="35" t="s">
        <v>75</v>
      </c>
      <c r="D249" s="35" t="s">
        <v>762</v>
      </c>
      <c r="E249" s="109">
        <v>1</v>
      </c>
      <c r="F249" s="108" t="s">
        <v>371</v>
      </c>
      <c r="G249" s="110">
        <v>14.6448</v>
      </c>
      <c r="H249" s="110">
        <f t="shared" si="9"/>
        <v>9.0399999999999991</v>
      </c>
      <c r="I249" s="110">
        <v>14.6448</v>
      </c>
      <c r="J249" s="110">
        <f t="shared" si="10"/>
        <v>9.0399999999999991</v>
      </c>
      <c r="K249" s="109">
        <v>115</v>
      </c>
      <c r="L249" s="223">
        <f>_xlfn.XLOOKUP($K249,Inputs!$C$6:$C$23,Inputs!$D$6:$D$23)*$I249</f>
        <v>6.1089737142857148</v>
      </c>
      <c r="M249" s="224">
        <f t="shared" si="12"/>
        <v>3</v>
      </c>
      <c r="N249" s="100"/>
      <c r="O249" s="100"/>
      <c r="P249" s="100"/>
      <c r="Q249" s="100"/>
      <c r="R249" s="100"/>
      <c r="S249" s="225">
        <f>_xlfn.XLOOKUP($K249,Inputs!$G$6:$G$23,Inputs!$J$6:$J$23)*$M249</f>
        <v>98.449131513647643</v>
      </c>
      <c r="T249" s="225">
        <f>_xlfn.XLOOKUP($K249,Inputs!$G$6:$G$23,Inputs!$K$6:$K$23)*$M249</f>
        <v>108.40163934426229</v>
      </c>
      <c r="U249" s="112" t="s">
        <v>646</v>
      </c>
      <c r="V249" s="107" t="s">
        <v>1108</v>
      </c>
      <c r="W249" s="112" t="s">
        <v>699</v>
      </c>
      <c r="X249" s="107" t="s">
        <v>1144</v>
      </c>
      <c r="Y249" s="11"/>
      <c r="Z249" s="104"/>
      <c r="AA249" s="104"/>
      <c r="AB249" s="59">
        <v>242</v>
      </c>
    </row>
    <row r="250" spans="2:28" s="2" customFormat="1" ht="20" x14ac:dyDescent="0.2">
      <c r="B250" s="108" t="s">
        <v>277</v>
      </c>
      <c r="C250" s="35" t="s">
        <v>75</v>
      </c>
      <c r="D250" s="35" t="s">
        <v>762</v>
      </c>
      <c r="E250" s="109">
        <v>1</v>
      </c>
      <c r="F250" s="108" t="s">
        <v>371</v>
      </c>
      <c r="G250" s="110">
        <v>138.78540000000001</v>
      </c>
      <c r="H250" s="110">
        <f t="shared" si="9"/>
        <v>85.67</v>
      </c>
      <c r="I250" s="110">
        <v>138.78540000000001</v>
      </c>
      <c r="J250" s="110">
        <f t="shared" si="10"/>
        <v>85.67</v>
      </c>
      <c r="K250" s="109">
        <v>230</v>
      </c>
      <c r="L250" s="223">
        <f>_xlfn.XLOOKUP($K250,Inputs!$C$6:$C$23,Inputs!$D$6:$D$23)*$I250</f>
        <v>66.616991999999996</v>
      </c>
      <c r="M250" s="224">
        <f t="shared" si="12"/>
        <v>2.2525025163737071</v>
      </c>
      <c r="N250" s="100"/>
      <c r="O250" s="100"/>
      <c r="P250" s="100"/>
      <c r="Q250" s="100"/>
      <c r="R250" s="100"/>
      <c r="S250" s="225">
        <f>_xlfn.XLOOKUP($K250,Inputs!$G$6:$G$23,Inputs!$J$6:$J$23)*$M250</f>
        <v>301.83533719407677</v>
      </c>
      <c r="T250" s="225">
        <f>_xlfn.XLOOKUP($K250,Inputs!$G$6:$G$23,Inputs!$K$6:$K$23)*$M250</f>
        <v>326.61286487418755</v>
      </c>
      <c r="U250" s="108" t="s">
        <v>759</v>
      </c>
      <c r="V250" s="107" t="s">
        <v>1038</v>
      </c>
      <c r="W250" s="108" t="s">
        <v>685</v>
      </c>
      <c r="X250" s="107" t="s">
        <v>1065</v>
      </c>
      <c r="Y250" s="11"/>
      <c r="Z250" s="104"/>
      <c r="AA250" s="104"/>
      <c r="AB250" s="59">
        <v>243</v>
      </c>
    </row>
    <row r="251" spans="2:28" s="2" customFormat="1" ht="20" x14ac:dyDescent="0.2">
      <c r="B251" s="108" t="s">
        <v>278</v>
      </c>
      <c r="C251" s="35" t="s">
        <v>75</v>
      </c>
      <c r="D251" s="35" t="s">
        <v>762</v>
      </c>
      <c r="E251" s="109">
        <v>1</v>
      </c>
      <c r="F251" s="108" t="s">
        <v>371</v>
      </c>
      <c r="G251" s="110">
        <v>138.78540000000001</v>
      </c>
      <c r="H251" s="110">
        <f t="shared" si="9"/>
        <v>85.67</v>
      </c>
      <c r="I251" s="110">
        <v>138.78540000000001</v>
      </c>
      <c r="J251" s="110">
        <f t="shared" si="10"/>
        <v>85.67</v>
      </c>
      <c r="K251" s="109">
        <v>230</v>
      </c>
      <c r="L251" s="223">
        <f>_xlfn.XLOOKUP($K251,Inputs!$C$6:$C$23,Inputs!$D$6:$D$23)*$I251</f>
        <v>66.616991999999996</v>
      </c>
      <c r="M251" s="224">
        <f t="shared" si="12"/>
        <v>2.2525025163737071</v>
      </c>
      <c r="N251" s="100"/>
      <c r="O251" s="100"/>
      <c r="P251" s="100"/>
      <c r="Q251" s="100"/>
      <c r="R251" s="100"/>
      <c r="S251" s="225">
        <f>_xlfn.XLOOKUP($K251,Inputs!$G$6:$G$23,Inputs!$J$6:$J$23)*$M251</f>
        <v>301.83533719407677</v>
      </c>
      <c r="T251" s="225">
        <f>_xlfn.XLOOKUP($K251,Inputs!$G$6:$G$23,Inputs!$K$6:$K$23)*$M251</f>
        <v>326.61286487418755</v>
      </c>
      <c r="U251" s="108" t="s">
        <v>759</v>
      </c>
      <c r="V251" s="107" t="s">
        <v>1038</v>
      </c>
      <c r="W251" s="108" t="s">
        <v>685</v>
      </c>
      <c r="X251" s="107" t="s">
        <v>1065</v>
      </c>
      <c r="Y251" s="11"/>
      <c r="Z251" s="11"/>
      <c r="AA251" s="11"/>
      <c r="AB251" s="59">
        <v>244</v>
      </c>
    </row>
    <row r="252" spans="2:28" s="2" customFormat="1" ht="20" x14ac:dyDescent="0.2">
      <c r="B252" s="108" t="s">
        <v>279</v>
      </c>
      <c r="C252" s="35" t="s">
        <v>75</v>
      </c>
      <c r="D252" s="35" t="s">
        <v>762</v>
      </c>
      <c r="E252" s="109">
        <v>1</v>
      </c>
      <c r="F252" s="108" t="s">
        <v>371</v>
      </c>
      <c r="G252" s="110">
        <v>45.295200000000001</v>
      </c>
      <c r="H252" s="110">
        <f t="shared" si="9"/>
        <v>27.959999999999997</v>
      </c>
      <c r="I252" s="110">
        <v>45.295200000000001</v>
      </c>
      <c r="J252" s="110">
        <f t="shared" si="10"/>
        <v>27.959999999999997</v>
      </c>
      <c r="K252" s="109">
        <v>230</v>
      </c>
      <c r="L252" s="223">
        <f>_xlfn.XLOOKUP($K252,Inputs!$C$6:$C$23,Inputs!$D$6:$D$23)*$I252</f>
        <v>21.741696000000001</v>
      </c>
      <c r="M252" s="224">
        <f t="shared" si="12"/>
        <v>3</v>
      </c>
      <c r="N252" s="100"/>
      <c r="O252" s="100"/>
      <c r="P252" s="100"/>
      <c r="Q252" s="100"/>
      <c r="R252" s="100"/>
      <c r="S252" s="225">
        <f>_xlfn.XLOOKUP($K252,Inputs!$G$6:$G$23,Inputs!$J$6:$J$23)*$M252</f>
        <v>402</v>
      </c>
      <c r="T252" s="225">
        <f>_xlfn.XLOOKUP($K252,Inputs!$G$6:$G$23,Inputs!$K$6:$K$23)*$M252</f>
        <v>435</v>
      </c>
      <c r="U252" s="108" t="s">
        <v>759</v>
      </c>
      <c r="V252" s="107" t="s">
        <v>1038</v>
      </c>
      <c r="W252" s="108" t="s">
        <v>679</v>
      </c>
      <c r="X252" s="107" t="s">
        <v>1044</v>
      </c>
      <c r="Y252" s="11"/>
      <c r="Z252" s="104"/>
      <c r="AA252" s="104"/>
      <c r="AB252" s="59">
        <v>245</v>
      </c>
    </row>
    <row r="253" spans="2:28" s="2" customFormat="1" ht="20" x14ac:dyDescent="0.2">
      <c r="B253" s="108" t="s">
        <v>294</v>
      </c>
      <c r="C253" s="35" t="s">
        <v>75</v>
      </c>
      <c r="D253" s="35" t="s">
        <v>762</v>
      </c>
      <c r="E253" s="109">
        <v>1</v>
      </c>
      <c r="F253" s="108" t="s">
        <v>371</v>
      </c>
      <c r="G253" s="110">
        <v>4.2606000000000002</v>
      </c>
      <c r="H253" s="110">
        <f t="shared" si="9"/>
        <v>2.63</v>
      </c>
      <c r="I253" s="110">
        <v>4.2606000000000002</v>
      </c>
      <c r="J253" s="110">
        <f t="shared" si="10"/>
        <v>2.63</v>
      </c>
      <c r="K253" s="109">
        <v>138</v>
      </c>
      <c r="L253" s="223">
        <f>_xlfn.XLOOKUP($K253,Inputs!$C$6:$C$23,Inputs!$D$6:$D$23)*$I253</f>
        <v>1.8472744285714289</v>
      </c>
      <c r="M253" s="224">
        <f t="shared" si="12"/>
        <v>3</v>
      </c>
      <c r="N253" s="100"/>
      <c r="O253" s="100"/>
      <c r="P253" s="100"/>
      <c r="Q253" s="100"/>
      <c r="R253" s="100"/>
      <c r="S253" s="225">
        <f>_xlfn.XLOOKUP($K253,Inputs!$G$6:$G$23,Inputs!$J$6:$J$23)*$M253</f>
        <v>141</v>
      </c>
      <c r="T253" s="225">
        <f>_xlfn.XLOOKUP($K253,Inputs!$G$6:$G$23,Inputs!$K$6:$K$23)*$M253</f>
        <v>156</v>
      </c>
      <c r="U253" s="108" t="s">
        <v>651</v>
      </c>
      <c r="V253" s="107" t="s">
        <v>1083</v>
      </c>
      <c r="W253" s="108" t="s">
        <v>700</v>
      </c>
      <c r="X253" s="107" t="s">
        <v>1124</v>
      </c>
      <c r="Y253" s="11"/>
      <c r="Z253" s="11"/>
      <c r="AA253" s="11"/>
      <c r="AB253" s="59">
        <v>246</v>
      </c>
    </row>
    <row r="254" spans="2:28" s="2" customFormat="1" ht="20" x14ac:dyDescent="0.2">
      <c r="B254" s="108" t="s">
        <v>295</v>
      </c>
      <c r="C254" s="35" t="s">
        <v>75</v>
      </c>
      <c r="D254" s="35" t="s">
        <v>762</v>
      </c>
      <c r="E254" s="109">
        <v>1</v>
      </c>
      <c r="F254" s="108" t="s">
        <v>371</v>
      </c>
      <c r="G254" s="200">
        <v>75</v>
      </c>
      <c r="H254" s="200">
        <f t="shared" si="9"/>
        <v>46.296296296296291</v>
      </c>
      <c r="I254" s="200">
        <v>300</v>
      </c>
      <c r="J254" s="200">
        <f t="shared" si="10"/>
        <v>185.18518518518516</v>
      </c>
      <c r="K254" s="109">
        <v>138</v>
      </c>
      <c r="L254" s="223">
        <f>_xlfn.XLOOKUP($K254,Inputs!$C$6:$C$23,Inputs!$D$6:$D$23)*$I254</f>
        <v>130.07142857142858</v>
      </c>
      <c r="M254" s="224">
        <f t="shared" si="12"/>
        <v>1.3548135801324914</v>
      </c>
      <c r="N254" s="100"/>
      <c r="O254" s="100"/>
      <c r="P254" s="100"/>
      <c r="Q254" s="100"/>
      <c r="R254" s="100"/>
      <c r="S254" s="225">
        <f>_xlfn.XLOOKUP($K254,Inputs!$G$6:$G$23,Inputs!$J$6:$J$23)*$M254</f>
        <v>63.676238266227095</v>
      </c>
      <c r="T254" s="225">
        <f>_xlfn.XLOOKUP($K254,Inputs!$G$6:$G$23,Inputs!$K$6:$K$23)*$M254</f>
        <v>70.450306166889561</v>
      </c>
      <c r="U254" s="108" t="s">
        <v>651</v>
      </c>
      <c r="V254" s="107" t="s">
        <v>1083</v>
      </c>
      <c r="W254" s="108" t="s">
        <v>793</v>
      </c>
      <c r="X254" s="107" t="s">
        <v>1086</v>
      </c>
      <c r="Y254" s="11"/>
      <c r="Z254" s="104"/>
      <c r="AA254" s="104"/>
      <c r="AB254" s="59">
        <v>247</v>
      </c>
    </row>
    <row r="255" spans="2:28" s="2" customFormat="1" ht="20" x14ac:dyDescent="0.2">
      <c r="B255" s="108" t="s">
        <v>295</v>
      </c>
      <c r="C255" s="35" t="s">
        <v>75</v>
      </c>
      <c r="D255" s="35" t="s">
        <v>762</v>
      </c>
      <c r="E255" s="109">
        <v>1</v>
      </c>
      <c r="F255" s="108" t="s">
        <v>371</v>
      </c>
      <c r="G255" s="200">
        <v>35</v>
      </c>
      <c r="H255" s="200">
        <f t="shared" si="9"/>
        <v>21.604938271604937</v>
      </c>
      <c r="I255" s="200">
        <v>300</v>
      </c>
      <c r="J255" s="200">
        <f t="shared" si="10"/>
        <v>185.18518518518516</v>
      </c>
      <c r="K255" s="109">
        <v>138</v>
      </c>
      <c r="L255" s="223">
        <f>_xlfn.XLOOKUP($K255,Inputs!$C$6:$C$23,Inputs!$D$6:$D$23)*$I255</f>
        <v>130.07142857142858</v>
      </c>
      <c r="M255" s="224">
        <f t="shared" si="12"/>
        <v>1.3548135801324914</v>
      </c>
      <c r="N255" s="100"/>
      <c r="O255" s="100"/>
      <c r="P255" s="100"/>
      <c r="Q255" s="100"/>
      <c r="R255" s="100"/>
      <c r="S255" s="225">
        <f>_xlfn.XLOOKUP($K255,Inputs!$G$6:$G$23,Inputs!$J$6:$J$23)*$M255</f>
        <v>63.676238266227095</v>
      </c>
      <c r="T255" s="225">
        <f>_xlfn.XLOOKUP($K255,Inputs!$G$6:$G$23,Inputs!$K$6:$K$23)*$M255</f>
        <v>70.450306166889561</v>
      </c>
      <c r="U255" s="108" t="s">
        <v>793</v>
      </c>
      <c r="V255" s="107" t="s">
        <v>1086</v>
      </c>
      <c r="W255" s="108" t="s">
        <v>515</v>
      </c>
      <c r="X255" s="107" t="s">
        <v>1087</v>
      </c>
      <c r="Y255" s="11"/>
      <c r="Z255" s="104"/>
      <c r="AA255" s="104"/>
      <c r="AB255" s="59">
        <v>248</v>
      </c>
    </row>
    <row r="256" spans="2:28" s="2" customFormat="1" ht="20" x14ac:dyDescent="0.2">
      <c r="B256" s="108" t="s">
        <v>295</v>
      </c>
      <c r="C256" s="35" t="s">
        <v>75</v>
      </c>
      <c r="D256" s="35" t="s">
        <v>762</v>
      </c>
      <c r="E256" s="109">
        <v>1</v>
      </c>
      <c r="F256" s="108" t="s">
        <v>371</v>
      </c>
      <c r="G256" s="200">
        <v>100</v>
      </c>
      <c r="H256" s="200">
        <f t="shared" si="9"/>
        <v>61.728395061728392</v>
      </c>
      <c r="I256" s="200">
        <v>300</v>
      </c>
      <c r="J256" s="200">
        <f t="shared" si="10"/>
        <v>185.18518518518516</v>
      </c>
      <c r="K256" s="109">
        <v>138</v>
      </c>
      <c r="L256" s="223">
        <f>_xlfn.XLOOKUP($K256,Inputs!$C$6:$C$23,Inputs!$D$6:$D$23)*$I256</f>
        <v>130.07142857142858</v>
      </c>
      <c r="M256" s="224">
        <f t="shared" si="12"/>
        <v>1.3548135801324914</v>
      </c>
      <c r="N256" s="100"/>
      <c r="O256" s="100"/>
      <c r="P256" s="100"/>
      <c r="Q256" s="100"/>
      <c r="R256" s="100"/>
      <c r="S256" s="225">
        <f>_xlfn.XLOOKUP($K256,Inputs!$G$6:$G$23,Inputs!$J$6:$J$23)*$M256</f>
        <v>63.676238266227095</v>
      </c>
      <c r="T256" s="225">
        <f>_xlfn.XLOOKUP($K256,Inputs!$G$6:$G$23,Inputs!$K$6:$K$23)*$M256</f>
        <v>70.450306166889561</v>
      </c>
      <c r="U256" s="108" t="s">
        <v>515</v>
      </c>
      <c r="V256" s="107" t="s">
        <v>1087</v>
      </c>
      <c r="W256" s="108" t="s">
        <v>792</v>
      </c>
      <c r="X256" s="107" t="s">
        <v>1072</v>
      </c>
      <c r="Y256" s="11"/>
      <c r="Z256" s="104"/>
      <c r="AA256" s="104"/>
      <c r="AB256" s="59">
        <v>249</v>
      </c>
    </row>
    <row r="257" spans="2:28" s="2" customFormat="1" ht="20" x14ac:dyDescent="0.2">
      <c r="B257" s="108" t="s">
        <v>295</v>
      </c>
      <c r="C257" s="35" t="s">
        <v>75</v>
      </c>
      <c r="D257" s="35" t="s">
        <v>762</v>
      </c>
      <c r="E257" s="109">
        <v>1</v>
      </c>
      <c r="F257" s="108" t="s">
        <v>371</v>
      </c>
      <c r="G257" s="200">
        <v>90</v>
      </c>
      <c r="H257" s="200">
        <f t="shared" si="9"/>
        <v>55.55555555555555</v>
      </c>
      <c r="I257" s="200">
        <v>300</v>
      </c>
      <c r="J257" s="200">
        <f t="shared" si="10"/>
        <v>185.18518518518516</v>
      </c>
      <c r="K257" s="109">
        <v>138</v>
      </c>
      <c r="L257" s="223">
        <f>_xlfn.XLOOKUP($K257,Inputs!$C$6:$C$23,Inputs!$D$6:$D$23)*$I257</f>
        <v>130.07142857142858</v>
      </c>
      <c r="M257" s="224">
        <f t="shared" si="12"/>
        <v>1.3548135801324914</v>
      </c>
      <c r="N257" s="100"/>
      <c r="O257" s="100"/>
      <c r="P257" s="100"/>
      <c r="Q257" s="100"/>
      <c r="R257" s="100"/>
      <c r="S257" s="225">
        <f>_xlfn.XLOOKUP($K257,Inputs!$G$6:$G$23,Inputs!$J$6:$J$23)*$M257</f>
        <v>63.676238266227095</v>
      </c>
      <c r="T257" s="225">
        <f>_xlfn.XLOOKUP($K257,Inputs!$G$6:$G$23,Inputs!$K$6:$K$23)*$M257</f>
        <v>70.450306166889561</v>
      </c>
      <c r="U257" s="108" t="s">
        <v>792</v>
      </c>
      <c r="V257" s="107" t="s">
        <v>1072</v>
      </c>
      <c r="W257" s="108" t="s">
        <v>1017</v>
      </c>
      <c r="X257" s="107" t="s">
        <v>1027</v>
      </c>
      <c r="Y257" s="11"/>
      <c r="Z257" s="104"/>
      <c r="AA257" s="104"/>
      <c r="AB257" s="59">
        <v>250</v>
      </c>
    </row>
    <row r="258" spans="2:28" s="2" customFormat="1" ht="20" x14ac:dyDescent="0.2">
      <c r="B258" s="108" t="s">
        <v>362</v>
      </c>
      <c r="C258" s="35" t="s">
        <v>75</v>
      </c>
      <c r="D258" s="35" t="s">
        <v>762</v>
      </c>
      <c r="E258" s="109">
        <v>1</v>
      </c>
      <c r="F258" s="108" t="s">
        <v>371</v>
      </c>
      <c r="G258" s="110">
        <v>76.25</v>
      </c>
      <c r="H258" s="110">
        <f t="shared" si="9"/>
        <v>47.067901234567898</v>
      </c>
      <c r="I258" s="110">
        <v>76.25</v>
      </c>
      <c r="J258" s="110">
        <f t="shared" si="10"/>
        <v>47.067901234567898</v>
      </c>
      <c r="K258" s="109">
        <v>115</v>
      </c>
      <c r="L258" s="223">
        <f>_xlfn.XLOOKUP($K258,Inputs!$C$6:$C$23,Inputs!$D$6:$D$23)*$I258</f>
        <v>31.807142857142857</v>
      </c>
      <c r="M258" s="224">
        <f t="shared" si="12"/>
        <v>3</v>
      </c>
      <c r="N258" s="100"/>
      <c r="O258" s="100"/>
      <c r="P258" s="100"/>
      <c r="Q258" s="100"/>
      <c r="R258" s="100"/>
      <c r="S258" s="225">
        <f>_xlfn.XLOOKUP($K258,Inputs!$G$6:$G$23,Inputs!$J$6:$J$23)*$M258</f>
        <v>98.449131513647643</v>
      </c>
      <c r="T258" s="225">
        <f>_xlfn.XLOOKUP($K258,Inputs!$G$6:$G$23,Inputs!$K$6:$K$23)*$M258</f>
        <v>108.40163934426229</v>
      </c>
      <c r="U258" s="108" t="s">
        <v>645</v>
      </c>
      <c r="V258" s="107" t="s">
        <v>1119</v>
      </c>
      <c r="W258" s="108" t="s">
        <v>695</v>
      </c>
      <c r="X258" s="107" t="s">
        <v>1113</v>
      </c>
      <c r="Y258" s="11"/>
      <c r="Z258" s="104"/>
      <c r="AA258" s="104"/>
      <c r="AB258" s="59">
        <v>251</v>
      </c>
    </row>
    <row r="259" spans="2:28" s="2" customFormat="1" ht="20" x14ac:dyDescent="0.2">
      <c r="B259" s="189" t="s">
        <v>833</v>
      </c>
      <c r="C259" s="35" t="s">
        <v>75</v>
      </c>
      <c r="D259" s="35" t="s">
        <v>762</v>
      </c>
      <c r="E259" s="196">
        <v>1</v>
      </c>
      <c r="F259" s="189" t="s">
        <v>371</v>
      </c>
      <c r="G259" s="195">
        <v>76.253399999999999</v>
      </c>
      <c r="H259" s="195">
        <f t="shared" si="9"/>
        <v>47.069999999999993</v>
      </c>
      <c r="I259" s="195">
        <v>76.253399999999999</v>
      </c>
      <c r="J259" s="195">
        <f t="shared" si="10"/>
        <v>47.069999999999993</v>
      </c>
      <c r="K259" s="196">
        <v>115</v>
      </c>
      <c r="L259" s="223">
        <f>_xlfn.XLOOKUP($K259,Inputs!$C$6:$C$23,Inputs!$D$6:$D$23)*$I259</f>
        <v>31.808561142857144</v>
      </c>
      <c r="M259" s="224">
        <f t="shared" si="12"/>
        <v>3</v>
      </c>
      <c r="N259" s="100"/>
      <c r="O259" s="100"/>
      <c r="P259" s="100"/>
      <c r="Q259" s="100"/>
      <c r="R259" s="100"/>
      <c r="S259" s="225">
        <f>_xlfn.XLOOKUP($K259,Inputs!$G$6:$G$23,Inputs!$J$6:$J$23)*$M259</f>
        <v>98.449131513647643</v>
      </c>
      <c r="T259" s="225">
        <f>_xlfn.XLOOKUP($K259,Inputs!$G$6:$G$23,Inputs!$K$6:$K$23)*$M259</f>
        <v>108.40163934426229</v>
      </c>
      <c r="U259" s="189" t="s">
        <v>645</v>
      </c>
      <c r="V259" s="107" t="s">
        <v>1119</v>
      </c>
      <c r="W259" s="189" t="s">
        <v>695</v>
      </c>
      <c r="X259" s="107" t="s">
        <v>1113</v>
      </c>
      <c r="Y259" s="11"/>
      <c r="Z259" s="104"/>
      <c r="AA259" s="104"/>
      <c r="AB259" s="59">
        <v>252</v>
      </c>
    </row>
    <row r="260" spans="2:28" s="2" customFormat="1" ht="20" x14ac:dyDescent="0.2">
      <c r="B260" s="108" t="s">
        <v>363</v>
      </c>
      <c r="C260" s="35" t="s">
        <v>75</v>
      </c>
      <c r="D260" s="35" t="s">
        <v>762</v>
      </c>
      <c r="E260" s="109">
        <v>1</v>
      </c>
      <c r="F260" s="108" t="s">
        <v>371</v>
      </c>
      <c r="G260" s="110">
        <v>5.7024000000000008</v>
      </c>
      <c r="H260" s="110">
        <f t="shared" ref="H260:H323" si="13">G260/1.62</f>
        <v>3.5200000000000005</v>
      </c>
      <c r="I260" s="110">
        <v>5.7024000000000008</v>
      </c>
      <c r="J260" s="110">
        <f t="shared" ref="J260:J323" si="14">I260/1.62</f>
        <v>3.5200000000000005</v>
      </c>
      <c r="K260" s="109">
        <v>115</v>
      </c>
      <c r="L260" s="223">
        <f>_xlfn.XLOOKUP($K260,Inputs!$C$6:$C$23,Inputs!$D$6:$D$23)*$I260</f>
        <v>2.3787154285714291</v>
      </c>
      <c r="M260" s="224">
        <f t="shared" si="12"/>
        <v>3</v>
      </c>
      <c r="N260" s="100"/>
      <c r="O260" s="100"/>
      <c r="P260" s="100"/>
      <c r="Q260" s="100"/>
      <c r="R260" s="100"/>
      <c r="S260" s="225">
        <f>_xlfn.XLOOKUP($K260,Inputs!$G$6:$G$23,Inputs!$J$6:$J$23)*$M260</f>
        <v>98.449131513647643</v>
      </c>
      <c r="T260" s="225">
        <f>_xlfn.XLOOKUP($K260,Inputs!$G$6:$G$23,Inputs!$K$6:$K$23)*$M260</f>
        <v>108.40163934426229</v>
      </c>
      <c r="U260" s="108" t="s">
        <v>703</v>
      </c>
      <c r="V260" s="107" t="s">
        <v>1082</v>
      </c>
      <c r="W260" s="108" t="s">
        <v>698</v>
      </c>
      <c r="X260" s="107" t="s">
        <v>1129</v>
      </c>
      <c r="Y260" s="11"/>
      <c r="Z260" s="11"/>
      <c r="AA260" s="11"/>
      <c r="AB260" s="59">
        <v>253</v>
      </c>
    </row>
    <row r="261" spans="2:28" s="2" customFormat="1" ht="20" x14ac:dyDescent="0.2">
      <c r="B261" s="108" t="s">
        <v>364</v>
      </c>
      <c r="C261" s="35" t="s">
        <v>75</v>
      </c>
      <c r="D261" s="35" t="s">
        <v>762</v>
      </c>
      <c r="E261" s="109">
        <v>1</v>
      </c>
      <c r="F261" s="108" t="s">
        <v>371</v>
      </c>
      <c r="G261" s="188">
        <v>4</v>
      </c>
      <c r="H261" s="188">
        <f t="shared" si="13"/>
        <v>2.4691358024691357</v>
      </c>
      <c r="I261" s="188">
        <v>9.25</v>
      </c>
      <c r="J261" s="188">
        <f t="shared" si="14"/>
        <v>5.7098765432098766</v>
      </c>
      <c r="K261" s="109">
        <v>115</v>
      </c>
      <c r="L261" s="223">
        <f>_xlfn.XLOOKUP($K261,Inputs!$C$6:$C$23,Inputs!$D$6:$D$23)*$I261</f>
        <v>3.8585714285714285</v>
      </c>
      <c r="M261" s="224">
        <f t="shared" si="12"/>
        <v>3</v>
      </c>
      <c r="N261" s="100"/>
      <c r="O261" s="100"/>
      <c r="P261" s="100"/>
      <c r="Q261" s="100"/>
      <c r="R261" s="100"/>
      <c r="S261" s="225">
        <f>_xlfn.XLOOKUP($K261,Inputs!$G$6:$G$23,Inputs!$J$6:$J$23)*$M261</f>
        <v>98.449131513647643</v>
      </c>
      <c r="T261" s="225">
        <f>_xlfn.XLOOKUP($K261,Inputs!$G$6:$G$23,Inputs!$K$6:$K$23)*$M261</f>
        <v>108.40163934426229</v>
      </c>
      <c r="U261" s="108" t="s">
        <v>703</v>
      </c>
      <c r="V261" s="107" t="s">
        <v>1082</v>
      </c>
      <c r="W261" s="108" t="s">
        <v>860</v>
      </c>
      <c r="X261" s="107" t="s">
        <v>1053</v>
      </c>
      <c r="Y261" s="11" t="s">
        <v>1168</v>
      </c>
      <c r="Z261" s="11"/>
      <c r="AA261" s="11"/>
      <c r="AB261" s="59">
        <v>254</v>
      </c>
    </row>
    <row r="262" spans="2:28" s="2" customFormat="1" ht="20" x14ac:dyDescent="0.2">
      <c r="B262" s="108" t="s">
        <v>364</v>
      </c>
      <c r="C262" s="35" t="s">
        <v>75</v>
      </c>
      <c r="D262" s="35" t="s">
        <v>762</v>
      </c>
      <c r="E262" s="109">
        <v>1</v>
      </c>
      <c r="F262" s="108" t="s">
        <v>371</v>
      </c>
      <c r="G262" s="188">
        <v>5.25</v>
      </c>
      <c r="H262" s="188">
        <f t="shared" si="13"/>
        <v>3.2407407407407405</v>
      </c>
      <c r="I262" s="188">
        <v>9.25</v>
      </c>
      <c r="J262" s="188">
        <f t="shared" si="14"/>
        <v>5.7098765432098766</v>
      </c>
      <c r="K262" s="109">
        <v>115</v>
      </c>
      <c r="L262" s="223">
        <f>_xlfn.XLOOKUP($K262,Inputs!$C$6:$C$23,Inputs!$D$6:$D$23)*$I262</f>
        <v>3.8585714285714285</v>
      </c>
      <c r="M262" s="224">
        <f t="shared" si="12"/>
        <v>3</v>
      </c>
      <c r="N262" s="100"/>
      <c r="O262" s="100"/>
      <c r="P262" s="100"/>
      <c r="Q262" s="100"/>
      <c r="R262" s="100"/>
      <c r="S262" s="225">
        <f>_xlfn.XLOOKUP($K262,Inputs!$G$6:$G$23,Inputs!$J$6:$J$23)*$M262</f>
        <v>98.449131513647643</v>
      </c>
      <c r="T262" s="225">
        <f>_xlfn.XLOOKUP($K262,Inputs!$G$6:$G$23,Inputs!$K$6:$K$23)*$M262</f>
        <v>108.40163934426229</v>
      </c>
      <c r="U262" s="108" t="s">
        <v>860</v>
      </c>
      <c r="V262" s="107" t="s">
        <v>1053</v>
      </c>
      <c r="W262" s="108" t="s">
        <v>646</v>
      </c>
      <c r="X262" s="107" t="s">
        <v>1108</v>
      </c>
      <c r="Y262" s="11" t="s">
        <v>1168</v>
      </c>
      <c r="Z262" s="11"/>
      <c r="AA262" s="11"/>
      <c r="AB262" s="59">
        <v>255</v>
      </c>
    </row>
    <row r="263" spans="2:28" s="2" customFormat="1" ht="20" x14ac:dyDescent="0.2">
      <c r="B263" s="148" t="s">
        <v>555</v>
      </c>
      <c r="C263" s="35" t="s">
        <v>75</v>
      </c>
      <c r="D263" s="35" t="s">
        <v>762</v>
      </c>
      <c r="E263" s="149">
        <v>1</v>
      </c>
      <c r="F263" s="148" t="s">
        <v>371</v>
      </c>
      <c r="G263" s="149">
        <v>37</v>
      </c>
      <c r="H263" s="149">
        <f t="shared" si="13"/>
        <v>22.839506172839506</v>
      </c>
      <c r="I263" s="149">
        <v>37</v>
      </c>
      <c r="J263" s="149">
        <f t="shared" si="14"/>
        <v>22.839506172839506</v>
      </c>
      <c r="K263" s="149">
        <v>230</v>
      </c>
      <c r="L263" s="223">
        <f>_xlfn.XLOOKUP($K263,Inputs!$C$6:$C$23,Inputs!$D$6:$D$23)*$I263</f>
        <v>17.759999999999998</v>
      </c>
      <c r="M263" s="224">
        <f t="shared" si="12"/>
        <v>3</v>
      </c>
      <c r="N263" s="100"/>
      <c r="O263" s="100"/>
      <c r="P263" s="100"/>
      <c r="Q263" s="100"/>
      <c r="R263" s="100"/>
      <c r="S263" s="225">
        <f>_xlfn.XLOOKUP($K263,Inputs!$G$6:$G$23,Inputs!$J$6:$J$23)*$M263</f>
        <v>402</v>
      </c>
      <c r="T263" s="225">
        <f>_xlfn.XLOOKUP($K263,Inputs!$G$6:$G$23,Inputs!$K$6:$K$23)*$M263</f>
        <v>435</v>
      </c>
      <c r="U263" s="148" t="s">
        <v>711</v>
      </c>
      <c r="V263" s="107" t="s">
        <v>1071</v>
      </c>
      <c r="W263" s="148" t="s">
        <v>646</v>
      </c>
      <c r="X263" s="107" t="s">
        <v>1108</v>
      </c>
      <c r="Y263" s="11"/>
      <c r="Z263" s="141"/>
      <c r="AA263" s="141"/>
      <c r="AB263" s="59">
        <v>256</v>
      </c>
    </row>
    <row r="264" spans="2:28" s="2" customFormat="1" ht="20" x14ac:dyDescent="0.2">
      <c r="B264" s="108" t="s">
        <v>280</v>
      </c>
      <c r="C264" s="35" t="s">
        <v>75</v>
      </c>
      <c r="D264" s="35" t="s">
        <v>762</v>
      </c>
      <c r="E264" s="109">
        <v>1</v>
      </c>
      <c r="F264" s="108" t="s">
        <v>371</v>
      </c>
      <c r="G264" s="110">
        <v>80.028000000000006</v>
      </c>
      <c r="H264" s="110">
        <f t="shared" si="13"/>
        <v>49.4</v>
      </c>
      <c r="I264" s="110">
        <v>80.028000000000006</v>
      </c>
      <c r="J264" s="110">
        <f t="shared" si="14"/>
        <v>49.4</v>
      </c>
      <c r="K264" s="109">
        <v>230</v>
      </c>
      <c r="L264" s="223">
        <f>_xlfn.XLOOKUP($K264,Inputs!$C$6:$C$23,Inputs!$D$6:$D$23)*$I264</f>
        <v>38.413440000000001</v>
      </c>
      <c r="M264" s="224">
        <f t="shared" si="12"/>
        <v>3</v>
      </c>
      <c r="N264" s="100"/>
      <c r="O264" s="100"/>
      <c r="P264" s="100"/>
      <c r="Q264" s="100"/>
      <c r="R264" s="100"/>
      <c r="S264" s="225">
        <f>_xlfn.XLOOKUP($K264,Inputs!$G$6:$G$23,Inputs!$J$6:$J$23)*$M264</f>
        <v>402</v>
      </c>
      <c r="T264" s="225">
        <f>_xlfn.XLOOKUP($K264,Inputs!$G$6:$G$23,Inputs!$K$6:$K$23)*$M264</f>
        <v>435</v>
      </c>
      <c r="U264" s="108" t="s">
        <v>711</v>
      </c>
      <c r="V264" s="107" t="s">
        <v>1071</v>
      </c>
      <c r="W264" s="108" t="s">
        <v>665</v>
      </c>
      <c r="X264" s="107" t="s">
        <v>1073</v>
      </c>
      <c r="Y264" s="11"/>
      <c r="Z264" s="11"/>
      <c r="AA264" s="11"/>
      <c r="AB264" s="59">
        <v>257</v>
      </c>
    </row>
    <row r="265" spans="2:28" s="2" customFormat="1" ht="20" x14ac:dyDescent="0.2">
      <c r="B265" s="108" t="s">
        <v>365</v>
      </c>
      <c r="C265" s="35" t="s">
        <v>75</v>
      </c>
      <c r="D265" s="35" t="s">
        <v>762</v>
      </c>
      <c r="E265" s="109">
        <v>1</v>
      </c>
      <c r="F265" s="108" t="s">
        <v>371</v>
      </c>
      <c r="G265" s="110">
        <v>78.165000000000006</v>
      </c>
      <c r="H265" s="110">
        <f t="shared" si="13"/>
        <v>48.25</v>
      </c>
      <c r="I265" s="110">
        <v>78.165000000000006</v>
      </c>
      <c r="J265" s="110">
        <f t="shared" si="14"/>
        <v>48.25</v>
      </c>
      <c r="K265" s="109">
        <v>115</v>
      </c>
      <c r="L265" s="223">
        <f>_xlfn.XLOOKUP($K265,Inputs!$C$6:$C$23,Inputs!$D$6:$D$23)*$I265</f>
        <v>32.605971428571429</v>
      </c>
      <c r="M265" s="224">
        <f t="shared" si="12"/>
        <v>3</v>
      </c>
      <c r="N265" s="100"/>
      <c r="O265" s="100"/>
      <c r="P265" s="100"/>
      <c r="Q265" s="100"/>
      <c r="R265" s="100"/>
      <c r="S265" s="225">
        <f>_xlfn.XLOOKUP($K265,Inputs!$G$6:$G$23,Inputs!$J$6:$J$23)*$M265</f>
        <v>98.449131513647643</v>
      </c>
      <c r="T265" s="225">
        <f>_xlfn.XLOOKUP($K265,Inputs!$G$6:$G$23,Inputs!$K$6:$K$23)*$M265</f>
        <v>108.40163934426229</v>
      </c>
      <c r="U265" s="108" t="s">
        <v>711</v>
      </c>
      <c r="V265" s="107" t="s">
        <v>1071</v>
      </c>
      <c r="W265" s="108" t="s">
        <v>701</v>
      </c>
      <c r="X265" s="107" t="s">
        <v>1142</v>
      </c>
      <c r="Y265" s="11"/>
      <c r="Z265" s="11"/>
      <c r="AA265" s="11"/>
      <c r="AB265" s="59">
        <v>258</v>
      </c>
    </row>
    <row r="266" spans="2:28" s="2" customFormat="1" ht="20" x14ac:dyDescent="0.2">
      <c r="B266" s="108" t="s">
        <v>367</v>
      </c>
      <c r="C266" s="35" t="s">
        <v>75</v>
      </c>
      <c r="D266" s="35" t="s">
        <v>762</v>
      </c>
      <c r="E266" s="109">
        <v>1</v>
      </c>
      <c r="F266" s="108" t="s">
        <v>371</v>
      </c>
      <c r="G266" s="188">
        <v>50</v>
      </c>
      <c r="H266" s="188">
        <f t="shared" si="13"/>
        <v>30.864197530864196</v>
      </c>
      <c r="I266" s="188">
        <v>100.4</v>
      </c>
      <c r="J266" s="188">
        <f t="shared" si="14"/>
        <v>61.97530864197531</v>
      </c>
      <c r="K266" s="109">
        <v>115</v>
      </c>
      <c r="L266" s="223">
        <f>_xlfn.XLOOKUP($K266,Inputs!$C$6:$C$23,Inputs!$D$6:$D$23)*$I266</f>
        <v>41.881142857142862</v>
      </c>
      <c r="M266" s="224">
        <f t="shared" si="12"/>
        <v>2.7886732134213359</v>
      </c>
      <c r="N266" s="100"/>
      <c r="O266" s="100"/>
      <c r="P266" s="100"/>
      <c r="Q266" s="100"/>
      <c r="R266" s="100"/>
      <c r="S266" s="225">
        <f>_xlfn.XLOOKUP($K266,Inputs!$G$6:$G$23,Inputs!$J$6:$J$23)*$M266</f>
        <v>91.514151978901168</v>
      </c>
      <c r="T266" s="225">
        <f>_xlfn.XLOOKUP($K266,Inputs!$G$6:$G$23,Inputs!$K$6:$K$23)*$M266</f>
        <v>100.76558264343488</v>
      </c>
      <c r="U266" s="108" t="s">
        <v>711</v>
      </c>
      <c r="V266" s="107" t="s">
        <v>1071</v>
      </c>
      <c r="W266" s="108" t="s">
        <v>867</v>
      </c>
      <c r="X266" s="107" t="s">
        <v>1075</v>
      </c>
      <c r="Y266" s="11"/>
      <c r="Z266" s="104"/>
      <c r="AA266" s="104"/>
      <c r="AB266" s="59">
        <v>259</v>
      </c>
    </row>
    <row r="267" spans="2:28" s="2" customFormat="1" ht="20" x14ac:dyDescent="0.2">
      <c r="B267" s="108" t="s">
        <v>367</v>
      </c>
      <c r="C267" s="35" t="s">
        <v>75</v>
      </c>
      <c r="D267" s="35" t="s">
        <v>762</v>
      </c>
      <c r="E267" s="109">
        <v>1</v>
      </c>
      <c r="F267" s="108" t="s">
        <v>371</v>
      </c>
      <c r="G267" s="188">
        <v>50.4</v>
      </c>
      <c r="H267" s="188">
        <f t="shared" si="13"/>
        <v>31.111111111111107</v>
      </c>
      <c r="I267" s="188">
        <v>100.4</v>
      </c>
      <c r="J267" s="188">
        <f t="shared" si="14"/>
        <v>61.97530864197531</v>
      </c>
      <c r="K267" s="109">
        <v>115</v>
      </c>
      <c r="L267" s="223">
        <f>_xlfn.XLOOKUP($K267,Inputs!$C$6:$C$23,Inputs!$D$6:$D$23)*$I267</f>
        <v>41.881142857142862</v>
      </c>
      <c r="M267" s="224">
        <f t="shared" si="12"/>
        <v>2.7886732134213359</v>
      </c>
      <c r="N267" s="100"/>
      <c r="O267" s="100"/>
      <c r="P267" s="100"/>
      <c r="Q267" s="100"/>
      <c r="R267" s="100"/>
      <c r="S267" s="225">
        <f>_xlfn.XLOOKUP($K267,Inputs!$G$6:$G$23,Inputs!$J$6:$J$23)*$M267</f>
        <v>91.514151978901168</v>
      </c>
      <c r="T267" s="225">
        <f>_xlfn.XLOOKUP($K267,Inputs!$G$6:$G$23,Inputs!$K$6:$K$23)*$M267</f>
        <v>100.76558264343488</v>
      </c>
      <c r="U267" s="108" t="s">
        <v>867</v>
      </c>
      <c r="V267" s="107" t="s">
        <v>1075</v>
      </c>
      <c r="W267" s="108" t="s">
        <v>702</v>
      </c>
      <c r="X267" s="107" t="s">
        <v>1137</v>
      </c>
      <c r="Y267" s="11"/>
      <c r="Z267" s="11"/>
      <c r="AA267" s="11"/>
      <c r="AB267" s="59">
        <v>260</v>
      </c>
    </row>
    <row r="268" spans="2:28" s="2" customFormat="1" ht="20" x14ac:dyDescent="0.2">
      <c r="B268" s="108" t="s">
        <v>366</v>
      </c>
      <c r="C268" s="35" t="s">
        <v>75</v>
      </c>
      <c r="D268" s="35" t="s">
        <v>762</v>
      </c>
      <c r="E268" s="109">
        <v>1</v>
      </c>
      <c r="F268" s="108" t="s">
        <v>371</v>
      </c>
      <c r="G268" s="110">
        <v>20.541600000000003</v>
      </c>
      <c r="H268" s="110">
        <f t="shared" si="13"/>
        <v>12.680000000000001</v>
      </c>
      <c r="I268" s="110">
        <v>20.541600000000003</v>
      </c>
      <c r="J268" s="110">
        <f t="shared" si="14"/>
        <v>12.680000000000001</v>
      </c>
      <c r="K268" s="109">
        <v>115</v>
      </c>
      <c r="L268" s="223">
        <f>_xlfn.XLOOKUP($K268,Inputs!$C$6:$C$23,Inputs!$D$6:$D$23)*$I268</f>
        <v>8.5687817142857163</v>
      </c>
      <c r="M268" s="224">
        <f t="shared" si="12"/>
        <v>3</v>
      </c>
      <c r="N268" s="100"/>
      <c r="O268" s="100"/>
      <c r="P268" s="100"/>
      <c r="Q268" s="100"/>
      <c r="R268" s="100"/>
      <c r="S268" s="225">
        <f>_xlfn.XLOOKUP($K268,Inputs!$G$6:$G$23,Inputs!$J$6:$J$23)*$M268</f>
        <v>98.449131513647643</v>
      </c>
      <c r="T268" s="225">
        <f>_xlfn.XLOOKUP($K268,Inputs!$G$6:$G$23,Inputs!$K$6:$K$23)*$M268</f>
        <v>108.40163934426229</v>
      </c>
      <c r="U268" s="108" t="s">
        <v>711</v>
      </c>
      <c r="V268" s="107" t="s">
        <v>1071</v>
      </c>
      <c r="W268" s="108" t="s">
        <v>691</v>
      </c>
      <c r="X268" s="107" t="s">
        <v>1148</v>
      </c>
      <c r="Y268" s="11"/>
      <c r="Z268" s="11"/>
      <c r="AA268" s="11"/>
      <c r="AB268" s="59">
        <v>261</v>
      </c>
    </row>
    <row r="269" spans="2:28" s="2" customFormat="1" ht="20" x14ac:dyDescent="0.2">
      <c r="B269" s="192" t="s">
        <v>840</v>
      </c>
      <c r="C269" s="35" t="s">
        <v>75</v>
      </c>
      <c r="D269" s="35" t="s">
        <v>762</v>
      </c>
      <c r="E269" s="194">
        <v>1</v>
      </c>
      <c r="F269" s="192" t="s">
        <v>371</v>
      </c>
      <c r="G269" s="188">
        <v>110</v>
      </c>
      <c r="H269" s="188">
        <f t="shared" si="13"/>
        <v>67.901234567901227</v>
      </c>
      <c r="I269" s="188">
        <v>110</v>
      </c>
      <c r="J269" s="188">
        <f t="shared" si="14"/>
        <v>67.901234567901227</v>
      </c>
      <c r="K269" s="194">
        <v>115</v>
      </c>
      <c r="L269" s="223">
        <f>_xlfn.XLOOKUP($K269,Inputs!$C$6:$C$23,Inputs!$D$6:$D$23)*$I269</f>
        <v>45.885714285714286</v>
      </c>
      <c r="M269" s="224">
        <f t="shared" si="12"/>
        <v>2.6256844539679496</v>
      </c>
      <c r="N269" s="100"/>
      <c r="O269" s="100"/>
      <c r="P269" s="100"/>
      <c r="Q269" s="100"/>
      <c r="R269" s="100"/>
      <c r="S269" s="225">
        <f>_xlfn.XLOOKUP($K269,Inputs!$G$6:$G$23,Inputs!$J$6:$J$23)*$M269</f>
        <v>86.16545137401026</v>
      </c>
      <c r="T269" s="225">
        <f>_xlfn.XLOOKUP($K269,Inputs!$G$6:$G$23,Inputs!$K$6:$K$23)*$M269</f>
        <v>94.876166403623316</v>
      </c>
      <c r="U269" s="108" t="s">
        <v>711</v>
      </c>
      <c r="V269" s="107" t="s">
        <v>1071</v>
      </c>
      <c r="W269" s="108" t="s">
        <v>846</v>
      </c>
      <c r="X269" s="107" t="s">
        <v>1149</v>
      </c>
      <c r="Y269" s="11"/>
      <c r="Z269" s="11" t="s">
        <v>942</v>
      </c>
      <c r="AA269" s="11"/>
      <c r="AB269" s="59">
        <v>262</v>
      </c>
    </row>
    <row r="270" spans="2:28" s="2" customFormat="1" ht="20" x14ac:dyDescent="0.2">
      <c r="B270" s="108" t="s">
        <v>368</v>
      </c>
      <c r="C270" s="35" t="s">
        <v>75</v>
      </c>
      <c r="D270" s="35" t="s">
        <v>762</v>
      </c>
      <c r="E270" s="109">
        <v>1</v>
      </c>
      <c r="F270" s="108" t="s">
        <v>371</v>
      </c>
      <c r="G270" s="188">
        <v>5</v>
      </c>
      <c r="H270" s="188">
        <f t="shared" si="13"/>
        <v>3.0864197530864197</v>
      </c>
      <c r="I270" s="188">
        <v>28.57</v>
      </c>
      <c r="J270" s="188">
        <f t="shared" si="14"/>
        <v>17.6358024691358</v>
      </c>
      <c r="K270" s="109">
        <v>115</v>
      </c>
      <c r="L270" s="223">
        <f>_xlfn.XLOOKUP($K270,Inputs!$C$6:$C$23,Inputs!$D$6:$D$23)*$I270</f>
        <v>11.917771428571429</v>
      </c>
      <c r="M270" s="224">
        <f t="shared" si="12"/>
        <v>3</v>
      </c>
      <c r="N270" s="100"/>
      <c r="O270" s="100"/>
      <c r="P270" s="100"/>
      <c r="Q270" s="100"/>
      <c r="R270" s="100"/>
      <c r="S270" s="225">
        <f>_xlfn.XLOOKUP($K270,Inputs!$G$6:$G$23,Inputs!$J$6:$J$23)*$M270</f>
        <v>98.449131513647643</v>
      </c>
      <c r="T270" s="225">
        <f>_xlfn.XLOOKUP($K270,Inputs!$G$6:$G$23,Inputs!$K$6:$K$23)*$M270</f>
        <v>108.40163934426229</v>
      </c>
      <c r="U270" s="108" t="s">
        <v>711</v>
      </c>
      <c r="V270" s="107" t="s">
        <v>1071</v>
      </c>
      <c r="W270" s="108" t="s">
        <v>880</v>
      </c>
      <c r="X270" s="107" t="s">
        <v>1120</v>
      </c>
      <c r="Y270" s="11"/>
      <c r="Z270" s="11"/>
      <c r="AA270" s="11"/>
      <c r="AB270" s="59">
        <v>263</v>
      </c>
    </row>
    <row r="271" spans="2:28" s="2" customFormat="1" ht="20" x14ac:dyDescent="0.2">
      <c r="B271" s="108" t="s">
        <v>368</v>
      </c>
      <c r="C271" s="35" t="s">
        <v>75</v>
      </c>
      <c r="D271" s="35" t="s">
        <v>762</v>
      </c>
      <c r="E271" s="109">
        <v>1</v>
      </c>
      <c r="F271" s="108" t="s">
        <v>371</v>
      </c>
      <c r="G271" s="188">
        <v>23.57</v>
      </c>
      <c r="H271" s="188">
        <f t="shared" si="13"/>
        <v>14.549382716049381</v>
      </c>
      <c r="I271" s="188">
        <v>28.57</v>
      </c>
      <c r="J271" s="188">
        <f t="shared" si="14"/>
        <v>17.6358024691358</v>
      </c>
      <c r="K271" s="109">
        <v>115</v>
      </c>
      <c r="L271" s="223">
        <f>_xlfn.XLOOKUP($K271,Inputs!$C$6:$C$23,Inputs!$D$6:$D$23)*$I271</f>
        <v>11.917771428571429</v>
      </c>
      <c r="M271" s="224">
        <f t="shared" si="12"/>
        <v>3</v>
      </c>
      <c r="N271" s="100"/>
      <c r="O271" s="100"/>
      <c r="P271" s="100"/>
      <c r="Q271" s="100"/>
      <c r="R271" s="100"/>
      <c r="S271" s="225">
        <f>_xlfn.XLOOKUP($K271,Inputs!$G$6:$G$23,Inputs!$J$6:$J$23)*$M271</f>
        <v>98.449131513647643</v>
      </c>
      <c r="T271" s="225">
        <f>_xlfn.XLOOKUP($K271,Inputs!$G$6:$G$23,Inputs!$K$6:$K$23)*$M271</f>
        <v>108.40163934426229</v>
      </c>
      <c r="U271" s="108" t="s">
        <v>880</v>
      </c>
      <c r="V271" s="107" t="s">
        <v>1120</v>
      </c>
      <c r="W271" s="108" t="s">
        <v>646</v>
      </c>
      <c r="X271" s="107" t="s">
        <v>1108</v>
      </c>
      <c r="Y271" s="11"/>
      <c r="Z271" s="11"/>
      <c r="AA271" s="11"/>
      <c r="AB271" s="59">
        <v>264</v>
      </c>
    </row>
    <row r="272" spans="2:28" s="2" customFormat="1" ht="20" x14ac:dyDescent="0.2">
      <c r="B272" s="108" t="s">
        <v>369</v>
      </c>
      <c r="C272" s="35" t="s">
        <v>75</v>
      </c>
      <c r="D272" s="35" t="s">
        <v>762</v>
      </c>
      <c r="E272" s="109">
        <v>1</v>
      </c>
      <c r="F272" s="108" t="s">
        <v>371</v>
      </c>
      <c r="G272" s="110">
        <v>19.116000000000003</v>
      </c>
      <c r="H272" s="110">
        <f t="shared" si="13"/>
        <v>11.8</v>
      </c>
      <c r="I272" s="110">
        <v>19.116000000000003</v>
      </c>
      <c r="J272" s="110">
        <f t="shared" si="14"/>
        <v>11.8</v>
      </c>
      <c r="K272" s="109">
        <v>115</v>
      </c>
      <c r="L272" s="223">
        <f>_xlfn.XLOOKUP($K272,Inputs!$C$6:$C$23,Inputs!$D$6:$D$23)*$I272</f>
        <v>7.9741028571428583</v>
      </c>
      <c r="M272" s="224">
        <f t="shared" si="12"/>
        <v>3</v>
      </c>
      <c r="N272" s="100"/>
      <c r="O272" s="100"/>
      <c r="P272" s="100"/>
      <c r="Q272" s="100"/>
      <c r="R272" s="100"/>
      <c r="S272" s="225">
        <f>_xlfn.XLOOKUP($K272,Inputs!$G$6:$G$23,Inputs!$J$6:$J$23)*$M272</f>
        <v>98.449131513647643</v>
      </c>
      <c r="T272" s="225">
        <f>_xlfn.XLOOKUP($K272,Inputs!$G$6:$G$23,Inputs!$K$6:$K$23)*$M272</f>
        <v>108.40163934426229</v>
      </c>
      <c r="U272" s="108" t="s">
        <v>711</v>
      </c>
      <c r="V272" s="107" t="s">
        <v>1071</v>
      </c>
      <c r="W272" s="108" t="s">
        <v>703</v>
      </c>
      <c r="X272" s="107" t="s">
        <v>1082</v>
      </c>
      <c r="Y272" s="11"/>
      <c r="Z272" s="11"/>
      <c r="AA272" s="11"/>
      <c r="AB272" s="59">
        <v>265</v>
      </c>
    </row>
    <row r="273" spans="1:28" s="2" customFormat="1" ht="20" x14ac:dyDescent="0.2">
      <c r="B273" s="108" t="s">
        <v>370</v>
      </c>
      <c r="C273" s="35" t="s">
        <v>75</v>
      </c>
      <c r="D273" s="35" t="s">
        <v>762</v>
      </c>
      <c r="E273" s="109">
        <v>1</v>
      </c>
      <c r="F273" s="108" t="s">
        <v>371</v>
      </c>
      <c r="G273" s="188">
        <v>19.190000000000001</v>
      </c>
      <c r="H273" s="188">
        <f t="shared" si="13"/>
        <v>11.845679012345679</v>
      </c>
      <c r="I273" s="188">
        <v>24.19</v>
      </c>
      <c r="J273" s="188">
        <f t="shared" si="14"/>
        <v>14.932098765432098</v>
      </c>
      <c r="K273" s="109">
        <v>115</v>
      </c>
      <c r="L273" s="223">
        <f>_xlfn.XLOOKUP($K273,Inputs!$C$6:$C$23,Inputs!$D$6:$D$23)*$I273</f>
        <v>10.090685714285716</v>
      </c>
      <c r="M273" s="224">
        <f t="shared" si="12"/>
        <v>3</v>
      </c>
      <c r="N273" s="100"/>
      <c r="O273" s="100"/>
      <c r="P273" s="100"/>
      <c r="Q273" s="100"/>
      <c r="R273" s="100"/>
      <c r="S273" s="225">
        <f>_xlfn.XLOOKUP($K273,Inputs!$G$6:$G$23,Inputs!$J$6:$J$23)*$M273</f>
        <v>98.449131513647643</v>
      </c>
      <c r="T273" s="225">
        <f>_xlfn.XLOOKUP($K273,Inputs!$G$6:$G$23,Inputs!$K$6:$K$23)*$M273</f>
        <v>108.40163934426229</v>
      </c>
      <c r="U273" s="108" t="s">
        <v>711</v>
      </c>
      <c r="V273" s="107" t="s">
        <v>1071</v>
      </c>
      <c r="W273" s="108" t="s">
        <v>703</v>
      </c>
      <c r="X273" s="107" t="s">
        <v>1082</v>
      </c>
      <c r="Y273" s="11"/>
      <c r="Z273" s="11"/>
      <c r="AA273" s="11"/>
      <c r="AB273" s="59">
        <v>266</v>
      </c>
    </row>
    <row r="274" spans="1:28" s="2" customFormat="1" ht="20" x14ac:dyDescent="0.2">
      <c r="B274" s="108" t="s">
        <v>370</v>
      </c>
      <c r="C274" s="35" t="s">
        <v>75</v>
      </c>
      <c r="D274" s="35" t="s">
        <v>762</v>
      </c>
      <c r="E274" s="109">
        <v>1</v>
      </c>
      <c r="F274" s="108" t="s">
        <v>371</v>
      </c>
      <c r="G274" s="188">
        <v>5</v>
      </c>
      <c r="H274" s="188">
        <f t="shared" si="13"/>
        <v>3.0864197530864197</v>
      </c>
      <c r="I274" s="188">
        <v>24.19</v>
      </c>
      <c r="J274" s="188">
        <f t="shared" si="14"/>
        <v>14.932098765432098</v>
      </c>
      <c r="K274" s="109">
        <v>115</v>
      </c>
      <c r="L274" s="223">
        <f>_xlfn.XLOOKUP($K274,Inputs!$C$6:$C$23,Inputs!$D$6:$D$23)*$I274</f>
        <v>10.090685714285716</v>
      </c>
      <c r="M274" s="224">
        <f t="shared" si="12"/>
        <v>3</v>
      </c>
      <c r="N274" s="100"/>
      <c r="O274" s="100"/>
      <c r="P274" s="100"/>
      <c r="Q274" s="100"/>
      <c r="R274" s="100"/>
      <c r="S274" s="225">
        <f>_xlfn.XLOOKUP($K274,Inputs!$G$6:$G$23,Inputs!$J$6:$J$23)*$M274</f>
        <v>98.449131513647643</v>
      </c>
      <c r="T274" s="225">
        <f>_xlfn.XLOOKUP($K274,Inputs!$G$6:$G$23,Inputs!$K$6:$K$23)*$M274</f>
        <v>108.40163934426229</v>
      </c>
      <c r="U274" s="108" t="s">
        <v>703</v>
      </c>
      <c r="V274" s="107" t="s">
        <v>1082</v>
      </c>
      <c r="W274" s="198" t="s">
        <v>884</v>
      </c>
      <c r="X274" s="107" t="s">
        <v>1107</v>
      </c>
      <c r="Y274" s="11" t="s">
        <v>1168</v>
      </c>
      <c r="Z274" s="11"/>
      <c r="AA274" s="11"/>
      <c r="AB274" s="59">
        <v>267</v>
      </c>
    </row>
    <row r="276" spans="1:28" s="210" customFormat="1" ht="19" x14ac:dyDescent="0.2">
      <c r="A276" s="255" t="s">
        <v>926</v>
      </c>
    </row>
    <row r="277" spans="1:28" s="210" customFormat="1" ht="19" x14ac:dyDescent="0.25">
      <c r="A277" s="3" t="s">
        <v>1291</v>
      </c>
    </row>
    <row r="278" spans="1:28" s="210" customFormat="1" ht="19" x14ac:dyDescent="0.25">
      <c r="A278" s="3" t="s">
        <v>1180</v>
      </c>
    </row>
    <row r="279" spans="1:28" s="210" customFormat="1" ht="19" x14ac:dyDescent="0.25">
      <c r="A279" s="3" t="s">
        <v>1181</v>
      </c>
      <c r="L279" s="18"/>
      <c r="Q279" s="24"/>
      <c r="R279" s="18"/>
      <c r="S279" s="18"/>
      <c r="T279" s="24"/>
      <c r="U279" s="18"/>
      <c r="V279" s="24"/>
      <c r="W279" s="24"/>
      <c r="X279" s="3"/>
    </row>
    <row r="280" spans="1:28" s="210" customFormat="1" ht="19" x14ac:dyDescent="0.25">
      <c r="A280" s="3" t="s">
        <v>1182</v>
      </c>
      <c r="L280" s="18"/>
      <c r="Q280" s="24"/>
      <c r="R280" s="18"/>
      <c r="S280" s="18"/>
      <c r="T280" s="24"/>
      <c r="U280" s="18"/>
      <c r="V280" s="24"/>
      <c r="W280" s="24"/>
      <c r="X280" s="3"/>
    </row>
    <row r="281" spans="1:28" s="210" customFormat="1" ht="19" x14ac:dyDescent="0.25">
      <c r="A281" s="3" t="s">
        <v>1183</v>
      </c>
    </row>
    <row r="282" spans="1:28" s="210" customFormat="1" ht="19" x14ac:dyDescent="0.25">
      <c r="A282" s="3" t="s">
        <v>1292</v>
      </c>
    </row>
    <row r="283" spans="1:28" s="210" customFormat="1" ht="19" x14ac:dyDescent="0.25">
      <c r="A283" s="3" t="s">
        <v>1293</v>
      </c>
    </row>
    <row r="284" spans="1:28" s="210" customFormat="1" ht="19" x14ac:dyDescent="0.25">
      <c r="A284" s="3" t="s">
        <v>1184</v>
      </c>
    </row>
    <row r="285" spans="1:28" s="210" customFormat="1" ht="19" x14ac:dyDescent="0.25">
      <c r="A285" s="3" t="s">
        <v>927</v>
      </c>
    </row>
    <row r="286" spans="1:28" s="210" customFormat="1" ht="19" x14ac:dyDescent="0.25">
      <c r="A286" s="3" t="s">
        <v>1294</v>
      </c>
    </row>
    <row r="287" spans="1:28" s="210" customFormat="1" ht="19" x14ac:dyDescent="0.25">
      <c r="A287" s="3" t="s">
        <v>1185</v>
      </c>
    </row>
    <row r="288" spans="1:28" s="210" customFormat="1" ht="19" x14ac:dyDescent="0.25">
      <c r="A288" s="3" t="s">
        <v>1295</v>
      </c>
    </row>
    <row r="289" spans="1:22" s="210" customFormat="1" ht="19" x14ac:dyDescent="0.25">
      <c r="A289" s="3" t="s">
        <v>1186</v>
      </c>
    </row>
    <row r="290" spans="1:22" s="210" customFormat="1" ht="19" x14ac:dyDescent="0.25">
      <c r="A290" s="3"/>
    </row>
    <row r="291" spans="1:22" s="210" customFormat="1" ht="19" x14ac:dyDescent="0.2">
      <c r="A291" s="60" t="s">
        <v>550</v>
      </c>
      <c r="B291" s="47"/>
      <c r="C291" s="44"/>
      <c r="D291" s="44"/>
      <c r="E291" s="47"/>
      <c r="F291" s="48"/>
      <c r="G291" s="47"/>
      <c r="H291" s="47"/>
      <c r="I291" s="47"/>
      <c r="J291" s="47"/>
      <c r="K291" s="47"/>
      <c r="L291" s="47"/>
      <c r="M291" s="47"/>
      <c r="N291" s="185"/>
      <c r="O291" s="185"/>
      <c r="P291" s="185"/>
      <c r="Q291" s="185"/>
      <c r="R291" s="185"/>
      <c r="S291" s="47"/>
      <c r="T291" s="47"/>
    </row>
    <row r="292" spans="1:22" s="210" customFormat="1" ht="19" x14ac:dyDescent="0.25">
      <c r="A292" s="3" t="s">
        <v>976</v>
      </c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M292" s="47"/>
      <c r="N292" s="82"/>
      <c r="O292" s="82"/>
      <c r="P292" s="82"/>
      <c r="Q292" s="82"/>
      <c r="R292" s="82"/>
      <c r="S292" s="47"/>
    </row>
    <row r="293" spans="1:22" s="210" customFormat="1" x14ac:dyDescent="0.2">
      <c r="B293" s="47"/>
      <c r="C293" s="47"/>
      <c r="D293" s="47"/>
      <c r="E293" s="44"/>
      <c r="F293" s="47"/>
      <c r="G293" s="48"/>
      <c r="H293" s="48"/>
      <c r="I293" s="48"/>
      <c r="J293" s="48"/>
      <c r="K293" s="47"/>
      <c r="L293" s="47"/>
      <c r="M293" s="47"/>
      <c r="N293" s="185"/>
      <c r="O293" s="185"/>
      <c r="P293" s="185"/>
      <c r="Q293" s="185"/>
      <c r="R293" s="185"/>
      <c r="S293" s="47"/>
      <c r="T293" s="47"/>
      <c r="U293" s="47"/>
      <c r="V293" s="47"/>
    </row>
    <row r="294" spans="1:22" s="210" customFormat="1" x14ac:dyDescent="0.2">
      <c r="B294" s="47"/>
      <c r="C294" s="47"/>
      <c r="D294" s="47"/>
      <c r="E294" s="44"/>
      <c r="F294" s="47"/>
      <c r="G294" s="48"/>
      <c r="H294" s="48"/>
      <c r="I294" s="48"/>
      <c r="J294" s="48"/>
      <c r="K294" s="47"/>
      <c r="L294" s="47"/>
      <c r="M294" s="47"/>
      <c r="N294" s="185"/>
      <c r="O294" s="185"/>
      <c r="P294" s="185"/>
      <c r="Q294" s="185"/>
      <c r="R294" s="185"/>
      <c r="S294" s="47"/>
      <c r="T294" s="47"/>
      <c r="U294" s="47"/>
      <c r="V294" s="47"/>
    </row>
    <row r="295" spans="1:22" s="210" customFormat="1" x14ac:dyDescent="0.2">
      <c r="B295" s="47"/>
      <c r="C295" s="47"/>
      <c r="D295" s="47"/>
      <c r="E295" s="44"/>
      <c r="F295" s="47"/>
      <c r="G295" s="48"/>
      <c r="H295" s="48"/>
      <c r="I295" s="48"/>
      <c r="J295" s="48"/>
      <c r="K295" s="47"/>
      <c r="L295" s="47"/>
      <c r="M295" s="47"/>
      <c r="N295" s="185"/>
      <c r="O295" s="185"/>
      <c r="P295" s="185"/>
      <c r="Q295" s="185"/>
      <c r="R295" s="185"/>
      <c r="S295" s="47"/>
      <c r="T295" s="47"/>
      <c r="U295" s="47"/>
      <c r="V295" s="47"/>
    </row>
    <row r="296" spans="1:22" s="210" customFormat="1" x14ac:dyDescent="0.2">
      <c r="B296" s="47"/>
      <c r="C296" s="47"/>
      <c r="D296" s="47"/>
      <c r="E296" s="44"/>
      <c r="F296" s="47"/>
      <c r="G296" s="48"/>
      <c r="H296" s="48"/>
      <c r="I296" s="48"/>
      <c r="J296" s="48"/>
      <c r="K296" s="47"/>
      <c r="L296" s="47"/>
      <c r="M296" s="47"/>
      <c r="N296" s="185"/>
      <c r="O296" s="185"/>
      <c r="P296" s="185"/>
      <c r="Q296" s="185"/>
      <c r="R296" s="185"/>
      <c r="S296" s="47"/>
      <c r="T296" s="47"/>
      <c r="U296" s="47"/>
      <c r="V296" s="47"/>
    </row>
    <row r="297" spans="1:22" s="210" customFormat="1" x14ac:dyDescent="0.2">
      <c r="B297" s="47"/>
      <c r="C297" s="47"/>
      <c r="D297" s="47"/>
      <c r="E297" s="44"/>
      <c r="F297" s="47"/>
      <c r="G297" s="48"/>
      <c r="H297" s="48"/>
      <c r="I297" s="48"/>
      <c r="J297" s="48"/>
      <c r="K297" s="47"/>
      <c r="L297" s="47"/>
      <c r="M297" s="47"/>
      <c r="N297" s="185"/>
      <c r="O297" s="185"/>
      <c r="P297" s="185"/>
      <c r="Q297" s="185"/>
      <c r="R297" s="185"/>
      <c r="S297" s="47"/>
      <c r="T297" s="47"/>
      <c r="U297" s="47"/>
      <c r="V297" s="47"/>
    </row>
    <row r="298" spans="1:22" s="210" customFormat="1" x14ac:dyDescent="0.2">
      <c r="B298" s="47"/>
      <c r="C298" s="47"/>
      <c r="D298" s="47"/>
      <c r="E298" s="44"/>
      <c r="F298" s="47"/>
      <c r="G298" s="48"/>
      <c r="H298" s="48"/>
      <c r="I298" s="48"/>
      <c r="J298" s="48"/>
      <c r="K298" s="47"/>
      <c r="L298" s="47"/>
      <c r="M298" s="47"/>
      <c r="N298" s="185"/>
      <c r="O298" s="185"/>
      <c r="P298" s="185"/>
      <c r="Q298" s="185"/>
      <c r="R298" s="185"/>
      <c r="S298" s="47"/>
      <c r="T298" s="47"/>
      <c r="U298" s="47"/>
      <c r="V298" s="47"/>
    </row>
    <row r="299" spans="1:22" s="210" customFormat="1" x14ac:dyDescent="0.2">
      <c r="B299" s="47"/>
      <c r="C299" s="47"/>
      <c r="D299" s="47"/>
      <c r="E299" s="44"/>
      <c r="F299" s="47"/>
      <c r="G299" s="48"/>
      <c r="H299" s="48"/>
      <c r="I299" s="48"/>
      <c r="J299" s="48"/>
      <c r="K299" s="47"/>
      <c r="L299" s="47"/>
      <c r="M299" s="47"/>
      <c r="N299" s="185"/>
      <c r="O299" s="185"/>
      <c r="P299" s="185"/>
      <c r="Q299" s="185"/>
      <c r="R299" s="185"/>
      <c r="S299" s="47"/>
      <c r="T299" s="47"/>
      <c r="U299" s="47"/>
      <c r="V299" s="47"/>
    </row>
    <row r="300" spans="1:22" s="210" customFormat="1" x14ac:dyDescent="0.2">
      <c r="B300" s="47"/>
      <c r="C300" s="47"/>
      <c r="D300" s="47"/>
      <c r="E300" s="44"/>
      <c r="F300" s="47"/>
      <c r="G300" s="48"/>
      <c r="H300" s="48"/>
      <c r="I300" s="48"/>
      <c r="J300" s="48"/>
      <c r="K300" s="47"/>
      <c r="L300" s="47"/>
      <c r="M300" s="47"/>
      <c r="N300" s="185"/>
      <c r="O300" s="185"/>
      <c r="P300" s="185"/>
      <c r="Q300" s="185"/>
      <c r="R300" s="185"/>
      <c r="S300" s="47"/>
      <c r="T300" s="47"/>
      <c r="U300" s="47"/>
      <c r="V300" s="47"/>
    </row>
    <row r="301" spans="1:22" s="210" customFormat="1" x14ac:dyDescent="0.2">
      <c r="B301" s="47"/>
      <c r="C301" s="47"/>
      <c r="D301" s="47"/>
      <c r="E301" s="44"/>
      <c r="F301" s="47"/>
      <c r="G301" s="48"/>
      <c r="H301" s="48"/>
      <c r="I301" s="48"/>
      <c r="J301" s="48"/>
      <c r="K301" s="47"/>
      <c r="L301" s="47"/>
      <c r="M301" s="47"/>
      <c r="N301" s="185"/>
      <c r="O301" s="185"/>
      <c r="P301" s="185"/>
      <c r="Q301" s="185"/>
      <c r="R301" s="185"/>
      <c r="S301" s="47"/>
      <c r="T301" s="47"/>
      <c r="U301" s="47"/>
      <c r="V301" s="47"/>
    </row>
    <row r="302" spans="1:22" s="210" customFormat="1" x14ac:dyDescent="0.2">
      <c r="B302" s="47"/>
      <c r="C302" s="47"/>
      <c r="D302" s="47"/>
      <c r="E302" s="44"/>
      <c r="F302" s="47"/>
      <c r="G302" s="48"/>
      <c r="H302" s="48"/>
      <c r="I302" s="48"/>
      <c r="J302" s="48"/>
      <c r="K302" s="47"/>
      <c r="L302" s="47"/>
      <c r="M302" s="47"/>
      <c r="N302" s="185"/>
      <c r="O302" s="185"/>
      <c r="P302" s="185"/>
      <c r="Q302" s="185"/>
      <c r="R302" s="185"/>
      <c r="S302" s="47"/>
      <c r="T302" s="47"/>
      <c r="U302" s="47"/>
      <c r="V302" s="47"/>
    </row>
    <row r="303" spans="1:22" s="210" customFormat="1" x14ac:dyDescent="0.2">
      <c r="B303" s="47"/>
      <c r="C303" s="47"/>
      <c r="D303" s="47"/>
      <c r="E303" s="44"/>
      <c r="F303" s="47"/>
      <c r="G303" s="48"/>
      <c r="H303" s="48"/>
      <c r="I303" s="48"/>
      <c r="J303" s="48"/>
      <c r="K303" s="47"/>
      <c r="L303" s="47"/>
      <c r="M303" s="47"/>
      <c r="N303" s="185"/>
      <c r="O303" s="185"/>
      <c r="P303" s="185"/>
      <c r="Q303" s="185"/>
      <c r="R303" s="185"/>
      <c r="S303" s="47"/>
      <c r="T303" s="47"/>
      <c r="U303" s="47"/>
      <c r="V303" s="47"/>
    </row>
  </sheetData>
  <autoFilter ref="A3:AB3" xr:uid="{234E7441-72C0-5940-9FA4-E3E8DBE1B3CD}">
    <sortState xmlns:xlrd2="http://schemas.microsoft.com/office/spreadsheetml/2017/richdata2" ref="A4:AB274">
      <sortCondition ref="AB3:AB274"/>
    </sortState>
  </autoFilter>
  <phoneticPr fontId="3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1737-6CB8-EF43-854D-2CEC259BA006}">
  <dimension ref="A1:O464"/>
  <sheetViews>
    <sheetView workbookViewId="0">
      <pane ySplit="3" topLeftCell="A4" activePane="bottomLeft" state="frozen"/>
      <selection pane="bottomLeft" activeCell="E7" sqref="E7"/>
    </sheetView>
  </sheetViews>
  <sheetFormatPr baseColWidth="10" defaultRowHeight="16" x14ac:dyDescent="0.2"/>
  <cols>
    <col min="1" max="1" width="4.83203125" style="42" customWidth="1"/>
    <col min="2" max="2" width="45.83203125" style="42" customWidth="1"/>
    <col min="3" max="3" width="24.83203125" style="82" customWidth="1"/>
    <col min="4" max="6" width="25.6640625" style="47" customWidth="1"/>
    <col min="7" max="7" width="20.83203125" style="47" customWidth="1"/>
    <col min="8" max="9" width="60.83203125" style="42" customWidth="1"/>
    <col min="10" max="10" width="60.83203125" style="210" customWidth="1"/>
    <col min="11" max="16384" width="10.83203125" style="42"/>
  </cols>
  <sheetData>
    <row r="1" spans="1:10" s="3" customFormat="1" ht="21" x14ac:dyDescent="0.25">
      <c r="A1" s="55" t="s">
        <v>74</v>
      </c>
      <c r="B1" s="12" t="s">
        <v>894</v>
      </c>
      <c r="C1" s="82"/>
      <c r="D1" s="12"/>
      <c r="E1" s="12"/>
      <c r="F1" s="12"/>
      <c r="H1" s="42"/>
    </row>
    <row r="2" spans="1:10" s="2" customFormat="1" ht="20" x14ac:dyDescent="0.2">
      <c r="B2" s="13" t="s">
        <v>889</v>
      </c>
      <c r="C2" s="13" t="s">
        <v>890</v>
      </c>
      <c r="D2" s="13" t="s">
        <v>13</v>
      </c>
      <c r="E2" s="13" t="s">
        <v>14</v>
      </c>
      <c r="F2" s="13" t="s">
        <v>15</v>
      </c>
      <c r="G2" s="13" t="s">
        <v>1283</v>
      </c>
      <c r="H2" s="13" t="s">
        <v>611</v>
      </c>
      <c r="I2" s="13" t="s">
        <v>30</v>
      </c>
      <c r="J2" s="13" t="s">
        <v>1326</v>
      </c>
    </row>
    <row r="3" spans="1:10" s="2" customFormat="1" ht="19" x14ac:dyDescent="0.2">
      <c r="B3" s="11"/>
      <c r="C3" s="99"/>
      <c r="D3" s="10"/>
      <c r="E3" s="10"/>
      <c r="F3" s="10"/>
      <c r="G3" s="10"/>
      <c r="H3" s="11"/>
      <c r="I3" s="11"/>
      <c r="J3" s="11"/>
    </row>
    <row r="4" spans="1:10" s="2" customFormat="1" ht="20" x14ac:dyDescent="0.2">
      <c r="B4" s="108" t="s">
        <v>799</v>
      </c>
      <c r="C4" s="107" t="s">
        <v>1039</v>
      </c>
      <c r="D4" s="35" t="s">
        <v>75</v>
      </c>
      <c r="E4" s="253">
        <v>49.9065553792936</v>
      </c>
      <c r="F4" s="253">
        <v>-96.704221990747101</v>
      </c>
      <c r="G4" s="35" t="s">
        <v>762</v>
      </c>
      <c r="H4" s="11"/>
      <c r="I4" s="11"/>
      <c r="J4" s="11"/>
    </row>
    <row r="5" spans="1:10" s="2" customFormat="1" ht="20" x14ac:dyDescent="0.2">
      <c r="B5" s="108" t="s">
        <v>670</v>
      </c>
      <c r="C5" s="107" t="s">
        <v>1040</v>
      </c>
      <c r="D5" s="35" t="s">
        <v>75</v>
      </c>
      <c r="E5" s="253">
        <v>51.2038762489411</v>
      </c>
      <c r="F5" s="253">
        <v>-98.441513652087806</v>
      </c>
      <c r="G5" s="35" t="s">
        <v>762</v>
      </c>
      <c r="H5" s="11"/>
      <c r="I5" s="11"/>
      <c r="J5" s="11"/>
    </row>
    <row r="6" spans="1:10" s="2" customFormat="1" ht="20" x14ac:dyDescent="0.2">
      <c r="B6" s="108" t="s">
        <v>870</v>
      </c>
      <c r="C6" s="107" t="s">
        <v>1041</v>
      </c>
      <c r="D6" s="35" t="s">
        <v>75</v>
      </c>
      <c r="E6" s="253">
        <v>49.876439272047499</v>
      </c>
      <c r="F6" s="253">
        <v>-97.346621957836305</v>
      </c>
      <c r="G6" s="35" t="s">
        <v>762</v>
      </c>
      <c r="H6" s="11"/>
      <c r="I6" s="11"/>
      <c r="J6" s="11"/>
    </row>
    <row r="7" spans="1:10" s="2" customFormat="1" ht="20" x14ac:dyDescent="0.2">
      <c r="B7" s="108" t="s">
        <v>856</v>
      </c>
      <c r="C7" s="107" t="s">
        <v>1042</v>
      </c>
      <c r="D7" s="35" t="s">
        <v>75</v>
      </c>
      <c r="E7" s="253">
        <v>49.9459346208697</v>
      </c>
      <c r="F7" s="253">
        <v>-98.927506021408803</v>
      </c>
      <c r="G7" s="35" t="s">
        <v>762</v>
      </c>
      <c r="H7" s="11"/>
      <c r="I7" s="11"/>
      <c r="J7" s="11"/>
    </row>
    <row r="8" spans="1:10" s="2" customFormat="1" ht="20" x14ac:dyDescent="0.2">
      <c r="B8" s="108" t="s">
        <v>854</v>
      </c>
      <c r="C8" s="107" t="s">
        <v>1043</v>
      </c>
      <c r="D8" s="35" t="s">
        <v>75</v>
      </c>
      <c r="E8" s="253">
        <v>50.073366444724599</v>
      </c>
      <c r="F8" s="253">
        <v>-96.478199336236401</v>
      </c>
      <c r="G8" s="35" t="s">
        <v>762</v>
      </c>
      <c r="H8" s="11"/>
      <c r="I8" s="11"/>
      <c r="J8" s="11"/>
    </row>
    <row r="9" spans="1:10" s="2" customFormat="1" ht="20" x14ac:dyDescent="0.2">
      <c r="B9" s="108" t="s">
        <v>679</v>
      </c>
      <c r="C9" s="107" t="s">
        <v>1044</v>
      </c>
      <c r="D9" s="35" t="s">
        <v>75</v>
      </c>
      <c r="E9" s="253">
        <v>55.701757292507899</v>
      </c>
      <c r="F9" s="253">
        <v>-97.927140908432193</v>
      </c>
      <c r="G9" s="35" t="s">
        <v>762</v>
      </c>
      <c r="H9" s="11"/>
      <c r="I9" s="11"/>
      <c r="J9" s="11"/>
    </row>
    <row r="10" spans="1:10" s="2" customFormat="1" ht="20" x14ac:dyDescent="0.2">
      <c r="B10" s="108" t="s">
        <v>704</v>
      </c>
      <c r="C10" s="107" t="s">
        <v>1045</v>
      </c>
      <c r="D10" s="35" t="s">
        <v>75</v>
      </c>
      <c r="E10" s="253">
        <v>50.3721395236402</v>
      </c>
      <c r="F10" s="253">
        <v>-101.040531760927</v>
      </c>
      <c r="G10" s="35" t="s">
        <v>762</v>
      </c>
      <c r="H10" s="11"/>
      <c r="I10" s="11"/>
      <c r="J10" s="11"/>
    </row>
    <row r="11" spans="1:10" s="2" customFormat="1" ht="20" x14ac:dyDescent="0.2">
      <c r="B11" s="108" t="s">
        <v>886</v>
      </c>
      <c r="C11" s="107" t="s">
        <v>1123</v>
      </c>
      <c r="D11" s="35" t="s">
        <v>75</v>
      </c>
      <c r="E11" s="253">
        <v>49.829161952353303</v>
      </c>
      <c r="F11" s="253">
        <v>-99.849550178923096</v>
      </c>
      <c r="G11" s="35" t="s">
        <v>762</v>
      </c>
      <c r="H11" s="11"/>
      <c r="I11" s="11"/>
      <c r="J11" s="11"/>
    </row>
    <row r="12" spans="1:10" s="2" customFormat="1" ht="20" x14ac:dyDescent="0.2">
      <c r="B12" s="108" t="s">
        <v>746</v>
      </c>
      <c r="C12" s="107" t="s">
        <v>1020</v>
      </c>
      <c r="D12" s="35" t="s">
        <v>75</v>
      </c>
      <c r="E12" s="253">
        <v>49.845590999999999</v>
      </c>
      <c r="F12" s="253">
        <v>-99.890103999999994</v>
      </c>
      <c r="G12" s="35" t="s">
        <v>762</v>
      </c>
      <c r="H12" s="104"/>
      <c r="I12" s="104"/>
      <c r="J12" s="11"/>
    </row>
    <row r="13" spans="1:10" s="2" customFormat="1" ht="20" x14ac:dyDescent="0.2">
      <c r="B13" s="108" t="s">
        <v>851</v>
      </c>
      <c r="C13" s="107" t="s">
        <v>1046</v>
      </c>
      <c r="D13" s="35" t="s">
        <v>75</v>
      </c>
      <c r="E13" s="253">
        <v>49.944572791250302</v>
      </c>
      <c r="F13" s="253">
        <v>-95.514854058150604</v>
      </c>
      <c r="G13" s="35" t="s">
        <v>762</v>
      </c>
      <c r="H13" s="11"/>
      <c r="I13" s="11"/>
      <c r="J13" s="11"/>
    </row>
    <row r="14" spans="1:10" s="2" customFormat="1" ht="20" x14ac:dyDescent="0.2">
      <c r="B14" s="108" t="s">
        <v>855</v>
      </c>
      <c r="C14" s="107" t="s">
        <v>1047</v>
      </c>
      <c r="D14" s="35" t="s">
        <v>75</v>
      </c>
      <c r="E14" s="253">
        <v>50.244358689128099</v>
      </c>
      <c r="F14" s="253">
        <v>-96.490135457340301</v>
      </c>
      <c r="G14" s="35" t="s">
        <v>762</v>
      </c>
      <c r="H14" s="11"/>
      <c r="I14" s="11"/>
      <c r="J14" s="11"/>
    </row>
    <row r="15" spans="1:10" s="2" customFormat="1" ht="20" x14ac:dyDescent="0.2">
      <c r="B15" s="108" t="s">
        <v>700</v>
      </c>
      <c r="C15" s="107" t="s">
        <v>1124</v>
      </c>
      <c r="D15" s="35" t="s">
        <v>75</v>
      </c>
      <c r="E15" s="253">
        <v>55.752758626061102</v>
      </c>
      <c r="F15" s="253">
        <v>-97.819435230927098</v>
      </c>
      <c r="G15" s="35" t="s">
        <v>762</v>
      </c>
      <c r="H15" s="11"/>
      <c r="I15" s="11"/>
      <c r="J15" s="11"/>
    </row>
    <row r="16" spans="1:10" s="2" customFormat="1" ht="20" x14ac:dyDescent="0.2">
      <c r="A16" s="266"/>
      <c r="B16" s="268" t="s">
        <v>1324</v>
      </c>
      <c r="C16" s="107" t="s">
        <v>1325</v>
      </c>
      <c r="D16" s="35" t="s">
        <v>75</v>
      </c>
      <c r="E16" s="253">
        <v>49.827488438204703</v>
      </c>
      <c r="F16" s="253">
        <v>-99.829190340499295</v>
      </c>
      <c r="G16" s="35" t="s">
        <v>762</v>
      </c>
      <c r="H16" s="11"/>
      <c r="I16" s="11"/>
      <c r="J16" s="11" t="s">
        <v>1329</v>
      </c>
    </row>
    <row r="17" spans="2:10" s="2" customFormat="1" ht="20" x14ac:dyDescent="0.2">
      <c r="B17" s="108" t="s">
        <v>858</v>
      </c>
      <c r="C17" s="107" t="s">
        <v>1048</v>
      </c>
      <c r="D17" s="35" t="s">
        <v>75</v>
      </c>
      <c r="E17" s="253">
        <v>49.946569826746398</v>
      </c>
      <c r="F17" s="253">
        <v>-99.340925136392798</v>
      </c>
      <c r="G17" s="35" t="s">
        <v>762</v>
      </c>
      <c r="H17" s="11"/>
      <c r="I17" s="11"/>
      <c r="J17" s="11"/>
    </row>
    <row r="18" spans="2:10" s="2" customFormat="1" ht="20" x14ac:dyDescent="0.2">
      <c r="B18" s="108" t="s">
        <v>687</v>
      </c>
      <c r="C18" s="107" t="s">
        <v>1125</v>
      </c>
      <c r="D18" s="35" t="s">
        <v>75</v>
      </c>
      <c r="E18" s="253">
        <v>58.735604500141498</v>
      </c>
      <c r="F18" s="253">
        <v>-94.110878163978697</v>
      </c>
      <c r="G18" s="35" t="s">
        <v>762</v>
      </c>
      <c r="H18" s="11"/>
      <c r="I18" s="11"/>
      <c r="J18" s="11"/>
    </row>
    <row r="19" spans="2:10" s="2" customFormat="1" ht="20" x14ac:dyDescent="0.2">
      <c r="B19" s="108" t="s">
        <v>669</v>
      </c>
      <c r="C19" s="107" t="s">
        <v>1126</v>
      </c>
      <c r="D19" s="35" t="s">
        <v>75</v>
      </c>
      <c r="E19" s="253">
        <v>54.790114228865498</v>
      </c>
      <c r="F19" s="253">
        <v>-101.84436153074</v>
      </c>
      <c r="G19" s="35" t="s">
        <v>762</v>
      </c>
      <c r="H19" s="11"/>
      <c r="I19" s="11"/>
      <c r="J19" s="11"/>
    </row>
    <row r="20" spans="2:10" s="2" customFormat="1" ht="20" x14ac:dyDescent="0.2">
      <c r="B20" s="108" t="s">
        <v>671</v>
      </c>
      <c r="C20" s="107" t="s">
        <v>1049</v>
      </c>
      <c r="D20" s="35" t="s">
        <v>75</v>
      </c>
      <c r="E20" s="253">
        <v>49.845120104586201</v>
      </c>
      <c r="F20" s="253">
        <v>-99.896049547961894</v>
      </c>
      <c r="G20" s="35" t="s">
        <v>762</v>
      </c>
      <c r="H20" s="11"/>
      <c r="I20" s="11"/>
      <c r="J20" s="11"/>
    </row>
    <row r="21" spans="2:10" s="2" customFormat="1" ht="20" x14ac:dyDescent="0.2">
      <c r="B21" s="108" t="s">
        <v>871</v>
      </c>
      <c r="C21" s="107" t="s">
        <v>1050</v>
      </c>
      <c r="D21" s="35" t="s">
        <v>75</v>
      </c>
      <c r="E21" s="253">
        <v>49.957665766808297</v>
      </c>
      <c r="F21" s="253">
        <v>-97.151892922568706</v>
      </c>
      <c r="G21" s="35" t="s">
        <v>762</v>
      </c>
      <c r="H21" s="11"/>
      <c r="I21" s="11"/>
      <c r="J21" s="11"/>
    </row>
    <row r="22" spans="2:10" s="2" customFormat="1" ht="20" x14ac:dyDescent="0.2">
      <c r="B22" s="112" t="s">
        <v>859</v>
      </c>
      <c r="C22" s="107" t="s">
        <v>1051</v>
      </c>
      <c r="D22" s="35" t="s">
        <v>75</v>
      </c>
      <c r="E22" s="253">
        <v>54.612755614490901</v>
      </c>
      <c r="F22" s="253">
        <v>-101.34723282339</v>
      </c>
      <c r="G22" s="35" t="s">
        <v>762</v>
      </c>
      <c r="H22" s="11"/>
      <c r="I22" s="11"/>
      <c r="J22" s="11"/>
    </row>
    <row r="23" spans="2:10" s="2" customFormat="1" ht="20" x14ac:dyDescent="0.2">
      <c r="B23" s="108" t="s">
        <v>652</v>
      </c>
      <c r="C23" s="107" t="s">
        <v>1052</v>
      </c>
      <c r="D23" s="35" t="s">
        <v>75</v>
      </c>
      <c r="E23" s="253">
        <v>49.808182221743799</v>
      </c>
      <c r="F23" s="253">
        <v>-99.938269674014805</v>
      </c>
      <c r="G23" s="35" t="s">
        <v>762</v>
      </c>
      <c r="H23" s="11"/>
      <c r="I23" s="11"/>
      <c r="J23" s="11"/>
    </row>
    <row r="24" spans="2:10" s="2" customFormat="1" ht="20" x14ac:dyDescent="0.2">
      <c r="B24" s="108" t="s">
        <v>860</v>
      </c>
      <c r="C24" s="107" t="s">
        <v>1053</v>
      </c>
      <c r="D24" s="35" t="s">
        <v>75</v>
      </c>
      <c r="E24" s="253">
        <v>49.833567103371301</v>
      </c>
      <c r="F24" s="253">
        <v>-97.110219453164405</v>
      </c>
      <c r="G24" s="35" t="s">
        <v>762</v>
      </c>
      <c r="H24" s="11"/>
      <c r="I24" s="11"/>
      <c r="J24" s="11"/>
    </row>
    <row r="25" spans="2:10" s="2" customFormat="1" ht="20" x14ac:dyDescent="0.2">
      <c r="B25" s="108" t="s">
        <v>647</v>
      </c>
      <c r="C25" s="107" t="s">
        <v>1054</v>
      </c>
      <c r="D25" s="35" t="s">
        <v>75</v>
      </c>
      <c r="E25" s="253">
        <v>49.991912440439599</v>
      </c>
      <c r="F25" s="253">
        <v>-97.427636490844407</v>
      </c>
      <c r="G25" s="35" t="s">
        <v>762</v>
      </c>
      <c r="H25" s="11"/>
      <c r="I25" s="11"/>
      <c r="J25" s="11"/>
    </row>
    <row r="26" spans="2:10" s="2" customFormat="1" ht="20" x14ac:dyDescent="0.2">
      <c r="B26" s="139" t="s">
        <v>737</v>
      </c>
      <c r="C26" s="107" t="s">
        <v>1127</v>
      </c>
      <c r="D26" s="35" t="s">
        <v>75</v>
      </c>
      <c r="E26" s="253">
        <v>49.991912440439599</v>
      </c>
      <c r="F26" s="253">
        <v>-97.427636490844407</v>
      </c>
      <c r="G26" s="35" t="s">
        <v>762</v>
      </c>
      <c r="H26" s="11"/>
      <c r="I26" s="11"/>
      <c r="J26" s="11"/>
    </row>
    <row r="27" spans="2:10" s="2" customFormat="1" ht="20" x14ac:dyDescent="0.2">
      <c r="B27" s="108" t="s">
        <v>861</v>
      </c>
      <c r="C27" s="107" t="s">
        <v>1055</v>
      </c>
      <c r="D27" s="35" t="s">
        <v>75</v>
      </c>
      <c r="E27" s="253">
        <v>50.124666470490801</v>
      </c>
      <c r="F27" s="253">
        <v>-96.852198519738394</v>
      </c>
      <c r="G27" s="35" t="s">
        <v>762</v>
      </c>
      <c r="H27" s="11"/>
      <c r="I27" s="11"/>
      <c r="J27" s="11"/>
    </row>
    <row r="28" spans="2:10" s="2" customFormat="1" ht="20" x14ac:dyDescent="0.2">
      <c r="B28" s="108" t="s">
        <v>817</v>
      </c>
      <c r="C28" s="107" t="s">
        <v>1056</v>
      </c>
      <c r="D28" s="35" t="s">
        <v>75</v>
      </c>
      <c r="E28" s="253">
        <v>54.776933170141902</v>
      </c>
      <c r="F28" s="253">
        <v>-101.885088742482</v>
      </c>
      <c r="G28" s="35" t="s">
        <v>762</v>
      </c>
      <c r="H28" s="11"/>
      <c r="I28" s="11"/>
      <c r="J28" s="11"/>
    </row>
    <row r="29" spans="2:10" s="2" customFormat="1" ht="20" x14ac:dyDescent="0.2">
      <c r="B29" s="108" t="s">
        <v>664</v>
      </c>
      <c r="C29" s="107" t="s">
        <v>1057</v>
      </c>
      <c r="D29" s="35" t="s">
        <v>75</v>
      </c>
      <c r="E29" s="253">
        <v>49.831522671469401</v>
      </c>
      <c r="F29" s="253">
        <v>-100.00565833774699</v>
      </c>
      <c r="G29" s="35" t="s">
        <v>762</v>
      </c>
      <c r="H29" s="11"/>
      <c r="I29" s="11"/>
      <c r="J29" s="11"/>
    </row>
    <row r="30" spans="2:10" s="2" customFormat="1" ht="20" x14ac:dyDescent="0.2">
      <c r="B30" s="108" t="s">
        <v>674</v>
      </c>
      <c r="C30" s="107" t="s">
        <v>1058</v>
      </c>
      <c r="D30" s="35" t="s">
        <v>75</v>
      </c>
      <c r="E30" s="253">
        <v>53.909303386344298</v>
      </c>
      <c r="F30" s="253">
        <v>-94.680337957425493</v>
      </c>
      <c r="G30" s="35" t="s">
        <v>762</v>
      </c>
      <c r="H30" s="11"/>
      <c r="I30" s="11"/>
      <c r="J30" s="11"/>
    </row>
    <row r="31" spans="2:10" s="2" customFormat="1" ht="20" x14ac:dyDescent="0.2">
      <c r="B31" s="108" t="s">
        <v>790</v>
      </c>
      <c r="C31" s="107" t="s">
        <v>1059</v>
      </c>
      <c r="D31" s="35" t="s">
        <v>75</v>
      </c>
      <c r="E31" s="253">
        <v>56.363293618963297</v>
      </c>
      <c r="F31" s="253">
        <v>-94.616380590813904</v>
      </c>
      <c r="G31" s="35" t="s">
        <v>762</v>
      </c>
      <c r="H31" s="11"/>
      <c r="I31" s="11"/>
      <c r="J31" s="11"/>
    </row>
    <row r="32" spans="2:10" s="2" customFormat="1" ht="20" x14ac:dyDescent="0.2">
      <c r="B32" s="108" t="s">
        <v>692</v>
      </c>
      <c r="C32" s="107" t="s">
        <v>1060</v>
      </c>
      <c r="D32" s="35" t="s">
        <v>75</v>
      </c>
      <c r="E32" s="253">
        <v>49.540334334387303</v>
      </c>
      <c r="F32" s="253">
        <v>-99.286904188644698</v>
      </c>
      <c r="G32" s="35" t="s">
        <v>762</v>
      </c>
      <c r="H32" s="11"/>
      <c r="I32" s="11"/>
      <c r="J32" s="11"/>
    </row>
    <row r="33" spans="2:10" ht="20" x14ac:dyDescent="0.2">
      <c r="B33" s="108" t="s">
        <v>677</v>
      </c>
      <c r="C33" s="107" t="s">
        <v>1061</v>
      </c>
      <c r="D33" s="35" t="s">
        <v>75</v>
      </c>
      <c r="E33" s="253">
        <v>54.532727076686697</v>
      </c>
      <c r="F33" s="253">
        <v>-94.438475462700694</v>
      </c>
      <c r="G33" s="35" t="s">
        <v>762</v>
      </c>
      <c r="H33" s="11"/>
      <c r="I33" s="11"/>
      <c r="J33" s="11"/>
    </row>
    <row r="34" spans="2:10" s="2" customFormat="1" ht="20" x14ac:dyDescent="0.2">
      <c r="B34" s="108" t="s">
        <v>748</v>
      </c>
      <c r="C34" s="107" t="s">
        <v>1022</v>
      </c>
      <c r="D34" s="35" t="s">
        <v>75</v>
      </c>
      <c r="E34" s="253">
        <v>53.160035399999998</v>
      </c>
      <c r="F34" s="253">
        <v>-99.286257699999993</v>
      </c>
      <c r="G34" s="35" t="s">
        <v>762</v>
      </c>
      <c r="H34" s="11"/>
      <c r="I34" s="11"/>
      <c r="J34" s="11"/>
    </row>
    <row r="35" spans="2:10" s="2" customFormat="1" ht="20" x14ac:dyDescent="0.2">
      <c r="B35" s="108" t="s">
        <v>758</v>
      </c>
      <c r="C35" s="107" t="s">
        <v>1021</v>
      </c>
      <c r="D35" s="35" t="s">
        <v>75</v>
      </c>
      <c r="E35" s="253">
        <v>50.461608699999999</v>
      </c>
      <c r="F35" s="253">
        <v>-96.009471099999999</v>
      </c>
      <c r="G35" s="35" t="s">
        <v>762</v>
      </c>
      <c r="H35" s="11"/>
      <c r="I35" s="11"/>
      <c r="J35" s="11"/>
    </row>
    <row r="36" spans="2:10" s="2" customFormat="1" ht="20" x14ac:dyDescent="0.2">
      <c r="B36" s="108" t="s">
        <v>862</v>
      </c>
      <c r="C36" s="107" t="s">
        <v>1152</v>
      </c>
      <c r="D36" s="35" t="s">
        <v>75</v>
      </c>
      <c r="E36" s="253">
        <v>49.914175043216801</v>
      </c>
      <c r="F36" s="253">
        <v>-96.998479886302903</v>
      </c>
      <c r="G36" s="35" t="s">
        <v>762</v>
      </c>
      <c r="H36" s="246"/>
      <c r="I36" s="246"/>
      <c r="J36" s="269"/>
    </row>
    <row r="37" spans="2:10" s="2" customFormat="1" ht="20" x14ac:dyDescent="0.2">
      <c r="B37" s="108" t="s">
        <v>121</v>
      </c>
      <c r="C37" s="107" t="s">
        <v>1062</v>
      </c>
      <c r="D37" s="35" t="s">
        <v>75</v>
      </c>
      <c r="E37" s="253">
        <v>50.379314121221299</v>
      </c>
      <c r="F37" s="253">
        <v>-96.494872997681995</v>
      </c>
      <c r="G37" s="35" t="s">
        <v>762</v>
      </c>
      <c r="H37" s="11"/>
      <c r="I37" s="11"/>
      <c r="J37" s="11"/>
    </row>
    <row r="38" spans="2:10" s="2" customFormat="1" ht="20" x14ac:dyDescent="0.2">
      <c r="B38" s="108" t="s">
        <v>794</v>
      </c>
      <c r="C38" s="107" t="s">
        <v>1128</v>
      </c>
      <c r="D38" s="35" t="s">
        <v>75</v>
      </c>
      <c r="E38" s="253">
        <v>49.537840529257899</v>
      </c>
      <c r="F38" s="253">
        <v>-96.711579232393404</v>
      </c>
      <c r="G38" s="35" t="s">
        <v>762</v>
      </c>
      <c r="H38" s="11"/>
      <c r="I38" s="11"/>
      <c r="J38" s="11"/>
    </row>
    <row r="39" spans="2:10" s="2" customFormat="1" ht="20" x14ac:dyDescent="0.2">
      <c r="B39" s="112" t="s">
        <v>698</v>
      </c>
      <c r="C39" s="107" t="s">
        <v>1129</v>
      </c>
      <c r="D39" s="35" t="s">
        <v>75</v>
      </c>
      <c r="E39" s="253">
        <v>49.861343197599503</v>
      </c>
      <c r="F39" s="253">
        <v>-97.157344093902793</v>
      </c>
      <c r="G39" s="35" t="s">
        <v>762</v>
      </c>
      <c r="H39" s="11"/>
      <c r="I39" s="11"/>
      <c r="J39" s="11"/>
    </row>
    <row r="40" spans="2:10" s="2" customFormat="1" ht="20" x14ac:dyDescent="0.2">
      <c r="B40" s="108" t="s">
        <v>865</v>
      </c>
      <c r="C40" s="107" t="s">
        <v>1063</v>
      </c>
      <c r="D40" s="35" t="s">
        <v>75</v>
      </c>
      <c r="E40" s="253">
        <v>54.861334127258097</v>
      </c>
      <c r="F40" s="253">
        <v>-100.09957681602199</v>
      </c>
      <c r="G40" s="35" t="s">
        <v>762</v>
      </c>
      <c r="H40" s="11"/>
      <c r="I40" s="11"/>
      <c r="J40" s="11"/>
    </row>
    <row r="41" spans="2:10" s="2" customFormat="1" ht="20" x14ac:dyDescent="0.2">
      <c r="B41" s="139" t="s">
        <v>738</v>
      </c>
      <c r="C41" s="107" t="s">
        <v>1064</v>
      </c>
      <c r="D41" s="35" t="s">
        <v>75</v>
      </c>
      <c r="E41" s="253">
        <v>56.503602318045601</v>
      </c>
      <c r="F41" s="253">
        <v>-94.1404920885862</v>
      </c>
      <c r="G41" s="35" t="s">
        <v>762</v>
      </c>
      <c r="H41" s="11"/>
      <c r="I41" s="11"/>
      <c r="J41" s="11"/>
    </row>
    <row r="42" spans="2:10" s="2" customFormat="1" ht="20" x14ac:dyDescent="0.2">
      <c r="B42" s="108" t="s">
        <v>685</v>
      </c>
      <c r="C42" s="107" t="s">
        <v>1065</v>
      </c>
      <c r="D42" s="35" t="s">
        <v>75</v>
      </c>
      <c r="E42" s="253">
        <v>54.886842993196097</v>
      </c>
      <c r="F42" s="253">
        <v>-99.997314862593498</v>
      </c>
      <c r="G42" s="35" t="s">
        <v>762</v>
      </c>
      <c r="H42" s="11"/>
      <c r="I42" s="11"/>
      <c r="J42" s="11"/>
    </row>
    <row r="43" spans="2:10" s="2" customFormat="1" ht="20" x14ac:dyDescent="0.2">
      <c r="B43" s="111" t="s">
        <v>666</v>
      </c>
      <c r="C43" s="107" t="s">
        <v>1130</v>
      </c>
      <c r="D43" s="35" t="s">
        <v>75</v>
      </c>
      <c r="E43" s="253">
        <v>49.8752120847832</v>
      </c>
      <c r="F43" s="253">
        <v>-99.949086109100506</v>
      </c>
      <c r="G43" s="35" t="s">
        <v>762</v>
      </c>
      <c r="H43" s="11"/>
      <c r="I43" s="11"/>
      <c r="J43" s="11"/>
    </row>
    <row r="44" spans="2:10" s="2" customFormat="1" ht="20" x14ac:dyDescent="0.2">
      <c r="B44" s="108" t="s">
        <v>791</v>
      </c>
      <c r="C44" s="107" t="s">
        <v>1066</v>
      </c>
      <c r="D44" s="35" t="s">
        <v>75</v>
      </c>
      <c r="E44" s="253">
        <v>56.113606437879703</v>
      </c>
      <c r="F44" s="253">
        <v>-95.554694239491894</v>
      </c>
      <c r="G44" s="35" t="s">
        <v>762</v>
      </c>
      <c r="H44" s="11"/>
      <c r="I44" s="11"/>
      <c r="J44" s="11"/>
    </row>
    <row r="45" spans="2:10" s="2" customFormat="1" ht="20" x14ac:dyDescent="0.2">
      <c r="B45" s="108" t="s">
        <v>654</v>
      </c>
      <c r="C45" s="107" t="s">
        <v>1067</v>
      </c>
      <c r="D45" s="35" t="s">
        <v>75</v>
      </c>
      <c r="E45" s="253">
        <v>55.729080169649798</v>
      </c>
      <c r="F45" s="253">
        <v>-97.860846984534206</v>
      </c>
      <c r="G45" s="35" t="s">
        <v>762</v>
      </c>
      <c r="H45" s="11"/>
      <c r="I45" s="11"/>
      <c r="J45" s="11"/>
    </row>
    <row r="46" spans="2:10" s="2" customFormat="1" ht="20" x14ac:dyDescent="0.2">
      <c r="B46" s="108" t="s">
        <v>690</v>
      </c>
      <c r="C46" s="107" t="s">
        <v>1068</v>
      </c>
      <c r="D46" s="35" t="s">
        <v>75</v>
      </c>
      <c r="E46" s="253">
        <v>49.943801295779402</v>
      </c>
      <c r="F46" s="253">
        <v>-97.206335635882795</v>
      </c>
      <c r="G46" s="35" t="s">
        <v>762</v>
      </c>
      <c r="H46" s="11"/>
      <c r="I46" s="11"/>
      <c r="J46" s="11"/>
    </row>
    <row r="47" spans="2:10" s="2" customFormat="1" ht="20" x14ac:dyDescent="0.2">
      <c r="B47" s="108" t="s">
        <v>895</v>
      </c>
      <c r="C47" s="107" t="s">
        <v>826</v>
      </c>
      <c r="D47" s="101" t="s">
        <v>1013</v>
      </c>
      <c r="E47" s="253">
        <v>48.999732000000002</v>
      </c>
      <c r="F47" s="253">
        <v>-97.277868400000003</v>
      </c>
      <c r="G47" s="35" t="s">
        <v>762</v>
      </c>
      <c r="H47" s="11"/>
      <c r="I47" s="11"/>
      <c r="J47" s="11"/>
    </row>
    <row r="48" spans="2:10" s="2" customFormat="1" ht="20" x14ac:dyDescent="0.2">
      <c r="B48" s="108" t="s">
        <v>896</v>
      </c>
      <c r="C48" s="107" t="s">
        <v>827</v>
      </c>
      <c r="D48" s="101" t="s">
        <v>1013</v>
      </c>
      <c r="E48" s="253">
        <v>48.999251999999998</v>
      </c>
      <c r="F48" s="253">
        <v>-95.539420000000007</v>
      </c>
      <c r="G48" s="35" t="s">
        <v>762</v>
      </c>
      <c r="H48" s="11"/>
      <c r="I48" s="11"/>
      <c r="J48" s="11"/>
    </row>
    <row r="49" spans="2:10" s="2" customFormat="1" ht="20" x14ac:dyDescent="0.2">
      <c r="B49" s="145" t="s">
        <v>897</v>
      </c>
      <c r="C49" s="107" t="s">
        <v>828</v>
      </c>
      <c r="D49" s="101" t="s">
        <v>1013</v>
      </c>
      <c r="E49" s="253">
        <v>49.000378986758797</v>
      </c>
      <c r="F49" s="253">
        <v>-95.912972109943794</v>
      </c>
      <c r="G49" s="35" t="s">
        <v>762</v>
      </c>
      <c r="H49" s="11"/>
      <c r="I49" s="11"/>
      <c r="J49" s="11"/>
    </row>
    <row r="50" spans="2:10" s="2" customFormat="1" ht="20" x14ac:dyDescent="0.2">
      <c r="B50" s="108" t="s">
        <v>898</v>
      </c>
      <c r="C50" s="107" t="s">
        <v>829</v>
      </c>
      <c r="D50" s="101" t="s">
        <v>1013</v>
      </c>
      <c r="E50" s="253">
        <v>48.999207599999998</v>
      </c>
      <c r="F50" s="253">
        <v>-95.507148900000004</v>
      </c>
      <c r="G50" s="35" t="s">
        <v>762</v>
      </c>
      <c r="H50" s="11"/>
      <c r="I50" s="11"/>
      <c r="J50" s="11"/>
    </row>
    <row r="51" spans="2:10" s="2" customFormat="1" ht="20" x14ac:dyDescent="0.2">
      <c r="B51" s="108" t="s">
        <v>899</v>
      </c>
      <c r="C51" s="107" t="s">
        <v>830</v>
      </c>
      <c r="D51" s="101" t="s">
        <v>1013</v>
      </c>
      <c r="E51" s="253">
        <v>48.999389000000001</v>
      </c>
      <c r="F51" s="253">
        <v>-99.559235400000006</v>
      </c>
      <c r="G51" s="35" t="s">
        <v>762</v>
      </c>
      <c r="H51" s="11"/>
      <c r="I51" s="11"/>
      <c r="J51" s="11"/>
    </row>
    <row r="52" spans="2:10" s="2" customFormat="1" ht="20" x14ac:dyDescent="0.2">
      <c r="B52" s="108" t="s">
        <v>1284</v>
      </c>
      <c r="C52" s="107" t="s">
        <v>824</v>
      </c>
      <c r="D52" s="101" t="s">
        <v>1014</v>
      </c>
      <c r="E52" s="253">
        <v>49.495283000000001</v>
      </c>
      <c r="F52" s="253">
        <v>-101.393102</v>
      </c>
      <c r="G52" s="35" t="s">
        <v>762</v>
      </c>
      <c r="H52" s="11"/>
      <c r="I52" s="11"/>
      <c r="J52" s="11"/>
    </row>
    <row r="53" spans="2:10" s="2" customFormat="1" ht="20" x14ac:dyDescent="0.2">
      <c r="B53" s="112" t="s">
        <v>1285</v>
      </c>
      <c r="C53" s="107" t="s">
        <v>823</v>
      </c>
      <c r="D53" s="101" t="s">
        <v>1014</v>
      </c>
      <c r="E53" s="253">
        <v>53.722667595762601</v>
      </c>
      <c r="F53" s="253">
        <v>-101.76956512251699</v>
      </c>
      <c r="G53" s="35" t="s">
        <v>762</v>
      </c>
      <c r="H53" s="11"/>
      <c r="I53" s="11"/>
      <c r="J53" s="11"/>
    </row>
    <row r="54" spans="2:10" s="2" customFormat="1" ht="20" x14ac:dyDescent="0.2">
      <c r="B54" s="108" t="s">
        <v>1286</v>
      </c>
      <c r="C54" s="107" t="s">
        <v>822</v>
      </c>
      <c r="D54" s="101" t="s">
        <v>1014</v>
      </c>
      <c r="E54" s="253">
        <v>54.794728543283199</v>
      </c>
      <c r="F54" s="253">
        <v>-101.885936768498</v>
      </c>
      <c r="G54" s="35" t="s">
        <v>762</v>
      </c>
      <c r="H54" s="11"/>
      <c r="I54" s="11"/>
      <c r="J54" s="11"/>
    </row>
    <row r="55" spans="2:10" s="2" customFormat="1" ht="20" x14ac:dyDescent="0.2">
      <c r="B55" s="108" t="s">
        <v>1287</v>
      </c>
      <c r="C55" s="107" t="s">
        <v>849</v>
      </c>
      <c r="D55" s="101" t="s">
        <v>1154</v>
      </c>
      <c r="E55" s="253">
        <v>49.908006999999998</v>
      </c>
      <c r="F55" s="253">
        <v>-95.152884999999998</v>
      </c>
      <c r="G55" s="35" t="s">
        <v>762</v>
      </c>
      <c r="H55" s="11"/>
      <c r="I55" s="11"/>
      <c r="J55" s="11"/>
    </row>
    <row r="56" spans="2:10" s="2" customFormat="1" ht="20" x14ac:dyDescent="0.2">
      <c r="B56" s="136" t="s">
        <v>1288</v>
      </c>
      <c r="C56" s="107" t="s">
        <v>825</v>
      </c>
      <c r="D56" s="101" t="s">
        <v>1014</v>
      </c>
      <c r="E56" s="253">
        <v>50.544463130550298</v>
      </c>
      <c r="F56" s="253">
        <v>-101.474715411651</v>
      </c>
      <c r="G56" s="35" t="s">
        <v>762</v>
      </c>
      <c r="H56" s="11"/>
      <c r="I56" s="11"/>
      <c r="J56" s="11"/>
    </row>
    <row r="57" spans="2:10" s="2" customFormat="1" ht="20" x14ac:dyDescent="0.2">
      <c r="B57" s="108" t="s">
        <v>1289</v>
      </c>
      <c r="C57" s="107" t="s">
        <v>848</v>
      </c>
      <c r="D57" s="101" t="s">
        <v>1154</v>
      </c>
      <c r="E57" s="253">
        <v>49.788600000000002</v>
      </c>
      <c r="F57" s="253">
        <v>-95.152021000000005</v>
      </c>
      <c r="G57" s="35" t="s">
        <v>762</v>
      </c>
      <c r="H57" s="11"/>
      <c r="I57" s="11"/>
      <c r="J57" s="11"/>
    </row>
    <row r="58" spans="2:10" s="2" customFormat="1" ht="20" x14ac:dyDescent="0.2">
      <c r="B58" s="108" t="s">
        <v>1290</v>
      </c>
      <c r="C58" s="107" t="s">
        <v>831</v>
      </c>
      <c r="D58" s="101" t="s">
        <v>1014</v>
      </c>
      <c r="E58" s="253">
        <v>51.2025306964088</v>
      </c>
      <c r="F58" s="253">
        <v>-101.53893622688901</v>
      </c>
      <c r="G58" s="35" t="s">
        <v>762</v>
      </c>
      <c r="H58" s="11"/>
      <c r="I58" s="11"/>
      <c r="J58" s="11"/>
    </row>
    <row r="59" spans="2:10" s="2" customFormat="1" ht="20" x14ac:dyDescent="0.2">
      <c r="B59" s="111" t="s">
        <v>752</v>
      </c>
      <c r="C59" s="107" t="s">
        <v>1023</v>
      </c>
      <c r="D59" s="35" t="s">
        <v>75</v>
      </c>
      <c r="E59" s="253">
        <v>54.5431758</v>
      </c>
      <c r="F59" s="253">
        <v>-98.028247699999994</v>
      </c>
      <c r="G59" s="35" t="s">
        <v>762</v>
      </c>
      <c r="H59" s="11"/>
      <c r="I59" s="11"/>
      <c r="J59" s="11"/>
    </row>
    <row r="60" spans="2:10" s="2" customFormat="1" ht="20" x14ac:dyDescent="0.2">
      <c r="B60" s="111" t="s">
        <v>736</v>
      </c>
      <c r="C60" s="107" t="s">
        <v>1069</v>
      </c>
      <c r="D60" s="35" t="s">
        <v>75</v>
      </c>
      <c r="E60" s="253">
        <v>56.661968341162201</v>
      </c>
      <c r="F60" s="253">
        <v>-93.851902005981401</v>
      </c>
      <c r="G60" s="35" t="s">
        <v>762</v>
      </c>
      <c r="H60" s="11"/>
      <c r="I60" s="11"/>
      <c r="J60" s="11"/>
    </row>
    <row r="61" spans="2:10" s="2" customFormat="1" ht="20" x14ac:dyDescent="0.2">
      <c r="B61" s="111" t="s">
        <v>741</v>
      </c>
      <c r="C61" s="107" t="s">
        <v>1025</v>
      </c>
      <c r="D61" s="35" t="s">
        <v>75</v>
      </c>
      <c r="E61" s="253">
        <v>56.330416999999997</v>
      </c>
      <c r="F61" s="253">
        <v>-95.342056999999997</v>
      </c>
      <c r="G61" s="35" t="s">
        <v>762</v>
      </c>
      <c r="H61" s="11"/>
      <c r="I61" s="11"/>
      <c r="J61" s="11"/>
    </row>
    <row r="62" spans="2:10" s="2" customFormat="1" ht="20" x14ac:dyDescent="0.2">
      <c r="B62" s="111" t="s">
        <v>735</v>
      </c>
      <c r="C62" s="107" t="s">
        <v>1122</v>
      </c>
      <c r="D62" s="35" t="s">
        <v>75</v>
      </c>
      <c r="E62" s="253">
        <v>56.330416999999997</v>
      </c>
      <c r="F62" s="253">
        <v>-95.342056999999997</v>
      </c>
      <c r="G62" s="35" t="s">
        <v>762</v>
      </c>
      <c r="H62" s="11"/>
      <c r="I62" s="11"/>
      <c r="J62" s="11"/>
    </row>
    <row r="63" spans="2:10" s="2" customFormat="1" ht="20" x14ac:dyDescent="0.2">
      <c r="B63" s="111" t="s">
        <v>754</v>
      </c>
      <c r="C63" s="107" t="s">
        <v>1024</v>
      </c>
      <c r="D63" s="35" t="s">
        <v>75</v>
      </c>
      <c r="E63" s="253">
        <v>56.040452799999997</v>
      </c>
      <c r="F63" s="253">
        <v>-96.537881299999995</v>
      </c>
      <c r="G63" s="35" t="s">
        <v>762</v>
      </c>
      <c r="H63" s="11"/>
      <c r="I63" s="11"/>
      <c r="J63" s="11"/>
    </row>
    <row r="64" spans="2:10" s="2" customFormat="1" ht="20" x14ac:dyDescent="0.2">
      <c r="B64" s="111" t="s">
        <v>1018</v>
      </c>
      <c r="C64" s="107" t="s">
        <v>1131</v>
      </c>
      <c r="D64" s="35" t="s">
        <v>75</v>
      </c>
      <c r="E64" s="253">
        <v>56.040452799999997</v>
      </c>
      <c r="F64" s="253">
        <v>-96.537881299999995</v>
      </c>
      <c r="G64" s="35" t="s">
        <v>762</v>
      </c>
      <c r="H64" s="11"/>
      <c r="I64" s="11"/>
      <c r="J64" s="11"/>
    </row>
    <row r="65" spans="2:10" s="2" customFormat="1" ht="20" x14ac:dyDescent="0.2">
      <c r="B65" s="111" t="s">
        <v>742</v>
      </c>
      <c r="C65" s="107" t="s">
        <v>1070</v>
      </c>
      <c r="D65" s="35" t="s">
        <v>75</v>
      </c>
      <c r="E65" s="253">
        <v>56.364427163828601</v>
      </c>
      <c r="F65" s="253">
        <v>-94.618259716722307</v>
      </c>
      <c r="G65" s="35" t="s">
        <v>762</v>
      </c>
      <c r="H65" s="11"/>
      <c r="I65" s="11"/>
      <c r="J65" s="11"/>
    </row>
    <row r="66" spans="2:10" s="2" customFormat="1" ht="20" x14ac:dyDescent="0.2">
      <c r="B66" s="111" t="s">
        <v>689</v>
      </c>
      <c r="C66" s="107" t="s">
        <v>1132</v>
      </c>
      <c r="D66" s="35" t="s">
        <v>75</v>
      </c>
      <c r="E66" s="253">
        <v>49.899632603750597</v>
      </c>
      <c r="F66" s="253">
        <v>-97.332273621865994</v>
      </c>
      <c r="G66" s="35" t="s">
        <v>762</v>
      </c>
      <c r="H66" s="11"/>
      <c r="I66" s="11"/>
      <c r="J66" s="11"/>
    </row>
    <row r="67" spans="2:10" s="2" customFormat="1" ht="20" x14ac:dyDescent="0.2">
      <c r="B67" s="108" t="s">
        <v>1170</v>
      </c>
      <c r="C67" s="35" t="s">
        <v>1187</v>
      </c>
      <c r="D67" s="35" t="s">
        <v>75</v>
      </c>
      <c r="E67" s="253">
        <v>50.258729204362901</v>
      </c>
      <c r="F67" s="253">
        <v>-96.063012864284005</v>
      </c>
      <c r="G67" s="35" t="s">
        <v>762</v>
      </c>
      <c r="H67" s="11"/>
      <c r="I67" s="11"/>
      <c r="J67" s="11"/>
    </row>
    <row r="68" spans="2:10" s="2" customFormat="1" ht="20" x14ac:dyDescent="0.2">
      <c r="B68" s="111" t="s">
        <v>1017</v>
      </c>
      <c r="C68" s="107" t="s">
        <v>1027</v>
      </c>
      <c r="D68" s="35" t="s">
        <v>75</v>
      </c>
      <c r="E68" s="253">
        <v>56.250770199999998</v>
      </c>
      <c r="F68" s="253">
        <v>-101.11706</v>
      </c>
      <c r="G68" s="35" t="s">
        <v>762</v>
      </c>
      <c r="H68" s="11"/>
      <c r="I68" s="11"/>
      <c r="J68" s="11"/>
    </row>
    <row r="69" spans="2:10" s="2" customFormat="1" ht="20" x14ac:dyDescent="0.2">
      <c r="B69" s="111" t="s">
        <v>660</v>
      </c>
      <c r="C69" s="107" t="s">
        <v>1071</v>
      </c>
      <c r="D69" s="35" t="s">
        <v>75</v>
      </c>
      <c r="E69" s="253">
        <v>49.804330479374002</v>
      </c>
      <c r="F69" s="253">
        <v>-97.353822252662297</v>
      </c>
      <c r="G69" s="35" t="s">
        <v>762</v>
      </c>
      <c r="H69" s="11"/>
      <c r="I69" s="11"/>
      <c r="J69" s="11"/>
    </row>
    <row r="70" spans="2:10" s="2" customFormat="1" ht="20" x14ac:dyDescent="0.2">
      <c r="B70" s="111" t="s">
        <v>792</v>
      </c>
      <c r="C70" s="107" t="s">
        <v>1072</v>
      </c>
      <c r="D70" s="35" t="s">
        <v>75</v>
      </c>
      <c r="E70" s="253">
        <v>56.483243455496201</v>
      </c>
      <c r="F70" s="253">
        <v>-99.9885761158435</v>
      </c>
      <c r="G70" s="35" t="s">
        <v>762</v>
      </c>
      <c r="H70" s="11"/>
      <c r="I70" s="11"/>
      <c r="J70" s="11"/>
    </row>
    <row r="71" spans="2:10" s="2" customFormat="1" ht="20" x14ac:dyDescent="0.2">
      <c r="B71" s="111" t="s">
        <v>665</v>
      </c>
      <c r="C71" s="107" t="s">
        <v>1073</v>
      </c>
      <c r="D71" s="35" t="s">
        <v>75</v>
      </c>
      <c r="E71" s="253">
        <v>49.133776623188901</v>
      </c>
      <c r="F71" s="253">
        <v>-97.310813788609906</v>
      </c>
      <c r="G71" s="35" t="s">
        <v>762</v>
      </c>
      <c r="H71" s="11"/>
      <c r="I71" s="11"/>
      <c r="J71" s="11"/>
    </row>
    <row r="72" spans="2:10" s="2" customFormat="1" ht="20" x14ac:dyDescent="0.2">
      <c r="B72" s="111" t="s">
        <v>866</v>
      </c>
      <c r="C72" s="107" t="s">
        <v>1074</v>
      </c>
      <c r="D72" s="35" t="s">
        <v>75</v>
      </c>
      <c r="E72" s="253">
        <v>50.263731010474501</v>
      </c>
      <c r="F72" s="253">
        <v>-96.7183215662034</v>
      </c>
      <c r="G72" s="35" t="s">
        <v>762</v>
      </c>
      <c r="H72" s="11"/>
      <c r="I72" s="11"/>
      <c r="J72" s="11"/>
    </row>
    <row r="73" spans="2:10" s="2" customFormat="1" ht="20" x14ac:dyDescent="0.2">
      <c r="B73" s="139" t="s">
        <v>743</v>
      </c>
      <c r="C73" s="107" t="s">
        <v>1026</v>
      </c>
      <c r="D73" s="35" t="s">
        <v>75</v>
      </c>
      <c r="E73" s="253">
        <v>56.5074519</v>
      </c>
      <c r="F73" s="253">
        <v>-94.109718999999998</v>
      </c>
      <c r="G73" s="35" t="s">
        <v>762</v>
      </c>
      <c r="H73" s="11"/>
      <c r="I73" s="11"/>
      <c r="J73" s="11"/>
    </row>
    <row r="74" spans="2:10" s="2" customFormat="1" ht="20" x14ac:dyDescent="0.2">
      <c r="B74" s="139" t="s">
        <v>744</v>
      </c>
      <c r="C74" s="107" t="s">
        <v>1028</v>
      </c>
      <c r="D74" s="35" t="s">
        <v>75</v>
      </c>
      <c r="E74" s="253">
        <v>56.397846999999999</v>
      </c>
      <c r="F74" s="253">
        <v>-94.368687399999999</v>
      </c>
      <c r="G74" s="35" t="s">
        <v>762</v>
      </c>
      <c r="H74" s="11"/>
      <c r="I74" s="11"/>
      <c r="J74" s="11"/>
    </row>
    <row r="75" spans="2:10" s="2" customFormat="1" ht="20" x14ac:dyDescent="0.2">
      <c r="B75" s="139" t="s">
        <v>734</v>
      </c>
      <c r="C75" s="107" t="s">
        <v>1133</v>
      </c>
      <c r="D75" s="35" t="s">
        <v>75</v>
      </c>
      <c r="E75" s="253">
        <v>56.383550652550099</v>
      </c>
      <c r="F75" s="253">
        <v>-94.360839211320993</v>
      </c>
      <c r="G75" s="35" t="s">
        <v>762</v>
      </c>
      <c r="H75" s="11"/>
      <c r="I75" s="11"/>
      <c r="J75" s="11"/>
    </row>
    <row r="76" spans="2:10" s="2" customFormat="1" ht="20" x14ac:dyDescent="0.2">
      <c r="B76" s="108" t="s">
        <v>867</v>
      </c>
      <c r="C76" s="107" t="s">
        <v>1075</v>
      </c>
      <c r="D76" s="35" t="s">
        <v>75</v>
      </c>
      <c r="E76" s="253">
        <v>49.356145518062803</v>
      </c>
      <c r="F76" s="253">
        <v>-97.573297354937594</v>
      </c>
      <c r="G76" s="35" t="s">
        <v>762</v>
      </c>
      <c r="H76" s="11"/>
      <c r="I76" s="11"/>
      <c r="J76" s="11"/>
    </row>
    <row r="77" spans="2:10" s="2" customFormat="1" ht="20" x14ac:dyDescent="0.2">
      <c r="B77" s="108" t="s">
        <v>857</v>
      </c>
      <c r="C77" s="107" t="s">
        <v>1076</v>
      </c>
      <c r="D77" s="35" t="s">
        <v>75</v>
      </c>
      <c r="E77" s="253">
        <v>49.945023744089703</v>
      </c>
      <c r="F77" s="253">
        <v>-98.765633190365193</v>
      </c>
      <c r="G77" s="35" t="s">
        <v>762</v>
      </c>
      <c r="H77" s="11"/>
      <c r="I77" s="11"/>
      <c r="J77" s="11"/>
    </row>
    <row r="78" spans="2:10" s="2" customFormat="1" ht="20" x14ac:dyDescent="0.2">
      <c r="B78" s="108" t="s">
        <v>688</v>
      </c>
      <c r="C78" s="107" t="s">
        <v>1077</v>
      </c>
      <c r="D78" s="35" t="s">
        <v>75</v>
      </c>
      <c r="E78" s="253">
        <v>49.892905902179201</v>
      </c>
      <c r="F78" s="253">
        <v>-97.202861860548296</v>
      </c>
      <c r="G78" s="35" t="s">
        <v>762</v>
      </c>
      <c r="H78" s="11"/>
      <c r="I78" s="11"/>
      <c r="J78" s="11"/>
    </row>
    <row r="79" spans="2:10" s="2" customFormat="1" ht="20" x14ac:dyDescent="0.2">
      <c r="B79" s="108" t="s">
        <v>686</v>
      </c>
      <c r="C79" s="107" t="s">
        <v>1134</v>
      </c>
      <c r="D79" s="35" t="s">
        <v>75</v>
      </c>
      <c r="E79" s="253">
        <v>51.114927481756297</v>
      </c>
      <c r="F79" s="253">
        <v>-96.310223337805894</v>
      </c>
      <c r="G79" s="35" t="s">
        <v>762</v>
      </c>
      <c r="H79" s="11"/>
      <c r="I79" s="11"/>
      <c r="J79" s="11"/>
    </row>
    <row r="80" spans="2:10" s="2" customFormat="1" ht="20" x14ac:dyDescent="0.2">
      <c r="B80" s="111" t="s">
        <v>868</v>
      </c>
      <c r="C80" s="107" t="s">
        <v>1078</v>
      </c>
      <c r="D80" s="35" t="s">
        <v>75</v>
      </c>
      <c r="E80" s="253">
        <v>50.1299952193312</v>
      </c>
      <c r="F80" s="253">
        <v>-96.899225288747701</v>
      </c>
      <c r="G80" s="35" t="s">
        <v>762</v>
      </c>
      <c r="H80" s="11"/>
      <c r="I80" s="11"/>
      <c r="J80" s="11"/>
    </row>
    <row r="81" spans="2:10" s="2" customFormat="1" ht="20" x14ac:dyDescent="0.2">
      <c r="B81" s="108" t="s">
        <v>820</v>
      </c>
      <c r="C81" s="107" t="s">
        <v>1029</v>
      </c>
      <c r="D81" s="35" t="s">
        <v>75</v>
      </c>
      <c r="E81" s="253">
        <v>50.398059600000003</v>
      </c>
      <c r="F81" s="253">
        <v>-95.997724199999993</v>
      </c>
      <c r="G81" s="35" t="s">
        <v>762</v>
      </c>
      <c r="H81" s="11"/>
      <c r="I81" s="11"/>
      <c r="J81" s="11"/>
    </row>
    <row r="82" spans="2:10" s="2" customFormat="1" ht="20" x14ac:dyDescent="0.2">
      <c r="B82" s="108" t="s">
        <v>821</v>
      </c>
      <c r="C82" s="107" t="s">
        <v>1135</v>
      </c>
      <c r="D82" s="35" t="s">
        <v>75</v>
      </c>
      <c r="E82" s="253">
        <v>49.922886166358701</v>
      </c>
      <c r="F82" s="253">
        <v>-97.170636807489799</v>
      </c>
      <c r="G82" s="35" t="s">
        <v>762</v>
      </c>
      <c r="H82" s="11"/>
      <c r="I82" s="11"/>
      <c r="J82" s="11"/>
    </row>
    <row r="83" spans="2:10" s="2" customFormat="1" ht="20" x14ac:dyDescent="0.2">
      <c r="B83" s="108" t="s">
        <v>869</v>
      </c>
      <c r="C83" s="107" t="s">
        <v>1079</v>
      </c>
      <c r="D83" s="35" t="s">
        <v>75</v>
      </c>
      <c r="E83" s="253">
        <v>50.033920212057303</v>
      </c>
      <c r="F83" s="253">
        <v>-96.828635073348593</v>
      </c>
      <c r="G83" s="35" t="s">
        <v>762</v>
      </c>
      <c r="H83" s="11"/>
      <c r="I83" s="11"/>
      <c r="J83" s="11"/>
    </row>
    <row r="84" spans="2:10" s="2" customFormat="1" ht="20" x14ac:dyDescent="0.2">
      <c r="B84" s="111" t="s">
        <v>694</v>
      </c>
      <c r="C84" s="107" t="s">
        <v>1136</v>
      </c>
      <c r="D84" s="35" t="s">
        <v>75</v>
      </c>
      <c r="E84" s="253">
        <v>50.136147866028701</v>
      </c>
      <c r="F84" s="253">
        <v>-96.890642581850599</v>
      </c>
      <c r="G84" s="35" t="s">
        <v>762</v>
      </c>
      <c r="H84" s="11"/>
      <c r="I84" s="11"/>
      <c r="J84" s="11"/>
    </row>
    <row r="85" spans="2:10" s="2" customFormat="1" ht="20" x14ac:dyDescent="0.2">
      <c r="B85" s="108" t="s">
        <v>667</v>
      </c>
      <c r="C85" s="107" t="s">
        <v>1080</v>
      </c>
      <c r="D85" s="35" t="s">
        <v>75</v>
      </c>
      <c r="E85" s="253">
        <v>52.102247042655698</v>
      </c>
      <c r="F85" s="253">
        <v>-101.06420093842</v>
      </c>
      <c r="G85" s="35" t="s">
        <v>762</v>
      </c>
      <c r="H85" s="11"/>
      <c r="I85" s="11"/>
      <c r="J85" s="11"/>
    </row>
    <row r="86" spans="2:10" s="2" customFormat="1" ht="20" x14ac:dyDescent="0.2">
      <c r="B86" s="108" t="s">
        <v>684</v>
      </c>
      <c r="C86" s="107" t="s">
        <v>1081</v>
      </c>
      <c r="D86" s="35" t="s">
        <v>75</v>
      </c>
      <c r="E86" s="253">
        <v>50.2400076400777</v>
      </c>
      <c r="F86" s="253">
        <v>-99.833916192878803</v>
      </c>
      <c r="G86" s="35" t="s">
        <v>762</v>
      </c>
      <c r="H86" s="11"/>
      <c r="I86" s="11"/>
      <c r="J86" s="11"/>
    </row>
    <row r="87" spans="2:10" s="2" customFormat="1" ht="20" x14ac:dyDescent="0.2">
      <c r="B87" s="108" t="s">
        <v>703</v>
      </c>
      <c r="C87" s="107" t="s">
        <v>1082</v>
      </c>
      <c r="D87" s="35" t="s">
        <v>75</v>
      </c>
      <c r="E87" s="253">
        <v>49.817014225096599</v>
      </c>
      <c r="F87" s="253">
        <v>-97.163290746184998</v>
      </c>
      <c r="G87" s="35" t="s">
        <v>762</v>
      </c>
      <c r="H87" s="11"/>
      <c r="I87" s="11"/>
      <c r="J87" s="11"/>
    </row>
    <row r="88" spans="2:10" s="2" customFormat="1" ht="20" x14ac:dyDescent="0.2">
      <c r="B88" s="108" t="s">
        <v>702</v>
      </c>
      <c r="C88" s="107" t="s">
        <v>1137</v>
      </c>
      <c r="D88" s="35" t="s">
        <v>75</v>
      </c>
      <c r="E88" s="253">
        <v>49.200661862704202</v>
      </c>
      <c r="F88" s="253">
        <v>-97.989364861766603</v>
      </c>
      <c r="G88" s="35" t="s">
        <v>762</v>
      </c>
      <c r="H88" s="11"/>
      <c r="I88" s="11"/>
      <c r="J88" s="11"/>
    </row>
    <row r="89" spans="2:10" s="2" customFormat="1" ht="20" x14ac:dyDescent="0.2">
      <c r="B89" s="111" t="s">
        <v>651</v>
      </c>
      <c r="C89" s="107" t="s">
        <v>1083</v>
      </c>
      <c r="D89" s="35" t="s">
        <v>75</v>
      </c>
      <c r="E89" s="253">
        <v>55.693743704124302</v>
      </c>
      <c r="F89" s="253">
        <v>-97.8921979217683</v>
      </c>
      <c r="G89" s="35" t="s">
        <v>762</v>
      </c>
      <c r="H89" s="11"/>
      <c r="I89" s="11"/>
      <c r="J89" s="11"/>
    </row>
    <row r="90" spans="2:10" s="2" customFormat="1" ht="20" x14ac:dyDescent="0.2">
      <c r="B90" s="108" t="s">
        <v>662</v>
      </c>
      <c r="C90" s="107" t="s">
        <v>1084</v>
      </c>
      <c r="D90" s="35" t="s">
        <v>75</v>
      </c>
      <c r="E90" s="253">
        <v>50.225202531134997</v>
      </c>
      <c r="F90" s="253">
        <v>-99.443817869883802</v>
      </c>
      <c r="G90" s="35" t="s">
        <v>762</v>
      </c>
      <c r="H90" s="11"/>
      <c r="I90" s="11"/>
      <c r="J90" s="11"/>
    </row>
    <row r="91" spans="2:10" s="2" customFormat="1" ht="20" x14ac:dyDescent="0.2">
      <c r="B91" s="108" t="s">
        <v>655</v>
      </c>
      <c r="C91" s="107" t="s">
        <v>1085</v>
      </c>
      <c r="D91" s="35" t="s">
        <v>75</v>
      </c>
      <c r="E91" s="253">
        <v>50.220560180965698</v>
      </c>
      <c r="F91" s="253">
        <v>-99.435031811569004</v>
      </c>
      <c r="G91" s="35" t="s">
        <v>762</v>
      </c>
      <c r="H91" s="11"/>
      <c r="I91" s="11"/>
      <c r="J91" s="11"/>
    </row>
    <row r="92" spans="2:10" s="2" customFormat="1" ht="20" x14ac:dyDescent="0.2">
      <c r="B92" s="108" t="s">
        <v>793</v>
      </c>
      <c r="C92" s="107" t="s">
        <v>1086</v>
      </c>
      <c r="D92" s="35" t="s">
        <v>75</v>
      </c>
      <c r="E92" s="253">
        <v>55.884069272741897</v>
      </c>
      <c r="F92" s="253">
        <v>-98.822981415545797</v>
      </c>
      <c r="G92" s="35" t="s">
        <v>762</v>
      </c>
      <c r="H92" s="11"/>
      <c r="I92" s="11"/>
      <c r="J92" s="11"/>
    </row>
    <row r="93" spans="2:10" s="2" customFormat="1" ht="20" x14ac:dyDescent="0.2">
      <c r="B93" s="108" t="s">
        <v>515</v>
      </c>
      <c r="C93" s="107" t="s">
        <v>1087</v>
      </c>
      <c r="D93" s="35" t="s">
        <v>75</v>
      </c>
      <c r="E93" s="253">
        <v>55.874482248310201</v>
      </c>
      <c r="F93" s="253">
        <v>-99.311156202950102</v>
      </c>
      <c r="G93" s="35" t="s">
        <v>762</v>
      </c>
      <c r="H93" s="11"/>
      <c r="I93" s="11"/>
      <c r="J93" s="11"/>
    </row>
    <row r="94" spans="2:10" s="2" customFormat="1" ht="20" x14ac:dyDescent="0.2">
      <c r="B94" s="108" t="s">
        <v>872</v>
      </c>
      <c r="C94" s="107" t="s">
        <v>1088</v>
      </c>
      <c r="D94" s="35" t="s">
        <v>75</v>
      </c>
      <c r="E94" s="253">
        <v>49.960483881025198</v>
      </c>
      <c r="F94" s="253">
        <v>-96.834127340759593</v>
      </c>
      <c r="G94" s="35" t="s">
        <v>762</v>
      </c>
      <c r="H94" s="11"/>
      <c r="I94" s="11"/>
      <c r="J94" s="11"/>
    </row>
    <row r="95" spans="2:10" s="2" customFormat="1" ht="20" x14ac:dyDescent="0.2">
      <c r="B95" s="108" t="s">
        <v>673</v>
      </c>
      <c r="C95" s="107" t="s">
        <v>1089</v>
      </c>
      <c r="D95" s="35" t="s">
        <v>75</v>
      </c>
      <c r="E95" s="253">
        <v>53.143875344741801</v>
      </c>
      <c r="F95" s="253">
        <v>-101.100250353313</v>
      </c>
      <c r="G95" s="35" t="s">
        <v>762</v>
      </c>
      <c r="H95" s="11"/>
      <c r="I95" s="11"/>
      <c r="J95" s="11"/>
    </row>
    <row r="96" spans="2:10" s="2" customFormat="1" ht="20" x14ac:dyDescent="0.2">
      <c r="B96" s="108" t="s">
        <v>680</v>
      </c>
      <c r="C96" s="107" t="s">
        <v>1090</v>
      </c>
      <c r="D96" s="35" t="s">
        <v>75</v>
      </c>
      <c r="E96" s="253">
        <v>54.925255269878598</v>
      </c>
      <c r="F96" s="253">
        <v>-95.244792267627702</v>
      </c>
      <c r="G96" s="35" t="s">
        <v>762</v>
      </c>
      <c r="H96" s="11"/>
      <c r="I96" s="11"/>
      <c r="J96" s="11"/>
    </row>
    <row r="97" spans="2:10" s="2" customFormat="1" ht="20" x14ac:dyDescent="0.2">
      <c r="B97" s="111" t="s">
        <v>682</v>
      </c>
      <c r="C97" s="107" t="s">
        <v>1091</v>
      </c>
      <c r="D97" s="35" t="s">
        <v>75</v>
      </c>
      <c r="E97" s="253">
        <v>50.076585340341403</v>
      </c>
      <c r="F97" s="253">
        <v>-97.050122590429893</v>
      </c>
      <c r="G97" s="35" t="s">
        <v>762</v>
      </c>
      <c r="H97" s="11"/>
      <c r="I97" s="11"/>
      <c r="J97" s="11"/>
    </row>
    <row r="98" spans="2:10" s="2" customFormat="1" ht="20" x14ac:dyDescent="0.2">
      <c r="B98" s="108" t="s">
        <v>750</v>
      </c>
      <c r="C98" s="107" t="s">
        <v>1031</v>
      </c>
      <c r="D98" s="35" t="s">
        <v>75</v>
      </c>
      <c r="E98" s="253">
        <v>50.567135399999998</v>
      </c>
      <c r="F98" s="253">
        <v>-96.178345300000004</v>
      </c>
      <c r="G98" s="35" t="s">
        <v>762</v>
      </c>
      <c r="H98" s="11"/>
      <c r="I98" s="11"/>
      <c r="J98" s="11"/>
    </row>
    <row r="99" spans="2:10" s="2" customFormat="1" ht="20" x14ac:dyDescent="0.2">
      <c r="B99" s="108" t="s">
        <v>696</v>
      </c>
      <c r="C99" s="107" t="s">
        <v>1138</v>
      </c>
      <c r="D99" s="35" t="s">
        <v>75</v>
      </c>
      <c r="E99" s="253">
        <v>49.869506084180202</v>
      </c>
      <c r="F99" s="253">
        <v>-97.030715544661803</v>
      </c>
      <c r="G99" s="35" t="s">
        <v>762</v>
      </c>
      <c r="H99" s="11"/>
      <c r="I99" s="11"/>
      <c r="J99" s="11"/>
    </row>
    <row r="100" spans="2:10" s="2" customFormat="1" ht="20" x14ac:dyDescent="0.2">
      <c r="B100" s="108" t="s">
        <v>740</v>
      </c>
      <c r="C100" s="107" t="s">
        <v>1030</v>
      </c>
      <c r="D100" s="35" t="s">
        <v>75</v>
      </c>
      <c r="E100" s="253">
        <v>50.298099299999997</v>
      </c>
      <c r="F100" s="253">
        <v>-95.548057099999994</v>
      </c>
      <c r="G100" s="35" t="s">
        <v>762</v>
      </c>
      <c r="H100" s="11"/>
      <c r="I100" s="11"/>
      <c r="J100" s="11"/>
    </row>
    <row r="101" spans="2:10" s="2" customFormat="1" ht="20" x14ac:dyDescent="0.2">
      <c r="B101" s="111" t="s">
        <v>672</v>
      </c>
      <c r="C101" s="107" t="s">
        <v>1092</v>
      </c>
      <c r="D101" s="35" t="s">
        <v>75</v>
      </c>
      <c r="E101" s="253">
        <v>54.664934561336104</v>
      </c>
      <c r="F101" s="253">
        <v>-99.160753495328194</v>
      </c>
      <c r="G101" s="35" t="s">
        <v>762</v>
      </c>
      <c r="H101" s="11"/>
      <c r="I101" s="11"/>
      <c r="J101" s="11"/>
    </row>
    <row r="102" spans="2:10" s="2" customFormat="1" ht="20" x14ac:dyDescent="0.2">
      <c r="B102" s="108" t="s">
        <v>644</v>
      </c>
      <c r="C102" s="107" t="s">
        <v>1093</v>
      </c>
      <c r="D102" s="35" t="s">
        <v>75</v>
      </c>
      <c r="E102" s="253">
        <v>49.930960256279199</v>
      </c>
      <c r="F102" s="253">
        <v>-98.285278447332402</v>
      </c>
      <c r="G102" s="35" t="s">
        <v>762</v>
      </c>
      <c r="H102" s="11"/>
      <c r="I102" s="11"/>
      <c r="J102" s="11"/>
    </row>
    <row r="103" spans="2:10" s="2" customFormat="1" ht="20" x14ac:dyDescent="0.2">
      <c r="B103" s="108" t="s">
        <v>786</v>
      </c>
      <c r="C103" s="107" t="s">
        <v>1032</v>
      </c>
      <c r="D103" s="35" t="s">
        <v>75</v>
      </c>
      <c r="E103" s="253">
        <v>56.363293618963297</v>
      </c>
      <c r="F103" s="253">
        <v>-94.616380590813904</v>
      </c>
      <c r="G103" s="35" t="s">
        <v>762</v>
      </c>
      <c r="H103" s="11"/>
      <c r="I103" s="11"/>
      <c r="J103" s="11"/>
    </row>
    <row r="104" spans="2:10" s="2" customFormat="1" ht="20" x14ac:dyDescent="0.2">
      <c r="B104" s="108" t="s">
        <v>668</v>
      </c>
      <c r="C104" s="107" t="s">
        <v>1094</v>
      </c>
      <c r="D104" s="35" t="s">
        <v>75</v>
      </c>
      <c r="E104" s="253">
        <v>53.831142008119002</v>
      </c>
      <c r="F104" s="253">
        <v>-101.235605726828</v>
      </c>
      <c r="G104" s="35" t="s">
        <v>762</v>
      </c>
      <c r="H104" s="11"/>
      <c r="I104" s="11"/>
      <c r="J104" s="11"/>
    </row>
    <row r="105" spans="2:10" s="2" customFormat="1" ht="20" x14ac:dyDescent="0.2">
      <c r="B105" s="108" t="s">
        <v>795</v>
      </c>
      <c r="C105" s="107" t="s">
        <v>1095</v>
      </c>
      <c r="D105" s="35" t="s">
        <v>75</v>
      </c>
      <c r="E105" s="253">
        <v>49.593334919905999</v>
      </c>
      <c r="F105" s="253">
        <v>-96.822129998759806</v>
      </c>
      <c r="G105" s="35" t="s">
        <v>762</v>
      </c>
      <c r="H105" s="11"/>
      <c r="I105" s="11"/>
      <c r="J105" s="11"/>
    </row>
    <row r="106" spans="2:10" s="2" customFormat="1" ht="20" x14ac:dyDescent="0.2">
      <c r="B106" s="108" t="s">
        <v>887</v>
      </c>
      <c r="C106" s="107" t="s">
        <v>1096</v>
      </c>
      <c r="D106" s="35" t="s">
        <v>75</v>
      </c>
      <c r="E106" s="253">
        <v>50.124028631150701</v>
      </c>
      <c r="F106" s="253">
        <v>-99.956140908989596</v>
      </c>
      <c r="G106" s="35" t="s">
        <v>762</v>
      </c>
      <c r="H106" s="253"/>
      <c r="I106" s="11"/>
      <c r="J106" s="11"/>
    </row>
    <row r="107" spans="2:10" s="2" customFormat="1" ht="20" x14ac:dyDescent="0.2">
      <c r="B107" s="108" t="s">
        <v>649</v>
      </c>
      <c r="C107" s="107" t="s">
        <v>1139</v>
      </c>
      <c r="D107" s="35" t="s">
        <v>75</v>
      </c>
      <c r="E107" s="253">
        <v>50.372236261221097</v>
      </c>
      <c r="F107" s="253">
        <v>-100.598042038126</v>
      </c>
      <c r="G107" s="35" t="s">
        <v>762</v>
      </c>
      <c r="H107" s="11"/>
      <c r="I107" s="11"/>
      <c r="J107" s="11"/>
    </row>
    <row r="108" spans="2:10" s="2" customFormat="1" ht="20" x14ac:dyDescent="0.2">
      <c r="B108" s="108" t="s">
        <v>657</v>
      </c>
      <c r="C108" s="107" t="s">
        <v>1097</v>
      </c>
      <c r="D108" s="35" t="s">
        <v>75</v>
      </c>
      <c r="E108" s="253">
        <v>49.530395364775401</v>
      </c>
      <c r="F108" s="253">
        <v>-101.09686109229899</v>
      </c>
      <c r="G108" s="35" t="s">
        <v>762</v>
      </c>
      <c r="H108" s="11"/>
      <c r="I108" s="11"/>
      <c r="J108" s="11"/>
    </row>
    <row r="109" spans="2:10" s="2" customFormat="1" ht="20" x14ac:dyDescent="0.2">
      <c r="B109" s="108" t="s">
        <v>681</v>
      </c>
      <c r="C109" s="107" t="s">
        <v>1098</v>
      </c>
      <c r="D109" s="35" t="s">
        <v>75</v>
      </c>
      <c r="E109" s="253">
        <v>49.619797760390497</v>
      </c>
      <c r="F109" s="253">
        <v>-96.459347374229594</v>
      </c>
      <c r="G109" s="35" t="s">
        <v>762</v>
      </c>
      <c r="H109" s="104"/>
      <c r="I109" s="104"/>
      <c r="J109" s="114"/>
    </row>
    <row r="110" spans="2:10" s="2" customFormat="1" ht="20" x14ac:dyDescent="0.2">
      <c r="B110" s="108" t="s">
        <v>661</v>
      </c>
      <c r="C110" s="107" t="s">
        <v>1140</v>
      </c>
      <c r="D110" s="35" t="s">
        <v>75</v>
      </c>
      <c r="E110" s="253">
        <v>49.964461898538701</v>
      </c>
      <c r="F110" s="253">
        <v>-96.992462751485903</v>
      </c>
      <c r="G110" s="35" t="s">
        <v>762</v>
      </c>
      <c r="H110" s="11"/>
      <c r="I110" s="11"/>
      <c r="J110" s="11"/>
    </row>
    <row r="111" spans="2:10" s="2" customFormat="1" ht="20" x14ac:dyDescent="0.2">
      <c r="B111" s="108" t="s">
        <v>663</v>
      </c>
      <c r="C111" s="107" t="s">
        <v>1099</v>
      </c>
      <c r="D111" s="35" t="s">
        <v>75</v>
      </c>
      <c r="E111" s="253">
        <v>49.865265130649497</v>
      </c>
      <c r="F111" s="253">
        <v>-96.939116741323403</v>
      </c>
      <c r="G111" s="35" t="s">
        <v>762</v>
      </c>
      <c r="H111" s="11"/>
      <c r="I111" s="11"/>
      <c r="J111" s="11"/>
    </row>
    <row r="112" spans="2:10" s="2" customFormat="1" ht="20" x14ac:dyDescent="0.2">
      <c r="B112" s="139" t="s">
        <v>739</v>
      </c>
      <c r="C112" s="107" t="s">
        <v>1141</v>
      </c>
      <c r="D112" s="35" t="s">
        <v>75</v>
      </c>
      <c r="E112" s="253">
        <v>49.865265130649497</v>
      </c>
      <c r="F112" s="253">
        <v>-96.939116741323403</v>
      </c>
      <c r="G112" s="35" t="s">
        <v>762</v>
      </c>
      <c r="H112" s="11"/>
      <c r="I112" s="11"/>
      <c r="J112" s="11"/>
    </row>
    <row r="113" spans="2:10" s="2" customFormat="1" ht="20" x14ac:dyDescent="0.2">
      <c r="B113" s="108" t="s">
        <v>697</v>
      </c>
      <c r="C113" s="107" t="s">
        <v>1100</v>
      </c>
      <c r="D113" s="35" t="s">
        <v>75</v>
      </c>
      <c r="E113" s="253">
        <v>51.212772027914497</v>
      </c>
      <c r="F113" s="253">
        <v>-101.327252706416</v>
      </c>
      <c r="G113" s="35" t="s">
        <v>762</v>
      </c>
      <c r="H113" s="11"/>
      <c r="I113" s="11"/>
      <c r="J113" s="11"/>
    </row>
    <row r="114" spans="2:10" s="2" customFormat="1" ht="20" x14ac:dyDescent="0.2">
      <c r="B114" s="108" t="s">
        <v>659</v>
      </c>
      <c r="C114" s="107" t="s">
        <v>1101</v>
      </c>
      <c r="D114" s="35" t="s">
        <v>75</v>
      </c>
      <c r="E114" s="253">
        <v>50.0840518197355</v>
      </c>
      <c r="F114" s="253">
        <v>-97.163168427787696</v>
      </c>
      <c r="G114" s="35" t="s">
        <v>762</v>
      </c>
      <c r="H114" s="11"/>
      <c r="I114" s="11"/>
      <c r="J114" s="11"/>
    </row>
    <row r="115" spans="2:10" s="2" customFormat="1" ht="20" x14ac:dyDescent="0.2">
      <c r="B115" s="108" t="s">
        <v>701</v>
      </c>
      <c r="C115" s="107" t="s">
        <v>1142</v>
      </c>
      <c r="D115" s="35" t="s">
        <v>75</v>
      </c>
      <c r="E115" s="253">
        <v>49.193275445872203</v>
      </c>
      <c r="F115" s="253">
        <v>-97.576548333158001</v>
      </c>
      <c r="G115" s="35" t="s">
        <v>762</v>
      </c>
      <c r="H115" s="11"/>
      <c r="I115" s="11"/>
      <c r="J115" s="11"/>
    </row>
    <row r="116" spans="2:10" s="2" customFormat="1" ht="20" x14ac:dyDescent="0.2">
      <c r="B116" s="108" t="s">
        <v>731</v>
      </c>
      <c r="C116" s="107" t="s">
        <v>1102</v>
      </c>
      <c r="D116" s="35" t="s">
        <v>75</v>
      </c>
      <c r="E116" s="253">
        <v>54.775119773544098</v>
      </c>
      <c r="F116" s="253">
        <v>-101.875465190054</v>
      </c>
      <c r="G116" s="35" t="s">
        <v>762</v>
      </c>
      <c r="H116" s="11"/>
      <c r="I116" s="11"/>
      <c r="J116" s="11"/>
    </row>
    <row r="117" spans="2:10" s="2" customFormat="1" ht="20" x14ac:dyDescent="0.2">
      <c r="B117" s="108" t="s">
        <v>658</v>
      </c>
      <c r="C117" s="107" t="s">
        <v>1103</v>
      </c>
      <c r="D117" s="35" t="s">
        <v>75</v>
      </c>
      <c r="E117" s="253">
        <v>49.976267156456203</v>
      </c>
      <c r="F117" s="253">
        <v>-97.161765543086503</v>
      </c>
      <c r="G117" s="35" t="s">
        <v>762</v>
      </c>
      <c r="H117" s="11"/>
      <c r="I117" s="11"/>
      <c r="J117" s="11"/>
    </row>
    <row r="118" spans="2:10" s="2" customFormat="1" ht="20" x14ac:dyDescent="0.2">
      <c r="B118" s="189" t="s">
        <v>1173</v>
      </c>
      <c r="C118" s="107" t="s">
        <v>1174</v>
      </c>
      <c r="D118" s="35" t="s">
        <v>75</v>
      </c>
      <c r="E118" s="253">
        <v>50.223638852873997</v>
      </c>
      <c r="F118" s="253">
        <v>-96.077297448046096</v>
      </c>
      <c r="G118" s="35" t="s">
        <v>762</v>
      </c>
      <c r="H118" s="11"/>
      <c r="I118" s="11"/>
      <c r="J118" s="11"/>
    </row>
    <row r="119" spans="2:10" s="2" customFormat="1" ht="20" x14ac:dyDescent="0.2">
      <c r="B119" s="108" t="s">
        <v>656</v>
      </c>
      <c r="C119" s="107" t="s">
        <v>1143</v>
      </c>
      <c r="D119" s="35" t="s">
        <v>75</v>
      </c>
      <c r="E119" s="253">
        <v>49.959501575038402</v>
      </c>
      <c r="F119" s="253">
        <v>-98.390897426990307</v>
      </c>
      <c r="G119" s="35" t="s">
        <v>762</v>
      </c>
      <c r="H119" s="11"/>
      <c r="I119" s="11"/>
      <c r="J119" s="11"/>
    </row>
    <row r="120" spans="2:10" s="2" customFormat="1" ht="20" x14ac:dyDescent="0.2">
      <c r="B120" s="112" t="s">
        <v>699</v>
      </c>
      <c r="C120" s="107" t="s">
        <v>1144</v>
      </c>
      <c r="D120" s="35" t="s">
        <v>75</v>
      </c>
      <c r="E120" s="253">
        <v>49.862354304934698</v>
      </c>
      <c r="F120" s="253">
        <v>-97.157350883950997</v>
      </c>
      <c r="G120" s="35" t="s">
        <v>762</v>
      </c>
      <c r="H120" s="11"/>
      <c r="I120" s="11"/>
      <c r="J120" s="11"/>
    </row>
    <row r="121" spans="2:10" s="2" customFormat="1" ht="20" x14ac:dyDescent="0.2">
      <c r="B121" s="108" t="s">
        <v>1172</v>
      </c>
      <c r="C121" s="35" t="s">
        <v>1188</v>
      </c>
      <c r="D121" s="35" t="s">
        <v>75</v>
      </c>
      <c r="E121" s="253">
        <v>50.098823604714099</v>
      </c>
      <c r="F121" s="253">
        <v>-96.288256890371798</v>
      </c>
      <c r="G121" s="35" t="s">
        <v>762</v>
      </c>
      <c r="H121" s="11"/>
      <c r="I121" s="11"/>
      <c r="J121" s="11"/>
    </row>
    <row r="122" spans="2:10" s="2" customFormat="1" ht="20" x14ac:dyDescent="0.2">
      <c r="B122" s="108" t="s">
        <v>751</v>
      </c>
      <c r="C122" s="107" t="s">
        <v>1033</v>
      </c>
      <c r="D122" s="35" t="s">
        <v>75</v>
      </c>
      <c r="E122" s="253">
        <v>50.134731000000002</v>
      </c>
      <c r="F122" s="253">
        <v>-96.852007999999998</v>
      </c>
      <c r="G122" s="35" t="s">
        <v>762</v>
      </c>
      <c r="H122" s="11"/>
      <c r="I122" s="11"/>
      <c r="J122" s="11"/>
    </row>
    <row r="123" spans="2:10" s="2" customFormat="1" ht="20" x14ac:dyDescent="0.2">
      <c r="B123" s="108" t="s">
        <v>757</v>
      </c>
      <c r="C123" s="107" t="s">
        <v>1037</v>
      </c>
      <c r="D123" s="35" t="s">
        <v>75</v>
      </c>
      <c r="E123" s="253">
        <v>50.120390800000003</v>
      </c>
      <c r="F123" s="253">
        <v>-96.017699500000006</v>
      </c>
      <c r="G123" s="35" t="s">
        <v>762</v>
      </c>
      <c r="H123" s="11"/>
      <c r="I123" s="11"/>
      <c r="J123" s="11"/>
    </row>
    <row r="124" spans="2:10" s="2" customFormat="1" ht="20" x14ac:dyDescent="0.2">
      <c r="B124" s="108" t="s">
        <v>678</v>
      </c>
      <c r="C124" s="107" t="s">
        <v>1145</v>
      </c>
      <c r="D124" s="35" t="s">
        <v>75</v>
      </c>
      <c r="E124" s="253">
        <v>49.890409155008797</v>
      </c>
      <c r="F124" s="253">
        <v>-97.158621673148602</v>
      </c>
      <c r="G124" s="35" t="s">
        <v>762</v>
      </c>
      <c r="H124" s="11"/>
      <c r="I124" s="11"/>
      <c r="J124" s="11"/>
    </row>
    <row r="125" spans="2:10" s="2" customFormat="1" ht="20" x14ac:dyDescent="0.2">
      <c r="B125" s="108" t="s">
        <v>864</v>
      </c>
      <c r="C125" s="107" t="s">
        <v>1146</v>
      </c>
      <c r="D125" s="35" t="s">
        <v>75</v>
      </c>
      <c r="E125" s="253">
        <v>55.1178874921873</v>
      </c>
      <c r="F125" s="253">
        <v>-101.110611108105</v>
      </c>
      <c r="G125" s="35" t="s">
        <v>762</v>
      </c>
      <c r="H125" s="11"/>
      <c r="I125" s="11"/>
      <c r="J125" s="11"/>
    </row>
    <row r="126" spans="2:10" s="2" customFormat="1" ht="20" x14ac:dyDescent="0.2">
      <c r="B126" s="108" t="s">
        <v>732</v>
      </c>
      <c r="C126" s="107" t="s">
        <v>1104</v>
      </c>
      <c r="D126" s="35" t="s">
        <v>75</v>
      </c>
      <c r="E126" s="253">
        <v>50.873765416678701</v>
      </c>
      <c r="F126" s="253">
        <v>-97.218738188695696</v>
      </c>
      <c r="G126" s="35" t="s">
        <v>762</v>
      </c>
      <c r="H126" s="11"/>
      <c r="I126" s="11"/>
      <c r="J126" s="11"/>
    </row>
    <row r="127" spans="2:10" s="2" customFormat="1" ht="20" x14ac:dyDescent="0.2">
      <c r="B127" s="108" t="s">
        <v>756</v>
      </c>
      <c r="C127" s="107" t="s">
        <v>1034</v>
      </c>
      <c r="D127" s="35" t="s">
        <v>75</v>
      </c>
      <c r="E127" s="253">
        <v>50.222126199999998</v>
      </c>
      <c r="F127" s="253">
        <v>-95.568707099999997</v>
      </c>
      <c r="G127" s="35" t="s">
        <v>762</v>
      </c>
      <c r="H127" s="11"/>
      <c r="I127" s="11"/>
      <c r="J127" s="11"/>
    </row>
    <row r="128" spans="2:10" s="2" customFormat="1" ht="20" x14ac:dyDescent="0.2">
      <c r="B128" s="108" t="s">
        <v>796</v>
      </c>
      <c r="C128" s="107" t="s">
        <v>1105</v>
      </c>
      <c r="D128" s="35" t="s">
        <v>75</v>
      </c>
      <c r="E128" s="253">
        <v>54.880105851562497</v>
      </c>
      <c r="F128" s="253">
        <v>-100.016068445597</v>
      </c>
      <c r="G128" s="35" t="s">
        <v>762</v>
      </c>
      <c r="H128" s="104"/>
      <c r="I128" s="104"/>
      <c r="J128" s="114"/>
    </row>
    <row r="129" spans="2:10" s="2" customFormat="1" ht="20" x14ac:dyDescent="0.2">
      <c r="B129" s="108" t="s">
        <v>788</v>
      </c>
      <c r="C129" s="107" t="s">
        <v>1106</v>
      </c>
      <c r="D129" s="35" t="s">
        <v>75</v>
      </c>
      <c r="E129" s="253">
        <v>49.6446789984631</v>
      </c>
      <c r="F129" s="253">
        <v>-100.14072199375801</v>
      </c>
      <c r="G129" s="35" t="s">
        <v>762</v>
      </c>
      <c r="H129" s="11"/>
      <c r="I129" s="11"/>
      <c r="J129" s="11"/>
    </row>
    <row r="130" spans="2:10" s="2" customFormat="1" ht="20" x14ac:dyDescent="0.2">
      <c r="B130" s="108" t="s">
        <v>119</v>
      </c>
      <c r="C130" s="107" t="s">
        <v>1147</v>
      </c>
      <c r="D130" s="35" t="s">
        <v>75</v>
      </c>
      <c r="E130" s="253">
        <v>56.260375678528597</v>
      </c>
      <c r="F130" s="253">
        <v>-96.155875605497698</v>
      </c>
      <c r="G130" s="35" t="s">
        <v>762</v>
      </c>
      <c r="H130" s="11"/>
      <c r="I130" s="11"/>
      <c r="J130" s="11"/>
    </row>
    <row r="131" spans="2:10" s="2" customFormat="1" ht="20" x14ac:dyDescent="0.2">
      <c r="B131" s="198" t="s">
        <v>884</v>
      </c>
      <c r="C131" s="107" t="s">
        <v>1107</v>
      </c>
      <c r="D131" s="35" t="s">
        <v>75</v>
      </c>
      <c r="E131" s="253">
        <v>49.880667420489601</v>
      </c>
      <c r="F131" s="253">
        <v>-97.201998934966895</v>
      </c>
      <c r="G131" s="35" t="s">
        <v>762</v>
      </c>
      <c r="H131" s="11"/>
      <c r="I131" s="11"/>
      <c r="J131" s="11"/>
    </row>
    <row r="132" spans="2:10" s="2" customFormat="1" ht="20" x14ac:dyDescent="0.2">
      <c r="B132" s="152" t="s">
        <v>753</v>
      </c>
      <c r="C132" s="107" t="s">
        <v>1035</v>
      </c>
      <c r="D132" s="35" t="s">
        <v>75</v>
      </c>
      <c r="E132" s="253">
        <v>49.134515100000002</v>
      </c>
      <c r="F132" s="253">
        <v>-97.420549500000007</v>
      </c>
      <c r="G132" s="35" t="s">
        <v>762</v>
      </c>
      <c r="H132" s="11"/>
      <c r="I132" s="11"/>
      <c r="J132" s="11"/>
    </row>
    <row r="133" spans="2:10" s="2" customFormat="1" ht="20" x14ac:dyDescent="0.2">
      <c r="B133" s="108" t="s">
        <v>747</v>
      </c>
      <c r="C133" s="107" t="s">
        <v>1036</v>
      </c>
      <c r="D133" s="35" t="s">
        <v>75</v>
      </c>
      <c r="E133" s="253">
        <v>49.346765691020202</v>
      </c>
      <c r="F133" s="253">
        <v>-98.634141043279797</v>
      </c>
      <c r="G133" s="35" t="s">
        <v>762</v>
      </c>
      <c r="H133" s="11"/>
      <c r="I133" s="11"/>
      <c r="J133" s="11"/>
    </row>
    <row r="134" spans="2:10" s="2" customFormat="1" ht="20" x14ac:dyDescent="0.2">
      <c r="B134" s="112" t="s">
        <v>646</v>
      </c>
      <c r="C134" s="107" t="s">
        <v>1108</v>
      </c>
      <c r="D134" s="35" t="s">
        <v>75</v>
      </c>
      <c r="E134" s="253">
        <v>49.8439834153939</v>
      </c>
      <c r="F134" s="253">
        <v>-97.046720877817094</v>
      </c>
      <c r="G134" s="35" t="s">
        <v>762</v>
      </c>
      <c r="H134" s="11"/>
      <c r="I134" s="11"/>
      <c r="J134" s="11"/>
    </row>
    <row r="135" spans="2:10" s="2" customFormat="1" ht="20" x14ac:dyDescent="0.2">
      <c r="B135" s="108" t="s">
        <v>691</v>
      </c>
      <c r="C135" s="107" t="s">
        <v>1148</v>
      </c>
      <c r="D135" s="35" t="s">
        <v>75</v>
      </c>
      <c r="E135" s="253">
        <v>49.861343197599503</v>
      </c>
      <c r="F135" s="253">
        <v>-97.157344093902793</v>
      </c>
      <c r="G135" s="35" t="s">
        <v>762</v>
      </c>
      <c r="H135" s="11"/>
      <c r="I135" s="11"/>
      <c r="J135" s="11"/>
    </row>
    <row r="136" spans="2:10" s="2" customFormat="1" ht="20" x14ac:dyDescent="0.2">
      <c r="B136" s="108" t="s">
        <v>693</v>
      </c>
      <c r="C136" s="107" t="s">
        <v>1109</v>
      </c>
      <c r="D136" s="35" t="s">
        <v>75</v>
      </c>
      <c r="E136" s="253">
        <v>49.265512172279102</v>
      </c>
      <c r="F136" s="253">
        <v>-97.980103698220105</v>
      </c>
      <c r="G136" s="35" t="s">
        <v>762</v>
      </c>
      <c r="H136" s="11"/>
      <c r="I136" s="11"/>
      <c r="J136" s="11"/>
    </row>
    <row r="137" spans="2:10" s="2" customFormat="1" ht="20" x14ac:dyDescent="0.2">
      <c r="B137" s="108" t="s">
        <v>850</v>
      </c>
      <c r="C137" s="107" t="s">
        <v>1110</v>
      </c>
      <c r="D137" s="35" t="s">
        <v>75</v>
      </c>
      <c r="E137" s="253">
        <v>49.742455386964401</v>
      </c>
      <c r="F137" s="253">
        <v>-95.244076189731402</v>
      </c>
      <c r="G137" s="35" t="s">
        <v>762</v>
      </c>
      <c r="H137" s="11"/>
      <c r="I137" s="11"/>
      <c r="J137" s="11"/>
    </row>
    <row r="138" spans="2:10" s="2" customFormat="1" ht="20" x14ac:dyDescent="0.2">
      <c r="B138" s="108" t="s">
        <v>875</v>
      </c>
      <c r="C138" s="107" t="s">
        <v>1111</v>
      </c>
      <c r="D138" s="35" t="s">
        <v>75</v>
      </c>
      <c r="E138" s="253">
        <v>50.136676096434201</v>
      </c>
      <c r="F138" s="253">
        <v>-97.309085628832804</v>
      </c>
      <c r="G138" s="35" t="s">
        <v>762</v>
      </c>
      <c r="H138" s="11"/>
      <c r="I138" s="11"/>
      <c r="J138" s="11"/>
    </row>
    <row r="139" spans="2:10" s="2" customFormat="1" ht="20" x14ac:dyDescent="0.2">
      <c r="B139" s="108" t="s">
        <v>797</v>
      </c>
      <c r="C139" s="107" t="s">
        <v>1112</v>
      </c>
      <c r="D139" s="35" t="s">
        <v>75</v>
      </c>
      <c r="E139" s="253">
        <v>50.092547651078</v>
      </c>
      <c r="F139" s="253">
        <v>-97.240045034281707</v>
      </c>
      <c r="G139" s="35" t="s">
        <v>762</v>
      </c>
      <c r="H139" s="11"/>
      <c r="I139" s="11"/>
      <c r="J139" s="11"/>
    </row>
    <row r="140" spans="2:10" s="2" customFormat="1" ht="20" x14ac:dyDescent="0.2">
      <c r="B140" s="108" t="s">
        <v>695</v>
      </c>
      <c r="C140" s="107" t="s">
        <v>1113</v>
      </c>
      <c r="D140" s="35" t="s">
        <v>75</v>
      </c>
      <c r="E140" s="253">
        <v>49.9090007882591</v>
      </c>
      <c r="F140" s="253">
        <v>-97.001477479243604</v>
      </c>
      <c r="G140" s="35" t="s">
        <v>762</v>
      </c>
      <c r="H140" s="11"/>
      <c r="I140" s="11"/>
      <c r="J140" s="11"/>
    </row>
    <row r="141" spans="2:10" s="2" customFormat="1" ht="20" x14ac:dyDescent="0.2">
      <c r="B141" s="108" t="s">
        <v>1016</v>
      </c>
      <c r="C141" s="107" t="s">
        <v>1153</v>
      </c>
      <c r="D141" s="35" t="s">
        <v>75</v>
      </c>
      <c r="E141" s="253">
        <v>49.909215395313701</v>
      </c>
      <c r="F141" s="253">
        <v>-96.945325700311599</v>
      </c>
      <c r="G141" s="35" t="s">
        <v>762</v>
      </c>
      <c r="H141" s="11"/>
      <c r="I141" s="11"/>
      <c r="J141" s="11"/>
    </row>
    <row r="142" spans="2:10" s="2" customFormat="1" ht="20" x14ac:dyDescent="0.2">
      <c r="B142" s="108" t="s">
        <v>846</v>
      </c>
      <c r="C142" s="107" t="s">
        <v>1149</v>
      </c>
      <c r="D142" s="35" t="s">
        <v>75</v>
      </c>
      <c r="E142" s="253">
        <v>49.634945990544502</v>
      </c>
      <c r="F142" s="253">
        <v>-98.688968499564993</v>
      </c>
      <c r="G142" s="35" t="s">
        <v>762</v>
      </c>
      <c r="H142" s="11"/>
      <c r="I142" s="11"/>
      <c r="J142" s="11"/>
    </row>
    <row r="143" spans="2:10" s="2" customFormat="1" ht="20" x14ac:dyDescent="0.2">
      <c r="B143" s="108" t="s">
        <v>798</v>
      </c>
      <c r="C143" s="107" t="s">
        <v>1114</v>
      </c>
      <c r="D143" s="35" t="s">
        <v>75</v>
      </c>
      <c r="E143" s="253">
        <v>50.079396290466299</v>
      </c>
      <c r="F143" s="253">
        <v>-96.682892914967894</v>
      </c>
      <c r="G143" s="35" t="s">
        <v>762</v>
      </c>
      <c r="H143" s="11"/>
      <c r="I143" s="11"/>
      <c r="J143" s="11"/>
    </row>
    <row r="144" spans="2:10" s="2" customFormat="1" ht="20" x14ac:dyDescent="0.2">
      <c r="B144" s="108" t="s">
        <v>648</v>
      </c>
      <c r="C144" s="107" t="s">
        <v>1115</v>
      </c>
      <c r="D144" s="35" t="s">
        <v>75</v>
      </c>
      <c r="E144" s="253">
        <v>51.130979192659197</v>
      </c>
      <c r="F144" s="253">
        <v>-100.088690173993</v>
      </c>
      <c r="G144" s="35" t="s">
        <v>762</v>
      </c>
      <c r="H144" s="11"/>
      <c r="I144" s="11"/>
      <c r="J144" s="11"/>
    </row>
    <row r="145" spans="1:15" s="2" customFormat="1" ht="20" x14ac:dyDescent="0.2">
      <c r="B145" s="111" t="s">
        <v>653</v>
      </c>
      <c r="C145" s="107" t="s">
        <v>1116</v>
      </c>
      <c r="D145" s="35" t="s">
        <v>75</v>
      </c>
      <c r="E145" s="253">
        <v>49.841416146060197</v>
      </c>
      <c r="F145" s="253">
        <v>-99.914951766262803</v>
      </c>
      <c r="G145" s="35" t="s">
        <v>762</v>
      </c>
      <c r="H145" s="11"/>
      <c r="I145" s="11"/>
      <c r="J145" s="11"/>
    </row>
    <row r="146" spans="1:15" s="2" customFormat="1" ht="20" x14ac:dyDescent="0.2">
      <c r="B146" s="108" t="s">
        <v>650</v>
      </c>
      <c r="C146" s="107" t="s">
        <v>1150</v>
      </c>
      <c r="D146" s="35" t="s">
        <v>75</v>
      </c>
      <c r="E146" s="253">
        <v>49.850474694953299</v>
      </c>
      <c r="F146" s="253">
        <v>-100.962106333118</v>
      </c>
      <c r="G146" s="35" t="s">
        <v>762</v>
      </c>
      <c r="H146" s="11"/>
      <c r="I146" s="11"/>
      <c r="J146" s="11"/>
    </row>
    <row r="147" spans="1:15" s="2" customFormat="1" ht="20" x14ac:dyDescent="0.2">
      <c r="B147" s="108" t="s">
        <v>878</v>
      </c>
      <c r="C147" s="107" t="s">
        <v>1117</v>
      </c>
      <c r="D147" s="35" t="s">
        <v>75</v>
      </c>
      <c r="E147" s="253">
        <v>49.946685666667697</v>
      </c>
      <c r="F147" s="253">
        <v>-96.500854172292804</v>
      </c>
      <c r="G147" s="35" t="s">
        <v>762</v>
      </c>
      <c r="H147" s="11"/>
      <c r="I147" s="11"/>
      <c r="J147" s="11"/>
    </row>
    <row r="148" spans="1:15" s="2" customFormat="1" ht="20" x14ac:dyDescent="0.2">
      <c r="B148" s="108" t="s">
        <v>876</v>
      </c>
      <c r="C148" s="107" t="s">
        <v>1118</v>
      </c>
      <c r="D148" s="35" t="s">
        <v>75</v>
      </c>
      <c r="E148" s="253">
        <v>50.122223813762602</v>
      </c>
      <c r="F148" s="253">
        <v>-97.573369234935001</v>
      </c>
      <c r="G148" s="35" t="s">
        <v>762</v>
      </c>
      <c r="H148" s="11"/>
      <c r="I148" s="11"/>
      <c r="J148" s="11"/>
    </row>
    <row r="149" spans="1:15" s="2" customFormat="1" ht="20" x14ac:dyDescent="0.2">
      <c r="B149" s="111" t="s">
        <v>675</v>
      </c>
      <c r="C149" s="107" t="s">
        <v>1151</v>
      </c>
      <c r="D149" s="35" t="s">
        <v>75</v>
      </c>
      <c r="E149" s="253">
        <v>53.8758977939384</v>
      </c>
      <c r="F149" s="253">
        <v>-94.9807529707426</v>
      </c>
      <c r="G149" s="35" t="s">
        <v>762</v>
      </c>
      <c r="H149" s="11"/>
      <c r="I149" s="11"/>
      <c r="J149" s="11"/>
    </row>
    <row r="150" spans="1:15" s="2" customFormat="1" ht="20" x14ac:dyDescent="0.2">
      <c r="B150" s="108" t="s">
        <v>645</v>
      </c>
      <c r="C150" s="107" t="s">
        <v>1119</v>
      </c>
      <c r="D150" s="35" t="s">
        <v>75</v>
      </c>
      <c r="E150" s="253">
        <v>49.742455386964401</v>
      </c>
      <c r="F150" s="253">
        <v>-95.244076189731402</v>
      </c>
      <c r="G150" s="35" t="s">
        <v>762</v>
      </c>
      <c r="H150" s="11"/>
      <c r="I150" s="11"/>
      <c r="J150" s="11"/>
    </row>
    <row r="151" spans="1:15" s="2" customFormat="1" ht="20" x14ac:dyDescent="0.2">
      <c r="B151" s="108" t="s">
        <v>880</v>
      </c>
      <c r="C151" s="107" t="s">
        <v>1120</v>
      </c>
      <c r="D151" s="35" t="s">
        <v>75</v>
      </c>
      <c r="E151" s="253">
        <v>49.840026534160003</v>
      </c>
      <c r="F151" s="253">
        <v>-97.277175017504007</v>
      </c>
      <c r="G151" s="35" t="s">
        <v>762</v>
      </c>
      <c r="H151" s="11"/>
      <c r="I151" s="11"/>
      <c r="J151" s="11"/>
    </row>
    <row r="152" spans="1:15" s="2" customFormat="1" ht="20" x14ac:dyDescent="0.2">
      <c r="B152" s="111" t="s">
        <v>789</v>
      </c>
      <c r="C152" s="107" t="s">
        <v>1121</v>
      </c>
      <c r="D152" s="35" t="s">
        <v>75</v>
      </c>
      <c r="E152" s="253">
        <v>53.887222219999998</v>
      </c>
      <c r="F152" s="253">
        <v>-99.234444440000004</v>
      </c>
      <c r="G152" s="35" t="s">
        <v>762</v>
      </c>
      <c r="H152" s="11"/>
      <c r="I152" s="11"/>
      <c r="J152" s="11"/>
    </row>
    <row r="153" spans="1:15" s="2" customFormat="1" ht="20" x14ac:dyDescent="0.2">
      <c r="B153" s="108" t="s">
        <v>759</v>
      </c>
      <c r="C153" s="107" t="s">
        <v>1038</v>
      </c>
      <c r="D153" s="35" t="s">
        <v>75</v>
      </c>
      <c r="E153" s="253">
        <v>55.538319000000001</v>
      </c>
      <c r="F153" s="253">
        <v>-98.493780999999998</v>
      </c>
      <c r="G153" s="35" t="s">
        <v>762</v>
      </c>
      <c r="H153" s="11"/>
      <c r="I153" s="11"/>
      <c r="J153" s="11"/>
    </row>
    <row r="154" spans="1:15" s="210" customFormat="1" x14ac:dyDescent="0.2"/>
    <row r="155" spans="1:15" s="210" customFormat="1" ht="19" x14ac:dyDescent="0.2">
      <c r="A155" s="255" t="s">
        <v>926</v>
      </c>
      <c r="O155" s="254"/>
    </row>
    <row r="156" spans="1:15" s="210" customFormat="1" ht="19" x14ac:dyDescent="0.25">
      <c r="A156" s="3" t="s">
        <v>1291</v>
      </c>
      <c r="O156" s="254"/>
    </row>
    <row r="157" spans="1:15" s="210" customFormat="1" ht="19" x14ac:dyDescent="0.25">
      <c r="A157" s="3" t="s">
        <v>1180</v>
      </c>
      <c r="O157" s="254"/>
    </row>
    <row r="158" spans="1:15" s="210" customFormat="1" ht="19" x14ac:dyDescent="0.25">
      <c r="A158" s="3" t="s">
        <v>1181</v>
      </c>
      <c r="O158" s="254"/>
    </row>
    <row r="159" spans="1:15" s="210" customFormat="1" ht="19" x14ac:dyDescent="0.25">
      <c r="A159" s="3" t="s">
        <v>1182</v>
      </c>
      <c r="O159" s="254"/>
    </row>
    <row r="160" spans="1:15" s="210" customFormat="1" ht="19" x14ac:dyDescent="0.25">
      <c r="A160" s="3" t="s">
        <v>1183</v>
      </c>
      <c r="O160" s="254"/>
    </row>
    <row r="161" spans="1:15" s="210" customFormat="1" ht="19" x14ac:dyDescent="0.25">
      <c r="A161" s="3" t="s">
        <v>1292</v>
      </c>
      <c r="O161" s="254"/>
    </row>
    <row r="162" spans="1:15" s="210" customFormat="1" ht="19" x14ac:dyDescent="0.25">
      <c r="A162" s="3" t="s">
        <v>1293</v>
      </c>
      <c r="O162" s="254"/>
    </row>
    <row r="163" spans="1:15" s="210" customFormat="1" ht="19" x14ac:dyDescent="0.25">
      <c r="A163" s="3" t="s">
        <v>1184</v>
      </c>
      <c r="O163" s="254"/>
    </row>
    <row r="164" spans="1:15" s="210" customFormat="1" ht="19" x14ac:dyDescent="0.25">
      <c r="A164" s="3" t="s">
        <v>927</v>
      </c>
      <c r="O164" s="254"/>
    </row>
    <row r="165" spans="1:15" s="210" customFormat="1" ht="19" x14ac:dyDescent="0.25">
      <c r="A165" s="3" t="s">
        <v>1294</v>
      </c>
      <c r="I165" s="47"/>
      <c r="J165" s="47"/>
      <c r="M165" s="47"/>
      <c r="N165" s="47"/>
      <c r="O165" s="47"/>
    </row>
    <row r="166" spans="1:15" s="210" customFormat="1" ht="19" x14ac:dyDescent="0.25">
      <c r="A166" s="3" t="s">
        <v>1185</v>
      </c>
      <c r="O166" s="254"/>
    </row>
    <row r="167" spans="1:15" s="210" customFormat="1" ht="19" x14ac:dyDescent="0.25">
      <c r="A167" s="3" t="s">
        <v>1295</v>
      </c>
      <c r="O167" s="254"/>
    </row>
    <row r="168" spans="1:15" ht="19" x14ac:dyDescent="0.25">
      <c r="A168" s="3" t="s">
        <v>1186</v>
      </c>
      <c r="B168"/>
      <c r="C168"/>
    </row>
    <row r="169" spans="1:15" x14ac:dyDescent="0.2">
      <c r="B169"/>
      <c r="C169"/>
    </row>
    <row r="170" spans="1:15" x14ac:dyDescent="0.2">
      <c r="B170"/>
      <c r="C170"/>
    </row>
    <row r="171" spans="1:15" x14ac:dyDescent="0.2">
      <c r="B171"/>
      <c r="C171"/>
    </row>
    <row r="172" spans="1:15" x14ac:dyDescent="0.2">
      <c r="B172"/>
      <c r="C172"/>
    </row>
    <row r="173" spans="1:15" x14ac:dyDescent="0.2">
      <c r="B173"/>
      <c r="C173"/>
    </row>
    <row r="174" spans="1:15" x14ac:dyDescent="0.2">
      <c r="B174"/>
      <c r="C174"/>
      <c r="D174" s="42"/>
      <c r="E174" s="42"/>
      <c r="F174" s="42"/>
      <c r="G174" s="42"/>
    </row>
    <row r="175" spans="1:15" x14ac:dyDescent="0.2">
      <c r="B175"/>
      <c r="C175"/>
      <c r="D175" s="42"/>
      <c r="E175" s="42"/>
      <c r="F175" s="42"/>
      <c r="G175" s="42"/>
    </row>
    <row r="176" spans="1:15" x14ac:dyDescent="0.2">
      <c r="B176"/>
      <c r="C176"/>
      <c r="D176" s="42"/>
      <c r="E176" s="42"/>
      <c r="F176" s="42"/>
      <c r="G176" s="42"/>
    </row>
    <row r="177" spans="2:7" x14ac:dyDescent="0.2">
      <c r="B177"/>
      <c r="C177"/>
      <c r="D177" s="42"/>
      <c r="E177" s="42"/>
      <c r="F177" s="42"/>
      <c r="G177" s="42"/>
    </row>
    <row r="178" spans="2:7" x14ac:dyDescent="0.2">
      <c r="B178"/>
      <c r="C178"/>
      <c r="D178" s="42"/>
      <c r="E178" s="42"/>
      <c r="F178" s="42"/>
      <c r="G178" s="42"/>
    </row>
    <row r="179" spans="2:7" x14ac:dyDescent="0.2">
      <c r="B179"/>
      <c r="C179"/>
      <c r="D179" s="42"/>
      <c r="E179" s="42"/>
      <c r="F179" s="42"/>
      <c r="G179" s="42"/>
    </row>
    <row r="180" spans="2:7" x14ac:dyDescent="0.2">
      <c r="B180"/>
      <c r="C180"/>
      <c r="D180" s="42"/>
      <c r="E180" s="42"/>
      <c r="F180" s="42"/>
      <c r="G180" s="42"/>
    </row>
    <row r="181" spans="2:7" x14ac:dyDescent="0.2">
      <c r="B181"/>
      <c r="C181"/>
      <c r="D181" s="42"/>
      <c r="E181" s="42"/>
      <c r="F181" s="42"/>
      <c r="G181" s="42"/>
    </row>
    <row r="182" spans="2:7" x14ac:dyDescent="0.2">
      <c r="B182"/>
      <c r="C182"/>
      <c r="D182" s="42"/>
      <c r="E182" s="42"/>
      <c r="F182" s="42"/>
      <c r="G182" s="42"/>
    </row>
    <row r="183" spans="2:7" x14ac:dyDescent="0.2">
      <c r="B183"/>
      <c r="C183"/>
      <c r="D183" s="42"/>
      <c r="E183" s="42"/>
      <c r="F183" s="42"/>
      <c r="G183" s="42"/>
    </row>
    <row r="184" spans="2:7" x14ac:dyDescent="0.2">
      <c r="B184"/>
      <c r="C184"/>
      <c r="D184" s="42"/>
      <c r="E184" s="42"/>
      <c r="F184" s="42"/>
      <c r="G184" s="42"/>
    </row>
    <row r="185" spans="2:7" x14ac:dyDescent="0.2">
      <c r="B185"/>
      <c r="C185"/>
      <c r="D185" s="42"/>
      <c r="E185" s="42"/>
      <c r="F185" s="42"/>
      <c r="G185" s="42"/>
    </row>
    <row r="186" spans="2:7" x14ac:dyDescent="0.2">
      <c r="B186"/>
      <c r="C186"/>
      <c r="D186" s="42"/>
      <c r="E186" s="42"/>
      <c r="F186" s="42"/>
      <c r="G186" s="42"/>
    </row>
    <row r="187" spans="2:7" x14ac:dyDescent="0.2">
      <c r="B187"/>
      <c r="C187"/>
      <c r="D187" s="42"/>
      <c r="E187" s="42"/>
      <c r="F187" s="42"/>
      <c r="G187" s="42"/>
    </row>
    <row r="188" spans="2:7" x14ac:dyDescent="0.2">
      <c r="B188"/>
      <c r="C188"/>
      <c r="D188" s="42"/>
      <c r="E188" s="42"/>
      <c r="F188" s="42"/>
      <c r="G188" s="42"/>
    </row>
    <row r="189" spans="2:7" x14ac:dyDescent="0.2">
      <c r="B189"/>
      <c r="C189"/>
      <c r="D189" s="42"/>
      <c r="E189" s="42"/>
      <c r="F189" s="42"/>
      <c r="G189" s="42"/>
    </row>
    <row r="190" spans="2:7" x14ac:dyDescent="0.2">
      <c r="B190"/>
      <c r="C190"/>
      <c r="D190" s="42"/>
      <c r="E190" s="42"/>
      <c r="F190" s="42"/>
      <c r="G190" s="42"/>
    </row>
    <row r="191" spans="2:7" x14ac:dyDescent="0.2">
      <c r="B191"/>
      <c r="C191"/>
      <c r="D191" s="42"/>
      <c r="E191" s="42"/>
      <c r="F191" s="42"/>
      <c r="G191" s="42"/>
    </row>
    <row r="192" spans="2:7" x14ac:dyDescent="0.2">
      <c r="B192"/>
      <c r="C192"/>
      <c r="D192" s="42"/>
      <c r="E192" s="42"/>
      <c r="F192" s="42"/>
      <c r="G192" s="42"/>
    </row>
    <row r="193" spans="2:7" x14ac:dyDescent="0.2">
      <c r="B193"/>
      <c r="C193"/>
      <c r="D193" s="42"/>
      <c r="E193" s="42"/>
      <c r="F193" s="42"/>
      <c r="G193" s="42"/>
    </row>
    <row r="194" spans="2:7" x14ac:dyDescent="0.2">
      <c r="B194"/>
      <c r="C194"/>
      <c r="D194" s="42"/>
      <c r="E194" s="42"/>
      <c r="F194" s="42"/>
      <c r="G194" s="42"/>
    </row>
    <row r="195" spans="2:7" x14ac:dyDescent="0.2">
      <c r="B195"/>
      <c r="C195"/>
      <c r="D195" s="42"/>
      <c r="E195" s="42"/>
      <c r="F195" s="42"/>
      <c r="G195" s="42"/>
    </row>
    <row r="196" spans="2:7" x14ac:dyDescent="0.2">
      <c r="B196"/>
      <c r="C196"/>
      <c r="D196" s="42"/>
      <c r="E196" s="42"/>
      <c r="F196" s="42"/>
      <c r="G196" s="42"/>
    </row>
    <row r="197" spans="2:7" x14ac:dyDescent="0.2">
      <c r="B197"/>
      <c r="C197"/>
      <c r="D197" s="42"/>
      <c r="E197" s="42"/>
      <c r="F197" s="42"/>
      <c r="G197" s="42"/>
    </row>
    <row r="198" spans="2:7" x14ac:dyDescent="0.2">
      <c r="B198"/>
      <c r="C198"/>
      <c r="D198" s="42"/>
      <c r="E198" s="42"/>
      <c r="F198" s="42"/>
      <c r="G198" s="42"/>
    </row>
    <row r="199" spans="2:7" x14ac:dyDescent="0.2">
      <c r="B199"/>
      <c r="C199"/>
      <c r="D199" s="42"/>
      <c r="E199" s="42"/>
      <c r="F199" s="42"/>
      <c r="G199" s="42"/>
    </row>
    <row r="200" spans="2:7" x14ac:dyDescent="0.2">
      <c r="B200"/>
      <c r="C200"/>
      <c r="D200" s="42"/>
      <c r="E200" s="42"/>
      <c r="F200" s="42"/>
      <c r="G200" s="42"/>
    </row>
    <row r="201" spans="2:7" x14ac:dyDescent="0.2">
      <c r="B201"/>
      <c r="C201"/>
      <c r="D201" s="42"/>
      <c r="E201" s="42"/>
      <c r="F201" s="42"/>
      <c r="G201" s="42"/>
    </row>
    <row r="202" spans="2:7" x14ac:dyDescent="0.2">
      <c r="B202"/>
      <c r="C202"/>
      <c r="D202" s="42"/>
      <c r="E202" s="42"/>
      <c r="F202" s="42"/>
      <c r="G202" s="42"/>
    </row>
    <row r="203" spans="2:7" x14ac:dyDescent="0.2">
      <c r="B203"/>
      <c r="C203"/>
      <c r="D203" s="42"/>
      <c r="E203" s="42"/>
      <c r="F203" s="42"/>
      <c r="G203" s="42"/>
    </row>
    <row r="204" spans="2:7" x14ac:dyDescent="0.2">
      <c r="B204"/>
      <c r="C204"/>
      <c r="D204" s="42"/>
      <c r="E204" s="42"/>
      <c r="F204" s="42"/>
      <c r="G204" s="42"/>
    </row>
    <row r="205" spans="2:7" x14ac:dyDescent="0.2">
      <c r="B205"/>
      <c r="C205"/>
      <c r="D205" s="42"/>
      <c r="E205" s="42"/>
      <c r="F205" s="42"/>
      <c r="G205" s="42"/>
    </row>
    <row r="206" spans="2:7" x14ac:dyDescent="0.2">
      <c r="B206"/>
      <c r="C206"/>
      <c r="D206" s="42"/>
      <c r="E206" s="42"/>
      <c r="F206" s="42"/>
      <c r="G206" s="42"/>
    </row>
    <row r="207" spans="2:7" x14ac:dyDescent="0.2">
      <c r="B207"/>
      <c r="C207"/>
      <c r="D207" s="42"/>
      <c r="E207" s="42"/>
      <c r="F207" s="42"/>
      <c r="G207" s="42"/>
    </row>
    <row r="208" spans="2:7" x14ac:dyDescent="0.2">
      <c r="B208"/>
      <c r="C208"/>
      <c r="D208" s="42"/>
      <c r="E208" s="42"/>
      <c r="F208" s="42"/>
      <c r="G208" s="42"/>
    </row>
    <row r="209" spans="2:7" x14ac:dyDescent="0.2">
      <c r="B209"/>
      <c r="C209"/>
      <c r="D209" s="42"/>
      <c r="E209" s="42"/>
      <c r="F209" s="42"/>
      <c r="G209" s="42"/>
    </row>
    <row r="210" spans="2:7" x14ac:dyDescent="0.2">
      <c r="B210"/>
      <c r="C210"/>
      <c r="D210" s="42"/>
      <c r="E210" s="42"/>
      <c r="F210" s="42"/>
      <c r="G210" s="42"/>
    </row>
    <row r="211" spans="2:7" x14ac:dyDescent="0.2">
      <c r="B211"/>
      <c r="C211"/>
      <c r="D211" s="42"/>
      <c r="E211" s="42"/>
      <c r="F211" s="42"/>
      <c r="G211" s="42"/>
    </row>
    <row r="212" spans="2:7" x14ac:dyDescent="0.2">
      <c r="B212"/>
      <c r="C212"/>
      <c r="D212" s="42"/>
      <c r="E212" s="42"/>
      <c r="F212" s="42"/>
      <c r="G212" s="42"/>
    </row>
    <row r="213" spans="2:7" x14ac:dyDescent="0.2">
      <c r="B213"/>
      <c r="C213"/>
      <c r="D213" s="42"/>
      <c r="E213" s="42"/>
      <c r="F213" s="42"/>
      <c r="G213" s="42"/>
    </row>
    <row r="214" spans="2:7" x14ac:dyDescent="0.2">
      <c r="B214"/>
      <c r="C214"/>
      <c r="D214" s="42"/>
      <c r="E214" s="42"/>
      <c r="F214" s="42"/>
      <c r="G214" s="42"/>
    </row>
    <row r="215" spans="2:7" x14ac:dyDescent="0.2">
      <c r="B215"/>
      <c r="C215"/>
      <c r="D215" s="42"/>
      <c r="E215" s="42"/>
      <c r="F215" s="42"/>
      <c r="G215" s="42"/>
    </row>
    <row r="216" spans="2:7" x14ac:dyDescent="0.2">
      <c r="B216"/>
      <c r="C216"/>
      <c r="D216" s="42"/>
      <c r="E216" s="42"/>
      <c r="F216" s="42"/>
      <c r="G216" s="42"/>
    </row>
    <row r="217" spans="2:7" x14ac:dyDescent="0.2">
      <c r="B217"/>
      <c r="C217"/>
      <c r="D217" s="42"/>
      <c r="E217" s="42"/>
      <c r="F217" s="42"/>
      <c r="G217" s="42"/>
    </row>
    <row r="218" spans="2:7" x14ac:dyDescent="0.2">
      <c r="B218"/>
      <c r="C218"/>
      <c r="D218" s="42"/>
      <c r="E218" s="42"/>
      <c r="F218" s="42"/>
      <c r="G218" s="42"/>
    </row>
    <row r="219" spans="2:7" x14ac:dyDescent="0.2">
      <c r="B219"/>
      <c r="C219"/>
      <c r="D219" s="42"/>
      <c r="E219" s="42"/>
      <c r="F219" s="42"/>
      <c r="G219" s="42"/>
    </row>
    <row r="220" spans="2:7" x14ac:dyDescent="0.2">
      <c r="B220"/>
      <c r="C220"/>
      <c r="D220" s="42"/>
      <c r="E220" s="42"/>
      <c r="F220" s="42"/>
      <c r="G220" s="42"/>
    </row>
    <row r="221" spans="2:7" x14ac:dyDescent="0.2">
      <c r="B221"/>
      <c r="C221"/>
      <c r="D221" s="42"/>
      <c r="E221" s="42"/>
      <c r="F221" s="42"/>
      <c r="G221" s="42"/>
    </row>
    <row r="222" spans="2:7" x14ac:dyDescent="0.2">
      <c r="B222"/>
      <c r="C222"/>
      <c r="D222" s="42"/>
      <c r="E222" s="42"/>
      <c r="F222" s="42"/>
      <c r="G222" s="42"/>
    </row>
    <row r="223" spans="2:7" x14ac:dyDescent="0.2">
      <c r="B223"/>
      <c r="C223"/>
      <c r="D223" s="42"/>
      <c r="E223" s="42"/>
      <c r="F223" s="42"/>
      <c r="G223" s="42"/>
    </row>
    <row r="224" spans="2:7" x14ac:dyDescent="0.2">
      <c r="B224"/>
      <c r="C224"/>
      <c r="D224" s="42"/>
      <c r="E224" s="42"/>
      <c r="F224" s="42"/>
      <c r="G224" s="42"/>
    </row>
    <row r="225" spans="2:7" x14ac:dyDescent="0.2">
      <c r="B225"/>
      <c r="C225"/>
      <c r="D225" s="42"/>
      <c r="E225" s="42"/>
      <c r="F225" s="42"/>
      <c r="G225" s="42"/>
    </row>
    <row r="226" spans="2:7" x14ac:dyDescent="0.2">
      <c r="B226"/>
      <c r="C226"/>
      <c r="D226" s="42"/>
      <c r="E226" s="42"/>
      <c r="F226" s="42"/>
      <c r="G226" s="42"/>
    </row>
    <row r="227" spans="2:7" x14ac:dyDescent="0.2">
      <c r="B227"/>
      <c r="C227"/>
      <c r="D227" s="42"/>
      <c r="E227" s="42"/>
      <c r="F227" s="42"/>
      <c r="G227" s="42"/>
    </row>
    <row r="228" spans="2:7" x14ac:dyDescent="0.2">
      <c r="B228"/>
      <c r="C228"/>
      <c r="D228" s="42"/>
      <c r="E228" s="42"/>
      <c r="F228" s="42"/>
      <c r="G228" s="42"/>
    </row>
    <row r="229" spans="2:7" x14ac:dyDescent="0.2">
      <c r="B229"/>
      <c r="C229"/>
      <c r="D229" s="42"/>
      <c r="E229" s="42"/>
      <c r="F229" s="42"/>
      <c r="G229" s="42"/>
    </row>
    <row r="230" spans="2:7" x14ac:dyDescent="0.2">
      <c r="B230"/>
      <c r="C230"/>
      <c r="D230" s="42"/>
      <c r="E230" s="42"/>
      <c r="F230" s="42"/>
      <c r="G230" s="42"/>
    </row>
    <row r="231" spans="2:7" x14ac:dyDescent="0.2">
      <c r="B231"/>
      <c r="C231"/>
      <c r="D231" s="42"/>
      <c r="E231" s="42"/>
      <c r="F231" s="42"/>
      <c r="G231" s="42"/>
    </row>
    <row r="232" spans="2:7" x14ac:dyDescent="0.2">
      <c r="B232"/>
      <c r="C232"/>
      <c r="D232" s="42"/>
      <c r="E232" s="42"/>
      <c r="F232" s="42"/>
      <c r="G232" s="42"/>
    </row>
    <row r="233" spans="2:7" x14ac:dyDescent="0.2">
      <c r="B233"/>
      <c r="C233"/>
      <c r="D233" s="42"/>
      <c r="E233" s="42"/>
      <c r="F233" s="42"/>
      <c r="G233" s="42"/>
    </row>
    <row r="234" spans="2:7" x14ac:dyDescent="0.2">
      <c r="B234"/>
      <c r="C234"/>
      <c r="D234" s="42"/>
      <c r="E234" s="42"/>
      <c r="F234" s="42"/>
      <c r="G234" s="42"/>
    </row>
    <row r="235" spans="2:7" x14ac:dyDescent="0.2">
      <c r="B235"/>
      <c r="C235"/>
      <c r="D235" s="42"/>
      <c r="E235" s="42"/>
      <c r="F235" s="42"/>
      <c r="G235" s="42"/>
    </row>
    <row r="236" spans="2:7" x14ac:dyDescent="0.2">
      <c r="B236"/>
      <c r="C236"/>
      <c r="D236" s="42"/>
      <c r="E236" s="42"/>
      <c r="F236" s="42"/>
      <c r="G236" s="42"/>
    </row>
    <row r="237" spans="2:7" x14ac:dyDescent="0.2">
      <c r="B237"/>
      <c r="C237"/>
      <c r="D237" s="42"/>
      <c r="E237" s="42"/>
      <c r="F237" s="42"/>
      <c r="G237" s="42"/>
    </row>
    <row r="238" spans="2:7" x14ac:dyDescent="0.2">
      <c r="B238"/>
      <c r="C238"/>
      <c r="D238" s="42"/>
      <c r="E238" s="42"/>
      <c r="F238" s="42"/>
      <c r="G238" s="42"/>
    </row>
    <row r="239" spans="2:7" x14ac:dyDescent="0.2">
      <c r="B239"/>
      <c r="C239"/>
      <c r="D239" s="42"/>
      <c r="E239" s="42"/>
      <c r="F239" s="42"/>
      <c r="G239" s="42"/>
    </row>
    <row r="240" spans="2:7" x14ac:dyDescent="0.2">
      <c r="B240"/>
      <c r="C240"/>
      <c r="D240" s="42"/>
      <c r="E240" s="42"/>
      <c r="F240" s="42"/>
      <c r="G240" s="42"/>
    </row>
    <row r="241" spans="2:7" x14ac:dyDescent="0.2">
      <c r="B241"/>
      <c r="C241"/>
      <c r="D241" s="42"/>
      <c r="E241" s="42"/>
      <c r="F241" s="42"/>
      <c r="G241" s="42"/>
    </row>
    <row r="242" spans="2:7" x14ac:dyDescent="0.2">
      <c r="B242"/>
      <c r="C242"/>
      <c r="D242" s="42"/>
      <c r="E242" s="42"/>
      <c r="F242" s="42"/>
      <c r="G242" s="42"/>
    </row>
    <row r="243" spans="2:7" x14ac:dyDescent="0.2">
      <c r="B243"/>
      <c r="C243"/>
      <c r="D243" s="42"/>
      <c r="E243" s="42"/>
      <c r="F243" s="42"/>
      <c r="G243" s="42"/>
    </row>
    <row r="244" spans="2:7" x14ac:dyDescent="0.2">
      <c r="B244"/>
      <c r="C244"/>
      <c r="D244" s="42"/>
      <c r="E244" s="42"/>
      <c r="F244" s="42"/>
      <c r="G244" s="42"/>
    </row>
    <row r="245" spans="2:7" x14ac:dyDescent="0.2">
      <c r="B245"/>
      <c r="C245"/>
      <c r="D245" s="42"/>
      <c r="E245" s="42"/>
      <c r="F245" s="42"/>
      <c r="G245" s="42"/>
    </row>
    <row r="246" spans="2:7" x14ac:dyDescent="0.2">
      <c r="B246"/>
      <c r="C246"/>
      <c r="D246" s="42"/>
      <c r="E246" s="42"/>
      <c r="F246" s="42"/>
      <c r="G246" s="42"/>
    </row>
    <row r="247" spans="2:7" x14ac:dyDescent="0.2">
      <c r="B247"/>
      <c r="C247"/>
      <c r="D247" s="42"/>
      <c r="E247" s="42"/>
      <c r="F247" s="42"/>
      <c r="G247" s="42"/>
    </row>
    <row r="248" spans="2:7" x14ac:dyDescent="0.2">
      <c r="B248"/>
      <c r="C248"/>
      <c r="D248" s="42"/>
      <c r="E248" s="42"/>
      <c r="F248" s="42"/>
      <c r="G248" s="42"/>
    </row>
    <row r="249" spans="2:7" x14ac:dyDescent="0.2">
      <c r="B249"/>
      <c r="C249"/>
      <c r="D249" s="42"/>
      <c r="E249" s="42"/>
      <c r="F249" s="42"/>
      <c r="G249" s="42"/>
    </row>
    <row r="250" spans="2:7" x14ac:dyDescent="0.2">
      <c r="B250"/>
      <c r="C250"/>
      <c r="D250" s="42"/>
      <c r="E250" s="42"/>
      <c r="F250" s="42"/>
      <c r="G250" s="42"/>
    </row>
    <row r="251" spans="2:7" x14ac:dyDescent="0.2">
      <c r="B251"/>
      <c r="C251"/>
      <c r="D251" s="42"/>
      <c r="E251" s="42"/>
      <c r="F251" s="42"/>
      <c r="G251" s="42"/>
    </row>
    <row r="252" spans="2:7" x14ac:dyDescent="0.2">
      <c r="B252"/>
      <c r="C252"/>
      <c r="D252" s="42"/>
      <c r="E252" s="42"/>
      <c r="F252" s="42"/>
      <c r="G252" s="42"/>
    </row>
    <row r="253" spans="2:7" x14ac:dyDescent="0.2">
      <c r="B253"/>
      <c r="C253"/>
      <c r="D253" s="42"/>
      <c r="E253" s="42"/>
      <c r="F253" s="42"/>
      <c r="G253" s="42"/>
    </row>
    <row r="254" spans="2:7" x14ac:dyDescent="0.2">
      <c r="B254"/>
      <c r="C254"/>
      <c r="D254" s="42"/>
      <c r="E254" s="42"/>
      <c r="F254" s="42"/>
      <c r="G254" s="42"/>
    </row>
    <row r="255" spans="2:7" x14ac:dyDescent="0.2">
      <c r="B255"/>
      <c r="C255"/>
      <c r="D255" s="42"/>
      <c r="E255" s="42"/>
      <c r="F255" s="42"/>
      <c r="G255" s="42"/>
    </row>
    <row r="256" spans="2:7" x14ac:dyDescent="0.2">
      <c r="B256"/>
      <c r="C256"/>
      <c r="D256" s="42"/>
      <c r="E256" s="42"/>
      <c r="F256" s="42"/>
      <c r="G256" s="42"/>
    </row>
    <row r="257" spans="2:7" x14ac:dyDescent="0.2">
      <c r="B257"/>
      <c r="C257"/>
      <c r="D257" s="42"/>
      <c r="E257" s="42"/>
      <c r="F257" s="42"/>
      <c r="G257" s="42"/>
    </row>
    <row r="258" spans="2:7" x14ac:dyDescent="0.2">
      <c r="B258"/>
      <c r="C258"/>
      <c r="D258" s="42"/>
      <c r="E258" s="42"/>
      <c r="F258" s="42"/>
      <c r="G258" s="42"/>
    </row>
    <row r="259" spans="2:7" x14ac:dyDescent="0.2">
      <c r="B259"/>
      <c r="C259"/>
      <c r="D259" s="42"/>
      <c r="E259" s="42"/>
      <c r="F259" s="42"/>
      <c r="G259" s="42"/>
    </row>
    <row r="260" spans="2:7" x14ac:dyDescent="0.2">
      <c r="B260"/>
      <c r="C260"/>
      <c r="D260" s="42"/>
      <c r="E260" s="42"/>
      <c r="F260" s="42"/>
      <c r="G260" s="42"/>
    </row>
    <row r="261" spans="2:7" x14ac:dyDescent="0.2">
      <c r="B261"/>
      <c r="C261"/>
      <c r="D261" s="42"/>
      <c r="E261" s="42"/>
      <c r="F261" s="42"/>
      <c r="G261" s="42"/>
    </row>
    <row r="262" spans="2:7" x14ac:dyDescent="0.2">
      <c r="B262"/>
      <c r="C262"/>
      <c r="D262" s="42"/>
      <c r="E262" s="42"/>
      <c r="F262" s="42"/>
      <c r="G262" s="42"/>
    </row>
    <row r="263" spans="2:7" x14ac:dyDescent="0.2">
      <c r="B263"/>
      <c r="C263"/>
      <c r="D263" s="42"/>
      <c r="E263" s="42"/>
      <c r="F263" s="42"/>
      <c r="G263" s="42"/>
    </row>
    <row r="264" spans="2:7" x14ac:dyDescent="0.2">
      <c r="B264"/>
      <c r="C264"/>
      <c r="D264" s="42"/>
      <c r="E264" s="42"/>
      <c r="F264" s="42"/>
      <c r="G264" s="42"/>
    </row>
    <row r="265" spans="2:7" x14ac:dyDescent="0.2">
      <c r="B265"/>
      <c r="C265"/>
      <c r="D265" s="42"/>
      <c r="E265" s="42"/>
      <c r="F265" s="42"/>
      <c r="G265" s="42"/>
    </row>
    <row r="266" spans="2:7" x14ac:dyDescent="0.2">
      <c r="B266"/>
      <c r="C266"/>
      <c r="D266" s="42"/>
      <c r="E266" s="42"/>
      <c r="F266" s="42"/>
      <c r="G266" s="42"/>
    </row>
    <row r="267" spans="2:7" x14ac:dyDescent="0.2">
      <c r="B267"/>
      <c r="C267"/>
      <c r="D267" s="42"/>
      <c r="E267" s="42"/>
      <c r="F267" s="42"/>
      <c r="G267" s="42"/>
    </row>
    <row r="268" spans="2:7" x14ac:dyDescent="0.2">
      <c r="B268"/>
      <c r="C268"/>
      <c r="D268" s="42"/>
      <c r="E268" s="42"/>
      <c r="F268" s="42"/>
      <c r="G268" s="42"/>
    </row>
    <row r="269" spans="2:7" x14ac:dyDescent="0.2">
      <c r="B269"/>
      <c r="C269"/>
      <c r="D269" s="42"/>
      <c r="E269" s="42"/>
      <c r="F269" s="42"/>
      <c r="G269" s="42"/>
    </row>
    <row r="270" spans="2:7" x14ac:dyDescent="0.2">
      <c r="B270"/>
      <c r="C270"/>
      <c r="D270" s="42"/>
      <c r="E270" s="42"/>
      <c r="F270" s="42"/>
      <c r="G270" s="42"/>
    </row>
    <row r="271" spans="2:7" x14ac:dyDescent="0.2">
      <c r="B271"/>
      <c r="C271"/>
      <c r="D271" s="42"/>
      <c r="E271" s="42"/>
      <c r="F271" s="42"/>
      <c r="G271" s="42"/>
    </row>
    <row r="272" spans="2:7" x14ac:dyDescent="0.2">
      <c r="B272"/>
      <c r="C272"/>
      <c r="D272" s="42"/>
      <c r="E272" s="42"/>
      <c r="F272" s="42"/>
      <c r="G272" s="42"/>
    </row>
    <row r="273" spans="2:7" x14ac:dyDescent="0.2">
      <c r="B273"/>
      <c r="C273"/>
      <c r="D273" s="42"/>
      <c r="E273" s="42"/>
      <c r="F273" s="42"/>
      <c r="G273" s="42"/>
    </row>
    <row r="274" spans="2:7" x14ac:dyDescent="0.2">
      <c r="B274"/>
      <c r="C274"/>
      <c r="D274" s="42"/>
      <c r="E274" s="42"/>
      <c r="F274" s="42"/>
      <c r="G274" s="42"/>
    </row>
    <row r="275" spans="2:7" x14ac:dyDescent="0.2">
      <c r="B275"/>
      <c r="C275"/>
      <c r="D275" s="42"/>
      <c r="E275" s="42"/>
      <c r="F275" s="42"/>
      <c r="G275" s="42"/>
    </row>
    <row r="276" spans="2:7" x14ac:dyDescent="0.2">
      <c r="B276"/>
      <c r="C276"/>
      <c r="D276" s="42"/>
      <c r="E276" s="42"/>
      <c r="F276" s="42"/>
      <c r="G276" s="42"/>
    </row>
    <row r="277" spans="2:7" x14ac:dyDescent="0.2">
      <c r="B277"/>
      <c r="C277"/>
      <c r="D277" s="42"/>
      <c r="E277" s="42"/>
      <c r="F277" s="42"/>
      <c r="G277" s="42"/>
    </row>
    <row r="278" spans="2:7" x14ac:dyDescent="0.2">
      <c r="B278"/>
      <c r="C278"/>
      <c r="D278" s="42"/>
      <c r="E278" s="42"/>
      <c r="F278" s="42"/>
      <c r="G278" s="42"/>
    </row>
    <row r="279" spans="2:7" x14ac:dyDescent="0.2">
      <c r="B279"/>
      <c r="C279"/>
      <c r="D279" s="42"/>
      <c r="E279" s="42"/>
      <c r="F279" s="42"/>
      <c r="G279" s="42"/>
    </row>
    <row r="280" spans="2:7" x14ac:dyDescent="0.2">
      <c r="B280"/>
      <c r="C280"/>
      <c r="D280" s="42"/>
      <c r="E280" s="42"/>
      <c r="F280" s="42"/>
      <c r="G280" s="42"/>
    </row>
    <row r="281" spans="2:7" x14ac:dyDescent="0.2">
      <c r="B281"/>
      <c r="C281"/>
      <c r="D281" s="42"/>
      <c r="E281" s="42"/>
      <c r="F281" s="42"/>
      <c r="G281" s="42"/>
    </row>
    <row r="282" spans="2:7" x14ac:dyDescent="0.2">
      <c r="B282"/>
      <c r="C282"/>
      <c r="D282" s="42"/>
      <c r="E282" s="42"/>
      <c r="F282" s="42"/>
      <c r="G282" s="42"/>
    </row>
    <row r="283" spans="2:7" x14ac:dyDescent="0.2">
      <c r="B283"/>
      <c r="C283"/>
      <c r="D283" s="42"/>
      <c r="E283" s="42"/>
      <c r="F283" s="42"/>
      <c r="G283" s="42"/>
    </row>
    <row r="284" spans="2:7" x14ac:dyDescent="0.2">
      <c r="B284"/>
      <c r="C284"/>
      <c r="D284" s="42"/>
      <c r="E284" s="42"/>
      <c r="F284" s="42"/>
      <c r="G284" s="42"/>
    </row>
    <row r="285" spans="2:7" x14ac:dyDescent="0.2">
      <c r="B285"/>
      <c r="C285"/>
      <c r="D285" s="42"/>
      <c r="E285" s="42"/>
      <c r="F285" s="42"/>
      <c r="G285" s="42"/>
    </row>
    <row r="286" spans="2:7" x14ac:dyDescent="0.2">
      <c r="B286"/>
      <c r="C286"/>
      <c r="D286" s="42"/>
      <c r="E286" s="42"/>
      <c r="F286" s="42"/>
      <c r="G286" s="42"/>
    </row>
    <row r="287" spans="2:7" x14ac:dyDescent="0.2">
      <c r="B287"/>
      <c r="C287"/>
      <c r="D287" s="42"/>
      <c r="E287" s="42"/>
      <c r="F287" s="42"/>
      <c r="G287" s="42"/>
    </row>
    <row r="288" spans="2:7" x14ac:dyDescent="0.2">
      <c r="B288"/>
      <c r="C288"/>
      <c r="D288" s="42"/>
      <c r="E288" s="42"/>
      <c r="F288" s="42"/>
      <c r="G288" s="42"/>
    </row>
    <row r="289" spans="2:7" x14ac:dyDescent="0.2">
      <c r="B289"/>
      <c r="C289"/>
      <c r="D289" s="42"/>
      <c r="E289" s="42"/>
      <c r="F289" s="42"/>
      <c r="G289" s="42"/>
    </row>
    <row r="290" spans="2:7" x14ac:dyDescent="0.2">
      <c r="B290"/>
      <c r="C290"/>
      <c r="D290" s="42"/>
      <c r="E290" s="42"/>
      <c r="F290" s="42"/>
      <c r="G290" s="42"/>
    </row>
    <row r="291" spans="2:7" x14ac:dyDescent="0.2">
      <c r="B291"/>
      <c r="C291"/>
      <c r="D291" s="42"/>
      <c r="E291" s="42"/>
      <c r="F291" s="42"/>
      <c r="G291" s="42"/>
    </row>
    <row r="292" spans="2:7" x14ac:dyDescent="0.2">
      <c r="B292"/>
      <c r="C292"/>
      <c r="D292" s="42"/>
      <c r="E292" s="42"/>
      <c r="F292" s="42"/>
      <c r="G292" s="42"/>
    </row>
    <row r="293" spans="2:7" x14ac:dyDescent="0.2">
      <c r="B293"/>
      <c r="C293"/>
      <c r="D293" s="42"/>
      <c r="E293" s="42"/>
      <c r="F293" s="42"/>
      <c r="G293" s="42"/>
    </row>
    <row r="294" spans="2:7" x14ac:dyDescent="0.2">
      <c r="B294"/>
      <c r="C294"/>
      <c r="D294" s="42"/>
      <c r="E294" s="42"/>
      <c r="F294" s="42"/>
      <c r="G294" s="42"/>
    </row>
    <row r="295" spans="2:7" x14ac:dyDescent="0.2">
      <c r="B295"/>
      <c r="C295"/>
      <c r="D295" s="42"/>
      <c r="E295" s="42"/>
      <c r="F295" s="42"/>
      <c r="G295" s="42"/>
    </row>
    <row r="296" spans="2:7" x14ac:dyDescent="0.2">
      <c r="B296"/>
      <c r="C296"/>
      <c r="D296" s="42"/>
      <c r="E296" s="42"/>
      <c r="F296" s="42"/>
      <c r="G296" s="42"/>
    </row>
    <row r="297" spans="2:7" x14ac:dyDescent="0.2">
      <c r="B297"/>
      <c r="C297"/>
      <c r="D297" s="42"/>
      <c r="E297" s="42"/>
      <c r="F297" s="42"/>
      <c r="G297" s="42"/>
    </row>
    <row r="298" spans="2:7" x14ac:dyDescent="0.2">
      <c r="B298"/>
      <c r="C298"/>
      <c r="D298" s="42"/>
      <c r="E298" s="42"/>
      <c r="F298" s="42"/>
      <c r="G298" s="42"/>
    </row>
    <row r="299" spans="2:7" x14ac:dyDescent="0.2">
      <c r="B299"/>
      <c r="C299"/>
      <c r="D299" s="42"/>
      <c r="E299" s="42"/>
      <c r="F299" s="42"/>
      <c r="G299" s="42"/>
    </row>
    <row r="300" spans="2:7" x14ac:dyDescent="0.2">
      <c r="B300"/>
      <c r="C300"/>
      <c r="D300" s="42"/>
      <c r="E300" s="42"/>
      <c r="F300" s="42"/>
      <c r="G300" s="42"/>
    </row>
    <row r="301" spans="2:7" x14ac:dyDescent="0.2">
      <c r="B301"/>
      <c r="C301"/>
      <c r="D301" s="42"/>
      <c r="E301" s="42"/>
      <c r="F301" s="42"/>
      <c r="G301" s="42"/>
    </row>
    <row r="302" spans="2:7" x14ac:dyDescent="0.2">
      <c r="B302"/>
      <c r="C302"/>
      <c r="D302" s="42"/>
      <c r="E302" s="42"/>
      <c r="F302" s="42"/>
      <c r="G302" s="42"/>
    </row>
    <row r="303" spans="2:7" x14ac:dyDescent="0.2">
      <c r="B303"/>
      <c r="C303"/>
      <c r="D303" s="42"/>
      <c r="E303" s="42"/>
      <c r="F303" s="42"/>
      <c r="G303" s="42"/>
    </row>
    <row r="304" spans="2:7" x14ac:dyDescent="0.2">
      <c r="B304"/>
      <c r="C304"/>
      <c r="D304" s="42"/>
      <c r="E304" s="42"/>
      <c r="F304" s="42"/>
      <c r="G304" s="42"/>
    </row>
    <row r="305" spans="2:7" x14ac:dyDescent="0.2">
      <c r="B305"/>
      <c r="C305"/>
      <c r="D305" s="42"/>
      <c r="E305" s="42"/>
      <c r="F305" s="42"/>
      <c r="G305" s="42"/>
    </row>
    <row r="306" spans="2:7" x14ac:dyDescent="0.2">
      <c r="B306"/>
      <c r="C306"/>
      <c r="D306" s="42"/>
      <c r="E306" s="42"/>
      <c r="F306" s="42"/>
      <c r="G306" s="42"/>
    </row>
    <row r="307" spans="2:7" x14ac:dyDescent="0.2">
      <c r="B307"/>
      <c r="C307"/>
      <c r="D307" s="42"/>
      <c r="E307" s="42"/>
      <c r="F307" s="42"/>
      <c r="G307" s="42"/>
    </row>
    <row r="308" spans="2:7" x14ac:dyDescent="0.2">
      <c r="B308"/>
      <c r="C308"/>
      <c r="D308" s="42"/>
      <c r="E308" s="42"/>
      <c r="F308" s="42"/>
      <c r="G308" s="42"/>
    </row>
    <row r="309" spans="2:7" x14ac:dyDescent="0.2">
      <c r="B309"/>
      <c r="C309"/>
      <c r="D309" s="42"/>
      <c r="E309" s="42"/>
      <c r="F309" s="42"/>
      <c r="G309" s="42"/>
    </row>
    <row r="310" spans="2:7" x14ac:dyDescent="0.2">
      <c r="B310"/>
      <c r="C310"/>
      <c r="D310" s="42"/>
      <c r="E310" s="42"/>
      <c r="F310" s="42"/>
      <c r="G310" s="42"/>
    </row>
    <row r="311" spans="2:7" x14ac:dyDescent="0.2">
      <c r="B311"/>
      <c r="C311"/>
      <c r="D311" s="42"/>
      <c r="E311" s="42"/>
      <c r="F311" s="42"/>
      <c r="G311" s="42"/>
    </row>
    <row r="312" spans="2:7" x14ac:dyDescent="0.2">
      <c r="B312"/>
      <c r="C312"/>
      <c r="D312" s="42"/>
      <c r="E312" s="42"/>
      <c r="F312" s="42"/>
      <c r="G312" s="42"/>
    </row>
    <row r="313" spans="2:7" x14ac:dyDescent="0.2">
      <c r="B313"/>
      <c r="C313"/>
      <c r="D313" s="42"/>
      <c r="E313" s="42"/>
      <c r="F313" s="42"/>
      <c r="G313" s="42"/>
    </row>
    <row r="314" spans="2:7" x14ac:dyDescent="0.2">
      <c r="B314"/>
      <c r="C314"/>
      <c r="D314" s="42"/>
      <c r="E314" s="42"/>
      <c r="F314" s="42"/>
      <c r="G314" s="42"/>
    </row>
    <row r="315" spans="2:7" x14ac:dyDescent="0.2">
      <c r="B315"/>
      <c r="C315"/>
      <c r="D315" s="42"/>
      <c r="E315" s="42"/>
      <c r="F315" s="42"/>
      <c r="G315" s="42"/>
    </row>
    <row r="316" spans="2:7" x14ac:dyDescent="0.2">
      <c r="B316"/>
      <c r="C316"/>
      <c r="D316" s="42"/>
      <c r="E316" s="42"/>
      <c r="F316" s="42"/>
      <c r="G316" s="42"/>
    </row>
    <row r="317" spans="2:7" x14ac:dyDescent="0.2">
      <c r="B317"/>
      <c r="C317"/>
      <c r="D317" s="42"/>
      <c r="E317" s="42"/>
      <c r="F317" s="42"/>
      <c r="G317" s="42"/>
    </row>
    <row r="318" spans="2:7" x14ac:dyDescent="0.2">
      <c r="B318"/>
      <c r="C318"/>
      <c r="D318" s="42"/>
      <c r="E318" s="42"/>
      <c r="F318" s="42"/>
      <c r="G318" s="42"/>
    </row>
    <row r="319" spans="2:7" x14ac:dyDescent="0.2">
      <c r="B319"/>
      <c r="C319"/>
      <c r="D319" s="42"/>
      <c r="E319" s="42"/>
      <c r="F319" s="42"/>
      <c r="G319" s="42"/>
    </row>
    <row r="320" spans="2:7" x14ac:dyDescent="0.2">
      <c r="B320"/>
      <c r="C320"/>
      <c r="D320" s="42"/>
      <c r="E320" s="42"/>
      <c r="F320" s="42"/>
      <c r="G320" s="42"/>
    </row>
    <row r="321" spans="2:7" x14ac:dyDescent="0.2">
      <c r="B321"/>
      <c r="C321"/>
      <c r="D321" s="42"/>
      <c r="E321" s="42"/>
      <c r="F321" s="42"/>
      <c r="G321" s="42"/>
    </row>
    <row r="322" spans="2:7" x14ac:dyDescent="0.2">
      <c r="B322"/>
      <c r="C322"/>
      <c r="D322" s="42"/>
      <c r="E322" s="42"/>
      <c r="F322" s="42"/>
      <c r="G322" s="42"/>
    </row>
    <row r="323" spans="2:7" x14ac:dyDescent="0.2">
      <c r="B323"/>
      <c r="C323"/>
      <c r="D323" s="42"/>
      <c r="E323" s="42"/>
      <c r="F323" s="42"/>
      <c r="G323" s="42"/>
    </row>
    <row r="324" spans="2:7" x14ac:dyDescent="0.2">
      <c r="B324"/>
      <c r="C324"/>
      <c r="D324" s="42"/>
      <c r="E324" s="42"/>
      <c r="F324" s="42"/>
      <c r="G324" s="42"/>
    </row>
    <row r="325" spans="2:7" x14ac:dyDescent="0.2">
      <c r="B325"/>
      <c r="C325"/>
      <c r="D325" s="42"/>
      <c r="E325" s="42"/>
      <c r="F325" s="42"/>
      <c r="G325" s="42"/>
    </row>
    <row r="326" spans="2:7" x14ac:dyDescent="0.2">
      <c r="B326"/>
      <c r="C326"/>
      <c r="D326" s="42"/>
      <c r="E326" s="42"/>
      <c r="F326" s="42"/>
      <c r="G326" s="42"/>
    </row>
    <row r="327" spans="2:7" x14ac:dyDescent="0.2">
      <c r="B327"/>
      <c r="C327"/>
      <c r="D327" s="42"/>
      <c r="E327" s="42"/>
      <c r="F327" s="42"/>
      <c r="G327" s="42"/>
    </row>
    <row r="328" spans="2:7" x14ac:dyDescent="0.2">
      <c r="B328"/>
      <c r="C328"/>
      <c r="D328" s="42"/>
      <c r="E328" s="42"/>
      <c r="F328" s="42"/>
      <c r="G328" s="42"/>
    </row>
    <row r="329" spans="2:7" x14ac:dyDescent="0.2">
      <c r="B329"/>
      <c r="C329"/>
      <c r="D329" s="42"/>
      <c r="E329" s="42"/>
      <c r="F329" s="42"/>
      <c r="G329" s="42"/>
    </row>
    <row r="330" spans="2:7" x14ac:dyDescent="0.2">
      <c r="B330"/>
      <c r="C330"/>
      <c r="D330" s="42"/>
      <c r="E330" s="42"/>
      <c r="F330" s="42"/>
      <c r="G330" s="42"/>
    </row>
    <row r="331" spans="2:7" x14ac:dyDescent="0.2">
      <c r="B331"/>
      <c r="C331"/>
      <c r="D331" s="42"/>
      <c r="E331" s="42"/>
      <c r="F331" s="42"/>
      <c r="G331" s="42"/>
    </row>
    <row r="332" spans="2:7" x14ac:dyDescent="0.2">
      <c r="B332"/>
      <c r="C332"/>
      <c r="D332" s="42"/>
      <c r="E332" s="42"/>
      <c r="F332" s="42"/>
      <c r="G332" s="42"/>
    </row>
    <row r="333" spans="2:7" x14ac:dyDescent="0.2">
      <c r="B333"/>
      <c r="C333"/>
      <c r="D333" s="42"/>
      <c r="E333" s="42"/>
      <c r="F333" s="42"/>
      <c r="G333" s="42"/>
    </row>
    <row r="334" spans="2:7" x14ac:dyDescent="0.2">
      <c r="B334"/>
      <c r="C334"/>
      <c r="D334" s="42"/>
      <c r="E334" s="42"/>
      <c r="F334" s="42"/>
      <c r="G334" s="42"/>
    </row>
    <row r="335" spans="2:7" x14ac:dyDescent="0.2">
      <c r="B335"/>
      <c r="C335"/>
      <c r="D335" s="42"/>
      <c r="E335" s="42"/>
      <c r="F335" s="42"/>
      <c r="G335" s="42"/>
    </row>
    <row r="336" spans="2:7" x14ac:dyDescent="0.2">
      <c r="B336"/>
      <c r="C336"/>
      <c r="D336" s="42"/>
      <c r="E336" s="42"/>
      <c r="F336" s="42"/>
      <c r="G336" s="42"/>
    </row>
    <row r="337" spans="2:7" x14ac:dyDescent="0.2">
      <c r="B337"/>
      <c r="C337"/>
      <c r="D337" s="42"/>
      <c r="E337" s="42"/>
      <c r="F337" s="42"/>
      <c r="G337" s="42"/>
    </row>
    <row r="338" spans="2:7" x14ac:dyDescent="0.2">
      <c r="B338"/>
      <c r="C338"/>
      <c r="D338" s="42"/>
      <c r="E338" s="42"/>
      <c r="F338" s="42"/>
      <c r="G338" s="42"/>
    </row>
    <row r="339" spans="2:7" x14ac:dyDescent="0.2">
      <c r="B339"/>
      <c r="C339"/>
      <c r="D339" s="42"/>
      <c r="E339" s="42"/>
      <c r="F339" s="42"/>
      <c r="G339" s="42"/>
    </row>
    <row r="340" spans="2:7" x14ac:dyDescent="0.2">
      <c r="B340"/>
      <c r="C340"/>
      <c r="D340" s="42"/>
      <c r="E340" s="42"/>
      <c r="F340" s="42"/>
      <c r="G340" s="42"/>
    </row>
    <row r="341" spans="2:7" x14ac:dyDescent="0.2">
      <c r="B341"/>
      <c r="C341"/>
      <c r="D341" s="42"/>
      <c r="E341" s="42"/>
      <c r="F341" s="42"/>
      <c r="G341" s="42"/>
    </row>
    <row r="342" spans="2:7" x14ac:dyDescent="0.2">
      <c r="B342"/>
      <c r="C342"/>
      <c r="D342" s="42"/>
      <c r="E342" s="42"/>
      <c r="F342" s="42"/>
      <c r="G342" s="42"/>
    </row>
    <row r="343" spans="2:7" x14ac:dyDescent="0.2">
      <c r="B343"/>
      <c r="C343"/>
      <c r="D343" s="42"/>
      <c r="E343" s="42"/>
      <c r="F343" s="42"/>
      <c r="G343" s="42"/>
    </row>
    <row r="344" spans="2:7" x14ac:dyDescent="0.2">
      <c r="B344"/>
      <c r="C344"/>
      <c r="D344" s="42"/>
      <c r="E344" s="42"/>
      <c r="F344" s="42"/>
      <c r="G344" s="42"/>
    </row>
    <row r="345" spans="2:7" x14ac:dyDescent="0.2">
      <c r="B345"/>
      <c r="C345"/>
      <c r="D345" s="42"/>
      <c r="E345" s="42"/>
      <c r="F345" s="42"/>
      <c r="G345" s="42"/>
    </row>
    <row r="346" spans="2:7" x14ac:dyDescent="0.2">
      <c r="B346"/>
      <c r="C346"/>
      <c r="D346" s="42"/>
      <c r="E346" s="42"/>
      <c r="F346" s="42"/>
      <c r="G346" s="42"/>
    </row>
    <row r="347" spans="2:7" x14ac:dyDescent="0.2">
      <c r="B347"/>
      <c r="C347"/>
      <c r="D347" s="42"/>
      <c r="E347" s="42"/>
      <c r="F347" s="42"/>
      <c r="G347" s="42"/>
    </row>
    <row r="348" spans="2:7" x14ac:dyDescent="0.2">
      <c r="B348"/>
      <c r="C348"/>
      <c r="D348" s="42"/>
      <c r="E348" s="42"/>
      <c r="F348" s="42"/>
      <c r="G348" s="42"/>
    </row>
    <row r="349" spans="2:7" x14ac:dyDescent="0.2">
      <c r="B349"/>
      <c r="C349"/>
      <c r="D349" s="42"/>
      <c r="E349" s="42"/>
      <c r="F349" s="42"/>
      <c r="G349" s="42"/>
    </row>
    <row r="350" spans="2:7" x14ac:dyDescent="0.2">
      <c r="B350"/>
      <c r="C350"/>
      <c r="D350" s="42"/>
      <c r="E350" s="42"/>
      <c r="F350" s="42"/>
      <c r="G350" s="42"/>
    </row>
    <row r="351" spans="2:7" x14ac:dyDescent="0.2">
      <c r="B351"/>
      <c r="C351"/>
      <c r="D351" s="42"/>
      <c r="E351" s="42"/>
      <c r="F351" s="42"/>
      <c r="G351" s="42"/>
    </row>
    <row r="352" spans="2:7" x14ac:dyDescent="0.2">
      <c r="B352"/>
      <c r="C352"/>
      <c r="D352" s="42"/>
      <c r="E352" s="42"/>
      <c r="F352" s="42"/>
      <c r="G352" s="42"/>
    </row>
    <row r="353" spans="2:7" x14ac:dyDescent="0.2">
      <c r="B353"/>
      <c r="C353"/>
      <c r="D353" s="42"/>
      <c r="E353" s="42"/>
      <c r="F353" s="42"/>
      <c r="G353" s="42"/>
    </row>
    <row r="354" spans="2:7" x14ac:dyDescent="0.2">
      <c r="B354"/>
      <c r="C354"/>
      <c r="D354" s="42"/>
      <c r="E354" s="42"/>
      <c r="F354" s="42"/>
      <c r="G354" s="42"/>
    </row>
    <row r="355" spans="2:7" x14ac:dyDescent="0.2">
      <c r="B355"/>
      <c r="C355"/>
      <c r="D355" s="42"/>
      <c r="E355" s="42"/>
      <c r="F355" s="42"/>
      <c r="G355" s="42"/>
    </row>
    <row r="356" spans="2:7" x14ac:dyDescent="0.2">
      <c r="B356"/>
      <c r="C356"/>
      <c r="D356" s="42"/>
      <c r="E356" s="42"/>
      <c r="F356" s="42"/>
      <c r="G356" s="42"/>
    </row>
    <row r="357" spans="2:7" x14ac:dyDescent="0.2">
      <c r="B357"/>
      <c r="C357"/>
      <c r="D357" s="42"/>
      <c r="E357" s="42"/>
      <c r="F357" s="42"/>
      <c r="G357" s="42"/>
    </row>
    <row r="358" spans="2:7" x14ac:dyDescent="0.2">
      <c r="B358"/>
      <c r="C358"/>
      <c r="D358" s="42"/>
      <c r="E358" s="42"/>
      <c r="F358" s="42"/>
      <c r="G358" s="42"/>
    </row>
    <row r="359" spans="2:7" x14ac:dyDescent="0.2">
      <c r="B359"/>
      <c r="C359"/>
      <c r="D359" s="42"/>
      <c r="E359" s="42"/>
      <c r="F359" s="42"/>
      <c r="G359" s="42"/>
    </row>
    <row r="360" spans="2:7" x14ac:dyDescent="0.2">
      <c r="B360"/>
      <c r="C360"/>
      <c r="D360" s="42"/>
      <c r="E360" s="42"/>
      <c r="F360" s="42"/>
      <c r="G360" s="42"/>
    </row>
    <row r="361" spans="2:7" x14ac:dyDescent="0.2">
      <c r="B361"/>
      <c r="C361"/>
      <c r="D361" s="42"/>
      <c r="E361" s="42"/>
      <c r="F361" s="42"/>
      <c r="G361" s="42"/>
    </row>
    <row r="362" spans="2:7" x14ac:dyDescent="0.2">
      <c r="B362"/>
      <c r="C362"/>
      <c r="D362" s="42"/>
      <c r="E362" s="42"/>
      <c r="F362" s="42"/>
      <c r="G362" s="42"/>
    </row>
    <row r="363" spans="2:7" x14ac:dyDescent="0.2">
      <c r="B363"/>
      <c r="C363"/>
      <c r="D363" s="42"/>
      <c r="E363" s="42"/>
      <c r="F363" s="42"/>
      <c r="G363" s="42"/>
    </row>
    <row r="364" spans="2:7" x14ac:dyDescent="0.2">
      <c r="B364"/>
      <c r="C364"/>
      <c r="D364" s="42"/>
      <c r="E364" s="42"/>
      <c r="F364" s="42"/>
      <c r="G364" s="42"/>
    </row>
    <row r="365" spans="2:7" x14ac:dyDescent="0.2">
      <c r="B365"/>
      <c r="C365"/>
      <c r="D365" s="42"/>
      <c r="E365" s="42"/>
      <c r="F365" s="42"/>
      <c r="G365" s="42"/>
    </row>
    <row r="366" spans="2:7" x14ac:dyDescent="0.2">
      <c r="B366"/>
      <c r="C366"/>
      <c r="D366" s="42"/>
      <c r="E366" s="42"/>
      <c r="F366" s="42"/>
      <c r="G366" s="42"/>
    </row>
    <row r="367" spans="2:7" x14ac:dyDescent="0.2">
      <c r="B367"/>
      <c r="C367"/>
      <c r="D367" s="42"/>
      <c r="E367" s="42"/>
      <c r="F367" s="42"/>
      <c r="G367" s="42"/>
    </row>
    <row r="368" spans="2:7" x14ac:dyDescent="0.2">
      <c r="B368"/>
      <c r="C368"/>
      <c r="D368" s="42"/>
      <c r="E368" s="42"/>
      <c r="F368" s="42"/>
      <c r="G368" s="42"/>
    </row>
    <row r="369" spans="2:7" x14ac:dyDescent="0.2">
      <c r="B369"/>
      <c r="C369"/>
      <c r="D369" s="42"/>
      <c r="E369" s="42"/>
      <c r="F369" s="42"/>
      <c r="G369" s="42"/>
    </row>
    <row r="370" spans="2:7" x14ac:dyDescent="0.2">
      <c r="B370"/>
      <c r="C370"/>
      <c r="D370" s="42"/>
      <c r="E370" s="42"/>
      <c r="F370" s="42"/>
      <c r="G370" s="42"/>
    </row>
    <row r="371" spans="2:7" x14ac:dyDescent="0.2">
      <c r="B371"/>
      <c r="C371"/>
      <c r="D371" s="42"/>
      <c r="E371" s="42"/>
      <c r="F371" s="42"/>
      <c r="G371" s="42"/>
    </row>
    <row r="372" spans="2:7" x14ac:dyDescent="0.2">
      <c r="B372"/>
      <c r="C372"/>
      <c r="D372" s="42"/>
      <c r="E372" s="42"/>
      <c r="F372" s="42"/>
      <c r="G372" s="42"/>
    </row>
    <row r="373" spans="2:7" x14ac:dyDescent="0.2">
      <c r="B373"/>
      <c r="C373"/>
      <c r="D373" s="42"/>
      <c r="E373" s="42"/>
      <c r="F373" s="42"/>
      <c r="G373" s="42"/>
    </row>
    <row r="374" spans="2:7" x14ac:dyDescent="0.2">
      <c r="B374"/>
      <c r="C374"/>
      <c r="D374" s="42"/>
      <c r="E374" s="42"/>
      <c r="F374" s="42"/>
      <c r="G374" s="42"/>
    </row>
    <row r="375" spans="2:7" x14ac:dyDescent="0.2">
      <c r="B375"/>
      <c r="C375"/>
      <c r="D375" s="42"/>
      <c r="E375" s="42"/>
      <c r="F375" s="42"/>
      <c r="G375" s="42"/>
    </row>
    <row r="376" spans="2:7" x14ac:dyDescent="0.2">
      <c r="B376"/>
      <c r="C376"/>
      <c r="D376" s="42"/>
      <c r="E376" s="42"/>
      <c r="F376" s="42"/>
      <c r="G376" s="42"/>
    </row>
    <row r="377" spans="2:7" x14ac:dyDescent="0.2">
      <c r="B377"/>
      <c r="C377"/>
      <c r="D377" s="42"/>
      <c r="E377" s="42"/>
      <c r="F377" s="42"/>
      <c r="G377" s="42"/>
    </row>
    <row r="378" spans="2:7" x14ac:dyDescent="0.2">
      <c r="B378"/>
      <c r="C378"/>
      <c r="D378" s="42"/>
      <c r="E378" s="42"/>
      <c r="F378" s="42"/>
      <c r="G378" s="42"/>
    </row>
    <row r="379" spans="2:7" x14ac:dyDescent="0.2">
      <c r="B379"/>
      <c r="C379"/>
      <c r="D379" s="42"/>
      <c r="E379" s="42"/>
      <c r="F379" s="42"/>
      <c r="G379" s="42"/>
    </row>
    <row r="380" spans="2:7" x14ac:dyDescent="0.2">
      <c r="B380"/>
      <c r="C380"/>
      <c r="D380" s="42"/>
      <c r="E380" s="42"/>
      <c r="F380" s="42"/>
      <c r="G380" s="42"/>
    </row>
    <row r="381" spans="2:7" x14ac:dyDescent="0.2">
      <c r="B381"/>
      <c r="C381"/>
      <c r="D381" s="42"/>
      <c r="E381" s="42"/>
      <c r="F381" s="42"/>
      <c r="G381" s="42"/>
    </row>
    <row r="382" spans="2:7" x14ac:dyDescent="0.2">
      <c r="B382"/>
      <c r="C382"/>
      <c r="D382" s="42"/>
      <c r="E382" s="42"/>
      <c r="F382" s="42"/>
      <c r="G382" s="42"/>
    </row>
    <row r="383" spans="2:7" x14ac:dyDescent="0.2">
      <c r="B383"/>
      <c r="C383"/>
      <c r="D383" s="42"/>
      <c r="E383" s="42"/>
      <c r="F383" s="42"/>
      <c r="G383" s="42"/>
    </row>
    <row r="384" spans="2:7" x14ac:dyDescent="0.2">
      <c r="B384"/>
      <c r="C384"/>
      <c r="D384" s="42"/>
      <c r="E384" s="42"/>
      <c r="F384" s="42"/>
      <c r="G384" s="42"/>
    </row>
    <row r="385" spans="2:7" x14ac:dyDescent="0.2">
      <c r="B385"/>
      <c r="C385"/>
      <c r="D385" s="42"/>
      <c r="E385" s="42"/>
      <c r="F385" s="42"/>
      <c r="G385" s="42"/>
    </row>
    <row r="386" spans="2:7" x14ac:dyDescent="0.2">
      <c r="B386"/>
      <c r="C386"/>
      <c r="D386" s="42"/>
      <c r="E386" s="42"/>
      <c r="F386" s="42"/>
      <c r="G386" s="42"/>
    </row>
    <row r="387" spans="2:7" x14ac:dyDescent="0.2">
      <c r="B387"/>
      <c r="C387"/>
      <c r="D387" s="42"/>
      <c r="E387" s="42"/>
      <c r="F387" s="42"/>
      <c r="G387" s="42"/>
    </row>
    <row r="388" spans="2:7" x14ac:dyDescent="0.2">
      <c r="B388"/>
      <c r="C388"/>
      <c r="D388" s="42"/>
      <c r="E388" s="42"/>
      <c r="F388" s="42"/>
      <c r="G388" s="42"/>
    </row>
    <row r="389" spans="2:7" x14ac:dyDescent="0.2">
      <c r="B389"/>
      <c r="C389"/>
      <c r="D389" s="42"/>
      <c r="E389" s="42"/>
      <c r="F389" s="42"/>
      <c r="G389" s="42"/>
    </row>
    <row r="390" spans="2:7" x14ac:dyDescent="0.2">
      <c r="B390"/>
      <c r="C390"/>
      <c r="D390" s="42"/>
      <c r="E390" s="42"/>
      <c r="F390" s="42"/>
      <c r="G390" s="42"/>
    </row>
    <row r="391" spans="2:7" x14ac:dyDescent="0.2">
      <c r="B391"/>
      <c r="C391"/>
      <c r="D391" s="42"/>
      <c r="E391" s="42"/>
      <c r="F391" s="42"/>
      <c r="G391" s="42"/>
    </row>
    <row r="392" spans="2:7" x14ac:dyDescent="0.2">
      <c r="B392"/>
      <c r="C392"/>
      <c r="D392" s="42"/>
      <c r="E392" s="42"/>
      <c r="F392" s="42"/>
      <c r="G392" s="42"/>
    </row>
    <row r="393" spans="2:7" x14ac:dyDescent="0.2">
      <c r="B393"/>
      <c r="C393"/>
      <c r="D393" s="42"/>
      <c r="E393" s="42"/>
      <c r="F393" s="42"/>
      <c r="G393" s="42"/>
    </row>
    <row r="394" spans="2:7" x14ac:dyDescent="0.2">
      <c r="B394"/>
      <c r="C394"/>
      <c r="D394" s="42"/>
      <c r="E394" s="42"/>
      <c r="F394" s="42"/>
      <c r="G394" s="42"/>
    </row>
    <row r="395" spans="2:7" x14ac:dyDescent="0.2">
      <c r="B395"/>
      <c r="C395"/>
      <c r="D395" s="42"/>
      <c r="E395" s="42"/>
      <c r="F395" s="42"/>
      <c r="G395" s="42"/>
    </row>
    <row r="396" spans="2:7" x14ac:dyDescent="0.2">
      <c r="B396"/>
      <c r="C396"/>
      <c r="D396" s="42"/>
      <c r="E396" s="42"/>
      <c r="F396" s="42"/>
      <c r="G396" s="42"/>
    </row>
    <row r="397" spans="2:7" x14ac:dyDescent="0.2">
      <c r="B397"/>
      <c r="C397"/>
      <c r="D397" s="42"/>
      <c r="E397" s="42"/>
      <c r="F397" s="42"/>
      <c r="G397" s="42"/>
    </row>
    <row r="398" spans="2:7" x14ac:dyDescent="0.2">
      <c r="B398"/>
      <c r="C398"/>
      <c r="D398" s="42"/>
      <c r="E398" s="42"/>
      <c r="F398" s="42"/>
      <c r="G398" s="42"/>
    </row>
    <row r="399" spans="2:7" x14ac:dyDescent="0.2">
      <c r="B399"/>
      <c r="C399"/>
      <c r="D399" s="42"/>
      <c r="E399" s="42"/>
      <c r="F399" s="42"/>
      <c r="G399" s="42"/>
    </row>
    <row r="400" spans="2:7" x14ac:dyDescent="0.2">
      <c r="B400"/>
      <c r="C400"/>
      <c r="D400" s="42"/>
      <c r="E400" s="42"/>
      <c r="F400" s="42"/>
      <c r="G400" s="42"/>
    </row>
    <row r="401" spans="2:7" x14ac:dyDescent="0.2">
      <c r="B401"/>
      <c r="C401"/>
      <c r="D401" s="42"/>
      <c r="E401" s="42"/>
      <c r="F401" s="42"/>
      <c r="G401" s="42"/>
    </row>
    <row r="402" spans="2:7" x14ac:dyDescent="0.2">
      <c r="B402"/>
      <c r="C402"/>
      <c r="D402" s="42"/>
      <c r="E402" s="42"/>
      <c r="F402" s="42"/>
      <c r="G402" s="42"/>
    </row>
    <row r="403" spans="2:7" x14ac:dyDescent="0.2">
      <c r="B403"/>
      <c r="C403"/>
      <c r="D403" s="42"/>
      <c r="E403" s="42"/>
      <c r="F403" s="42"/>
      <c r="G403" s="42"/>
    </row>
    <row r="404" spans="2:7" x14ac:dyDescent="0.2">
      <c r="B404"/>
      <c r="C404"/>
      <c r="D404" s="42"/>
      <c r="E404" s="42"/>
      <c r="F404" s="42"/>
      <c r="G404" s="42"/>
    </row>
    <row r="405" spans="2:7" x14ac:dyDescent="0.2">
      <c r="B405"/>
      <c r="C405"/>
      <c r="D405" s="42"/>
      <c r="E405" s="42"/>
      <c r="F405" s="42"/>
      <c r="G405" s="42"/>
    </row>
    <row r="406" spans="2:7" x14ac:dyDescent="0.2">
      <c r="B406"/>
      <c r="C406"/>
      <c r="D406" s="42"/>
      <c r="E406" s="42"/>
      <c r="F406" s="42"/>
      <c r="G406" s="42"/>
    </row>
    <row r="407" spans="2:7" x14ac:dyDescent="0.2">
      <c r="B407"/>
      <c r="C407"/>
      <c r="D407" s="42"/>
      <c r="E407" s="42"/>
      <c r="F407" s="42"/>
      <c r="G407" s="42"/>
    </row>
    <row r="408" spans="2:7" x14ac:dyDescent="0.2">
      <c r="B408"/>
      <c r="C408"/>
      <c r="D408" s="42"/>
      <c r="E408" s="42"/>
      <c r="F408" s="42"/>
      <c r="G408" s="42"/>
    </row>
    <row r="409" spans="2:7" x14ac:dyDescent="0.2">
      <c r="B409"/>
      <c r="C409"/>
      <c r="D409" s="42"/>
      <c r="E409" s="42"/>
      <c r="F409" s="42"/>
      <c r="G409" s="42"/>
    </row>
    <row r="410" spans="2:7" x14ac:dyDescent="0.2">
      <c r="B410"/>
      <c r="C410"/>
      <c r="D410" s="42"/>
      <c r="E410" s="42"/>
      <c r="F410" s="42"/>
      <c r="G410" s="42"/>
    </row>
    <row r="411" spans="2:7" x14ac:dyDescent="0.2">
      <c r="B411"/>
      <c r="C411"/>
      <c r="D411" s="42"/>
      <c r="E411" s="42"/>
      <c r="F411" s="42"/>
      <c r="G411" s="42"/>
    </row>
    <row r="412" spans="2:7" x14ac:dyDescent="0.2">
      <c r="B412"/>
      <c r="C412"/>
      <c r="D412" s="42"/>
      <c r="E412" s="42"/>
      <c r="F412" s="42"/>
      <c r="G412" s="42"/>
    </row>
    <row r="413" spans="2:7" x14ac:dyDescent="0.2">
      <c r="B413"/>
      <c r="C413"/>
      <c r="D413" s="42"/>
      <c r="E413" s="42"/>
      <c r="F413" s="42"/>
      <c r="G413" s="42"/>
    </row>
    <row r="414" spans="2:7" x14ac:dyDescent="0.2">
      <c r="B414"/>
      <c r="C414"/>
      <c r="D414" s="42"/>
      <c r="E414" s="42"/>
      <c r="F414" s="42"/>
      <c r="G414" s="42"/>
    </row>
    <row r="415" spans="2:7" x14ac:dyDescent="0.2">
      <c r="B415"/>
      <c r="C415"/>
      <c r="D415" s="42"/>
      <c r="E415" s="42"/>
      <c r="F415" s="42"/>
      <c r="G415" s="42"/>
    </row>
    <row r="416" spans="2:7" x14ac:dyDescent="0.2">
      <c r="B416"/>
      <c r="C416"/>
      <c r="D416" s="42"/>
      <c r="E416" s="42"/>
      <c r="F416" s="42"/>
      <c r="G416" s="42"/>
    </row>
    <row r="417" spans="2:7" x14ac:dyDescent="0.2">
      <c r="B417"/>
      <c r="C417"/>
      <c r="D417" s="42"/>
      <c r="E417" s="42"/>
      <c r="F417" s="42"/>
      <c r="G417" s="42"/>
    </row>
    <row r="418" spans="2:7" x14ac:dyDescent="0.2">
      <c r="B418"/>
      <c r="C418"/>
      <c r="D418" s="42"/>
      <c r="E418" s="42"/>
      <c r="F418" s="42"/>
      <c r="G418" s="42"/>
    </row>
    <row r="419" spans="2:7" x14ac:dyDescent="0.2">
      <c r="B419"/>
      <c r="C419"/>
      <c r="D419" s="42"/>
      <c r="E419" s="42"/>
      <c r="F419" s="42"/>
      <c r="G419" s="42"/>
    </row>
    <row r="420" spans="2:7" x14ac:dyDescent="0.2">
      <c r="B420"/>
      <c r="C420"/>
      <c r="D420" s="42"/>
      <c r="E420" s="42"/>
      <c r="F420" s="42"/>
      <c r="G420" s="42"/>
    </row>
    <row r="421" spans="2:7" x14ac:dyDescent="0.2">
      <c r="B421"/>
      <c r="C421"/>
      <c r="D421" s="42"/>
      <c r="E421" s="42"/>
      <c r="F421" s="42"/>
      <c r="G421" s="42"/>
    </row>
    <row r="422" spans="2:7" x14ac:dyDescent="0.2">
      <c r="B422"/>
      <c r="C422"/>
      <c r="D422" s="42"/>
      <c r="E422" s="42"/>
      <c r="F422" s="42"/>
      <c r="G422" s="42"/>
    </row>
    <row r="423" spans="2:7" x14ac:dyDescent="0.2">
      <c r="B423"/>
      <c r="C423"/>
      <c r="D423" s="42"/>
      <c r="E423" s="42"/>
      <c r="F423" s="42"/>
      <c r="G423" s="42"/>
    </row>
    <row r="424" spans="2:7" x14ac:dyDescent="0.2">
      <c r="B424"/>
      <c r="C424"/>
      <c r="D424" s="42"/>
      <c r="E424" s="42"/>
      <c r="F424" s="42"/>
      <c r="G424" s="42"/>
    </row>
    <row r="425" spans="2:7" x14ac:dyDescent="0.2">
      <c r="B425"/>
      <c r="C425"/>
      <c r="D425" s="42"/>
      <c r="E425" s="42"/>
      <c r="F425" s="42"/>
      <c r="G425" s="42"/>
    </row>
    <row r="426" spans="2:7" x14ac:dyDescent="0.2">
      <c r="B426"/>
      <c r="C426"/>
      <c r="D426" s="42"/>
      <c r="E426" s="42"/>
      <c r="F426" s="42"/>
      <c r="G426" s="42"/>
    </row>
    <row r="427" spans="2:7" x14ac:dyDescent="0.2">
      <c r="B427"/>
      <c r="C427"/>
      <c r="D427" s="42"/>
      <c r="E427" s="42"/>
      <c r="F427" s="42"/>
      <c r="G427" s="42"/>
    </row>
    <row r="428" spans="2:7" x14ac:dyDescent="0.2">
      <c r="B428"/>
      <c r="C428"/>
      <c r="D428" s="42"/>
      <c r="E428" s="42"/>
      <c r="F428" s="42"/>
      <c r="G428" s="42"/>
    </row>
    <row r="429" spans="2:7" x14ac:dyDescent="0.2">
      <c r="B429"/>
      <c r="C429"/>
      <c r="D429" s="42"/>
      <c r="E429" s="42"/>
      <c r="F429" s="42"/>
      <c r="G429" s="42"/>
    </row>
    <row r="430" spans="2:7" x14ac:dyDescent="0.2">
      <c r="B430"/>
      <c r="C430"/>
      <c r="D430" s="42"/>
      <c r="E430" s="42"/>
      <c r="F430" s="42"/>
      <c r="G430" s="42"/>
    </row>
    <row r="431" spans="2:7" x14ac:dyDescent="0.2">
      <c r="B431"/>
      <c r="C431"/>
      <c r="D431" s="42"/>
      <c r="E431" s="42"/>
      <c r="F431" s="42"/>
      <c r="G431" s="42"/>
    </row>
    <row r="432" spans="2:7" x14ac:dyDescent="0.2">
      <c r="B432"/>
      <c r="C432"/>
      <c r="D432" s="42"/>
      <c r="E432" s="42"/>
      <c r="F432" s="42"/>
      <c r="G432" s="42"/>
    </row>
    <row r="433" spans="2:7" x14ac:dyDescent="0.2">
      <c r="B433"/>
      <c r="C433"/>
      <c r="D433" s="42"/>
      <c r="E433" s="42"/>
      <c r="F433" s="42"/>
      <c r="G433" s="42"/>
    </row>
    <row r="434" spans="2:7" x14ac:dyDescent="0.2">
      <c r="B434"/>
      <c r="C434"/>
      <c r="D434" s="42"/>
      <c r="E434" s="42"/>
      <c r="F434" s="42"/>
      <c r="G434" s="42"/>
    </row>
    <row r="435" spans="2:7" x14ac:dyDescent="0.2">
      <c r="B435"/>
      <c r="C435"/>
      <c r="D435" s="42"/>
      <c r="E435" s="42"/>
      <c r="F435" s="42"/>
      <c r="G435" s="42"/>
    </row>
    <row r="436" spans="2:7" x14ac:dyDescent="0.2">
      <c r="B436"/>
      <c r="C436"/>
      <c r="D436" s="42"/>
      <c r="E436" s="42"/>
      <c r="F436" s="42"/>
      <c r="G436" s="42"/>
    </row>
    <row r="437" spans="2:7" x14ac:dyDescent="0.2">
      <c r="B437"/>
      <c r="C437"/>
      <c r="D437" s="42"/>
      <c r="E437" s="42"/>
      <c r="F437" s="42"/>
      <c r="G437" s="42"/>
    </row>
    <row r="438" spans="2:7" x14ac:dyDescent="0.2">
      <c r="B438"/>
      <c r="C438"/>
      <c r="D438" s="42"/>
      <c r="E438" s="42"/>
      <c r="F438" s="42"/>
      <c r="G438" s="42"/>
    </row>
    <row r="439" spans="2:7" x14ac:dyDescent="0.2">
      <c r="B439"/>
      <c r="C439"/>
      <c r="D439" s="42"/>
      <c r="E439" s="42"/>
      <c r="F439" s="42"/>
      <c r="G439" s="42"/>
    </row>
    <row r="440" spans="2:7" x14ac:dyDescent="0.2">
      <c r="B440"/>
      <c r="C440"/>
      <c r="D440" s="42"/>
      <c r="E440" s="42"/>
      <c r="F440" s="42"/>
      <c r="G440" s="42"/>
    </row>
    <row r="441" spans="2:7" x14ac:dyDescent="0.2">
      <c r="B441"/>
      <c r="C441"/>
      <c r="D441" s="42"/>
      <c r="E441" s="42"/>
      <c r="F441" s="42"/>
      <c r="G441" s="42"/>
    </row>
    <row r="442" spans="2:7" x14ac:dyDescent="0.2">
      <c r="B442"/>
      <c r="C442"/>
      <c r="D442" s="42"/>
      <c r="E442" s="42"/>
      <c r="F442" s="42"/>
      <c r="G442" s="42"/>
    </row>
    <row r="443" spans="2:7" x14ac:dyDescent="0.2">
      <c r="B443"/>
      <c r="C443"/>
      <c r="D443" s="42"/>
      <c r="E443" s="42"/>
      <c r="F443" s="42"/>
      <c r="G443" s="42"/>
    </row>
    <row r="444" spans="2:7" x14ac:dyDescent="0.2">
      <c r="B444"/>
      <c r="C444"/>
      <c r="D444" s="42"/>
      <c r="E444" s="42"/>
      <c r="F444" s="42"/>
      <c r="G444" s="42"/>
    </row>
    <row r="445" spans="2:7" x14ac:dyDescent="0.2">
      <c r="B445"/>
      <c r="C445"/>
      <c r="D445" s="42"/>
      <c r="E445" s="42"/>
      <c r="F445" s="42"/>
      <c r="G445" s="42"/>
    </row>
    <row r="446" spans="2:7" x14ac:dyDescent="0.2">
      <c r="B446"/>
      <c r="C446"/>
      <c r="D446" s="42"/>
      <c r="E446" s="42"/>
      <c r="F446" s="42"/>
      <c r="G446" s="42"/>
    </row>
    <row r="447" spans="2:7" x14ac:dyDescent="0.2">
      <c r="B447"/>
      <c r="C447"/>
      <c r="D447" s="42"/>
      <c r="E447" s="42"/>
      <c r="F447" s="42"/>
      <c r="G447" s="42"/>
    </row>
    <row r="448" spans="2:7" x14ac:dyDescent="0.2">
      <c r="B448"/>
      <c r="C448"/>
      <c r="D448" s="42"/>
      <c r="E448" s="42"/>
      <c r="F448" s="42"/>
      <c r="G448" s="42"/>
    </row>
    <row r="449" spans="2:7" x14ac:dyDescent="0.2">
      <c r="B449"/>
      <c r="C449"/>
      <c r="D449" s="42"/>
      <c r="E449" s="42"/>
      <c r="F449" s="42"/>
      <c r="G449" s="42"/>
    </row>
    <row r="450" spans="2:7" x14ac:dyDescent="0.2">
      <c r="B450"/>
      <c r="C450"/>
      <c r="D450" s="42"/>
      <c r="E450" s="42"/>
      <c r="F450" s="42"/>
      <c r="G450" s="42"/>
    </row>
    <row r="451" spans="2:7" x14ac:dyDescent="0.2">
      <c r="B451"/>
      <c r="C451"/>
      <c r="D451" s="42"/>
      <c r="E451" s="42"/>
      <c r="F451" s="42"/>
      <c r="G451" s="42"/>
    </row>
    <row r="452" spans="2:7" x14ac:dyDescent="0.2">
      <c r="B452"/>
      <c r="C452"/>
      <c r="D452" s="42"/>
      <c r="E452" s="42"/>
      <c r="F452" s="42"/>
      <c r="G452" s="42"/>
    </row>
    <row r="453" spans="2:7" x14ac:dyDescent="0.2">
      <c r="B453"/>
      <c r="C453"/>
      <c r="D453" s="42"/>
      <c r="E453" s="42"/>
      <c r="F453" s="42"/>
      <c r="G453" s="42"/>
    </row>
    <row r="454" spans="2:7" x14ac:dyDescent="0.2">
      <c r="B454"/>
      <c r="C454"/>
      <c r="D454" s="42"/>
      <c r="E454" s="42"/>
      <c r="F454" s="42"/>
      <c r="G454" s="42"/>
    </row>
    <row r="455" spans="2:7" x14ac:dyDescent="0.2">
      <c r="B455"/>
      <c r="C455"/>
      <c r="D455" s="42"/>
      <c r="E455" s="42"/>
      <c r="F455" s="42"/>
      <c r="G455" s="42"/>
    </row>
    <row r="456" spans="2:7" x14ac:dyDescent="0.2">
      <c r="B456"/>
      <c r="C456"/>
      <c r="D456" s="42"/>
      <c r="E456" s="42"/>
      <c r="F456" s="42"/>
      <c r="G456" s="42"/>
    </row>
    <row r="457" spans="2:7" x14ac:dyDescent="0.2">
      <c r="B457"/>
      <c r="C457"/>
      <c r="D457" s="42"/>
      <c r="E457" s="42"/>
      <c r="F457" s="42"/>
      <c r="G457" s="42"/>
    </row>
    <row r="458" spans="2:7" x14ac:dyDescent="0.2">
      <c r="B458"/>
      <c r="C458"/>
      <c r="D458" s="42"/>
      <c r="E458" s="42"/>
      <c r="F458" s="42"/>
      <c r="G458" s="42"/>
    </row>
    <row r="459" spans="2:7" x14ac:dyDescent="0.2">
      <c r="B459"/>
      <c r="C459"/>
      <c r="D459" s="42"/>
      <c r="E459" s="42"/>
      <c r="F459" s="42"/>
      <c r="G459" s="42"/>
    </row>
    <row r="460" spans="2:7" x14ac:dyDescent="0.2">
      <c r="B460"/>
      <c r="C460"/>
      <c r="D460" s="42"/>
      <c r="E460" s="42"/>
      <c r="F460" s="42"/>
      <c r="G460" s="42"/>
    </row>
    <row r="461" spans="2:7" x14ac:dyDescent="0.2">
      <c r="B461"/>
      <c r="C461"/>
      <c r="D461" s="42"/>
      <c r="E461" s="42"/>
      <c r="F461" s="42"/>
      <c r="G461" s="42"/>
    </row>
    <row r="462" spans="2:7" x14ac:dyDescent="0.2">
      <c r="B462"/>
      <c r="C462"/>
      <c r="D462" s="42"/>
      <c r="E462" s="42"/>
      <c r="F462" s="42"/>
      <c r="G462" s="42"/>
    </row>
    <row r="463" spans="2:7" x14ac:dyDescent="0.2">
      <c r="B463"/>
      <c r="C463"/>
      <c r="D463" s="42"/>
      <c r="E463" s="42"/>
      <c r="F463" s="42"/>
      <c r="G463" s="42"/>
    </row>
    <row r="464" spans="2:7" x14ac:dyDescent="0.2">
      <c r="B464"/>
      <c r="C464"/>
      <c r="D464" s="42"/>
      <c r="E464" s="42"/>
      <c r="F464" s="42"/>
      <c r="G464" s="42"/>
    </row>
  </sheetData>
  <autoFilter ref="A3:J3" xr:uid="{93E3EFD6-D858-7440-9001-6F0DFF80A90F}"/>
  <phoneticPr fontId="31" type="noConversion"/>
  <conditionalFormatting sqref="C113:C154 C1:C25 C76:C111 C59:C72 C27:C46 C168:C1048576">
    <cfRule type="duplicateValues" dxfId="11" priority="15"/>
  </conditionalFormatting>
  <conditionalFormatting sqref="B112">
    <cfRule type="duplicateValues" dxfId="10" priority="10"/>
  </conditionalFormatting>
  <conditionalFormatting sqref="C112">
    <cfRule type="duplicateValues" dxfId="9" priority="9"/>
  </conditionalFormatting>
  <conditionalFormatting sqref="B75">
    <cfRule type="duplicateValues" dxfId="8" priority="8"/>
  </conditionalFormatting>
  <conditionalFormatting sqref="C75">
    <cfRule type="duplicateValues" dxfId="7" priority="7"/>
  </conditionalFormatting>
  <conditionalFormatting sqref="B47:B58">
    <cfRule type="duplicateValues" dxfId="6" priority="6"/>
  </conditionalFormatting>
  <conditionalFormatting sqref="C47:C58">
    <cfRule type="duplicateValues" dxfId="5" priority="5"/>
  </conditionalFormatting>
  <conditionalFormatting sqref="B73:B74">
    <cfRule type="duplicateValues" dxfId="4" priority="4"/>
  </conditionalFormatting>
  <conditionalFormatting sqref="C73:C74">
    <cfRule type="duplicateValues" dxfId="3" priority="3"/>
  </conditionalFormatting>
  <conditionalFormatting sqref="B26">
    <cfRule type="duplicateValues" dxfId="2" priority="2"/>
  </conditionalFormatting>
  <conditionalFormatting sqref="C26">
    <cfRule type="duplicateValues" dxfId="1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D600-663C-3044-9888-D26C2AA44F9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6A5C-B315-7E45-9690-35E0DBF3511F}">
  <sheetPr codeName="Sheet4"/>
  <dimension ref="A1:AW2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G13" sqref="G13"/>
    </sheetView>
  </sheetViews>
  <sheetFormatPr baseColWidth="10" defaultRowHeight="16" x14ac:dyDescent="0.2"/>
  <cols>
    <col min="1" max="1" width="4.83203125" style="42" customWidth="1"/>
    <col min="2" max="2" width="36.5" style="42" bestFit="1" customWidth="1"/>
    <col min="3" max="4" width="16.83203125" style="42" customWidth="1"/>
    <col min="5" max="5" width="16.83203125" style="210" customWidth="1"/>
    <col min="6" max="9" width="16.83203125" style="42" customWidth="1"/>
    <col min="10" max="10" width="16.83203125" style="82" customWidth="1"/>
    <col min="11" max="11" width="22.33203125" style="42" bestFit="1" customWidth="1"/>
    <col min="12" max="12" width="13.6640625" style="42" customWidth="1"/>
    <col min="13" max="13" width="12.6640625" style="42" bestFit="1" customWidth="1"/>
    <col min="14" max="14" width="13.5" style="42" customWidth="1"/>
    <col min="15" max="15" width="12.83203125" style="42" customWidth="1"/>
    <col min="16" max="18" width="12.5" style="42" bestFit="1" customWidth="1"/>
    <col min="19" max="19" width="12.83203125" style="42" customWidth="1"/>
    <col min="20" max="20" width="11.83203125" style="42" customWidth="1"/>
    <col min="21" max="21" width="10.6640625" style="42" bestFit="1" customWidth="1"/>
    <col min="22" max="22" width="15" style="42" customWidth="1"/>
    <col min="23" max="23" width="26" style="42" customWidth="1"/>
    <col min="24" max="24" width="15" style="42" customWidth="1"/>
    <col min="25" max="25" width="24.83203125" style="42" customWidth="1"/>
    <col min="26" max="26" width="15.6640625" style="42" customWidth="1"/>
    <col min="27" max="27" width="4.83203125" style="42" customWidth="1"/>
    <col min="28" max="28" width="24.83203125" style="42" customWidth="1"/>
    <col min="29" max="29" width="10.6640625" style="42" bestFit="1" customWidth="1"/>
    <col min="30" max="30" width="11" style="42" bestFit="1" customWidth="1"/>
    <col min="31" max="31" width="7.6640625" style="42" bestFit="1" customWidth="1"/>
    <col min="32" max="32" width="13.33203125" style="42" customWidth="1"/>
    <col min="33" max="33" width="15.1640625" style="42" customWidth="1"/>
    <col min="34" max="35" width="8.6640625" style="42" bestFit="1" customWidth="1"/>
    <col min="36" max="36" width="18.83203125" style="42" customWidth="1"/>
    <col min="37" max="40" width="7.6640625" style="42" bestFit="1" customWidth="1"/>
    <col min="41" max="44" width="9.33203125" style="42" bestFit="1" customWidth="1"/>
    <col min="45" max="48" width="7.6640625" style="42" bestFit="1" customWidth="1"/>
    <col min="49" max="49" width="43.1640625" style="42" customWidth="1"/>
    <col min="50" max="16384" width="10.83203125" style="42"/>
  </cols>
  <sheetData>
    <row r="1" spans="1:49" s="12" customFormat="1" ht="21" x14ac:dyDescent="0.2">
      <c r="A1" s="12" t="s">
        <v>74</v>
      </c>
      <c r="B1" s="12" t="s">
        <v>441</v>
      </c>
      <c r="AB1" s="12" t="s">
        <v>153</v>
      </c>
    </row>
    <row r="2" spans="1:49" s="90" customFormat="1" ht="60" x14ac:dyDescent="0.2">
      <c r="B2" s="13" t="s">
        <v>18</v>
      </c>
      <c r="C2" s="13" t="s">
        <v>608</v>
      </c>
      <c r="D2" s="13" t="s">
        <v>16</v>
      </c>
      <c r="E2" s="13" t="s">
        <v>903</v>
      </c>
      <c r="F2" s="13" t="s">
        <v>902</v>
      </c>
      <c r="G2" s="13" t="s">
        <v>377</v>
      </c>
      <c r="H2" s="13" t="s">
        <v>385</v>
      </c>
      <c r="I2" s="13" t="s">
        <v>542</v>
      </c>
      <c r="J2" s="91" t="s">
        <v>932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36</v>
      </c>
      <c r="W2" s="91" t="s">
        <v>165</v>
      </c>
      <c r="X2" s="91" t="s">
        <v>54</v>
      </c>
      <c r="Y2" s="91" t="s">
        <v>166</v>
      </c>
      <c r="Z2" s="91" t="s">
        <v>55</v>
      </c>
      <c r="AA2" s="10"/>
      <c r="AB2" s="91" t="s">
        <v>165</v>
      </c>
      <c r="AC2" s="91" t="s">
        <v>71</v>
      </c>
      <c r="AD2" s="91" t="s">
        <v>70</v>
      </c>
      <c r="AE2" s="91" t="s">
        <v>0</v>
      </c>
      <c r="AF2" s="91" t="s">
        <v>167</v>
      </c>
      <c r="AG2" s="91" t="s">
        <v>168</v>
      </c>
      <c r="AH2" s="91" t="s">
        <v>31</v>
      </c>
      <c r="AI2" s="91" t="s">
        <v>32</v>
      </c>
      <c r="AJ2" s="91" t="s">
        <v>34</v>
      </c>
      <c r="AK2" s="91" t="s">
        <v>4</v>
      </c>
      <c r="AL2" s="91" t="s">
        <v>5</v>
      </c>
      <c r="AM2" s="91" t="s">
        <v>6</v>
      </c>
      <c r="AN2" s="91" t="s">
        <v>7</v>
      </c>
      <c r="AO2" s="91" t="s">
        <v>8</v>
      </c>
      <c r="AP2" s="91" t="s">
        <v>9</v>
      </c>
      <c r="AQ2" s="91" t="s">
        <v>10</v>
      </c>
      <c r="AR2" s="91" t="s">
        <v>11</v>
      </c>
      <c r="AS2" s="91" t="s">
        <v>12</v>
      </c>
      <c r="AT2" s="91" t="s">
        <v>1</v>
      </c>
      <c r="AU2" s="91" t="s">
        <v>2</v>
      </c>
      <c r="AV2" s="91" t="s">
        <v>3</v>
      </c>
      <c r="AW2" s="10" t="s">
        <v>30</v>
      </c>
    </row>
    <row r="3" spans="1:49" s="90" customFormat="1" ht="20" x14ac:dyDescent="0.2">
      <c r="B3" s="10"/>
      <c r="C3" s="10"/>
      <c r="D3" s="10" t="s">
        <v>19</v>
      </c>
      <c r="E3" s="10"/>
      <c r="F3" s="10" t="s">
        <v>19</v>
      </c>
      <c r="G3" s="10"/>
      <c r="H3" s="10" t="s">
        <v>20</v>
      </c>
      <c r="I3" s="10"/>
      <c r="J3" s="80"/>
      <c r="K3" s="10"/>
      <c r="L3" s="10" t="s">
        <v>33</v>
      </c>
      <c r="M3" s="10" t="s">
        <v>33</v>
      </c>
      <c r="N3" s="10" t="s">
        <v>33</v>
      </c>
      <c r="O3" s="10" t="s">
        <v>33</v>
      </c>
      <c r="P3" s="10" t="s">
        <v>73</v>
      </c>
      <c r="Q3" s="10" t="s">
        <v>73</v>
      </c>
      <c r="R3" s="10" t="s">
        <v>73</v>
      </c>
      <c r="S3" s="10" t="s">
        <v>169</v>
      </c>
      <c r="T3" s="10" t="s">
        <v>24</v>
      </c>
      <c r="U3" s="10"/>
      <c r="V3" s="10" t="s">
        <v>37</v>
      </c>
      <c r="W3" s="10"/>
      <c r="X3" s="10" t="s">
        <v>37</v>
      </c>
      <c r="Y3" s="10"/>
      <c r="Z3" s="10" t="s">
        <v>37</v>
      </c>
      <c r="AA3" s="10"/>
      <c r="AB3" s="10"/>
      <c r="AC3" s="10" t="s">
        <v>33</v>
      </c>
      <c r="AD3" s="10" t="s">
        <v>33</v>
      </c>
      <c r="AE3" s="10" t="s">
        <v>33</v>
      </c>
      <c r="AF3" s="66" t="s">
        <v>33</v>
      </c>
      <c r="AG3" s="10" t="s">
        <v>33</v>
      </c>
      <c r="AH3" s="10" t="s">
        <v>72</v>
      </c>
      <c r="AI3" s="10" t="s">
        <v>72</v>
      </c>
      <c r="AJ3" s="10" t="s">
        <v>72</v>
      </c>
      <c r="AK3" s="10" t="s">
        <v>73</v>
      </c>
      <c r="AL3" s="10" t="s">
        <v>73</v>
      </c>
      <c r="AM3" s="10" t="s">
        <v>73</v>
      </c>
      <c r="AN3" s="10" t="s">
        <v>73</v>
      </c>
      <c r="AO3" s="10" t="s">
        <v>73</v>
      </c>
      <c r="AP3" s="10" t="s">
        <v>73</v>
      </c>
      <c r="AQ3" s="10" t="s">
        <v>73</v>
      </c>
      <c r="AR3" s="10" t="s">
        <v>73</v>
      </c>
      <c r="AS3" s="10" t="s">
        <v>73</v>
      </c>
      <c r="AT3" s="10" t="s">
        <v>73</v>
      </c>
      <c r="AU3" s="10" t="s">
        <v>73</v>
      </c>
      <c r="AV3" s="10" t="s">
        <v>73</v>
      </c>
      <c r="AW3" s="10"/>
    </row>
    <row r="4" spans="1:49" s="90" customFormat="1" ht="20" x14ac:dyDescent="0.25">
      <c r="B4" s="35" t="s">
        <v>78</v>
      </c>
      <c r="C4" s="78" t="s">
        <v>590</v>
      </c>
      <c r="D4" s="63">
        <v>480</v>
      </c>
      <c r="E4" s="208">
        <f>System!$D$6</f>
        <v>0.98099999999999998</v>
      </c>
      <c r="F4" s="217">
        <f>D4*E4</f>
        <v>470.88</v>
      </c>
      <c r="G4" s="115">
        <f t="shared" ref="G4:G17" si="0">H4*1000/(D4*24*365)</f>
        <v>0.3698154490106545</v>
      </c>
      <c r="H4" s="154">
        <v>1555</v>
      </c>
      <c r="I4" s="59">
        <v>4</v>
      </c>
      <c r="J4" s="101"/>
      <c r="K4" s="10"/>
      <c r="L4" s="94"/>
      <c r="M4" s="94"/>
      <c r="N4" s="94"/>
      <c r="O4" s="94"/>
      <c r="P4" s="94"/>
      <c r="Q4" s="94"/>
      <c r="R4" s="94"/>
      <c r="S4" s="94"/>
      <c r="T4" s="94"/>
      <c r="U4" s="10"/>
      <c r="V4" s="68" t="s">
        <v>106</v>
      </c>
      <c r="W4" s="35" t="s">
        <v>107</v>
      </c>
      <c r="X4" s="69" t="s">
        <v>108</v>
      </c>
      <c r="Y4" s="35" t="s">
        <v>109</v>
      </c>
      <c r="Z4" s="69" t="s">
        <v>110</v>
      </c>
      <c r="AA4" s="10"/>
      <c r="AB4" s="35" t="s">
        <v>107</v>
      </c>
      <c r="AC4" s="10"/>
      <c r="AD4" s="10"/>
      <c r="AE4" s="10"/>
      <c r="AF4" s="66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1"/>
    </row>
    <row r="5" spans="1:49" s="90" customFormat="1" ht="20" x14ac:dyDescent="0.25">
      <c r="B5" s="35" t="s">
        <v>80</v>
      </c>
      <c r="C5" s="78" t="s">
        <v>590</v>
      </c>
      <c r="D5" s="63">
        <v>129</v>
      </c>
      <c r="E5" s="208">
        <f>System!$D$6</f>
        <v>0.98099999999999998</v>
      </c>
      <c r="F5" s="217">
        <f t="shared" ref="F5:F17" si="1">D5*E5</f>
        <v>126.54899999999999</v>
      </c>
      <c r="G5" s="115">
        <f t="shared" si="0"/>
        <v>0.80970585112031435</v>
      </c>
      <c r="H5" s="154">
        <v>915</v>
      </c>
      <c r="I5" s="59">
        <v>6</v>
      </c>
      <c r="J5" s="101"/>
      <c r="K5" s="10"/>
      <c r="L5" s="94"/>
      <c r="M5" s="94"/>
      <c r="N5" s="94"/>
      <c r="O5" s="94"/>
      <c r="P5" s="94"/>
      <c r="Q5" s="94"/>
      <c r="R5" s="94"/>
      <c r="S5" s="94"/>
      <c r="T5" s="94"/>
      <c r="U5" s="10"/>
      <c r="V5" s="68" t="s">
        <v>130</v>
      </c>
      <c r="W5" s="35" t="s">
        <v>80</v>
      </c>
      <c r="X5" s="65"/>
      <c r="Y5" s="35" t="s">
        <v>93</v>
      </c>
      <c r="Z5" s="65"/>
      <c r="AA5" s="10"/>
      <c r="AB5" s="35" t="s">
        <v>80</v>
      </c>
      <c r="AC5" s="10"/>
      <c r="AD5" s="10"/>
      <c r="AE5" s="10"/>
      <c r="AF5" s="66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spans="1:49" s="90" customFormat="1" ht="20" x14ac:dyDescent="0.25">
      <c r="B6" s="35" t="s">
        <v>84</v>
      </c>
      <c r="C6" s="79" t="s">
        <v>590</v>
      </c>
      <c r="D6" s="64">
        <v>693</v>
      </c>
      <c r="E6" s="208">
        <f>System!$D$6</f>
        <v>0.98099999999999998</v>
      </c>
      <c r="F6" s="217">
        <f t="shared" si="1"/>
        <v>679.83299999999997</v>
      </c>
      <c r="G6" s="115">
        <f t="shared" si="0"/>
        <v>0.72990175729901763</v>
      </c>
      <c r="H6" s="96">
        <v>4431</v>
      </c>
      <c r="I6" s="59">
        <v>7</v>
      </c>
      <c r="J6" s="101"/>
      <c r="K6" s="10"/>
      <c r="L6" s="94"/>
      <c r="M6" s="94"/>
      <c r="N6" s="94">
        <v>19.2</v>
      </c>
      <c r="O6" s="94">
        <v>19.2</v>
      </c>
      <c r="P6" s="94">
        <v>3125</v>
      </c>
      <c r="Q6" s="94"/>
      <c r="R6" s="94"/>
      <c r="S6" s="94">
        <v>93</v>
      </c>
      <c r="T6" s="94"/>
      <c r="U6" s="10"/>
      <c r="V6" s="70"/>
      <c r="W6" s="35" t="s">
        <v>119</v>
      </c>
      <c r="X6" s="69" t="s">
        <v>120</v>
      </c>
      <c r="Y6" s="35" t="s">
        <v>121</v>
      </c>
      <c r="Z6" s="65"/>
      <c r="AA6" s="10"/>
      <c r="AB6" s="35" t="s">
        <v>119</v>
      </c>
      <c r="AC6" s="10"/>
      <c r="AD6" s="10"/>
      <c r="AE6" s="10"/>
      <c r="AF6" s="66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1"/>
    </row>
    <row r="7" spans="1:49" s="90" customFormat="1" ht="20" x14ac:dyDescent="0.25">
      <c r="B7" s="35" t="s">
        <v>92</v>
      </c>
      <c r="C7" s="78" t="s">
        <v>590</v>
      </c>
      <c r="D7" s="63">
        <v>56</v>
      </c>
      <c r="E7" s="208">
        <f>System!$D$6</f>
        <v>0.98099999999999998</v>
      </c>
      <c r="F7" s="217">
        <f t="shared" si="1"/>
        <v>54.936</v>
      </c>
      <c r="G7" s="115">
        <f t="shared" si="0"/>
        <v>0.79500978473581219</v>
      </c>
      <c r="H7" s="154">
        <v>390</v>
      </c>
      <c r="I7" s="59">
        <v>8</v>
      </c>
      <c r="J7" s="101"/>
      <c r="K7" s="10"/>
      <c r="L7" s="94"/>
      <c r="M7" s="94"/>
      <c r="N7" s="94"/>
      <c r="O7" s="94"/>
      <c r="P7" s="94"/>
      <c r="Q7" s="94"/>
      <c r="R7" s="94"/>
      <c r="S7" s="94"/>
      <c r="T7" s="94"/>
      <c r="U7" s="10"/>
      <c r="V7" s="68" t="s">
        <v>129</v>
      </c>
      <c r="W7" s="35" t="s">
        <v>92</v>
      </c>
      <c r="X7" s="65"/>
      <c r="Y7" s="35" t="s">
        <v>80</v>
      </c>
      <c r="Z7" s="65"/>
      <c r="AA7" s="10"/>
      <c r="AB7" s="35" t="s">
        <v>92</v>
      </c>
      <c r="AC7" s="10"/>
      <c r="AD7" s="10"/>
      <c r="AE7" s="10"/>
      <c r="AF7" s="66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1"/>
    </row>
    <row r="8" spans="1:49" s="90" customFormat="1" ht="20" x14ac:dyDescent="0.25">
      <c r="B8" s="35" t="s">
        <v>93</v>
      </c>
      <c r="C8" s="78" t="s">
        <v>590</v>
      </c>
      <c r="D8" s="63">
        <v>84</v>
      </c>
      <c r="E8" s="208">
        <f>System!$D$6</f>
        <v>0.98099999999999998</v>
      </c>
      <c r="F8" s="217">
        <f t="shared" si="1"/>
        <v>82.403999999999996</v>
      </c>
      <c r="G8" s="115">
        <f t="shared" si="0"/>
        <v>0.86975429441182861</v>
      </c>
      <c r="H8" s="154">
        <v>640</v>
      </c>
      <c r="I8" s="59">
        <v>6</v>
      </c>
      <c r="J8" s="101"/>
      <c r="K8" s="10"/>
      <c r="L8" s="94"/>
      <c r="M8" s="94"/>
      <c r="N8" s="94"/>
      <c r="O8" s="94"/>
      <c r="P8" s="94"/>
      <c r="Q8" s="94"/>
      <c r="R8" s="94"/>
      <c r="S8" s="94"/>
      <c r="T8" s="94"/>
      <c r="U8" s="10"/>
      <c r="V8" s="68" t="s">
        <v>131</v>
      </c>
      <c r="W8" s="35" t="s">
        <v>93</v>
      </c>
      <c r="X8" s="65"/>
      <c r="Y8" s="35" t="s">
        <v>132</v>
      </c>
      <c r="Z8" s="69" t="s">
        <v>133</v>
      </c>
      <c r="AA8" s="10"/>
      <c r="AB8" s="35" t="s">
        <v>93</v>
      </c>
      <c r="AC8" s="10"/>
      <c r="AD8" s="10"/>
      <c r="AE8" s="10"/>
      <c r="AF8" s="66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1" t="s">
        <v>134</v>
      </c>
    </row>
    <row r="9" spans="1:49" s="90" customFormat="1" ht="20" x14ac:dyDescent="0.25">
      <c r="B9" s="35" t="s">
        <v>94</v>
      </c>
      <c r="C9" s="78" t="s">
        <v>590</v>
      </c>
      <c r="D9" s="63">
        <v>33</v>
      </c>
      <c r="E9" s="208">
        <f>System!$D$6</f>
        <v>0.98099999999999998</v>
      </c>
      <c r="F9" s="217">
        <f t="shared" si="1"/>
        <v>32.372999999999998</v>
      </c>
      <c r="G9" s="115">
        <f t="shared" si="0"/>
        <v>0.80600525806005263</v>
      </c>
      <c r="H9" s="127">
        <v>233</v>
      </c>
      <c r="I9" s="59">
        <v>16</v>
      </c>
      <c r="J9" s="101"/>
      <c r="K9" s="10"/>
      <c r="L9" s="94"/>
      <c r="M9" s="94"/>
      <c r="N9" s="94"/>
      <c r="O9" s="94"/>
      <c r="P9" s="94"/>
      <c r="Q9" s="94"/>
      <c r="R9" s="94"/>
      <c r="S9" s="94"/>
      <c r="T9" s="94"/>
      <c r="U9" s="10"/>
      <c r="V9" s="68"/>
      <c r="W9" s="35"/>
      <c r="X9" s="65"/>
      <c r="Y9" s="35"/>
      <c r="Z9" s="69"/>
      <c r="AA9" s="10"/>
      <c r="AB9" s="35"/>
      <c r="AC9" s="10"/>
      <c r="AD9" s="10"/>
      <c r="AE9" s="10"/>
      <c r="AF9" s="66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1"/>
    </row>
    <row r="10" spans="1:49" s="90" customFormat="1" ht="20" x14ac:dyDescent="0.25">
      <c r="B10" s="35" t="s">
        <v>97</v>
      </c>
      <c r="C10" s="78" t="s">
        <v>590</v>
      </c>
      <c r="D10" s="63">
        <v>165</v>
      </c>
      <c r="E10" s="208">
        <f>System!$D$6</f>
        <v>0.98099999999999998</v>
      </c>
      <c r="F10" s="217">
        <f t="shared" si="1"/>
        <v>161.86500000000001</v>
      </c>
      <c r="G10" s="115">
        <f t="shared" si="0"/>
        <v>0.70222775702227758</v>
      </c>
      <c r="H10" s="154">
        <v>1015</v>
      </c>
      <c r="I10" s="59">
        <v>6</v>
      </c>
      <c r="J10" s="101"/>
      <c r="K10" s="10"/>
      <c r="L10" s="94"/>
      <c r="M10" s="94"/>
      <c r="N10" s="94"/>
      <c r="O10" s="94"/>
      <c r="P10" s="94"/>
      <c r="Q10" s="94"/>
      <c r="R10" s="94"/>
      <c r="S10" s="94"/>
      <c r="T10" s="94"/>
      <c r="U10" s="10"/>
      <c r="V10" s="70"/>
      <c r="W10" s="35" t="s">
        <v>97</v>
      </c>
      <c r="X10" s="69" t="s">
        <v>127</v>
      </c>
      <c r="Y10" s="35" t="s">
        <v>92</v>
      </c>
      <c r="Z10" s="65"/>
      <c r="AA10" s="10"/>
      <c r="AB10" s="35" t="s">
        <v>97</v>
      </c>
      <c r="AC10" s="10"/>
      <c r="AD10" s="10"/>
      <c r="AE10" s="10"/>
      <c r="AF10" s="66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1"/>
    </row>
    <row r="11" spans="1:49" s="90" customFormat="1" ht="20" x14ac:dyDescent="0.25">
      <c r="B11" s="35" t="s">
        <v>98</v>
      </c>
      <c r="C11" s="78" t="s">
        <v>590</v>
      </c>
      <c r="D11" s="63">
        <v>68</v>
      </c>
      <c r="E11" s="208">
        <f>System!$D$6</f>
        <v>0.98099999999999998</v>
      </c>
      <c r="F11" s="217">
        <f t="shared" si="1"/>
        <v>66.707999999999998</v>
      </c>
      <c r="G11" s="115">
        <f t="shared" si="0"/>
        <v>0.8729519204942251</v>
      </c>
      <c r="H11" s="154">
        <v>520</v>
      </c>
      <c r="I11" s="59">
        <v>8</v>
      </c>
      <c r="J11" s="101"/>
      <c r="K11" s="10"/>
      <c r="L11" s="94"/>
      <c r="M11" s="94"/>
      <c r="N11" s="94"/>
      <c r="O11" s="94"/>
      <c r="P11" s="94"/>
      <c r="Q11" s="94"/>
      <c r="R11" s="94"/>
      <c r="S11" s="94"/>
      <c r="T11" s="94"/>
      <c r="U11" s="10"/>
      <c r="V11" s="68" t="s">
        <v>126</v>
      </c>
      <c r="W11" s="35" t="s">
        <v>98</v>
      </c>
      <c r="X11" s="65"/>
      <c r="Y11" s="35" t="s">
        <v>97</v>
      </c>
      <c r="Z11" s="69" t="s">
        <v>127</v>
      </c>
      <c r="AA11" s="10"/>
      <c r="AB11" s="35" t="s">
        <v>98</v>
      </c>
      <c r="AC11" s="10"/>
      <c r="AD11" s="10"/>
      <c r="AE11" s="10"/>
      <c r="AF11" s="66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1" t="s">
        <v>128</v>
      </c>
    </row>
    <row r="12" spans="1:49" s="90" customFormat="1" ht="20" x14ac:dyDescent="0.25">
      <c r="B12" s="35" t="s">
        <v>100</v>
      </c>
      <c r="C12" s="78" t="s">
        <v>590</v>
      </c>
      <c r="D12" s="63">
        <v>211</v>
      </c>
      <c r="E12" s="208">
        <f>System!$D$6</f>
        <v>0.98099999999999998</v>
      </c>
      <c r="F12" s="217">
        <f t="shared" si="1"/>
        <v>206.99099999999999</v>
      </c>
      <c r="G12" s="115">
        <f t="shared" si="0"/>
        <v>0.81153022138544439</v>
      </c>
      <c r="H12" s="218">
        <v>1500</v>
      </c>
      <c r="I12" s="59">
        <v>3</v>
      </c>
      <c r="J12" s="101"/>
      <c r="K12" s="10"/>
      <c r="L12" s="94"/>
      <c r="M12" s="94"/>
      <c r="N12" s="94"/>
      <c r="O12" s="94"/>
      <c r="P12" s="94"/>
      <c r="Q12" s="94"/>
      <c r="R12" s="94"/>
      <c r="S12" s="94"/>
      <c r="T12" s="94"/>
      <c r="U12" s="10"/>
      <c r="V12" s="70"/>
      <c r="W12" s="35" t="s">
        <v>111</v>
      </c>
      <c r="X12" s="69" t="s">
        <v>112</v>
      </c>
      <c r="Y12" s="35"/>
      <c r="Z12" s="65"/>
      <c r="AA12" s="10"/>
      <c r="AB12" s="35" t="s">
        <v>111</v>
      </c>
      <c r="AC12" s="10"/>
      <c r="AD12" s="10"/>
      <c r="AE12" s="10"/>
      <c r="AF12" s="66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1"/>
    </row>
    <row r="13" spans="1:49" s="90" customFormat="1" ht="20" x14ac:dyDescent="0.25">
      <c r="B13" s="35" t="s">
        <v>82</v>
      </c>
      <c r="C13" s="78" t="s">
        <v>152</v>
      </c>
      <c r="D13" s="63">
        <v>114</v>
      </c>
      <c r="E13" s="208">
        <f>System!$D$7</f>
        <v>0.98099999999999998</v>
      </c>
      <c r="F13" s="217">
        <f t="shared" si="1"/>
        <v>111.834</v>
      </c>
      <c r="G13" s="115">
        <f t="shared" si="0"/>
        <v>0.92625971320996559</v>
      </c>
      <c r="H13" s="154">
        <v>925</v>
      </c>
      <c r="I13" s="59">
        <v>6</v>
      </c>
      <c r="J13" s="101"/>
      <c r="K13" s="10"/>
      <c r="L13" s="94"/>
      <c r="M13" s="94"/>
      <c r="N13" s="94"/>
      <c r="O13" s="94"/>
      <c r="P13" s="94"/>
      <c r="Q13" s="94"/>
      <c r="R13" s="94"/>
      <c r="S13" s="94"/>
      <c r="T13" s="94"/>
      <c r="U13" s="10"/>
      <c r="V13" s="68" t="s">
        <v>113</v>
      </c>
      <c r="W13" s="35" t="s">
        <v>114</v>
      </c>
      <c r="X13" s="69" t="s">
        <v>115</v>
      </c>
      <c r="Y13" s="35" t="s">
        <v>116</v>
      </c>
      <c r="Z13" s="69" t="s">
        <v>117</v>
      </c>
      <c r="AA13" s="10"/>
      <c r="AB13" s="35" t="s">
        <v>114</v>
      </c>
      <c r="AC13" s="10"/>
      <c r="AD13" s="10"/>
      <c r="AE13" s="10"/>
      <c r="AF13" s="66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1"/>
    </row>
    <row r="14" spans="1:49" s="90" customFormat="1" ht="20" x14ac:dyDescent="0.25">
      <c r="B14" s="35" t="s">
        <v>86</v>
      </c>
      <c r="C14" s="78" t="s">
        <v>152</v>
      </c>
      <c r="D14" s="63">
        <v>287</v>
      </c>
      <c r="E14" s="208">
        <f>System!$D$7</f>
        <v>0.98099999999999998</v>
      </c>
      <c r="F14" s="217">
        <f t="shared" si="1"/>
        <v>281.54699999999997</v>
      </c>
      <c r="G14" s="115">
        <f t="shared" si="0"/>
        <v>0.71993381381954724</v>
      </c>
      <c r="H14" s="154">
        <v>1810</v>
      </c>
      <c r="I14" s="59">
        <v>7</v>
      </c>
      <c r="J14" s="101"/>
      <c r="K14" s="10"/>
      <c r="L14" s="94"/>
      <c r="M14" s="94"/>
      <c r="N14" s="94"/>
      <c r="O14" s="94"/>
      <c r="P14" s="94"/>
      <c r="Q14" s="94"/>
      <c r="R14" s="94"/>
      <c r="S14" s="94"/>
      <c r="T14" s="94"/>
      <c r="U14" s="10"/>
      <c r="V14" s="68" t="s">
        <v>118</v>
      </c>
      <c r="W14" s="35" t="s">
        <v>86</v>
      </c>
      <c r="X14" s="65"/>
      <c r="Y14" s="35" t="s">
        <v>119</v>
      </c>
      <c r="Z14" s="69" t="s">
        <v>120</v>
      </c>
      <c r="AA14" s="10"/>
      <c r="AB14" s="35" t="s">
        <v>86</v>
      </c>
      <c r="AC14" s="10"/>
      <c r="AD14" s="10"/>
      <c r="AE14" s="10"/>
      <c r="AF14" s="66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1"/>
    </row>
    <row r="15" spans="1:49" s="90" customFormat="1" ht="20" x14ac:dyDescent="0.25">
      <c r="B15" s="35" t="s">
        <v>87</v>
      </c>
      <c r="C15" s="78" t="s">
        <v>152</v>
      </c>
      <c r="D15" s="63">
        <v>1224</v>
      </c>
      <c r="E15" s="208">
        <f>System!$D$7</f>
        <v>0.98099999999999998</v>
      </c>
      <c r="F15" s="217">
        <f t="shared" si="1"/>
        <v>1200.7439999999999</v>
      </c>
      <c r="G15" s="115">
        <f t="shared" si="0"/>
        <v>0.66497299071835736</v>
      </c>
      <c r="H15" s="154">
        <v>7130</v>
      </c>
      <c r="I15" s="59">
        <v>12</v>
      </c>
      <c r="J15" s="101"/>
      <c r="K15" s="10"/>
      <c r="L15" s="94"/>
      <c r="M15" s="94"/>
      <c r="N15" s="94"/>
      <c r="O15" s="94"/>
      <c r="P15" s="94"/>
      <c r="Q15" s="94"/>
      <c r="R15" s="94"/>
      <c r="S15" s="94"/>
      <c r="T15" s="94"/>
      <c r="U15" s="10"/>
      <c r="V15" s="68" t="s">
        <v>122</v>
      </c>
      <c r="W15" s="35" t="s">
        <v>123</v>
      </c>
      <c r="X15" s="65"/>
      <c r="Y15" s="35" t="s">
        <v>91</v>
      </c>
      <c r="Z15" s="65"/>
      <c r="AA15" s="10"/>
      <c r="AB15" s="35" t="s">
        <v>123</v>
      </c>
      <c r="AC15" s="10"/>
      <c r="AD15" s="10"/>
      <c r="AE15" s="10"/>
      <c r="AF15" s="66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1"/>
    </row>
    <row r="16" spans="1:49" s="90" customFormat="1" ht="20" x14ac:dyDescent="0.25">
      <c r="B16" s="35" t="s">
        <v>90</v>
      </c>
      <c r="C16" s="78" t="s">
        <v>152</v>
      </c>
      <c r="D16" s="63">
        <v>1350</v>
      </c>
      <c r="E16" s="208">
        <f>System!$D$7</f>
        <v>0.98099999999999998</v>
      </c>
      <c r="F16" s="217">
        <f t="shared" si="1"/>
        <v>1324.35</v>
      </c>
      <c r="G16" s="115">
        <f t="shared" si="0"/>
        <v>0.64518856756299681</v>
      </c>
      <c r="H16" s="154">
        <v>7630</v>
      </c>
      <c r="I16" s="59">
        <v>10</v>
      </c>
      <c r="J16" s="101"/>
      <c r="K16" s="10"/>
      <c r="L16" s="94"/>
      <c r="M16" s="94"/>
      <c r="N16" s="94"/>
      <c r="O16" s="94"/>
      <c r="P16" s="94"/>
      <c r="Q16" s="94"/>
      <c r="R16" s="94"/>
      <c r="S16" s="94"/>
      <c r="T16" s="94"/>
      <c r="U16" s="10"/>
      <c r="V16" s="70"/>
      <c r="W16" s="35" t="s">
        <v>90</v>
      </c>
      <c r="X16" s="65"/>
      <c r="Y16" s="35" t="s">
        <v>125</v>
      </c>
      <c r="Z16" s="65"/>
      <c r="AA16" s="10"/>
      <c r="AB16" s="35" t="s">
        <v>90</v>
      </c>
      <c r="AC16" s="10"/>
      <c r="AD16" s="10"/>
      <c r="AE16" s="10"/>
      <c r="AF16" s="66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</row>
    <row r="17" spans="1:49" s="90" customFormat="1" ht="20" x14ac:dyDescent="0.25">
      <c r="B17" s="35" t="s">
        <v>91</v>
      </c>
      <c r="C17" s="78" t="s">
        <v>152</v>
      </c>
      <c r="D17" s="63">
        <v>980</v>
      </c>
      <c r="E17" s="208">
        <f>System!$D$7</f>
        <v>0.98099999999999998</v>
      </c>
      <c r="F17" s="217">
        <f t="shared" si="1"/>
        <v>961.38</v>
      </c>
      <c r="G17" s="115">
        <f t="shared" si="0"/>
        <v>0.70822849687820333</v>
      </c>
      <c r="H17" s="154">
        <v>6080</v>
      </c>
      <c r="I17" s="59">
        <v>10</v>
      </c>
      <c r="J17" s="101"/>
      <c r="K17" s="10"/>
      <c r="L17" s="94"/>
      <c r="M17" s="94"/>
      <c r="N17" s="94"/>
      <c r="O17" s="94"/>
      <c r="P17" s="94"/>
      <c r="Q17" s="94"/>
      <c r="R17" s="94"/>
      <c r="S17" s="94"/>
      <c r="T17" s="94"/>
      <c r="U17" s="10"/>
      <c r="V17" s="68" t="s">
        <v>124</v>
      </c>
      <c r="W17" s="35" t="s">
        <v>91</v>
      </c>
      <c r="X17" s="65"/>
      <c r="Y17" s="35" t="s">
        <v>90</v>
      </c>
      <c r="Z17" s="65"/>
      <c r="AA17" s="10"/>
      <c r="AB17" s="35" t="s">
        <v>91</v>
      </c>
      <c r="AC17" s="10"/>
      <c r="AD17" s="10"/>
      <c r="AE17" s="10"/>
      <c r="AF17" s="66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1"/>
    </row>
    <row r="18" spans="1:49" s="90" customFormat="1" ht="19" x14ac:dyDescent="0.2">
      <c r="B18" s="10"/>
      <c r="C18" s="10"/>
      <c r="D18" s="10"/>
      <c r="E18" s="10"/>
      <c r="F18" s="10"/>
      <c r="G18" s="10"/>
      <c r="H18" s="94"/>
      <c r="I18" s="10"/>
      <c r="J18" s="80"/>
      <c r="K18" s="10"/>
      <c r="L18" s="94"/>
      <c r="M18" s="94"/>
      <c r="N18" s="94"/>
      <c r="O18" s="94"/>
      <c r="P18" s="94"/>
      <c r="Q18" s="94"/>
      <c r="R18" s="94"/>
      <c r="S18" s="94"/>
      <c r="T18" s="9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66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s="3" customFormat="1" ht="19" x14ac:dyDescent="0.25">
      <c r="A19" s="42"/>
      <c r="B19" s="42"/>
      <c r="C19" s="42"/>
      <c r="D19" s="42"/>
      <c r="E19" s="210"/>
      <c r="F19" s="42"/>
      <c r="J19" s="8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</row>
    <row r="20" spans="1:49" s="3" customFormat="1" ht="19" x14ac:dyDescent="0.25">
      <c r="A20" s="60" t="s">
        <v>550</v>
      </c>
      <c r="B20" s="7"/>
      <c r="C20" s="38"/>
      <c r="D20" s="38"/>
      <c r="E20" s="38"/>
      <c r="F20" s="38"/>
      <c r="G20" s="38"/>
      <c r="H20" s="38"/>
      <c r="I20" s="38"/>
      <c r="J20" s="38"/>
      <c r="K20" s="210"/>
      <c r="L20" s="38"/>
      <c r="M20" s="210"/>
      <c r="N20" s="38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</row>
    <row r="21" spans="1:49" s="210" customFormat="1" ht="19" x14ac:dyDescent="0.25">
      <c r="A21" s="3" t="s">
        <v>973</v>
      </c>
    </row>
    <row r="22" spans="1:49" s="40" customFormat="1" ht="19" x14ac:dyDescent="0.25">
      <c r="A22" s="3" t="s">
        <v>974</v>
      </c>
      <c r="M22" s="3"/>
      <c r="U22" s="210"/>
    </row>
    <row r="23" spans="1:49" s="8" customFormat="1" ht="19" x14ac:dyDescent="0.25">
      <c r="A23" s="40"/>
      <c r="B23" s="210"/>
      <c r="C23" s="38"/>
      <c r="D23" s="38"/>
      <c r="E23" s="38"/>
      <c r="F23" s="38"/>
      <c r="G23" s="38"/>
      <c r="H23" s="38"/>
      <c r="I23" s="38"/>
      <c r="J23" s="38"/>
      <c r="K23" s="7"/>
      <c r="L23" s="38"/>
      <c r="M23" s="7"/>
      <c r="N23" s="38"/>
      <c r="O23" s="7"/>
      <c r="P23" s="210"/>
      <c r="Q23" s="210"/>
      <c r="R23" s="210"/>
      <c r="S23" s="210"/>
      <c r="T23" s="210"/>
      <c r="U23" s="210"/>
      <c r="V23" s="210"/>
      <c r="W23" s="210"/>
      <c r="X23" s="210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</row>
    <row r="24" spans="1:49" s="8" customFormat="1" ht="19" x14ac:dyDescent="0.25">
      <c r="A24" s="40"/>
      <c r="B24" s="42"/>
      <c r="C24" s="38"/>
      <c r="D24" s="42"/>
      <c r="E24" s="210"/>
      <c r="F24" s="42"/>
      <c r="G24" s="3"/>
      <c r="H24" s="3"/>
      <c r="I24" s="3"/>
      <c r="J24" s="212"/>
      <c r="K24" s="7"/>
      <c r="L24" s="38"/>
      <c r="M24" s="7"/>
      <c r="N24" s="38"/>
      <c r="O24" s="7"/>
      <c r="P24" s="42"/>
      <c r="Q24" s="42"/>
      <c r="R24" s="42"/>
      <c r="S24" s="42"/>
      <c r="T24" s="42"/>
      <c r="U24" s="42"/>
      <c r="V24" s="42"/>
      <c r="W24" s="42"/>
      <c r="X24" s="42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</row>
  </sheetData>
  <autoFilter ref="B3:AW3" xr:uid="{A1514F72-C4FC-0B46-9457-D3DD2CC57A34}">
    <sortState xmlns:xlrd2="http://schemas.microsoft.com/office/spreadsheetml/2017/richdata2" ref="B4:AW16">
      <sortCondition ref="C3:C1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D768-7F7C-E944-B34C-4D791436E4F3}">
  <sheetPr codeName="Sheet5"/>
  <dimension ref="A1:BQ17"/>
  <sheetViews>
    <sheetView workbookViewId="0">
      <pane xSplit="2" ySplit="3" topLeftCell="C4" activePane="bottomRight" state="frozen"/>
      <selection activeCell="G13" sqref="G13"/>
      <selection pane="topRight" activeCell="G13" sqref="G13"/>
      <selection pane="bottomLeft" activeCell="G13" sqref="G13"/>
      <selection pane="bottomRight" activeCell="G13" sqref="G13"/>
    </sheetView>
  </sheetViews>
  <sheetFormatPr baseColWidth="10" defaultRowHeight="16" x14ac:dyDescent="0.2"/>
  <cols>
    <col min="1" max="1" width="4.83203125" style="42" customWidth="1"/>
    <col min="2" max="2" width="52" style="42" customWidth="1"/>
    <col min="3" max="3" width="58.83203125" style="42" customWidth="1"/>
    <col min="4" max="4" width="25" style="42" customWidth="1"/>
    <col min="5" max="5" width="12.5" style="42" bestFit="1" customWidth="1"/>
    <col min="6" max="6" width="12.5" style="210" customWidth="1"/>
    <col min="7" max="7" width="12.83203125" style="42" customWidth="1"/>
    <col min="8" max="8" width="12.83203125" style="210" customWidth="1"/>
    <col min="9" max="9" width="18.83203125" style="42" customWidth="1"/>
    <col min="10" max="10" width="15" style="42" customWidth="1"/>
    <col min="11" max="11" width="12.6640625" style="42" bestFit="1" customWidth="1"/>
    <col min="12" max="12" width="4.83203125" style="42" customWidth="1"/>
    <col min="13" max="13" width="39.1640625" style="42" customWidth="1"/>
    <col min="14" max="14" width="23.1640625" style="42" customWidth="1"/>
    <col min="15" max="15" width="25.1640625" style="42" customWidth="1"/>
    <col min="16" max="17" width="25.1640625" style="210" customWidth="1"/>
    <col min="18" max="18" width="23.1640625" style="42" customWidth="1"/>
    <col min="19" max="19" width="22.33203125" style="42" bestFit="1" customWidth="1"/>
    <col min="20" max="20" width="22.33203125" style="210" customWidth="1"/>
    <col min="21" max="21" width="13.6640625" style="42" customWidth="1"/>
    <col min="22" max="22" width="18.33203125" style="42" customWidth="1"/>
    <col min="23" max="23" width="18.33203125" style="210" customWidth="1"/>
    <col min="24" max="24" width="17.83203125" style="42" customWidth="1"/>
    <col min="25" max="26" width="15" style="42" customWidth="1"/>
    <col min="27" max="27" width="15.83203125" style="42" customWidth="1"/>
    <col min="28" max="28" width="4.83203125" style="42" customWidth="1"/>
    <col min="29" max="29" width="15.6640625" style="42" bestFit="1" customWidth="1"/>
    <col min="30" max="31" width="15.6640625" style="42" customWidth="1"/>
    <col min="32" max="32" width="18.5" style="42" customWidth="1"/>
    <col min="33" max="35" width="15.6640625" style="42" customWidth="1"/>
    <col min="36" max="38" width="21.6640625" style="42" customWidth="1"/>
    <col min="39" max="39" width="16.6640625" style="42" customWidth="1"/>
    <col min="40" max="40" width="15.6640625" style="42" customWidth="1"/>
    <col min="41" max="41" width="19" style="42" customWidth="1"/>
    <col min="42" max="42" width="16.1640625" style="42" customWidth="1"/>
    <col min="43" max="44" width="16.1640625" style="210" customWidth="1"/>
    <col min="45" max="45" width="16.1640625" style="42" customWidth="1"/>
    <col min="46" max="46" width="17.5" style="42" customWidth="1"/>
    <col min="47" max="47" width="53.5" style="42" customWidth="1"/>
    <col min="48" max="48" width="13.33203125" style="42" customWidth="1"/>
    <col min="49" max="49" width="15.1640625" style="42" customWidth="1"/>
    <col min="50" max="51" width="8.6640625" style="42" bestFit="1" customWidth="1"/>
    <col min="52" max="52" width="13.33203125" style="42" customWidth="1"/>
    <col min="53" max="64" width="7.5" style="42" bestFit="1" customWidth="1"/>
    <col min="65" max="65" width="43.1640625" style="42" customWidth="1"/>
    <col min="66" max="16384" width="10.83203125" style="42"/>
  </cols>
  <sheetData>
    <row r="1" spans="1:65" s="3" customFormat="1" ht="21" x14ac:dyDescent="0.25">
      <c r="A1" s="12" t="s">
        <v>74</v>
      </c>
      <c r="B1" s="12" t="s">
        <v>170</v>
      </c>
      <c r="D1" s="12" t="s">
        <v>1004</v>
      </c>
      <c r="E1" s="16"/>
      <c r="F1" s="16"/>
      <c r="G1" s="16"/>
      <c r="H1" s="16"/>
      <c r="K1" s="5"/>
      <c r="L1" s="9"/>
      <c r="M1" s="12" t="s">
        <v>1005</v>
      </c>
      <c r="N1" s="243"/>
      <c r="O1" s="243"/>
      <c r="Y1" s="16"/>
      <c r="Z1" s="16"/>
      <c r="AC1" s="12" t="s">
        <v>1006</v>
      </c>
      <c r="AD1" s="93">
        <v>1.77E-2</v>
      </c>
      <c r="AE1" s="94">
        <v>1.05</v>
      </c>
      <c r="AF1" s="94"/>
      <c r="AG1" s="93">
        <v>0.05</v>
      </c>
      <c r="AH1" s="93">
        <v>7.0000000000000007E-2</v>
      </c>
      <c r="AI1" s="3">
        <v>70</v>
      </c>
    </row>
    <row r="2" spans="1:65" s="6" customFormat="1" ht="60" x14ac:dyDescent="0.2">
      <c r="B2" s="13" t="s">
        <v>172</v>
      </c>
      <c r="C2" s="13" t="s">
        <v>13</v>
      </c>
      <c r="D2" s="13" t="s">
        <v>608</v>
      </c>
      <c r="E2" s="13" t="s">
        <v>16</v>
      </c>
      <c r="F2" s="13"/>
      <c r="G2" s="13" t="s">
        <v>902</v>
      </c>
      <c r="H2" s="13"/>
      <c r="I2" s="13" t="s">
        <v>935</v>
      </c>
      <c r="J2" s="13" t="s">
        <v>173</v>
      </c>
      <c r="K2" s="13" t="s">
        <v>17</v>
      </c>
      <c r="L2" s="2"/>
      <c r="M2" s="13" t="s">
        <v>174</v>
      </c>
      <c r="N2" s="13" t="s">
        <v>936</v>
      </c>
      <c r="O2" s="13" t="s">
        <v>21</v>
      </c>
      <c r="P2" s="13" t="s">
        <v>14</v>
      </c>
      <c r="Q2" s="13" t="s">
        <v>15</v>
      </c>
      <c r="R2" s="13" t="s">
        <v>928</v>
      </c>
      <c r="S2" s="13" t="s">
        <v>892</v>
      </c>
      <c r="T2" s="13" t="s">
        <v>893</v>
      </c>
      <c r="U2" s="13" t="s">
        <v>891</v>
      </c>
      <c r="V2" s="13" t="s">
        <v>533</v>
      </c>
      <c r="W2" s="13" t="s">
        <v>608</v>
      </c>
      <c r="X2" s="13" t="s">
        <v>924</v>
      </c>
      <c r="Y2" s="13" t="s">
        <v>175</v>
      </c>
      <c r="Z2" s="13" t="s">
        <v>176</v>
      </c>
      <c r="AA2" s="13" t="s">
        <v>177</v>
      </c>
      <c r="AB2" s="10"/>
      <c r="AC2" s="13" t="s">
        <v>534</v>
      </c>
      <c r="AD2" s="13" t="s">
        <v>178</v>
      </c>
      <c r="AE2" s="13" t="s">
        <v>179</v>
      </c>
      <c r="AF2" s="13" t="s">
        <v>180</v>
      </c>
      <c r="AG2" s="13" t="s">
        <v>181</v>
      </c>
      <c r="AH2" s="13" t="s">
        <v>496</v>
      </c>
      <c r="AI2" s="13" t="s">
        <v>497</v>
      </c>
      <c r="AJ2" s="13" t="s">
        <v>594</v>
      </c>
      <c r="AK2" s="13" t="s">
        <v>605</v>
      </c>
      <c r="AL2" s="13" t="s">
        <v>606</v>
      </c>
      <c r="AM2" s="13" t="s">
        <v>182</v>
      </c>
      <c r="AN2" s="13" t="s">
        <v>595</v>
      </c>
      <c r="AO2" s="13" t="s">
        <v>596</v>
      </c>
      <c r="AP2" s="13" t="s">
        <v>183</v>
      </c>
      <c r="AQ2" s="91" t="s">
        <v>184</v>
      </c>
      <c r="AR2" s="91" t="s">
        <v>937</v>
      </c>
      <c r="AS2" s="13" t="s">
        <v>185</v>
      </c>
      <c r="AT2" s="13" t="s">
        <v>186</v>
      </c>
      <c r="AU2" s="13" t="s">
        <v>30</v>
      </c>
    </row>
    <row r="3" spans="1:65" s="4" customFormat="1" ht="20" x14ac:dyDescent="0.2">
      <c r="B3" s="10"/>
      <c r="C3" s="10"/>
      <c r="D3" s="10"/>
      <c r="E3" s="10" t="s">
        <v>19</v>
      </c>
      <c r="F3" s="10"/>
      <c r="G3" s="10" t="s">
        <v>19</v>
      </c>
      <c r="H3" s="10"/>
      <c r="I3" s="10" t="s">
        <v>20</v>
      </c>
      <c r="J3" s="10"/>
      <c r="K3" s="10"/>
      <c r="L3" s="95"/>
      <c r="M3" s="10"/>
      <c r="N3" s="10"/>
      <c r="O3" s="10"/>
      <c r="P3" s="10" t="s">
        <v>205</v>
      </c>
      <c r="Q3" s="10" t="s">
        <v>205</v>
      </c>
      <c r="R3" s="10"/>
      <c r="S3" s="10"/>
      <c r="T3" s="10"/>
      <c r="U3" s="10"/>
      <c r="V3" s="10" t="s">
        <v>51</v>
      </c>
      <c r="W3" s="10"/>
      <c r="X3" s="10"/>
      <c r="Y3" s="10" t="s">
        <v>19</v>
      </c>
      <c r="Z3" s="10" t="s">
        <v>19</v>
      </c>
      <c r="AA3" s="10" t="s">
        <v>20</v>
      </c>
      <c r="AB3" s="10"/>
      <c r="AC3" s="10" t="s">
        <v>193</v>
      </c>
      <c r="AD3" s="10" t="s">
        <v>187</v>
      </c>
      <c r="AE3" s="10" t="s">
        <v>187</v>
      </c>
      <c r="AF3" s="10" t="s">
        <v>187</v>
      </c>
      <c r="AG3" s="10" t="s">
        <v>187</v>
      </c>
      <c r="AH3" s="10" t="s">
        <v>187</v>
      </c>
      <c r="AI3" s="10" t="s">
        <v>498</v>
      </c>
      <c r="AJ3" s="10" t="s">
        <v>188</v>
      </c>
      <c r="AK3" s="10" t="s">
        <v>144</v>
      </c>
      <c r="AL3" s="10" t="s">
        <v>144</v>
      </c>
      <c r="AM3" s="10" t="s">
        <v>212</v>
      </c>
      <c r="AN3" s="10" t="s">
        <v>23</v>
      </c>
      <c r="AO3" s="10" t="s">
        <v>23</v>
      </c>
      <c r="AP3" s="10" t="s">
        <v>23</v>
      </c>
      <c r="AQ3" s="10" t="s">
        <v>188</v>
      </c>
      <c r="AR3" s="10" t="s">
        <v>23</v>
      </c>
      <c r="AS3" s="10" t="s">
        <v>189</v>
      </c>
      <c r="AT3" s="10" t="s">
        <v>189</v>
      </c>
      <c r="AU3" s="10"/>
    </row>
    <row r="4" spans="1:65" s="3" customFormat="1" ht="20" x14ac:dyDescent="0.25">
      <c r="B4" s="99" t="s">
        <v>597</v>
      </c>
      <c r="C4" s="11" t="s">
        <v>75</v>
      </c>
      <c r="D4" s="78" t="s">
        <v>152</v>
      </c>
      <c r="E4" s="63">
        <v>286</v>
      </c>
      <c r="F4" s="63"/>
      <c r="G4" s="63">
        <v>286</v>
      </c>
      <c r="H4" s="63"/>
      <c r="I4" s="126">
        <v>2176</v>
      </c>
      <c r="J4" s="65">
        <v>7</v>
      </c>
      <c r="K4" s="78">
        <v>1961</v>
      </c>
      <c r="L4" s="42"/>
      <c r="M4" s="99" t="s">
        <v>593</v>
      </c>
      <c r="N4" s="99" t="s">
        <v>603</v>
      </c>
      <c r="O4" s="35" t="s">
        <v>83</v>
      </c>
      <c r="P4" s="85">
        <v>56.040452799999997</v>
      </c>
      <c r="Q4" s="85">
        <v>-96.537881299999995</v>
      </c>
      <c r="R4" s="35" t="s">
        <v>604</v>
      </c>
      <c r="S4" s="111" t="s">
        <v>754</v>
      </c>
      <c r="T4" s="107" t="s">
        <v>819</v>
      </c>
      <c r="U4" s="108">
        <v>138</v>
      </c>
      <c r="V4" s="89">
        <v>25</v>
      </c>
      <c r="W4" s="78" t="s">
        <v>152</v>
      </c>
      <c r="X4" s="35" t="s">
        <v>591</v>
      </c>
      <c r="Y4" s="182">
        <v>178</v>
      </c>
      <c r="Z4" s="182">
        <v>178</v>
      </c>
      <c r="AA4" s="150">
        <v>0</v>
      </c>
      <c r="AB4" s="100"/>
      <c r="AC4" s="150">
        <v>300</v>
      </c>
      <c r="AD4" s="94">
        <f t="shared" ref="AD4" si="0">AD$1*AC4</f>
        <v>5.3100000000000005</v>
      </c>
      <c r="AE4" s="94">
        <f>((AC4+AD4)/AS4)*(AE$1+AE$1^2+AE$1^3+AE$1^4)-(AC4+AD4)</f>
        <v>40.120119234375011</v>
      </c>
      <c r="AF4" s="94">
        <f t="shared" ref="AF4" si="1">SUM(AC4:AE4)</f>
        <v>345.43011923437501</v>
      </c>
      <c r="AG4" s="94">
        <f t="shared" ref="AG4" si="2">0.9539*AF4^0.6784</f>
        <v>50.295185025537641</v>
      </c>
      <c r="AH4" s="94">
        <f t="shared" ref="AH4" si="3">SUM(AF4:AG4)</f>
        <v>395.72530425991266</v>
      </c>
      <c r="AI4" s="94">
        <f t="shared" ref="AI4" si="4">(AH4*AH$1)/(1-(1+AH$1)^-AI$1)</f>
        <v>27.945933881684397</v>
      </c>
      <c r="AJ4" s="94">
        <f>AI4*1000/Y4</f>
        <v>156.99962854878873</v>
      </c>
      <c r="AK4" s="94">
        <f>466484*(E4^-0.542)*E4</f>
        <v>6220888.1883348888</v>
      </c>
      <c r="AL4" s="94">
        <f>466484*((E4+Y4)^-0.542)*(E4+Y4)</f>
        <v>7764294.2795494488</v>
      </c>
      <c r="AM4" s="94">
        <f>(AL4-AK4)/Y4</f>
        <v>8670.8207371604494</v>
      </c>
      <c r="AN4" s="94">
        <f>14.07*(Y4^-0.383)</f>
        <v>1.9336739054553815</v>
      </c>
      <c r="AO4" s="119">
        <v>3.11</v>
      </c>
      <c r="AP4" s="94">
        <f>SUM(AN4:AO4)</f>
        <v>5.0436739054553819</v>
      </c>
      <c r="AQ4" s="94"/>
      <c r="AR4" s="94"/>
      <c r="AS4" s="59">
        <v>4</v>
      </c>
      <c r="AT4" s="59">
        <v>6</v>
      </c>
      <c r="AU4" s="11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</row>
    <row r="5" spans="1:65" s="84" customFormat="1" ht="19" x14ac:dyDescent="0.2">
      <c r="B5" s="99"/>
      <c r="C5" s="99"/>
      <c r="D5" s="101"/>
      <c r="E5" s="100"/>
      <c r="F5" s="100"/>
      <c r="G5" s="100"/>
      <c r="H5" s="100"/>
      <c r="I5" s="100"/>
      <c r="J5" s="65"/>
      <c r="K5" s="101"/>
      <c r="L5" s="81"/>
      <c r="M5" s="99"/>
      <c r="N5" s="99"/>
      <c r="O5" s="99"/>
      <c r="P5" s="99"/>
      <c r="Q5" s="99"/>
      <c r="R5" s="99"/>
      <c r="S5" s="99"/>
      <c r="T5" s="99"/>
      <c r="U5" s="100"/>
      <c r="V5" s="99"/>
      <c r="W5" s="99"/>
      <c r="X5" s="101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2"/>
      <c r="AQ5" s="102"/>
      <c r="AR5" s="102"/>
      <c r="AS5" s="102"/>
      <c r="AT5" s="99"/>
      <c r="AU5" s="11"/>
    </row>
    <row r="6" spans="1:65" s="3" customFormat="1" ht="19" x14ac:dyDescent="0.25">
      <c r="B6" s="97"/>
      <c r="C6" s="97"/>
      <c r="D6" s="98"/>
      <c r="E6" s="32"/>
      <c r="F6" s="32"/>
      <c r="G6" s="32"/>
      <c r="H6" s="32"/>
      <c r="K6" s="31"/>
      <c r="L6" s="9"/>
      <c r="O6" s="97"/>
      <c r="P6" s="97"/>
      <c r="Q6" s="97"/>
      <c r="V6" s="97"/>
      <c r="W6" s="97"/>
      <c r="X6" s="98"/>
    </row>
    <row r="7" spans="1:65" s="210" customFormat="1" ht="19" x14ac:dyDescent="0.2">
      <c r="A7" s="60" t="s">
        <v>550</v>
      </c>
    </row>
    <row r="8" spans="1:65" s="210" customFormat="1" ht="19" x14ac:dyDescent="0.25">
      <c r="A8" s="3" t="s">
        <v>975</v>
      </c>
    </row>
    <row r="9" spans="1:65" s="210" customFormat="1" ht="19" x14ac:dyDescent="0.25">
      <c r="A9" s="3" t="s">
        <v>600</v>
      </c>
    </row>
    <row r="10" spans="1:65" s="3" customFormat="1" ht="19" x14ac:dyDescent="0.25">
      <c r="A10" s="3" t="s">
        <v>607</v>
      </c>
      <c r="B10" s="8"/>
      <c r="C10" s="8"/>
      <c r="D10" s="8"/>
      <c r="E10" s="8"/>
      <c r="F10" s="8"/>
      <c r="G10" s="8"/>
      <c r="H10" s="8"/>
      <c r="I10" s="8"/>
      <c r="J10" s="8"/>
      <c r="K10" s="29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8"/>
      <c r="AA10" s="88"/>
      <c r="AB10" s="88"/>
      <c r="AC10" s="88"/>
      <c r="AD10" s="88"/>
      <c r="AE10" s="88"/>
      <c r="AF10" s="88"/>
      <c r="AG10" s="88"/>
      <c r="AH10" s="210"/>
      <c r="AI10" s="210"/>
      <c r="AJ10" s="210"/>
      <c r="AK10" s="210"/>
      <c r="AL10" s="210"/>
      <c r="AM10" s="210"/>
      <c r="AN10" s="210"/>
      <c r="AO10" s="210"/>
      <c r="AP10" s="8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65" s="3" customFormat="1" ht="19" x14ac:dyDescent="0.25">
      <c r="A11" s="3" t="s">
        <v>535</v>
      </c>
      <c r="B11" s="210"/>
      <c r="C11" s="210"/>
      <c r="D11" s="5"/>
      <c r="E11" s="8"/>
      <c r="F11" s="8"/>
      <c r="M11" s="210"/>
      <c r="N11" s="210"/>
      <c r="R11" s="5"/>
      <c r="V11" s="210"/>
      <c r="W11" s="210"/>
      <c r="X11" s="5"/>
      <c r="Y11" s="210"/>
      <c r="Z11" s="210"/>
      <c r="AA11" s="210"/>
      <c r="AB11" s="210"/>
      <c r="AC11" s="210"/>
      <c r="AD11" s="210"/>
    </row>
    <row r="12" spans="1:65" s="3" customFormat="1" ht="19" x14ac:dyDescent="0.25">
      <c r="A12" s="3" t="s">
        <v>598</v>
      </c>
      <c r="B12" s="210"/>
      <c r="C12" s="210"/>
      <c r="D12" s="5"/>
      <c r="L12" s="210"/>
      <c r="M12" s="210"/>
      <c r="N12" s="210"/>
      <c r="R12" s="8"/>
      <c r="V12" s="210"/>
      <c r="W12" s="210"/>
      <c r="X12" s="8"/>
      <c r="Y12" s="210"/>
      <c r="Z12" s="210"/>
      <c r="AA12" s="210"/>
      <c r="AB12" s="210"/>
      <c r="AH12" s="210"/>
      <c r="AI12" s="210"/>
      <c r="AJ12" s="210"/>
      <c r="AK12" s="210"/>
      <c r="AL12" s="210"/>
      <c r="AM12" s="210"/>
      <c r="AN12" s="210"/>
      <c r="AO12" s="210"/>
    </row>
    <row r="13" spans="1:65" s="3" customFormat="1" ht="19" x14ac:dyDescent="0.25">
      <c r="A13" s="3" t="s">
        <v>190</v>
      </c>
      <c r="B13" s="210"/>
      <c r="I13" s="210"/>
      <c r="J13" s="210"/>
      <c r="K13" s="15"/>
      <c r="L13" s="210"/>
      <c r="M13" s="210"/>
      <c r="N13" s="210"/>
      <c r="Y13" s="210"/>
      <c r="Z13" s="210"/>
    </row>
    <row r="14" spans="1:65" s="3" customFormat="1" ht="19" x14ac:dyDescent="0.25">
      <c r="A14" s="3" t="s">
        <v>599</v>
      </c>
      <c r="B14" s="210"/>
      <c r="C14" s="210"/>
      <c r="D14" s="5"/>
      <c r="E14" s="8"/>
      <c r="F14" s="8"/>
      <c r="M14" s="210"/>
      <c r="N14" s="210"/>
      <c r="R14" s="5"/>
      <c r="V14" s="210"/>
      <c r="W14" s="210"/>
      <c r="X14" s="5"/>
      <c r="Y14" s="210"/>
      <c r="Z14" s="210"/>
      <c r="AA14" s="210"/>
      <c r="AB14" s="210"/>
      <c r="AC14" s="210"/>
      <c r="AK14" s="210"/>
    </row>
    <row r="15" spans="1:65" s="3" customFormat="1" ht="19" x14ac:dyDescent="0.25">
      <c r="A15" s="3" t="s">
        <v>601</v>
      </c>
      <c r="B15" s="210"/>
      <c r="I15" s="210"/>
      <c r="J15" s="210"/>
      <c r="K15" s="15"/>
      <c r="L15" s="210"/>
      <c r="M15" s="210"/>
      <c r="N15" s="210"/>
      <c r="Y15" s="210"/>
      <c r="Z15" s="210"/>
    </row>
    <row r="16" spans="1:65" s="3" customFormat="1" ht="19" x14ac:dyDescent="0.25">
      <c r="A16" s="3" t="s">
        <v>602</v>
      </c>
      <c r="B16" s="210"/>
      <c r="I16" s="210"/>
      <c r="J16" s="210"/>
      <c r="K16" s="15"/>
      <c r="L16" s="210"/>
      <c r="M16" s="210"/>
      <c r="N16" s="210"/>
      <c r="Y16" s="210"/>
      <c r="Z16" s="210"/>
    </row>
    <row r="17" spans="1:69" s="3" customFormat="1" ht="19" x14ac:dyDescent="0.25">
      <c r="A17" s="3" t="s">
        <v>553</v>
      </c>
      <c r="E17" s="5"/>
      <c r="F17" s="5"/>
      <c r="G17" s="8"/>
      <c r="H17" s="8"/>
      <c r="J17" s="210"/>
      <c r="R17" s="15"/>
      <c r="V17" s="210"/>
      <c r="W17" s="210"/>
      <c r="X17" s="15"/>
      <c r="Y17" s="210"/>
      <c r="Z17" s="210"/>
      <c r="AA17" s="210"/>
      <c r="AB17" s="210"/>
      <c r="AH17" s="86"/>
      <c r="AI17" s="210"/>
      <c r="AJ17" s="210"/>
      <c r="AK17" s="210"/>
      <c r="AL17" s="210"/>
      <c r="AM17" s="210"/>
      <c r="AN17" s="210"/>
      <c r="AO17" s="18"/>
      <c r="AP17" s="210"/>
      <c r="AQ17" s="210"/>
      <c r="AW17" s="86"/>
      <c r="AX17" s="210"/>
      <c r="AY17" s="210"/>
      <c r="AZ17" s="210"/>
      <c r="BA17" s="210"/>
      <c r="BB17" s="18"/>
      <c r="BC17" s="210"/>
      <c r="BD17" s="210"/>
      <c r="BJ17" s="86"/>
      <c r="BK17" s="210"/>
      <c r="BL17" s="210"/>
      <c r="BM17" s="210"/>
      <c r="BN17" s="210"/>
      <c r="BO17" s="18"/>
      <c r="BP17" s="210"/>
      <c r="BQ17" s="210"/>
    </row>
  </sheetData>
  <autoFilter ref="B3:AT3" xr:uid="{3DA92697-706D-7343-A89D-B511A14B569E}">
    <sortState xmlns:xlrd2="http://schemas.microsoft.com/office/spreadsheetml/2017/richdata2" ref="B4:AH5">
      <sortCondition ref="B3:B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README</vt:lpstr>
      <vt:lpstr>MB-Sources</vt:lpstr>
      <vt:lpstr>Generation</vt:lpstr>
      <vt:lpstr>Storage</vt:lpstr>
      <vt:lpstr>Transmission</vt:lpstr>
      <vt:lpstr>Nodes</vt:lpstr>
      <vt:lpstr>BLANK</vt:lpstr>
      <vt:lpstr>HydroExisting</vt:lpstr>
      <vt:lpstr>HydroRenewals</vt:lpstr>
      <vt:lpstr>HydroGreenfield</vt:lpstr>
      <vt:lpstr>HydroPS</vt:lpstr>
      <vt:lpstr>Distribution</vt:lpstr>
      <vt:lpstr>System</vt:lpstr>
      <vt:lpstr>HGWh</vt:lpstr>
      <vt:lpstr>HMW</vt:lpstr>
      <vt:lpstr>FGWh</vt:lpstr>
      <vt:lpstr>FMW</vt:lpstr>
      <vt:lpstr>Hourly</vt:lpstr>
      <vt:lpstr>Inputs</vt:lpstr>
      <vt:lpstr>Generation!_FilterDatabase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Collins</dc:creator>
  <cp:lastModifiedBy>Richard Hendriks</cp:lastModifiedBy>
  <cp:lastPrinted>2019-06-10T21:56:38Z</cp:lastPrinted>
  <dcterms:created xsi:type="dcterms:W3CDTF">2018-03-01T23:28:31Z</dcterms:created>
  <dcterms:modified xsi:type="dcterms:W3CDTF">2021-08-16T17:21:12Z</dcterms:modified>
</cp:coreProperties>
</file>