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home/Files/UoT-PhD/Research/00-CODERS/210813-Update/"/>
    </mc:Choice>
  </mc:AlternateContent>
  <xr:revisionPtr revIDLastSave="0" documentId="13_ncr:1_{AE45751F-013E-7E46-A8A6-F154D8284C3D}" xr6:coauthVersionLast="47" xr6:coauthVersionMax="47" xr10:uidLastSave="{00000000-0000-0000-0000-000000000000}"/>
  <bookViews>
    <workbookView xWindow="28800" yWindow="500" windowWidth="46040" windowHeight="18420" activeTab="3" xr2:uid="{00000000-000D-0000-FFFF-FFFF00000000}"/>
  </bookViews>
  <sheets>
    <sheet name="README" sheetId="41" r:id="rId1"/>
    <sheet name="SK-Sources" sheetId="46" r:id="rId2"/>
    <sheet name="Generation" sheetId="25" r:id="rId3"/>
    <sheet name="Storage" sheetId="49" r:id="rId4"/>
    <sheet name="Transmission" sheetId="27" r:id="rId5"/>
    <sheet name="Nodes" sheetId="45" r:id="rId6"/>
    <sheet name="BLANK" sheetId="51" r:id="rId7"/>
    <sheet name="HydroExisting" sheetId="33" r:id="rId8"/>
    <sheet name="HydroRenewals" sheetId="34" r:id="rId9"/>
    <sheet name="HydroGreenfield" sheetId="35" r:id="rId10"/>
    <sheet name="HydroPS" sheetId="39" r:id="rId11"/>
    <sheet name="Distribution" sheetId="50" r:id="rId12"/>
    <sheet name="System" sheetId="30" r:id="rId13"/>
    <sheet name="HGWh" sheetId="37" r:id="rId14"/>
    <sheet name="HMW" sheetId="38" r:id="rId15"/>
    <sheet name="FGWh" sheetId="28" r:id="rId16"/>
    <sheet name="FMW" sheetId="52" r:id="rId17"/>
    <sheet name="Hourly" sheetId="42" r:id="rId18"/>
    <sheet name="Inputs" sheetId="43" r:id="rId19"/>
  </sheets>
  <externalReferences>
    <externalReference r:id="rId20"/>
  </externalReferences>
  <definedNames>
    <definedName name="_xlnm._FilterDatabase" localSheetId="11" hidden="1">Distribution!$B$3:$Q$3</definedName>
    <definedName name="_xlnm._FilterDatabase" localSheetId="2" hidden="1">Generation!$B$3:$Z$3</definedName>
    <definedName name="_xlnm._FilterDatabase" localSheetId="7" hidden="1">HydroExisting!$B$3:$AW$3</definedName>
    <definedName name="_xlnm._FilterDatabase" localSheetId="9" hidden="1">HydroGreenfield!$B$3:$AM$3</definedName>
    <definedName name="_xlnm._FilterDatabase" localSheetId="10" hidden="1">HydroPS!$B$3:$AH$3</definedName>
    <definedName name="_xlnm._FilterDatabase" localSheetId="8" hidden="1">HydroRenewals!$B$3:$AK$3</definedName>
    <definedName name="_xlnm._FilterDatabase" localSheetId="1" hidden="1">'SK-Sources'!$B$3:$H$3</definedName>
    <definedName name="_xlnm._FilterDatabase" localSheetId="3" hidden="1">Storage!$B$3:$Y$3</definedName>
    <definedName name="_xlnm._FilterDatabase" localSheetId="4" hidden="1">Transmission!$B$3:$AA$3</definedName>
    <definedName name="code">#REF!</definedName>
    <definedName name="renumber">#REF!</definedName>
    <definedName name="rerank">#REF!</definedName>
    <definedName name="total">#REF!</definedName>
    <definedName name="user">#REF!</definedName>
    <definedName name="VRE">[1]lists!$B$3:$C$3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9" i="52" l="1"/>
  <c r="S9" i="52"/>
  <c r="R9" i="52"/>
  <c r="Q9" i="52"/>
  <c r="P9" i="52"/>
  <c r="O9" i="52"/>
  <c r="N9" i="52"/>
  <c r="M9" i="52"/>
  <c r="L9" i="52"/>
  <c r="K9" i="52"/>
  <c r="J9" i="52"/>
  <c r="I9" i="52"/>
  <c r="H9" i="52"/>
  <c r="G9" i="52"/>
  <c r="F9" i="52"/>
  <c r="E9" i="52"/>
  <c r="D9" i="52"/>
  <c r="AI5" i="52"/>
  <c r="AH5" i="52" s="1"/>
  <c r="T5" i="52"/>
  <c r="S5" i="52"/>
  <c r="R5" i="52"/>
  <c r="Q5" i="52"/>
  <c r="P5" i="52"/>
  <c r="O5" i="52"/>
  <c r="N5" i="52"/>
  <c r="M5" i="52"/>
  <c r="L5" i="52"/>
  <c r="K5" i="52"/>
  <c r="J5" i="52"/>
  <c r="I5" i="52"/>
  <c r="H5" i="52"/>
  <c r="G5" i="52"/>
  <c r="F5" i="52"/>
  <c r="E5" i="52"/>
  <c r="E2" i="52"/>
  <c r="F2" i="52" s="1"/>
  <c r="G2" i="52" s="1"/>
  <c r="H2" i="52" s="1"/>
  <c r="I2" i="52" s="1"/>
  <c r="J2" i="52" s="1"/>
  <c r="K2" i="52" s="1"/>
  <c r="L2" i="52" s="1"/>
  <c r="M2" i="52" s="1"/>
  <c r="N2" i="52" s="1"/>
  <c r="O2" i="52" s="1"/>
  <c r="P2" i="52" s="1"/>
  <c r="Q2" i="52" s="1"/>
  <c r="R2" i="52" s="1"/>
  <c r="S2" i="52" s="1"/>
  <c r="T2" i="52" s="1"/>
  <c r="E9" i="28"/>
  <c r="F9" i="28"/>
  <c r="G9" i="28"/>
  <c r="H9" i="28"/>
  <c r="I9" i="28"/>
  <c r="J9" i="28"/>
  <c r="K9" i="28"/>
  <c r="L9" i="28"/>
  <c r="M9" i="28"/>
  <c r="N9" i="28"/>
  <c r="O9" i="28"/>
  <c r="P9" i="28"/>
  <c r="Q9" i="28"/>
  <c r="R9" i="28"/>
  <c r="S9" i="28"/>
  <c r="T9" i="28"/>
  <c r="U9" i="28"/>
  <c r="V9" i="28"/>
  <c r="W9" i="28"/>
  <c r="X9" i="28"/>
  <c r="Y9" i="28"/>
  <c r="Z9" i="28"/>
  <c r="AA9" i="28"/>
  <c r="AB9" i="28"/>
  <c r="AC9" i="28"/>
  <c r="AD9" i="28"/>
  <c r="AE9" i="28"/>
  <c r="AF9" i="28"/>
  <c r="AG9" i="28"/>
  <c r="AH9" i="28"/>
  <c r="D9" i="28"/>
  <c r="AI5" i="28"/>
  <c r="X5" i="28" s="1"/>
  <c r="E2" i="28"/>
  <c r="F2" i="28" s="1"/>
  <c r="G2" i="28" s="1"/>
  <c r="H2" i="28" s="1"/>
  <c r="I2" i="28" s="1"/>
  <c r="J2" i="28" s="1"/>
  <c r="K2" i="28" s="1"/>
  <c r="L2" i="28" s="1"/>
  <c r="M2" i="28" s="1"/>
  <c r="N2" i="28" s="1"/>
  <c r="O2" i="28" s="1"/>
  <c r="P2" i="28" s="1"/>
  <c r="Q2" i="28" s="1"/>
  <c r="R2" i="28" s="1"/>
  <c r="S2" i="28" s="1"/>
  <c r="T2" i="28" s="1"/>
  <c r="N77" i="25"/>
  <c r="N8" i="25"/>
  <c r="N17" i="25"/>
  <c r="N40" i="25"/>
  <c r="N39" i="25"/>
  <c r="N26" i="25"/>
  <c r="N27" i="25"/>
  <c r="N81" i="25"/>
  <c r="N82" i="25"/>
  <c r="N83" i="25"/>
  <c r="N75" i="25"/>
  <c r="N76" i="25"/>
  <c r="N48" i="25"/>
  <c r="N49" i="25"/>
  <c r="N10" i="25"/>
  <c r="N30" i="25"/>
  <c r="N41" i="25"/>
  <c r="N42" i="25"/>
  <c r="N43" i="25"/>
  <c r="N11" i="25"/>
  <c r="N12" i="25"/>
  <c r="N13" i="25"/>
  <c r="N69" i="25"/>
  <c r="N70" i="25"/>
  <c r="N71" i="25"/>
  <c r="N64" i="25"/>
  <c r="N65" i="25"/>
  <c r="N66" i="25"/>
  <c r="N67" i="25"/>
  <c r="N68" i="25"/>
  <c r="N63" i="25"/>
  <c r="N62" i="25"/>
  <c r="N61" i="25"/>
  <c r="N60" i="25"/>
  <c r="N78" i="25"/>
  <c r="N79" i="25"/>
  <c r="N18" i="25"/>
  <c r="N19" i="25"/>
  <c r="N20" i="25"/>
  <c r="N21" i="25"/>
  <c r="N22" i="25"/>
  <c r="N23" i="25"/>
  <c r="N24" i="25"/>
  <c r="N25" i="25"/>
  <c r="N14" i="25"/>
  <c r="N15" i="25"/>
  <c r="N16" i="25"/>
  <c r="N9" i="25"/>
  <c r="N45" i="25"/>
  <c r="N46" i="25"/>
  <c r="N47" i="25"/>
  <c r="N38" i="25"/>
  <c r="N33" i="25"/>
  <c r="N34" i="25"/>
  <c r="N35" i="25"/>
  <c r="N36" i="25"/>
  <c r="N37" i="25"/>
  <c r="N32" i="25"/>
  <c r="N6" i="25"/>
  <c r="N50" i="25"/>
  <c r="N51" i="25"/>
  <c r="N53" i="25"/>
  <c r="N52" i="25"/>
  <c r="H81" i="27"/>
  <c r="H80" i="27"/>
  <c r="H79" i="27"/>
  <c r="H78" i="27"/>
  <c r="H77" i="27"/>
  <c r="H76" i="27"/>
  <c r="H75" i="27"/>
  <c r="H74" i="27"/>
  <c r="H73" i="27"/>
  <c r="H72" i="27"/>
  <c r="H71" i="27"/>
  <c r="H70" i="27"/>
  <c r="H69" i="27"/>
  <c r="H68" i="27"/>
  <c r="H67" i="27"/>
  <c r="H66" i="27"/>
  <c r="H65" i="27"/>
  <c r="H64" i="27"/>
  <c r="H63" i="27"/>
  <c r="H62" i="27"/>
  <c r="H61" i="27"/>
  <c r="H60" i="27"/>
  <c r="H59" i="27"/>
  <c r="H58" i="27"/>
  <c r="H57" i="27"/>
  <c r="H56" i="27"/>
  <c r="H55" i="27"/>
  <c r="H54" i="27"/>
  <c r="H53" i="27"/>
  <c r="H52" i="27"/>
  <c r="H51" i="27"/>
  <c r="H50" i="27"/>
  <c r="H49" i="27"/>
  <c r="H48" i="27"/>
  <c r="H47" i="27"/>
  <c r="H46" i="27"/>
  <c r="H45" i="27"/>
  <c r="H44" i="27"/>
  <c r="H43" i="27"/>
  <c r="H42" i="27"/>
  <c r="H41" i="27"/>
  <c r="H40" i="27"/>
  <c r="H39" i="27"/>
  <c r="H38" i="27"/>
  <c r="H37" i="27"/>
  <c r="H36" i="27"/>
  <c r="H35" i="27"/>
  <c r="H34" i="27"/>
  <c r="H33" i="27"/>
  <c r="H32" i="27"/>
  <c r="H31" i="27"/>
  <c r="H30" i="27"/>
  <c r="H29" i="27"/>
  <c r="H28" i="27"/>
  <c r="H27" i="27"/>
  <c r="H26" i="27"/>
  <c r="H25" i="27"/>
  <c r="H24" i="27"/>
  <c r="H23" i="27"/>
  <c r="H22" i="27"/>
  <c r="H21" i="27"/>
  <c r="H20" i="27"/>
  <c r="H19" i="27"/>
  <c r="H18" i="27"/>
  <c r="H17" i="27"/>
  <c r="H16" i="27"/>
  <c r="H15" i="27"/>
  <c r="H14" i="27"/>
  <c r="H13" i="27"/>
  <c r="H12" i="27"/>
  <c r="H11" i="27"/>
  <c r="H10" i="27"/>
  <c r="H9" i="27"/>
  <c r="H8" i="27"/>
  <c r="H7" i="27"/>
  <c r="H6" i="27"/>
  <c r="H5" i="27"/>
  <c r="H4" i="27"/>
  <c r="W5" i="52" l="1"/>
  <c r="AA5" i="52"/>
  <c r="X5" i="52"/>
  <c r="AB5" i="52"/>
  <c r="AF5" i="52"/>
  <c r="AE5" i="52"/>
  <c r="U5" i="52"/>
  <c r="U4" i="52" s="1"/>
  <c r="Y5" i="52"/>
  <c r="AC5" i="52"/>
  <c r="AG5" i="52"/>
  <c r="V5" i="52"/>
  <c r="Z5" i="52"/>
  <c r="AD5" i="52"/>
  <c r="U5" i="28"/>
  <c r="U4" i="28" s="1"/>
  <c r="V4" i="28" s="1"/>
  <c r="W4" i="28" s="1"/>
  <c r="X4" i="28" s="1"/>
  <c r="Y4" i="28" s="1"/>
  <c r="Z4" i="28" s="1"/>
  <c r="AA4" i="28" s="1"/>
  <c r="AB4" i="28" s="1"/>
  <c r="AC4" i="28" s="1"/>
  <c r="AD4" i="28" s="1"/>
  <c r="AE4" i="28" s="1"/>
  <c r="AF4" i="28" s="1"/>
  <c r="AG4" i="28" s="1"/>
  <c r="AH4" i="28" s="1"/>
  <c r="AA5" i="28"/>
  <c r="AH5" i="28"/>
  <c r="Z5" i="28"/>
  <c r="AE5" i="28"/>
  <c r="W5" i="28"/>
  <c r="AD5" i="28"/>
  <c r="V5" i="28"/>
  <c r="AG5" i="28"/>
  <c r="AC5" i="28"/>
  <c r="Y5" i="28"/>
  <c r="AF5" i="28"/>
  <c r="AB5" i="28"/>
  <c r="P17" i="43"/>
  <c r="S17" i="43" s="1"/>
  <c r="O17" i="43"/>
  <c r="Q17" i="43" s="1"/>
  <c r="T17" i="43" s="1"/>
  <c r="Q16" i="43"/>
  <c r="T16" i="43" s="1"/>
  <c r="P16" i="43"/>
  <c r="S16" i="43" s="1"/>
  <c r="O16" i="43"/>
  <c r="S15" i="43"/>
  <c r="Q15" i="43"/>
  <c r="T15" i="43" s="1"/>
  <c r="P15" i="43"/>
  <c r="O15" i="43"/>
  <c r="S14" i="43"/>
  <c r="P14" i="43"/>
  <c r="O14" i="43"/>
  <c r="Q14" i="43" s="1"/>
  <c r="T14" i="43" s="1"/>
  <c r="P13" i="43"/>
  <c r="S13" i="43" s="1"/>
  <c r="O13" i="43"/>
  <c r="Q13" i="43" s="1"/>
  <c r="T13" i="43" s="1"/>
  <c r="Q12" i="43"/>
  <c r="T12" i="43" s="1"/>
  <c r="P12" i="43"/>
  <c r="S12" i="43" s="1"/>
  <c r="O12" i="43"/>
  <c r="S11" i="43"/>
  <c r="Q11" i="43"/>
  <c r="T11" i="43" s="1"/>
  <c r="P11" i="43"/>
  <c r="O11" i="43"/>
  <c r="S10" i="43"/>
  <c r="P10" i="43"/>
  <c r="O10" i="43"/>
  <c r="Q10" i="43" s="1"/>
  <c r="T10" i="43" s="1"/>
  <c r="P9" i="43"/>
  <c r="S9" i="43" s="1"/>
  <c r="O9" i="43"/>
  <c r="Q9" i="43" s="1"/>
  <c r="T9" i="43" s="1"/>
  <c r="Q8" i="43"/>
  <c r="T8" i="43" s="1"/>
  <c r="P8" i="43"/>
  <c r="S8" i="43" s="1"/>
  <c r="O8" i="43"/>
  <c r="S7" i="43"/>
  <c r="Q7" i="43"/>
  <c r="T7" i="43" s="1"/>
  <c r="P7" i="43"/>
  <c r="O7" i="43"/>
  <c r="S6" i="43"/>
  <c r="P6" i="43"/>
  <c r="O6" i="43"/>
  <c r="Q6" i="43" s="1"/>
  <c r="T6" i="43" s="1"/>
  <c r="M4" i="38"/>
  <c r="M4" i="37"/>
  <c r="U9" i="52" l="1"/>
  <c r="V4" i="52"/>
  <c r="J22" i="27"/>
  <c r="J81" i="27"/>
  <c r="J80" i="27"/>
  <c r="J79" i="27"/>
  <c r="J78" i="27"/>
  <c r="J77" i="27"/>
  <c r="J76" i="27"/>
  <c r="J75" i="27"/>
  <c r="J74" i="27"/>
  <c r="J73" i="27"/>
  <c r="J72" i="27"/>
  <c r="J69" i="27"/>
  <c r="J68" i="27"/>
  <c r="J67" i="27"/>
  <c r="J66" i="27"/>
  <c r="J65" i="27"/>
  <c r="J64" i="27"/>
  <c r="J71" i="27"/>
  <c r="J70" i="27"/>
  <c r="J63" i="27"/>
  <c r="J46" i="27"/>
  <c r="J62" i="27"/>
  <c r="J61" i="27"/>
  <c r="J60" i="27"/>
  <c r="J59" i="27"/>
  <c r="J58" i="27"/>
  <c r="J57" i="27"/>
  <c r="J56" i="27"/>
  <c r="J55" i="27"/>
  <c r="J54" i="27"/>
  <c r="J52" i="27"/>
  <c r="J51" i="27"/>
  <c r="J50" i="27"/>
  <c r="J49" i="27"/>
  <c r="J53" i="27"/>
  <c r="J48" i="27"/>
  <c r="J47" i="27"/>
  <c r="J45" i="27"/>
  <c r="J44" i="27"/>
  <c r="J43" i="27"/>
  <c r="J42" i="27"/>
  <c r="J41" i="27"/>
  <c r="J40" i="27"/>
  <c r="J39" i="27"/>
  <c r="J38" i="27"/>
  <c r="J37" i="27"/>
  <c r="J36" i="27"/>
  <c r="J35" i="27"/>
  <c r="J34" i="27"/>
  <c r="J33" i="27"/>
  <c r="J32" i="27"/>
  <c r="J31" i="27"/>
  <c r="J30" i="27"/>
  <c r="J29" i="27"/>
  <c r="J27" i="27"/>
  <c r="J28" i="27"/>
  <c r="J26" i="27"/>
  <c r="J25" i="27"/>
  <c r="J24" i="27"/>
  <c r="J23" i="27"/>
  <c r="J21" i="27"/>
  <c r="J20" i="27"/>
  <c r="J19" i="27"/>
  <c r="J18" i="27"/>
  <c r="J17" i="27"/>
  <c r="J16" i="27"/>
  <c r="J15" i="27"/>
  <c r="J14" i="27"/>
  <c r="J13" i="27"/>
  <c r="J12" i="27"/>
  <c r="J11" i="27"/>
  <c r="J10" i="27"/>
  <c r="J9" i="27"/>
  <c r="J8" i="27"/>
  <c r="J7" i="27"/>
  <c r="J6" i="27"/>
  <c r="J5" i="27"/>
  <c r="J4" i="27"/>
  <c r="V9" i="52" l="1"/>
  <c r="W4" i="52"/>
  <c r="C23" i="43"/>
  <c r="C22" i="43"/>
  <c r="C21" i="43"/>
  <c r="C20" i="43"/>
  <c r="C19" i="43"/>
  <c r="C18" i="43"/>
  <c r="C17" i="43"/>
  <c r="C16" i="43"/>
  <c r="C15" i="43"/>
  <c r="C14" i="43"/>
  <c r="C13" i="43"/>
  <c r="D13" i="43" s="1"/>
  <c r="C12" i="43"/>
  <c r="D12" i="43" s="1"/>
  <c r="C11" i="43"/>
  <c r="C10" i="43"/>
  <c r="C9" i="43"/>
  <c r="D9" i="43" s="1"/>
  <c r="C8" i="43"/>
  <c r="D8" i="43" s="1"/>
  <c r="C7" i="43"/>
  <c r="D7" i="43" s="1"/>
  <c r="C6" i="43"/>
  <c r="G6" i="43"/>
  <c r="J6" i="43"/>
  <c r="K6" i="43"/>
  <c r="G7" i="43"/>
  <c r="J7" i="43"/>
  <c r="K7" i="43"/>
  <c r="G8" i="43"/>
  <c r="G9" i="43"/>
  <c r="J9" i="43"/>
  <c r="K9" i="43"/>
  <c r="G10" i="43"/>
  <c r="J10" i="43"/>
  <c r="K10" i="43"/>
  <c r="G11" i="43"/>
  <c r="J11" i="43"/>
  <c r="K11" i="43"/>
  <c r="G12" i="43"/>
  <c r="G13" i="43"/>
  <c r="J13" i="43"/>
  <c r="K13" i="43"/>
  <c r="G14" i="43"/>
  <c r="J14" i="43"/>
  <c r="K14" i="43"/>
  <c r="G15" i="43"/>
  <c r="G16" i="43"/>
  <c r="J16" i="43"/>
  <c r="K16" i="43"/>
  <c r="G17" i="43"/>
  <c r="J17" i="43"/>
  <c r="K17" i="43"/>
  <c r="G18" i="43"/>
  <c r="J18" i="43"/>
  <c r="K18" i="43"/>
  <c r="G19" i="43"/>
  <c r="G20" i="43"/>
  <c r="J20" i="43"/>
  <c r="K20" i="43"/>
  <c r="G21" i="43"/>
  <c r="G22" i="43"/>
  <c r="J22" i="43"/>
  <c r="K22" i="43"/>
  <c r="G23" i="43"/>
  <c r="M5" i="27"/>
  <c r="M6" i="27"/>
  <c r="M7" i="27"/>
  <c r="M8" i="27"/>
  <c r="M9" i="27"/>
  <c r="M10" i="27"/>
  <c r="M11" i="27"/>
  <c r="M12" i="27"/>
  <c r="M13" i="27"/>
  <c r="M14" i="27"/>
  <c r="M15" i="27"/>
  <c r="M16" i="27"/>
  <c r="M17" i="27"/>
  <c r="M18" i="27"/>
  <c r="M19" i="27"/>
  <c r="M20" i="27"/>
  <c r="M21" i="27"/>
  <c r="M23" i="27"/>
  <c r="M24" i="27"/>
  <c r="M25" i="27"/>
  <c r="M26" i="27"/>
  <c r="M28" i="27"/>
  <c r="M27" i="27"/>
  <c r="M29" i="27"/>
  <c r="M30" i="27"/>
  <c r="M31" i="27"/>
  <c r="M32" i="27"/>
  <c r="M33" i="27"/>
  <c r="M34" i="27"/>
  <c r="M35" i="27"/>
  <c r="M36" i="27"/>
  <c r="M37" i="27"/>
  <c r="M38" i="27"/>
  <c r="M39" i="27"/>
  <c r="M40" i="27"/>
  <c r="M41" i="27"/>
  <c r="M42" i="27"/>
  <c r="M43" i="27"/>
  <c r="M44" i="27"/>
  <c r="M45" i="27"/>
  <c r="M47" i="27"/>
  <c r="M48" i="27"/>
  <c r="M53" i="27"/>
  <c r="M49" i="27"/>
  <c r="M50" i="27"/>
  <c r="M51" i="27"/>
  <c r="M52" i="27"/>
  <c r="M54" i="27"/>
  <c r="M55" i="27"/>
  <c r="M56" i="27"/>
  <c r="M57" i="27"/>
  <c r="M58" i="27"/>
  <c r="M59" i="27"/>
  <c r="M60" i="27"/>
  <c r="M61" i="27"/>
  <c r="M62" i="27"/>
  <c r="M46" i="27"/>
  <c r="M63" i="27"/>
  <c r="M70" i="27"/>
  <c r="M71" i="27"/>
  <c r="M64" i="27"/>
  <c r="M65" i="27"/>
  <c r="M66" i="27"/>
  <c r="M67" i="27"/>
  <c r="M68" i="27"/>
  <c r="M69" i="27"/>
  <c r="M72" i="27"/>
  <c r="M73" i="27"/>
  <c r="M74" i="27"/>
  <c r="M75" i="27"/>
  <c r="M76" i="27"/>
  <c r="M77" i="27"/>
  <c r="M78" i="27"/>
  <c r="M79" i="27"/>
  <c r="M80" i="27"/>
  <c r="M81" i="27"/>
  <c r="M22" i="27"/>
  <c r="M4" i="27"/>
  <c r="X4" i="52" l="1"/>
  <c r="W9" i="52"/>
  <c r="S39" i="27"/>
  <c r="L11" i="27" a="1"/>
  <c r="L11" i="27" s="1"/>
  <c r="L17" i="27" a="1"/>
  <c r="L17" i="27" s="1"/>
  <c r="L25" i="27" a="1"/>
  <c r="L25" i="27" s="1"/>
  <c r="L29" i="27" a="1"/>
  <c r="L29" i="27" s="1"/>
  <c r="L42" i="27" a="1"/>
  <c r="L42" i="27" s="1"/>
  <c r="L48" i="27" a="1"/>
  <c r="L48" i="27" s="1"/>
  <c r="L59" i="27" a="1"/>
  <c r="L59" i="27" s="1"/>
  <c r="L46" i="27" a="1"/>
  <c r="L46" i="27" s="1"/>
  <c r="L66" i="27" a="1"/>
  <c r="L66" i="27" s="1"/>
  <c r="L79" i="27" a="1"/>
  <c r="L79" i="27" s="1"/>
  <c r="L6" i="27" a="1"/>
  <c r="L6" i="27" s="1"/>
  <c r="L14" i="27" a="1"/>
  <c r="L14" i="27" s="1"/>
  <c r="L24" i="27" a="1"/>
  <c r="L24" i="27" s="1"/>
  <c r="L34" i="27" a="1"/>
  <c r="L34" i="27" s="1"/>
  <c r="L40" i="27" a="1"/>
  <c r="L40" i="27" s="1"/>
  <c r="L50" i="27" a="1"/>
  <c r="L50" i="27" s="1"/>
  <c r="L55" i="27" a="1"/>
  <c r="L55" i="27" s="1"/>
  <c r="L69" i="27" a="1"/>
  <c r="L69" i="27" s="1"/>
  <c r="L22" i="27" a="1"/>
  <c r="L22" i="27" s="1"/>
  <c r="L12" i="27" a="1"/>
  <c r="L12" i="27" s="1"/>
  <c r="L18" i="27" a="1"/>
  <c r="L18" i="27" s="1"/>
  <c r="L26" i="27" a="1"/>
  <c r="L26" i="27" s="1"/>
  <c r="L31" i="27" a="1"/>
  <c r="L31" i="27" s="1"/>
  <c r="L43" i="27" a="1"/>
  <c r="L43" i="27" s="1"/>
  <c r="L56" i="27" a="1"/>
  <c r="L56" i="27" s="1"/>
  <c r="L60" i="27" a="1"/>
  <c r="L60" i="27" s="1"/>
  <c r="L63" i="27" a="1"/>
  <c r="L63" i="27" s="1"/>
  <c r="L68" i="27" a="1"/>
  <c r="L68" i="27" s="1"/>
  <c r="L80" i="27" a="1"/>
  <c r="L80" i="27" s="1"/>
  <c r="L7" i="27" a="1"/>
  <c r="L7" i="27" s="1"/>
  <c r="L15" i="27" a="1"/>
  <c r="L15" i="27" s="1"/>
  <c r="L30" i="27" a="1"/>
  <c r="L30" i="27" s="1"/>
  <c r="L36" i="27" a="1"/>
  <c r="L36" i="27" s="1"/>
  <c r="L45" i="27" a="1"/>
  <c r="L45" i="27" s="1"/>
  <c r="L51" i="27" a="1"/>
  <c r="L51" i="27" s="1"/>
  <c r="L64" i="27" a="1"/>
  <c r="L64" i="27" s="1"/>
  <c r="L72" i="27" a="1"/>
  <c r="L72" i="27" s="1"/>
  <c r="L4" i="27" a="1"/>
  <c r="L4" i="27" s="1"/>
  <c r="L13" i="27" a="1"/>
  <c r="L13" i="27" s="1"/>
  <c r="L20" i="27" a="1"/>
  <c r="L20" i="27" s="1"/>
  <c r="L28" i="27" a="1"/>
  <c r="L28" i="27" s="1"/>
  <c r="L35" i="27" a="1"/>
  <c r="L35" i="27" s="1"/>
  <c r="L44" i="27" a="1"/>
  <c r="L44" i="27" s="1"/>
  <c r="L57" i="27" a="1"/>
  <c r="L57" i="27" s="1"/>
  <c r="L61" i="27" a="1"/>
  <c r="L61" i="27" s="1"/>
  <c r="L70" i="27" a="1"/>
  <c r="L70" i="27" s="1"/>
  <c r="L75" i="27" a="1"/>
  <c r="L75" i="27" s="1"/>
  <c r="L81" i="27" a="1"/>
  <c r="L81" i="27" s="1"/>
  <c r="L8" i="27" a="1"/>
  <c r="L8" i="27" s="1"/>
  <c r="L19" i="27" a="1"/>
  <c r="L19" i="27" s="1"/>
  <c r="L32" i="27" a="1"/>
  <c r="L32" i="27" s="1"/>
  <c r="L37" i="27" a="1"/>
  <c r="L37" i="27" s="1"/>
  <c r="L53" i="27" a="1"/>
  <c r="L53" i="27" s="1"/>
  <c r="L52" i="27" a="1"/>
  <c r="L52" i="27" s="1"/>
  <c r="L65" i="27" a="1"/>
  <c r="L65" i="27" s="1"/>
  <c r="L73" i="27" a="1"/>
  <c r="L73" i="27" s="1"/>
  <c r="L9" i="27" a="1"/>
  <c r="L9" i="27" s="1"/>
  <c r="L16" i="27" a="1"/>
  <c r="L16" i="27" s="1"/>
  <c r="L21" i="27" a="1"/>
  <c r="L21" i="27" s="1"/>
  <c r="L27" i="27" a="1"/>
  <c r="L27" i="27" s="1"/>
  <c r="L41" i="27" a="1"/>
  <c r="L41" i="27" s="1"/>
  <c r="L47" i="27" a="1"/>
  <c r="L47" i="27" s="1"/>
  <c r="L58" i="27" a="1"/>
  <c r="L58" i="27" s="1"/>
  <c r="L62" i="27" a="1"/>
  <c r="L62" i="27" s="1"/>
  <c r="L71" i="27" a="1"/>
  <c r="L71" i="27" s="1"/>
  <c r="L78" i="27" a="1"/>
  <c r="L78" i="27" s="1"/>
  <c r="L5" i="27" a="1"/>
  <c r="L5" i="27" s="1"/>
  <c r="L10" i="27" a="1"/>
  <c r="L10" i="27" s="1"/>
  <c r="L23" i="27" a="1"/>
  <c r="L23" i="27" s="1"/>
  <c r="L33" i="27" a="1"/>
  <c r="L33" i="27" s="1"/>
  <c r="L38" i="27" a="1"/>
  <c r="L38" i="27" s="1"/>
  <c r="L49" i="27" a="1"/>
  <c r="L49" i="27" s="1"/>
  <c r="L54" i="27" a="1"/>
  <c r="L54" i="27" s="1"/>
  <c r="L67" i="27" a="1"/>
  <c r="L67" i="27" s="1"/>
  <c r="L74" i="27" a="1"/>
  <c r="L74" i="27" s="1"/>
  <c r="T81" i="27"/>
  <c r="S81" i="27"/>
  <c r="T67" i="27"/>
  <c r="S67" i="27"/>
  <c r="T62" i="27"/>
  <c r="S62" i="27"/>
  <c r="T49" i="27"/>
  <c r="S49" i="27"/>
  <c r="T33" i="27"/>
  <c r="S33" i="27"/>
  <c r="S16" i="27"/>
  <c r="T16" i="27"/>
  <c r="S80" i="27"/>
  <c r="T80" i="27"/>
  <c r="T76" i="27"/>
  <c r="S76" i="27"/>
  <c r="S72" i="27"/>
  <c r="T72" i="27"/>
  <c r="T66" i="27"/>
  <c r="S66" i="27"/>
  <c r="T70" i="27"/>
  <c r="S70" i="27"/>
  <c r="T61" i="27"/>
  <c r="S61" i="27"/>
  <c r="T57" i="27"/>
  <c r="S57" i="27"/>
  <c r="T52" i="27"/>
  <c r="S52" i="27"/>
  <c r="T53" i="27"/>
  <c r="S53" i="27"/>
  <c r="T44" i="27"/>
  <c r="S44" i="27"/>
  <c r="S40" i="27"/>
  <c r="T40" i="27"/>
  <c r="S36" i="27"/>
  <c r="T36" i="27"/>
  <c r="T32" i="27"/>
  <c r="S32" i="27"/>
  <c r="T27" i="27"/>
  <c r="S27" i="27"/>
  <c r="T24" i="27"/>
  <c r="S24" i="27"/>
  <c r="T19" i="27"/>
  <c r="S19" i="27"/>
  <c r="S15" i="27"/>
  <c r="T15" i="27"/>
  <c r="S11" i="27"/>
  <c r="T11" i="27"/>
  <c r="S7" i="27"/>
  <c r="T7" i="27"/>
  <c r="T73" i="27"/>
  <c r="S73" i="27"/>
  <c r="S58" i="27"/>
  <c r="T58" i="27"/>
  <c r="S45" i="27"/>
  <c r="T45" i="27"/>
  <c r="T37" i="27"/>
  <c r="S37" i="27"/>
  <c r="T29" i="27"/>
  <c r="S29" i="27"/>
  <c r="T8" i="27"/>
  <c r="S8" i="27"/>
  <c r="S79" i="27"/>
  <c r="T79" i="27"/>
  <c r="T75" i="27"/>
  <c r="S75" i="27"/>
  <c r="T65" i="27"/>
  <c r="S65" i="27"/>
  <c r="S63" i="27"/>
  <c r="T63" i="27"/>
  <c r="S56" i="27"/>
  <c r="T56" i="27"/>
  <c r="T48" i="27"/>
  <c r="S48" i="27"/>
  <c r="T35" i="27"/>
  <c r="S35" i="27"/>
  <c r="S31" i="27"/>
  <c r="T31" i="27"/>
  <c r="T28" i="27"/>
  <c r="S28" i="27"/>
  <c r="S23" i="27"/>
  <c r="T23" i="27"/>
  <c r="S18" i="27"/>
  <c r="T18" i="27"/>
  <c r="S14" i="27"/>
  <c r="T14" i="27"/>
  <c r="T10" i="27"/>
  <c r="S10" i="27"/>
  <c r="S77" i="27"/>
  <c r="T77" i="27"/>
  <c r="T71" i="27"/>
  <c r="S71" i="27"/>
  <c r="S54" i="27"/>
  <c r="T54" i="27"/>
  <c r="T41" i="27"/>
  <c r="S41" i="27"/>
  <c r="T25" i="27"/>
  <c r="S25" i="27"/>
  <c r="T20" i="27"/>
  <c r="S20" i="27"/>
  <c r="S12" i="27"/>
  <c r="T12" i="27"/>
  <c r="T4" i="27"/>
  <c r="S4" i="27"/>
  <c r="S69" i="27"/>
  <c r="T69" i="27"/>
  <c r="S60" i="27"/>
  <c r="T60" i="27"/>
  <c r="S51" i="27"/>
  <c r="T51" i="27"/>
  <c r="S43" i="27"/>
  <c r="T43" i="27"/>
  <c r="T22" i="27"/>
  <c r="S22" i="27"/>
  <c r="S78" i="27"/>
  <c r="T78" i="27"/>
  <c r="T74" i="27"/>
  <c r="S74" i="27"/>
  <c r="S68" i="27"/>
  <c r="T68" i="27"/>
  <c r="S64" i="27"/>
  <c r="T64" i="27"/>
  <c r="S46" i="27"/>
  <c r="T46" i="27"/>
  <c r="T59" i="27"/>
  <c r="S59" i="27"/>
  <c r="T55" i="27"/>
  <c r="S55" i="27"/>
  <c r="T50" i="27"/>
  <c r="S50" i="27"/>
  <c r="T47" i="27"/>
  <c r="S47" i="27"/>
  <c r="S42" i="27"/>
  <c r="T42" i="27"/>
  <c r="T38" i="27"/>
  <c r="S38" i="27"/>
  <c r="T34" i="27"/>
  <c r="S34" i="27"/>
  <c r="S30" i="27"/>
  <c r="T30" i="27"/>
  <c r="S26" i="27"/>
  <c r="T26" i="27"/>
  <c r="T21" i="27"/>
  <c r="S21" i="27"/>
  <c r="S17" i="27"/>
  <c r="T17" i="27"/>
  <c r="T13" i="27"/>
  <c r="S13" i="27"/>
  <c r="T9" i="27"/>
  <c r="S9" i="27"/>
  <c r="T5" i="27"/>
  <c r="S5" i="27"/>
  <c r="D20" i="43"/>
  <c r="D17" i="43"/>
  <c r="D16" i="43"/>
  <c r="T39" i="27"/>
  <c r="D10" i="43"/>
  <c r="L76" i="27" s="1" a="1"/>
  <c r="L76" i="27" s="1"/>
  <c r="D18" i="43"/>
  <c r="D11" i="43"/>
  <c r="D19" i="43"/>
  <c r="D23" i="43"/>
  <c r="X9" i="52" l="1"/>
  <c r="Y4" i="52"/>
  <c r="L39" i="27" a="1"/>
  <c r="L39" i="27" s="1"/>
  <c r="L77" i="27" a="1"/>
  <c r="L77" i="27" s="1"/>
  <c r="Y9" i="52" l="1"/>
  <c r="Z4" i="52"/>
  <c r="S4" i="35"/>
  <c r="G5" i="33"/>
  <c r="H5" i="33" s="1"/>
  <c r="G6" i="33"/>
  <c r="H6" i="33" s="1"/>
  <c r="G7" i="33"/>
  <c r="H7" i="33" s="1"/>
  <c r="G4" i="33"/>
  <c r="H4" i="33" s="1"/>
  <c r="F4" i="33"/>
  <c r="E7" i="33"/>
  <c r="F7" i="33" s="1"/>
  <c r="E4" i="33"/>
  <c r="E5" i="33"/>
  <c r="F5" i="33" s="1"/>
  <c r="E6" i="33"/>
  <c r="F6" i="33" s="1"/>
  <c r="Z9" i="52" l="1"/>
  <c r="AA4" i="52"/>
  <c r="V57" i="25"/>
  <c r="V58" i="25"/>
  <c r="V59" i="25"/>
  <c r="U50" i="25"/>
  <c r="V50" i="25" s="1"/>
  <c r="U55" i="25"/>
  <c r="V55" i="25" s="1"/>
  <c r="I5" i="30"/>
  <c r="G11" i="30"/>
  <c r="G9" i="30"/>
  <c r="G7" i="30"/>
  <c r="G6" i="30"/>
  <c r="G5" i="30"/>
  <c r="U79" i="25"/>
  <c r="V79" i="25" s="1"/>
  <c r="U78" i="25"/>
  <c r="V78" i="25" s="1"/>
  <c r="U14" i="25"/>
  <c r="V14" i="25" s="1"/>
  <c r="U15" i="25"/>
  <c r="V15" i="25" s="1"/>
  <c r="U16" i="25"/>
  <c r="V16" i="25" s="1"/>
  <c r="U18" i="25"/>
  <c r="V18" i="25" s="1"/>
  <c r="U19" i="25"/>
  <c r="V19" i="25" s="1"/>
  <c r="U20" i="25"/>
  <c r="V20" i="25" s="1"/>
  <c r="U21" i="25"/>
  <c r="V21" i="25" s="1"/>
  <c r="U22" i="25"/>
  <c r="V22" i="25" s="1"/>
  <c r="U23" i="25"/>
  <c r="V23" i="25" s="1"/>
  <c r="U24" i="25"/>
  <c r="V24" i="25" s="1"/>
  <c r="U25" i="25"/>
  <c r="V25" i="25" s="1"/>
  <c r="U32" i="25"/>
  <c r="V32" i="25" s="1"/>
  <c r="U33" i="25"/>
  <c r="V33" i="25" s="1"/>
  <c r="U34" i="25"/>
  <c r="V34" i="25" s="1"/>
  <c r="U35" i="25"/>
  <c r="V35" i="25" s="1"/>
  <c r="U36" i="25"/>
  <c r="V36" i="25" s="1"/>
  <c r="U37" i="25"/>
  <c r="V37" i="25" s="1"/>
  <c r="U38" i="25"/>
  <c r="V38" i="25" s="1"/>
  <c r="U45" i="25"/>
  <c r="V45" i="25" s="1"/>
  <c r="U46" i="25"/>
  <c r="V46" i="25" s="1"/>
  <c r="U47" i="25"/>
  <c r="V47" i="25" s="1"/>
  <c r="U9" i="25"/>
  <c r="V9" i="25" s="1"/>
  <c r="U7" i="25"/>
  <c r="V7" i="25" s="1"/>
  <c r="U56" i="25"/>
  <c r="V56" i="25" s="1"/>
  <c r="U74" i="25"/>
  <c r="V74" i="25" s="1"/>
  <c r="U6" i="25"/>
  <c r="V6" i="25" s="1"/>
  <c r="U51" i="25"/>
  <c r="V51" i="25" s="1"/>
  <c r="U52" i="25"/>
  <c r="V52" i="25" s="1"/>
  <c r="U53" i="25"/>
  <c r="V53" i="25" s="1"/>
  <c r="U8" i="25"/>
  <c r="V8" i="25" s="1"/>
  <c r="U17" i="25"/>
  <c r="V17" i="25" s="1"/>
  <c r="U29" i="25"/>
  <c r="V29" i="25" s="1"/>
  <c r="U44" i="25"/>
  <c r="V44" i="25" s="1"/>
  <c r="U72" i="25"/>
  <c r="V72" i="25" s="1"/>
  <c r="U73" i="25"/>
  <c r="V73" i="25" s="1"/>
  <c r="U77" i="25"/>
  <c r="V77" i="25" s="1"/>
  <c r="U80" i="25"/>
  <c r="V80" i="25" s="1"/>
  <c r="U5" i="25"/>
  <c r="V5" i="25" s="1"/>
  <c r="V31" i="25"/>
  <c r="V4" i="25"/>
  <c r="V54" i="25"/>
  <c r="V28" i="25"/>
  <c r="G4" i="30"/>
  <c r="I11" i="30"/>
  <c r="I9" i="30"/>
  <c r="I7" i="30"/>
  <c r="I6" i="30"/>
  <c r="I4" i="30"/>
  <c r="J13" i="30"/>
  <c r="S7" i="25"/>
  <c r="T7" i="25" s="1"/>
  <c r="AB4" i="52" l="1"/>
  <c r="AA9" i="52"/>
  <c r="U27" i="25"/>
  <c r="V27" i="25" s="1"/>
  <c r="U48" i="25"/>
  <c r="V48" i="25" s="1"/>
  <c r="U81" i="25"/>
  <c r="V81" i="25" s="1"/>
  <c r="U82" i="25"/>
  <c r="V82" i="25" s="1"/>
  <c r="U40" i="25"/>
  <c r="V40" i="25" s="1"/>
  <c r="U30" i="25"/>
  <c r="V30" i="25" s="1"/>
  <c r="U61" i="25"/>
  <c r="V61" i="25" s="1"/>
  <c r="U64" i="25"/>
  <c r="V64" i="25" s="1"/>
  <c r="U11" i="25"/>
  <c r="V11" i="25" s="1"/>
  <c r="U65" i="25"/>
  <c r="V65" i="25" s="1"/>
  <c r="U12" i="25"/>
  <c r="V12" i="25" s="1"/>
  <c r="U60" i="25"/>
  <c r="V60" i="25" s="1"/>
  <c r="U68" i="25"/>
  <c r="V68" i="25" s="1"/>
  <c r="U42" i="25"/>
  <c r="V42" i="25" s="1"/>
  <c r="U69" i="25"/>
  <c r="V69" i="25" s="1"/>
  <c r="U43" i="25"/>
  <c r="V43" i="25" s="1"/>
  <c r="U26" i="25"/>
  <c r="V26" i="25" s="1"/>
  <c r="U76" i="25"/>
  <c r="V76" i="25" s="1"/>
  <c r="U39" i="25"/>
  <c r="V39" i="25" s="1"/>
  <c r="U83" i="25"/>
  <c r="V83" i="25" s="1"/>
  <c r="U75" i="25"/>
  <c r="V75" i="25" s="1"/>
  <c r="U41" i="25"/>
  <c r="V41" i="25" s="1"/>
  <c r="U71" i="25"/>
  <c r="V71" i="25" s="1"/>
  <c r="U67" i="25"/>
  <c r="V67" i="25" s="1"/>
  <c r="U63" i="25"/>
  <c r="V63" i="25" s="1"/>
  <c r="U49" i="25"/>
  <c r="V49" i="25" s="1"/>
  <c r="U10" i="25"/>
  <c r="V10" i="25" s="1"/>
  <c r="U13" i="25"/>
  <c r="V13" i="25" s="1"/>
  <c r="U70" i="25"/>
  <c r="V70" i="25" s="1"/>
  <c r="U66" i="25"/>
  <c r="V66" i="25" s="1"/>
  <c r="U62" i="25"/>
  <c r="V62" i="25" s="1"/>
  <c r="AB9" i="52" l="1"/>
  <c r="AC4" i="52"/>
  <c r="S8" i="25"/>
  <c r="T8" i="25" s="1"/>
  <c r="S17" i="25"/>
  <c r="T17" i="25" s="1"/>
  <c r="S29" i="25"/>
  <c r="T29" i="25" s="1"/>
  <c r="S44" i="25"/>
  <c r="T44" i="25" s="1"/>
  <c r="S72" i="25"/>
  <c r="T72" i="25" s="1"/>
  <c r="S73" i="25"/>
  <c r="T73" i="25" s="1"/>
  <c r="S77" i="25"/>
  <c r="T77" i="25" s="1"/>
  <c r="S80" i="25"/>
  <c r="T80" i="25" s="1"/>
  <c r="S5" i="25"/>
  <c r="T5" i="25" s="1"/>
  <c r="S31" i="25"/>
  <c r="T31" i="25" s="1"/>
  <c r="S4" i="25"/>
  <c r="T4" i="25" s="1"/>
  <c r="S54" i="25"/>
  <c r="T54" i="25" s="1"/>
  <c r="S28" i="25"/>
  <c r="T28" i="25" s="1"/>
  <c r="S27" i="25"/>
  <c r="T27" i="25" s="1"/>
  <c r="S39" i="25"/>
  <c r="T39" i="25" s="1"/>
  <c r="S40" i="25"/>
  <c r="T40" i="25" s="1"/>
  <c r="S48" i="25"/>
  <c r="T48" i="25" s="1"/>
  <c r="S75" i="25"/>
  <c r="T75" i="25" s="1"/>
  <c r="S76" i="25"/>
  <c r="T76" i="25" s="1"/>
  <c r="S81" i="25"/>
  <c r="T81" i="25" s="1"/>
  <c r="S82" i="25"/>
  <c r="T82" i="25" s="1"/>
  <c r="S83" i="25"/>
  <c r="T83" i="25" s="1"/>
  <c r="S26" i="25"/>
  <c r="T26" i="25" s="1"/>
  <c r="S30" i="25"/>
  <c r="T30" i="25" s="1"/>
  <c r="S49" i="25"/>
  <c r="T49" i="25" s="1"/>
  <c r="S60" i="25"/>
  <c r="T60" i="25" s="1"/>
  <c r="S61" i="25"/>
  <c r="T61" i="25" s="1"/>
  <c r="S62" i="25"/>
  <c r="T62" i="25" s="1"/>
  <c r="S63" i="25"/>
  <c r="T63" i="25" s="1"/>
  <c r="S64" i="25"/>
  <c r="T64" i="25" s="1"/>
  <c r="S65" i="25"/>
  <c r="T65" i="25" s="1"/>
  <c r="S66" i="25"/>
  <c r="T66" i="25" s="1"/>
  <c r="S67" i="25"/>
  <c r="T67" i="25" s="1"/>
  <c r="S68" i="25"/>
  <c r="T68" i="25" s="1"/>
  <c r="S69" i="25"/>
  <c r="T69" i="25" s="1"/>
  <c r="S70" i="25"/>
  <c r="T70" i="25" s="1"/>
  <c r="S71" i="25"/>
  <c r="T71" i="25" s="1"/>
  <c r="S11" i="25"/>
  <c r="T11" i="25" s="1"/>
  <c r="S12" i="25"/>
  <c r="T12" i="25" s="1"/>
  <c r="S13" i="25"/>
  <c r="T13" i="25" s="1"/>
  <c r="S41" i="25"/>
  <c r="T41" i="25" s="1"/>
  <c r="S42" i="25"/>
  <c r="T42" i="25" s="1"/>
  <c r="S43" i="25"/>
  <c r="T43" i="25" s="1"/>
  <c r="S10" i="25"/>
  <c r="T10" i="25" s="1"/>
  <c r="S79" i="25"/>
  <c r="T79" i="25" s="1"/>
  <c r="S78" i="25"/>
  <c r="T78" i="25" s="1"/>
  <c r="S14" i="25"/>
  <c r="T14" i="25" s="1"/>
  <c r="S15" i="25"/>
  <c r="T15" i="25" s="1"/>
  <c r="S16" i="25"/>
  <c r="T16" i="25" s="1"/>
  <c r="S18" i="25"/>
  <c r="T18" i="25" s="1"/>
  <c r="S19" i="25"/>
  <c r="T19" i="25" s="1"/>
  <c r="S20" i="25"/>
  <c r="T20" i="25" s="1"/>
  <c r="S21" i="25"/>
  <c r="T21" i="25" s="1"/>
  <c r="S22" i="25"/>
  <c r="T22" i="25" s="1"/>
  <c r="S23" i="25"/>
  <c r="T23" i="25" s="1"/>
  <c r="S24" i="25"/>
  <c r="T24" i="25" s="1"/>
  <c r="S25" i="25"/>
  <c r="T25" i="25" s="1"/>
  <c r="S32" i="25"/>
  <c r="T32" i="25" s="1"/>
  <c r="S33" i="25"/>
  <c r="T33" i="25" s="1"/>
  <c r="S34" i="25"/>
  <c r="T34" i="25" s="1"/>
  <c r="S35" i="25"/>
  <c r="T35" i="25" s="1"/>
  <c r="S36" i="25"/>
  <c r="T36" i="25" s="1"/>
  <c r="S37" i="25"/>
  <c r="T37" i="25" s="1"/>
  <c r="S38" i="25"/>
  <c r="T38" i="25" s="1"/>
  <c r="S45" i="25"/>
  <c r="T45" i="25" s="1"/>
  <c r="S46" i="25"/>
  <c r="T46" i="25" s="1"/>
  <c r="S47" i="25"/>
  <c r="T47" i="25" s="1"/>
  <c r="S57" i="25"/>
  <c r="T57" i="25" s="1"/>
  <c r="S58" i="25"/>
  <c r="T58" i="25" s="1"/>
  <c r="S59" i="25"/>
  <c r="T59" i="25" s="1"/>
  <c r="S9" i="25"/>
  <c r="T9" i="25" s="1"/>
  <c r="S51" i="25"/>
  <c r="T51" i="25" s="1"/>
  <c r="S52" i="25"/>
  <c r="T52" i="25" s="1"/>
  <c r="S53" i="25"/>
  <c r="T53" i="25" s="1"/>
  <c r="S50" i="25"/>
  <c r="T50" i="25" s="1"/>
  <c r="S55" i="25"/>
  <c r="T55" i="25" s="1"/>
  <c r="S56" i="25"/>
  <c r="T56" i="25" s="1"/>
  <c r="S74" i="25"/>
  <c r="T74" i="25" s="1"/>
  <c r="S6" i="25"/>
  <c r="T6" i="25" s="1"/>
  <c r="AC9" i="52" l="1"/>
  <c r="AD4" i="52"/>
  <c r="AE4" i="35"/>
  <c r="AD9" i="52" l="1"/>
  <c r="AE4" i="52"/>
  <c r="AF4" i="52" l="1"/>
  <c r="AE9" i="52"/>
  <c r="AF4" i="35"/>
  <c r="AH4" i="35" s="1"/>
  <c r="AG4" i="52" l="1"/>
  <c r="AF9" i="52"/>
  <c r="H3" i="38"/>
  <c r="H4" i="38" s="1"/>
  <c r="G3" i="38"/>
  <c r="G4" i="38" s="1"/>
  <c r="F3" i="38"/>
  <c r="F4" i="38" s="1"/>
  <c r="E3" i="38"/>
  <c r="E4" i="38" s="1"/>
  <c r="L3" i="38"/>
  <c r="L4" i="38" s="1"/>
  <c r="K3" i="38"/>
  <c r="K4" i="38" s="1"/>
  <c r="J3" i="38"/>
  <c r="J4" i="38" s="1"/>
  <c r="I3" i="38"/>
  <c r="I4" i="38" s="1"/>
  <c r="L3" i="37"/>
  <c r="L4" i="37" s="1"/>
  <c r="K3" i="37"/>
  <c r="K4" i="37" s="1"/>
  <c r="J3" i="37"/>
  <c r="J4" i="37" s="1"/>
  <c r="I3" i="37"/>
  <c r="I4" i="37" s="1"/>
  <c r="H3" i="37"/>
  <c r="H4" i="37" s="1"/>
  <c r="G3" i="37"/>
  <c r="G4" i="37" s="1"/>
  <c r="F3" i="37"/>
  <c r="F4" i="37" s="1"/>
  <c r="E3" i="37"/>
  <c r="E4" i="37" s="1"/>
  <c r="T5" i="28"/>
  <c r="S5" i="28"/>
  <c r="R5" i="28"/>
  <c r="Q5" i="28"/>
  <c r="P5" i="28"/>
  <c r="O5" i="28"/>
  <c r="N5" i="28"/>
  <c r="M5" i="28"/>
  <c r="L5" i="28"/>
  <c r="K5" i="28"/>
  <c r="J5" i="28"/>
  <c r="I5" i="28"/>
  <c r="H5" i="28"/>
  <c r="G5" i="28"/>
  <c r="F5" i="28"/>
  <c r="E5" i="28"/>
  <c r="AG9" i="52" l="1"/>
  <c r="AH4" i="52"/>
  <c r="AH9" i="52" s="1"/>
  <c r="W4" i="35"/>
  <c r="X4" i="35" l="1"/>
  <c r="Y4" i="35" s="1"/>
  <c r="Z4" i="35" s="1"/>
  <c r="AA4" i="35" l="1"/>
  <c r="AB4" i="35" s="1"/>
  <c r="AC4" i="35" s="1"/>
  <c r="AD4" i="3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<sst xmlns="http://schemas.openxmlformats.org/spreadsheetml/2006/main" count="2674" uniqueCount="885">
  <si>
    <t>Initial Level</t>
  </si>
  <si>
    <t>M10</t>
  </si>
  <si>
    <t>M11</t>
  </si>
  <si>
    <t>M12</t>
  </si>
  <si>
    <t>M1</t>
  </si>
  <si>
    <t>M2</t>
  </si>
  <si>
    <t>M3</t>
  </si>
  <si>
    <t>M4</t>
  </si>
  <si>
    <t>M5</t>
  </si>
  <si>
    <t>M6</t>
  </si>
  <si>
    <t>M7</t>
  </si>
  <si>
    <t>M8</t>
  </si>
  <si>
    <t>M9</t>
  </si>
  <si>
    <t>Type</t>
  </si>
  <si>
    <t>Owner</t>
  </si>
  <si>
    <t>Latitude</t>
  </si>
  <si>
    <t>Longitude</t>
  </si>
  <si>
    <t>Installed Capacity</t>
  </si>
  <si>
    <t>Start Year</t>
  </si>
  <si>
    <t>Project Name</t>
  </si>
  <si>
    <t>(MW)</t>
  </si>
  <si>
    <t>(GWh/year)</t>
  </si>
  <si>
    <t>Location</t>
  </si>
  <si>
    <t>Transmission</t>
  </si>
  <si>
    <t>($/MWh)</t>
  </si>
  <si>
    <t>(hours)</t>
  </si>
  <si>
    <t>(%)</t>
  </si>
  <si>
    <t>Characteristics of existing system transmission</t>
  </si>
  <si>
    <t>LEGEND</t>
  </si>
  <si>
    <t>DESIGN</t>
  </si>
  <si>
    <t>Voltage</t>
  </si>
  <si>
    <t>Bus Voltage</t>
  </si>
  <si>
    <t>Notes</t>
  </si>
  <si>
    <t>Low Volume</t>
  </si>
  <si>
    <t>High Volume</t>
  </si>
  <si>
    <t>(m)</t>
  </si>
  <si>
    <t>Live Storage</t>
  </si>
  <si>
    <t>Notes:</t>
  </si>
  <si>
    <t>Coal</t>
  </si>
  <si>
    <t>Annual Average Energy</t>
  </si>
  <si>
    <t>Dependable Capacity</t>
  </si>
  <si>
    <t>Station Flow</t>
  </si>
  <si>
    <t>(WSC#)</t>
  </si>
  <si>
    <t>Algonquin Power</t>
  </si>
  <si>
    <t>System</t>
  </si>
  <si>
    <t>Miscellaneous provincial system characteristics</t>
  </si>
  <si>
    <t>GWh/year</t>
  </si>
  <si>
    <t>Mid-load (before DSM)</t>
  </si>
  <si>
    <t>Mid-load (after DSM)</t>
  </si>
  <si>
    <t>%</t>
  </si>
  <si>
    <t>MW</t>
  </si>
  <si>
    <t>Reserve Requirements</t>
  </si>
  <si>
    <t>(% installed MW)</t>
  </si>
  <si>
    <t>Number of Circuits</t>
  </si>
  <si>
    <t>Circuit ID</t>
  </si>
  <si>
    <t>(ad/dc)</t>
  </si>
  <si>
    <t>(kV)</t>
  </si>
  <si>
    <t>(A)</t>
  </si>
  <si>
    <t>(km)</t>
  </si>
  <si>
    <t>Calculated values (may be overlain by reference shading)</t>
  </si>
  <si>
    <t>(% across system)</t>
  </si>
  <si>
    <t>Line Losses</t>
  </si>
  <si>
    <t>Upper Storage</t>
  </si>
  <si>
    <t>Upper Storage Level</t>
  </si>
  <si>
    <t>Lower Storage</t>
  </si>
  <si>
    <t>Lower Storage Level</t>
  </si>
  <si>
    <t>End Year</t>
  </si>
  <si>
    <t>Maximum Level</t>
  </si>
  <si>
    <t>Minimum Level</t>
  </si>
  <si>
    <t>(m3)</t>
  </si>
  <si>
    <t>(m3/s)</t>
  </si>
  <si>
    <t>RH Additions, Comments and TODOs</t>
  </si>
  <si>
    <t>Remote projects are not included in this list.</t>
  </si>
  <si>
    <t>See calculations sheets for sources of values.</t>
  </si>
  <si>
    <t>Sources</t>
  </si>
  <si>
    <t>EXISTING GENERATION</t>
  </si>
  <si>
    <t>Wellington</t>
  </si>
  <si>
    <t>SaskPower</t>
  </si>
  <si>
    <t>Waterloo</t>
  </si>
  <si>
    <t>Charlot</t>
  </si>
  <si>
    <t>Island Falls</t>
  </si>
  <si>
    <t>Nipawin</t>
  </si>
  <si>
    <t>E.B. Campbell</t>
  </si>
  <si>
    <t>Coteau Creek</t>
  </si>
  <si>
    <t>Elbow</t>
  </si>
  <si>
    <t>Coronach</t>
  </si>
  <si>
    <t>Estevan</t>
  </si>
  <si>
    <t>Shand</t>
  </si>
  <si>
    <t>Meadow Lake</t>
  </si>
  <si>
    <t>Lloydminster</t>
  </si>
  <si>
    <t>Northland Power</t>
  </si>
  <si>
    <t>North Battleford</t>
  </si>
  <si>
    <t>Kerrobert</t>
  </si>
  <si>
    <t>Landis</t>
  </si>
  <si>
    <t>Saskatoon</t>
  </si>
  <si>
    <t>Esterhazy</t>
  </si>
  <si>
    <t>Chinook</t>
  </si>
  <si>
    <t>Swift Current</t>
  </si>
  <si>
    <t>Units: One combustion, one steam</t>
  </si>
  <si>
    <t>Cypress</t>
  </si>
  <si>
    <t>Gull Lake</t>
  </si>
  <si>
    <t>Blue Hills</t>
  </si>
  <si>
    <t>Morse</t>
  </si>
  <si>
    <t>Sunbridge</t>
  </si>
  <si>
    <t>Suncor / Enbridge</t>
  </si>
  <si>
    <t>Centennial</t>
  </si>
  <si>
    <t>Red Lily</t>
  </si>
  <si>
    <t>Moosomin</t>
  </si>
  <si>
    <t>NRGreen Kerrobert Heat Recovery Facility</t>
  </si>
  <si>
    <t>NRGreen Power</t>
  </si>
  <si>
    <t>NRGreen Loreburn Heat Recovery Facility</t>
  </si>
  <si>
    <t>Loreburn</t>
  </si>
  <si>
    <t>NRGreen Estlin Heat Recovery Facility</t>
  </si>
  <si>
    <t>Estlin</t>
  </si>
  <si>
    <t>NRGreen Alameda Heat Recovery Facility</t>
  </si>
  <si>
    <t>Alameda</t>
  </si>
  <si>
    <t>Lake Athabasca</t>
  </si>
  <si>
    <t>06EA002</t>
  </si>
  <si>
    <t>Island Falls Headpond</t>
  </si>
  <si>
    <t>Churchill River</t>
  </si>
  <si>
    <t>Codette Reservoir</t>
  </si>
  <si>
    <t>05KD006</t>
  </si>
  <si>
    <t>Tobin Lake</t>
  </si>
  <si>
    <t>05KD004</t>
  </si>
  <si>
    <t>05KD003</t>
  </si>
  <si>
    <t>Diefenbaker Lake</t>
  </si>
  <si>
    <t>05HF003</t>
  </si>
  <si>
    <t>ac</t>
  </si>
  <si>
    <t>Tantallon</t>
  </si>
  <si>
    <t>SK</t>
  </si>
  <si>
    <t>UNITS</t>
  </si>
  <si>
    <t>ELCC is a dynamic value that changes as the wind penetration level changes, and is unique to each electricity system depending upon the capabilities of the other system generating units and the load shape.</t>
  </si>
  <si>
    <t>EXISTING TRANSMISSION</t>
  </si>
  <si>
    <t>SYSTEM CHARACTERISTICS</t>
  </si>
  <si>
    <t>Turbine Renewal Year</t>
  </si>
  <si>
    <t>Generator Type</t>
  </si>
  <si>
    <t>Manitoba Hydro</t>
  </si>
  <si>
    <t>Sandy Bay</t>
  </si>
  <si>
    <t>Meridian Limited Partnership</t>
  </si>
  <si>
    <t>NG_CT</t>
  </si>
  <si>
    <t>Queen Elizabeth_01</t>
  </si>
  <si>
    <t>Queen Elizabeth_02</t>
  </si>
  <si>
    <t>Queen Elizabeth_03</t>
  </si>
  <si>
    <t>Queen Elizabeth_04</t>
  </si>
  <si>
    <t>Queen Elizabeth_05</t>
  </si>
  <si>
    <t>Queen Elizabeth_06</t>
  </si>
  <si>
    <t>Queen Elizabeth_07</t>
  </si>
  <si>
    <t>Queen Elizabeth_08</t>
  </si>
  <si>
    <t>Queen Elizabeth_09</t>
  </si>
  <si>
    <t>Queen Elizabeth_10</t>
  </si>
  <si>
    <t>Queen Elizabeth_11</t>
  </si>
  <si>
    <t>Queen Elizabeth_12</t>
  </si>
  <si>
    <t>Western Lily</t>
  </si>
  <si>
    <t>Grenfell</t>
  </si>
  <si>
    <t>Gaia Power</t>
  </si>
  <si>
    <t>SaskPower anticipates adding 100-200 MW of wind every two years to meet 50% installed renewable capacity target by 2030</t>
  </si>
  <si>
    <t>EXISTING HYDROELECTRIC</t>
  </si>
  <si>
    <t>Dam Type</t>
  </si>
  <si>
    <t>Penstock</t>
  </si>
  <si>
    <t>Rated Head</t>
  </si>
  <si>
    <t>Maximum Head</t>
  </si>
  <si>
    <t>Minimum Head</t>
  </si>
  <si>
    <t>Average Flow (Facility)</t>
  </si>
  <si>
    <t>Rated Discharge (Unit)</t>
  </si>
  <si>
    <t>Rated Discharge (Facility)</t>
  </si>
  <si>
    <t>Upstream Reservoir Area</t>
  </si>
  <si>
    <t>Upstream Reservoir Storage</t>
  </si>
  <si>
    <t>Turbine Type</t>
  </si>
  <si>
    <t>Upper Storage Name</t>
  </si>
  <si>
    <t>Low Reference Level</t>
  </si>
  <si>
    <t>High Reference Level</t>
  </si>
  <si>
    <t>(km2)</t>
  </si>
  <si>
    <t>HYDROELECTRIC RENEWAL</t>
  </si>
  <si>
    <t>EXISTING DESIGN</t>
  </si>
  <si>
    <t>RENEWAL</t>
  </si>
  <si>
    <t>COSTS</t>
  </si>
  <si>
    <t>Existing Project Name</t>
  </si>
  <si>
    <t>Substation Name</t>
  </si>
  <si>
    <t>Annual Average Energy (WECC)</t>
  </si>
  <si>
    <t>Existing #units</t>
  </si>
  <si>
    <t>Renewal Project Name</t>
  </si>
  <si>
    <t>Merra Grid Location</t>
  </si>
  <si>
    <t>Additional Installed Capacity</t>
  </si>
  <si>
    <t>Additional Dependable Capacity</t>
  </si>
  <si>
    <t>Additional Annual Energy</t>
  </si>
  <si>
    <t>Direct Capital Cost</t>
  </si>
  <si>
    <t>Capital Overhead</t>
  </si>
  <si>
    <t>Interest During Construction</t>
  </si>
  <si>
    <t>Implentation Costs</t>
  </si>
  <si>
    <t>Project Definition Costs</t>
  </si>
  <si>
    <t>Fixed O&amp;M</t>
  </si>
  <si>
    <t>Variable O&amp;M</t>
  </si>
  <si>
    <t>Unit Capacity Cost</t>
  </si>
  <si>
    <t>Unit Energy Cost</t>
  </si>
  <si>
    <t>Construction Time</t>
  </si>
  <si>
    <t>Development Time</t>
  </si>
  <si>
    <t>($2018M)</t>
  </si>
  <si>
    <t>($M)</t>
  </si>
  <si>
    <t>($/kW-year)</t>
  </si>
  <si>
    <t>(years)</t>
  </si>
  <si>
    <t>HYDROELECTRIC GREENFIELD</t>
  </si>
  <si>
    <t>Substation Voltage</t>
  </si>
  <si>
    <t>Average Annual Energy</t>
  </si>
  <si>
    <t>Tazi Twe</t>
  </si>
  <si>
    <t>Saskpower</t>
  </si>
  <si>
    <t>Black Lake First Nation</t>
  </si>
  <si>
    <t>Golden South</t>
  </si>
  <si>
    <t>Potentia Renewables</t>
  </si>
  <si>
    <t>Assiniboia</t>
  </si>
  <si>
    <t>Wind_Onshore</t>
  </si>
  <si>
    <t>TBD</t>
  </si>
  <si>
    <t>Solar_PV</t>
  </si>
  <si>
    <t>Environmental Assessment already complete</t>
  </si>
  <si>
    <t>($2014M)</t>
  </si>
  <si>
    <t>UNIT</t>
  </si>
  <si>
    <t>Annual Energy Demand (after DSM)</t>
  </si>
  <si>
    <t>Annual Change in Energy Demand</t>
  </si>
  <si>
    <t>Percentage Change in Energy Demand</t>
  </si>
  <si>
    <t>HISTORICAL PEAK CAPACITY</t>
  </si>
  <si>
    <t>Annual Capacity Demand (after DSM)</t>
  </si>
  <si>
    <t>Annual Change in Capacity Demand</t>
  </si>
  <si>
    <t>Percentage Change in Capacity Demand</t>
  </si>
  <si>
    <t>HydroExisting</t>
  </si>
  <si>
    <t>Characteristics specific to existing interconnected hydroelectric generators with hourly or monthly storage</t>
  </si>
  <si>
    <t>HydroRenewals</t>
  </si>
  <si>
    <t>Characteristics specific to potential future capacity upgrades and pumped storage additions at existing facilities</t>
  </si>
  <si>
    <t>HydroGreenfield</t>
  </si>
  <si>
    <t>Characteristics specific to potential future greenfield hydroelectric projects</t>
  </si>
  <si>
    <t>HydroPS</t>
  </si>
  <si>
    <t>Characteristics specific to potential future pumped storage hydroelectric projects</t>
  </si>
  <si>
    <t>FGWh</t>
  </si>
  <si>
    <t>FMW</t>
  </si>
  <si>
    <t>HGWh</t>
  </si>
  <si>
    <t>HMW</t>
  </si>
  <si>
    <t>HISTORICAL ANNUAL ENERGY</t>
  </si>
  <si>
    <t>Salt/Fresh</t>
  </si>
  <si>
    <t>Reservoir Types</t>
  </si>
  <si>
    <t>Storage Requirement</t>
  </si>
  <si>
    <t>Gross Head</t>
  </si>
  <si>
    <t>H/L Ratio</t>
  </si>
  <si>
    <t>Design Flow (Generation)</t>
  </si>
  <si>
    <t xml:space="preserve">Generation Duration at Peak Output </t>
  </si>
  <si>
    <t>Total Footprint</t>
  </si>
  <si>
    <t>Unit Cost of Capacity</t>
  </si>
  <si>
    <t>Unit Cost of Stored Energy</t>
  </si>
  <si>
    <t>Levelized Cost</t>
  </si>
  <si>
    <t>dd.dddd</t>
  </si>
  <si>
    <t>(MWh)</t>
  </si>
  <si>
    <t>(h)</t>
  </si>
  <si>
    <t>(ha)</t>
  </si>
  <si>
    <t>($2018/MW)</t>
  </si>
  <si>
    <t>($2018/MWh)</t>
  </si>
  <si>
    <t>($2018/kW-year)</t>
  </si>
  <si>
    <t>Hourly</t>
  </si>
  <si>
    <t>Data obtained and calculated</t>
  </si>
  <si>
    <t>Data not yet obtained</t>
  </si>
  <si>
    <t>Project Short Name</t>
  </si>
  <si>
    <t>Distance to Grid</t>
  </si>
  <si>
    <t>Total Project Cost</t>
  </si>
  <si>
    <t>Annualized Project Cost</t>
  </si>
  <si>
    <t>($M/year)</t>
  </si>
  <si>
    <t># of units</t>
  </si>
  <si>
    <t>Short Name</t>
  </si>
  <si>
    <t>Provincial historical energy demand, after DSM</t>
  </si>
  <si>
    <t>Provincial historical capacity demand, after DSM</t>
  </si>
  <si>
    <t>Provincial mid-load energy forecast, before and after DSM</t>
  </si>
  <si>
    <t>Provincial mid-load capacity forecast, before and after DSM</t>
  </si>
  <si>
    <t>Provincial hourly generation data</t>
  </si>
  <si>
    <t>NONE</t>
  </si>
  <si>
    <t>Implementation Costs</t>
  </si>
  <si>
    <t>Annualized Project Cost per kW</t>
  </si>
  <si>
    <t>Variable Cost</t>
  </si>
  <si>
    <t>Water Rentals</t>
  </si>
  <si>
    <t>Coteau Creek_01</t>
  </si>
  <si>
    <t>Island Falls_01</t>
  </si>
  <si>
    <t>Cory_01</t>
  </si>
  <si>
    <t>Ermine_01</t>
  </si>
  <si>
    <t>Meridian_01</t>
  </si>
  <si>
    <t>Poplar River_01</t>
  </si>
  <si>
    <t>Spy Hill_01</t>
  </si>
  <si>
    <t>Yellowhead_01</t>
  </si>
  <si>
    <t>Coteau Creek_02</t>
  </si>
  <si>
    <t>Island Falls_02</t>
  </si>
  <si>
    <t>Cory_02</t>
  </si>
  <si>
    <t>Ermine_02</t>
  </si>
  <si>
    <t>Meridian_02</t>
  </si>
  <si>
    <t>Poplar River_02</t>
  </si>
  <si>
    <t>Spy Hill_02</t>
  </si>
  <si>
    <t>Yellowhead_02</t>
  </si>
  <si>
    <t>Coteau Creek_03</t>
  </si>
  <si>
    <t>Island Falls_03</t>
  </si>
  <si>
    <t>Boundary Dam_03</t>
  </si>
  <si>
    <t>Cory_03</t>
  </si>
  <si>
    <t>Meridian_03</t>
  </si>
  <si>
    <t>Yellowhead_03</t>
  </si>
  <si>
    <t>Island Falls_04</t>
  </si>
  <si>
    <t>Island Falls_05</t>
  </si>
  <si>
    <t>Island Falls_06</t>
  </si>
  <si>
    <t>Island Falls_07</t>
  </si>
  <si>
    <t>NG_CC</t>
  </si>
  <si>
    <t>Hydro_daily</t>
  </si>
  <si>
    <t>Biogas</t>
  </si>
  <si>
    <t>NG_CG</t>
  </si>
  <si>
    <t>Hydro_run</t>
  </si>
  <si>
    <t xml:space="preserve">A wind ELCC specific to Saskatachewan has not yet been located, so the average value determined in the PCWIS (Figure 1-23) has been used. </t>
  </si>
  <si>
    <t>Capacity Factor</t>
  </si>
  <si>
    <t>Average Annual Energy for Manitoba Hydro imports estimated at 90% capacity factor</t>
  </si>
  <si>
    <t>hydro_daily</t>
  </si>
  <si>
    <t>Specific Notes:</t>
  </si>
  <si>
    <t>B2R</t>
  </si>
  <si>
    <t>B1Q</t>
  </si>
  <si>
    <t>C2Q</t>
  </si>
  <si>
    <t>C1S</t>
  </si>
  <si>
    <t>C3B</t>
  </si>
  <si>
    <t>E2B</t>
  </si>
  <si>
    <t>P52E</t>
  </si>
  <si>
    <t>R7B</t>
  </si>
  <si>
    <t>R25Y</t>
  </si>
  <si>
    <t>C1B</t>
  </si>
  <si>
    <t>C1W</t>
  </si>
  <si>
    <t>C2B</t>
  </si>
  <si>
    <t>B1W</t>
  </si>
  <si>
    <t>C1P</t>
  </si>
  <si>
    <t>P1H</t>
  </si>
  <si>
    <t>P1S</t>
  </si>
  <si>
    <t>R2C</t>
  </si>
  <si>
    <t>W1Y</t>
  </si>
  <si>
    <t>A1P</t>
  </si>
  <si>
    <t>B3P</t>
  </si>
  <si>
    <t>B3R</t>
  </si>
  <si>
    <t>P2A</t>
  </si>
  <si>
    <t>P2C</t>
  </si>
  <si>
    <t>P3C</t>
  </si>
  <si>
    <t>R5B</t>
  </si>
  <si>
    <t>S2P</t>
  </si>
  <si>
    <t>S1M</t>
  </si>
  <si>
    <t>Battleford</t>
  </si>
  <si>
    <t>B2Q</t>
  </si>
  <si>
    <t>EB Campbell</t>
  </si>
  <si>
    <t>E2C</t>
  </si>
  <si>
    <t>B2W</t>
  </si>
  <si>
    <t>B1K</t>
  </si>
  <si>
    <t>R1P</t>
  </si>
  <si>
    <t>Uranium City</t>
  </si>
  <si>
    <t>SW7</t>
  </si>
  <si>
    <t>B10T</t>
  </si>
  <si>
    <t>Codette</t>
  </si>
  <si>
    <t>Condie</t>
  </si>
  <si>
    <t>Kennedy</t>
  </si>
  <si>
    <t>W1R</t>
  </si>
  <si>
    <t>Weyburn</t>
  </si>
  <si>
    <t>I1K</t>
  </si>
  <si>
    <t>Key Lake</t>
  </si>
  <si>
    <t>S3B</t>
  </si>
  <si>
    <t>P2K</t>
  </si>
  <si>
    <t>K1T</t>
  </si>
  <si>
    <t>Y1P</t>
  </si>
  <si>
    <t>Y1T</t>
  </si>
  <si>
    <t>Q1W</t>
  </si>
  <si>
    <t>B2T</t>
  </si>
  <si>
    <t>Tisdale</t>
  </si>
  <si>
    <t>Prince Albert</t>
  </si>
  <si>
    <t>B4P</t>
  </si>
  <si>
    <t>PA4</t>
  </si>
  <si>
    <t>Senator</t>
  </si>
  <si>
    <t>B1P</t>
  </si>
  <si>
    <t>B2P</t>
  </si>
  <si>
    <t>A1R</t>
  </si>
  <si>
    <t>PQ3</t>
  </si>
  <si>
    <t>B6P</t>
  </si>
  <si>
    <t>Poplar River</t>
  </si>
  <si>
    <t xml:space="preserve">Hawarden </t>
  </si>
  <si>
    <t>Lumsden</t>
  </si>
  <si>
    <t>I2P</t>
  </si>
  <si>
    <t>C1Q</t>
  </si>
  <si>
    <t>Q1H</t>
  </si>
  <si>
    <t>C1E</t>
  </si>
  <si>
    <t>Ermine</t>
  </si>
  <si>
    <t>Q1N</t>
  </si>
  <si>
    <t>Q2N</t>
  </si>
  <si>
    <t>BR11</t>
  </si>
  <si>
    <t>E1L</t>
  </si>
  <si>
    <t>N1L</t>
  </si>
  <si>
    <t>N2L</t>
  </si>
  <si>
    <t>L2E</t>
  </si>
  <si>
    <t>R4C</t>
  </si>
  <si>
    <t>Bone Creek</t>
  </si>
  <si>
    <t>B1L</t>
  </si>
  <si>
    <t>B2N</t>
  </si>
  <si>
    <t>Belle Plain</t>
  </si>
  <si>
    <t>N1C</t>
  </si>
  <si>
    <t>P2P</t>
  </si>
  <si>
    <t>Rushlake Creek</t>
  </si>
  <si>
    <t>TP7</t>
  </si>
  <si>
    <t>R1S</t>
  </si>
  <si>
    <t>Q3C</t>
  </si>
  <si>
    <t>Cory</t>
  </si>
  <si>
    <t>NB1</t>
  </si>
  <si>
    <t>C1H</t>
  </si>
  <si>
    <t>EB Campbell_02</t>
  </si>
  <si>
    <t>EB Campbell_03</t>
  </si>
  <si>
    <t>EB Campbell_04</t>
  </si>
  <si>
    <t>EB Campbell_05</t>
  </si>
  <si>
    <t>EB Campbell_06</t>
  </si>
  <si>
    <t>EB Campbell_07</t>
  </si>
  <si>
    <t>EB Campbell_08</t>
  </si>
  <si>
    <t>EB Campbell_01</t>
  </si>
  <si>
    <t>North Battleford_01</t>
  </si>
  <si>
    <t>North Battleford_02</t>
  </si>
  <si>
    <t>General Notes:</t>
  </si>
  <si>
    <t>See calculations sheets for sources of values</t>
  </si>
  <si>
    <t>Start year indicates the year at which the facilitated was commissioned or refurbished to its current type</t>
  </si>
  <si>
    <t>Fixed O&amp;M and variable costs estimated using regression curves found in the CA-Inventory dataset</t>
  </si>
  <si>
    <t>Hydroelectric generation type has been estimated based on available information concerning operations, reservoir size and operations, facility location and design flows.</t>
  </si>
  <si>
    <t>The WSC# refers to the Water Survey of Canada Hydrometric station</t>
  </si>
  <si>
    <t>Assume installed capacity of hydroelectric renewals is all dependable capacity, though this should be verified with new studies.</t>
  </si>
  <si>
    <t>Total Capital Costs include contingency and project management costs, but exclude IDC, corporate overhead, future inflation and transmission costs</t>
  </si>
  <si>
    <t>Assume a Capital Overhead rate of 1.77% of total capital costs (inclusive of contingencies, as they are above) based on BC Hydro rate</t>
  </si>
  <si>
    <t>Assume IDC rate of 5% each year</t>
  </si>
  <si>
    <t>Assume Project Definition costs using regression curve found in the CA-Inventory dataset</t>
  </si>
  <si>
    <t>Assume hydroelectric, greenfield and pumped storage facilities have an economic life of 70 years</t>
  </si>
  <si>
    <t>Assume a discount rate of 7% each year</t>
  </si>
  <si>
    <t>TOTAL</t>
  </si>
  <si>
    <t>Saskatchewan.a</t>
  </si>
  <si>
    <t>Generation Type</t>
  </si>
  <si>
    <t>($/MW-year)</t>
  </si>
  <si>
    <t>The Water Power Rental Regulations, W-6 Reg 4</t>
  </si>
  <si>
    <t>GF_TAZ</t>
  </si>
  <si>
    <t>Other References</t>
  </si>
  <si>
    <t>PURCHASES - MB-SK (PPA_01)</t>
  </si>
  <si>
    <t>PURCHASES - MB-SK (PPA_02)</t>
  </si>
  <si>
    <t>PURCHASES - MB-SK (PPA_03)</t>
  </si>
  <si>
    <t>Starting Node Name</t>
  </si>
  <si>
    <t>Starting Node Code</t>
  </si>
  <si>
    <t>Ending Node Name</t>
  </si>
  <si>
    <t>Ending Node Code</t>
  </si>
  <si>
    <t>Brada</t>
  </si>
  <si>
    <t>Queen Elizabeth</t>
  </si>
  <si>
    <t>Wolverine</t>
  </si>
  <si>
    <t>Beatty</t>
  </si>
  <si>
    <t>Pasqua</t>
  </si>
  <si>
    <t>Regina</t>
  </si>
  <si>
    <t>Boundary Dam</t>
  </si>
  <si>
    <t>Peebles</t>
  </si>
  <si>
    <t>Yorkton</t>
  </si>
  <si>
    <t>Winter Capacity</t>
  </si>
  <si>
    <t>Summer Capacity</t>
  </si>
  <si>
    <t>Current</t>
  </si>
  <si>
    <t>Reactance</t>
  </si>
  <si>
    <t>Count</t>
  </si>
  <si>
    <t>EXISTING SUBSTATIONS</t>
  </si>
  <si>
    <t>Node Name</t>
  </si>
  <si>
    <t>Node Code</t>
  </si>
  <si>
    <t>Region</t>
  </si>
  <si>
    <t>Primary Voltage</t>
  </si>
  <si>
    <t>Secondary Voltage</t>
  </si>
  <si>
    <t>Transformers</t>
  </si>
  <si>
    <t>Winter Rating</t>
  </si>
  <si>
    <t>Summer Rating</t>
  </si>
  <si>
    <t>(MVA)</t>
  </si>
  <si>
    <t>Legend:</t>
  </si>
  <si>
    <t>JCT = Junction</t>
  </si>
  <si>
    <t>MTS = Municipal Transformer Station</t>
  </si>
  <si>
    <t>TS = Transformer Station</t>
  </si>
  <si>
    <t>IPB Island Falls</t>
  </si>
  <si>
    <t>PP_MBSK3_IPT</t>
  </si>
  <si>
    <t>PP_MBSK2_IPT</t>
  </si>
  <si>
    <t>PP_MBSK1_IPT</t>
  </si>
  <si>
    <t>PP_MBSK5_IPT</t>
  </si>
  <si>
    <t>SK_ASS_SUB</t>
  </si>
  <si>
    <t>SK_BRA_SUB</t>
  </si>
  <si>
    <t>SK_BTY_SUB</t>
  </si>
  <si>
    <t>SK_WLV_SUB</t>
  </si>
  <si>
    <t>SK_REG_SUB</t>
  </si>
  <si>
    <t>SK_WEY_SUB</t>
  </si>
  <si>
    <t>SK_PQA_SUB</t>
  </si>
  <si>
    <t>SK_SWC_SUB</t>
  </si>
  <si>
    <t>SK_CND_SUB</t>
  </si>
  <si>
    <t>SK_CDT_SUB</t>
  </si>
  <si>
    <t>SK_KLK_SUB</t>
  </si>
  <si>
    <t>SK_TTL_SUB</t>
  </si>
  <si>
    <t>SK_BFD_SUB</t>
  </si>
  <si>
    <t>SK_PPR_SUB</t>
  </si>
  <si>
    <t>SK_PBL_SUB</t>
  </si>
  <si>
    <t>SK_PRA_SUB</t>
  </si>
  <si>
    <t>SK_RUC_SUB</t>
  </si>
  <si>
    <t>SK_YKT_SUB</t>
  </si>
  <si>
    <t>XX_SKUS1_INT</t>
  </si>
  <si>
    <t>SK_KDY_SUB</t>
  </si>
  <si>
    <t>SK_LDM_SUB</t>
  </si>
  <si>
    <t>SK_TSD_SUB</t>
  </si>
  <si>
    <t>SK_SNT_SUB</t>
  </si>
  <si>
    <t>SK_BLP_SUB</t>
  </si>
  <si>
    <t>SK_HWD_SUB</t>
  </si>
  <si>
    <t>SK_URC_SUB</t>
  </si>
  <si>
    <t>SK_LMS_SUB</t>
  </si>
  <si>
    <t>PP_ABSK1_IPT</t>
  </si>
  <si>
    <t>SK_BCK_SUB</t>
  </si>
  <si>
    <t>PRIMARY SOURCES</t>
  </si>
  <si>
    <t>Source</t>
  </si>
  <si>
    <t>Year</t>
  </si>
  <si>
    <t>Name</t>
  </si>
  <si>
    <t>Link</t>
  </si>
  <si>
    <t>Publication</t>
  </si>
  <si>
    <t>Manitoba</t>
  </si>
  <si>
    <t>Environment Canada</t>
  </si>
  <si>
    <t>Historical Hydrometric Data Search</t>
  </si>
  <si>
    <t>https://wateroffice.ec.gc.ca/search/historical_e.html</t>
  </si>
  <si>
    <t>2016/17 Resource Planning Assumptions &amp; Analysis</t>
  </si>
  <si>
    <t>https://www.hydro.mb.ca/regulatory_affairs/pdf/electric/general_rate_application_2017/07.3_appendix_7.3_mh_resource_planning_assumptions_and_analysis.pdf</t>
  </si>
  <si>
    <t>NERC</t>
  </si>
  <si>
    <t>2020 Summer Reliability Assessment</t>
  </si>
  <si>
    <t>https://www.nerc.com/pa/RAPA/ra/Reliability%20Assessments%20DL/NERC_SRA_2020.pdf</t>
  </si>
  <si>
    <t>Manitoba Hydro Power Sale Arrangements</t>
  </si>
  <si>
    <t>https://www.hydro.mb.ca/corporate/electricity_exports/power_sale_arrangements/</t>
  </si>
  <si>
    <t>NPCC</t>
  </si>
  <si>
    <t>2017 Québec Balancing Authority Area Comprehensive Review of Resource Adequacy</t>
  </si>
  <si>
    <t>https://www.npcc.org/Library/Resource%20Adequacy/Forms/Public%20List.aspx</t>
  </si>
  <si>
    <t>Québec</t>
  </si>
  <si>
    <t>World Resources Institute</t>
  </si>
  <si>
    <t>Global Power Plant Database</t>
  </si>
  <si>
    <t>http://datasets.wri.org/dataset/globalpowerplantdatabase</t>
  </si>
  <si>
    <t>Google Maps / Google Earth</t>
  </si>
  <si>
    <t>See "Other References" Column of the relevant tab</t>
  </si>
  <si>
    <t>Primary sources for the provincial data</t>
  </si>
  <si>
    <t>Generation</t>
  </si>
  <si>
    <t>Characteristics of existing interconnected generators</t>
  </si>
  <si>
    <t>SK-Sources</t>
  </si>
  <si>
    <t>https://www.saskratereview.ca/docs/saskpower2017/saskpower-2018-rate-application.pdf</t>
  </si>
  <si>
    <t>Saskatchewan</t>
  </si>
  <si>
    <t>System Map</t>
  </si>
  <si>
    <t>https://www.saskpower.com/Our-Power-Future/Our-Electricity/Electrical-System/System-Map</t>
  </si>
  <si>
    <t>Saskatchewan Rate Review Panel Round One Interrogatory Responses [2018 Rate Application]. SRRP Q23 Reference: Export Revenues.</t>
  </si>
  <si>
    <t>https://www.saskratereview.ca/secuap.php?apn=aug_015_017_sp</t>
  </si>
  <si>
    <t>Saskatchewan Rate Review Panel Round One Interrogatory Responses [2018 Rate Application]. SRRP Q103 Reference: Load Forecasts.</t>
  </si>
  <si>
    <t>Saskatchewan Rate Review Panel Round One Interrogatory Responses [2018 Rate Application]. SRRP Q141 Reference: Integrated Resource Plan.</t>
  </si>
  <si>
    <t>Round One Interrogatory Responses [2016 and 2017 Rate Application] SRRP Q109 Reference: Load Forecasts.</t>
  </si>
  <si>
    <t>https://www.saskratereview.ca/docs/saskpower2016/saskpower-round-one-interrogatories-srrp-website.pdf</t>
  </si>
  <si>
    <t>Saskatchewan Rate Review Panel Round One Interrogatory Responses [2018 Rate Application]. SRRP Q107 Reference: Load Forecast.</t>
  </si>
  <si>
    <t>https://www.saskpower.com/about-us/Our-Company/Current-Reports</t>
  </si>
  <si>
    <t>Annual Report [see 2011 - 2019 Annual Reports]</t>
  </si>
  <si>
    <t>Tazi Twé Hydroelectric Project Environmental Impact Statement</t>
  </si>
  <si>
    <t>https://www.ceaa.gc.ca/050/documents/p80031/98788E.pdf</t>
  </si>
  <si>
    <t>http://www.environment.gov.sk.ca/2007-052ScreeningProjectProposal</t>
  </si>
  <si>
    <t>Connecting Voltage</t>
  </si>
  <si>
    <t>A1R + R1S previously referred to as A1S</t>
  </si>
  <si>
    <t>INT Tioga</t>
  </si>
  <si>
    <t>IPB EB Campbell</t>
  </si>
  <si>
    <t>IPB Tantallon</t>
  </si>
  <si>
    <t>PP_MBSK4_IPT</t>
  </si>
  <si>
    <t>B71T</t>
  </si>
  <si>
    <t>Manitoba Hydro, SaskPower</t>
  </si>
  <si>
    <t>Inter-Regional Planning Exploratory Study</t>
  </si>
  <si>
    <t>Manitoba, Saskatchewan</t>
  </si>
  <si>
    <t>https://www.oasis.oati.com/spc/index.html</t>
  </si>
  <si>
    <t>Highfield</t>
  </si>
  <si>
    <t>Saturn Power</t>
  </si>
  <si>
    <t>Coulee</t>
  </si>
  <si>
    <t>Kruger Energy Saskatchewan</t>
  </si>
  <si>
    <t>Regina South</t>
  </si>
  <si>
    <t>Clean Coal Project. Proposed Change in Development/Technology at the Shand Power Station</t>
  </si>
  <si>
    <t>Moose Jaw</t>
  </si>
  <si>
    <t>Capacity Adjustment</t>
  </si>
  <si>
    <t>Effective Capacity</t>
  </si>
  <si>
    <t>Riverhurst</t>
  </si>
  <si>
    <t>Capstone Infrastructure</t>
  </si>
  <si>
    <t>SK_RVH_SUB</t>
  </si>
  <si>
    <t>P2S</t>
  </si>
  <si>
    <t>P1C</t>
  </si>
  <si>
    <t>Chaplin</t>
  </si>
  <si>
    <t>SK_CHP_SUB</t>
  </si>
  <si>
    <t>S1C</t>
  </si>
  <si>
    <t>SK_MRS_SUB</t>
  </si>
  <si>
    <t>Capacity Adjustment (Winter)</t>
  </si>
  <si>
    <t>Capacity Adjustment (Summer)</t>
  </si>
  <si>
    <t>Capacity Adjustment (Average)</t>
  </si>
  <si>
    <t>Natural Gas CT</t>
  </si>
  <si>
    <t>Hydro_monthly</t>
  </si>
  <si>
    <t>Wind</t>
  </si>
  <si>
    <t>Nova Scotia Power Inc.</t>
  </si>
  <si>
    <t>NS Power 2020 IRP Modeling Results Release</t>
  </si>
  <si>
    <t>https://irp.nspower.ca/documents/modeling-results/</t>
  </si>
  <si>
    <t>Nova Scotia</t>
  </si>
  <si>
    <t>Biogas/Biomass</t>
  </si>
  <si>
    <t>Natural Gas CC/CG</t>
  </si>
  <si>
    <t>Energy and Environmental Economics</t>
  </si>
  <si>
    <t>Planning Reserve Margin and Capacity Value Study</t>
  </si>
  <si>
    <t>https://irp.nspower.ca/documents/pre-irp-deliverables/</t>
  </si>
  <si>
    <t>Solar</t>
  </si>
  <si>
    <t>https://www.cer-rec.gc.ca/nrg/sttstc/lctrct/rprt/cnmcsfslrpwr/rslts-eng.html</t>
  </si>
  <si>
    <t>Boundary Dam_06</t>
  </si>
  <si>
    <t>Wind and solar contracts presumed to be 20 years</t>
  </si>
  <si>
    <t>Capacity (2017)</t>
  </si>
  <si>
    <t>Generation (2017)</t>
  </si>
  <si>
    <t>Capacity factors extrapolated from available data</t>
  </si>
  <si>
    <t>COPPER Balancing Area</t>
  </si>
  <si>
    <t>Planning Region</t>
  </si>
  <si>
    <t>Connecting Node Name</t>
  </si>
  <si>
    <t>Connecting Node Code</t>
  </si>
  <si>
    <t>Generation Type - COPPER</t>
  </si>
  <si>
    <t>coal</t>
  </si>
  <si>
    <t>solar</t>
  </si>
  <si>
    <t>wind</t>
  </si>
  <si>
    <t>Renewal Year</t>
  </si>
  <si>
    <t>Annual Average Energy - Plant</t>
  </si>
  <si>
    <t>Hydro-daily</t>
  </si>
  <si>
    <t>Saskpower Presentation to the Lake Diefenbaker Stakeholder Group</t>
  </si>
  <si>
    <t>https://www.wsask.ca/Global/Lakes%20and%20Rivers/Dams%20and%20Reservoirs/Operating%20Plans/Developing%20an%20Operating%20Plan%20for%20Lake%20Diefenbaker/LainLovelaceHydroPowerGenerationPresentation.pdf</t>
  </si>
  <si>
    <t>Summer Ampacity</t>
  </si>
  <si>
    <t>Winter Ampacity</t>
  </si>
  <si>
    <t>Power Factor</t>
  </si>
  <si>
    <t>(miles)</t>
  </si>
  <si>
    <t>Surge Impedance Loading</t>
  </si>
  <si>
    <t>Zc (High)</t>
  </si>
  <si>
    <t>Zc 
(Low)</t>
  </si>
  <si>
    <t>SIL (Low)</t>
  </si>
  <si>
    <t>SIL
(High)</t>
  </si>
  <si>
    <t>(V)</t>
  </si>
  <si>
    <t>(ohms)</t>
  </si>
  <si>
    <t>SIL (Low) assumed for summer and SIL (High) for winter</t>
  </si>
  <si>
    <t>Values estimated between known values</t>
  </si>
  <si>
    <t>Surge impedance loading (SIL) is the power delivered by a lossless line to a load resistance equal to the surge impedance Zc = (L/C)^0.5</t>
  </si>
  <si>
    <t>L = inductance</t>
  </si>
  <si>
    <t>C = capacitance</t>
  </si>
  <si>
    <t>Smax</t>
  </si>
  <si>
    <t>Gutman, R., Marchenko, P.P., and Dunlop, R.D.</t>
  </si>
  <si>
    <t>Analytical Development of Loadability Characteristics for EHV and UHV Transmission Lines</t>
  </si>
  <si>
    <t>http://home.eng.iastate.edu/~jdm/ee552/StClairAEP.pdf</t>
  </si>
  <si>
    <t>CPI - Canada (all items)</t>
  </si>
  <si>
    <t>Reactance as function of voltage</t>
  </si>
  <si>
    <t>(ohm/km)</t>
  </si>
  <si>
    <t>Overbye et al.</t>
  </si>
  <si>
    <t>Power System Analysis and Design (Sixth Edition). Table 5.2</t>
  </si>
  <si>
    <t>https://arxiv.org/abs/1709.06930</t>
  </si>
  <si>
    <t xml:space="preserve">Athari, MH and Zhifang, W. </t>
  </si>
  <si>
    <t xml:space="preserve">Interdependence of Transmission Branch Parameters on the Voltage Levels. Electrical Engineering and Systems Science. </t>
  </si>
  <si>
    <t>Smax = Loadability in multiples of SIL = 42.40 (Length in Miles)^(−0.6595) (this is a power function interpolation of Figure 7 in Gutman et al.)</t>
  </si>
  <si>
    <t>(ohm)</t>
  </si>
  <si>
    <t>Inputs</t>
  </si>
  <si>
    <t>Inputs to the data calculations</t>
  </si>
  <si>
    <t>Foxtail Grove</t>
  </si>
  <si>
    <t>Awassis</t>
  </si>
  <si>
    <t>Elemental Energy</t>
  </si>
  <si>
    <t>Great Plains</t>
  </si>
  <si>
    <t>Pesâkâstêw</t>
  </si>
  <si>
    <t>Pesâkâstêw Solar Inc.</t>
  </si>
  <si>
    <t>When a substation contains two voltage levels, the generator connects at the more appropriate voltage based on generator capacity</t>
  </si>
  <si>
    <t>Effective capacities estimated using the ELCC values in the "System" tab</t>
  </si>
  <si>
    <t>Unless already included in total capital costs, a distance of 25 km is added to distance to market grid to account for potential grid interconnection costs</t>
  </si>
  <si>
    <t>Assume hydro_daily and hydro_monthly generation has dependable capacity equal to installed capacity</t>
  </si>
  <si>
    <t>2010-2018</t>
  </si>
  <si>
    <t>Average</t>
  </si>
  <si>
    <t>Mid-load for use in COPPER</t>
  </si>
  <si>
    <t>FORECAST PEAK DEMAND</t>
  </si>
  <si>
    <t>Storage</t>
  </si>
  <si>
    <t>Characteristics of existing grid-scale storage facilities</t>
  </si>
  <si>
    <t>EXISTING STORAGE</t>
  </si>
  <si>
    <t>Storage Capacity</t>
  </si>
  <si>
    <t>Storage Energy</t>
  </si>
  <si>
    <t>Duration</t>
  </si>
  <si>
    <t>Associated Generation</t>
  </si>
  <si>
    <t>Cost</t>
  </si>
  <si>
    <t>kV</t>
  </si>
  <si>
    <t>(Hours)</t>
  </si>
  <si>
    <t>INPUT DATA AND ASSUMPTIONS</t>
  </si>
  <si>
    <t>Transmission line flow ratings</t>
  </si>
  <si>
    <t>Conversions</t>
  </si>
  <si>
    <t>MH Values</t>
  </si>
  <si>
    <t>Winter/Summer Tranmission Flow Conversion</t>
  </si>
  <si>
    <t>Winter/Summer Transformer Flow Conversion</t>
  </si>
  <si>
    <t>Index</t>
  </si>
  <si>
    <t>Same values used for 63-72 kV</t>
  </si>
  <si>
    <t>Statistics Canada – TABLE 18-10-0005-01,  annual average, not seasonally adjusted</t>
  </si>
  <si>
    <t>Ampacity estimates made from known ratings on existing lines</t>
  </si>
  <si>
    <t>MH estimates provided by David Jacobson in an email of July 30, 2019</t>
  </si>
  <si>
    <t>Nipawin_01</t>
  </si>
  <si>
    <t>Nipawin_02</t>
  </si>
  <si>
    <t>Nipawin_03</t>
  </si>
  <si>
    <t>hydro_run</t>
  </si>
  <si>
    <t>Gen Code</t>
  </si>
  <si>
    <t>SK_QEB10_GEN</t>
  </si>
  <si>
    <t>SK_QEB11_GEN</t>
  </si>
  <si>
    <t>SK_QEB12_GEN</t>
  </si>
  <si>
    <t>SK_BDM_SUB</t>
  </si>
  <si>
    <t>SK_CRY_SUB</t>
  </si>
  <si>
    <t>SK_CCK_SUB</t>
  </si>
  <si>
    <t>SK_EBC_SUB</t>
  </si>
  <si>
    <t>SK_ERM_SUB</t>
  </si>
  <si>
    <t>SK_ISF_SUB</t>
  </si>
  <si>
    <t>SK_LDS_SUB</t>
  </si>
  <si>
    <t>SK_MDL_SUB</t>
  </si>
  <si>
    <t>SK_NIP_SUB</t>
  </si>
  <si>
    <t>SK_QEB_SUB</t>
  </si>
  <si>
    <t>SK_SHD_SUB</t>
  </si>
  <si>
    <t>EXISTING TRANSFORMERS</t>
  </si>
  <si>
    <t>MB-SK Border</t>
  </si>
  <si>
    <t>The Water Power Act</t>
  </si>
  <si>
    <t>SK_BDM_GSS</t>
  </si>
  <si>
    <t>Coal_CCS</t>
  </si>
  <si>
    <t>coalCCS</t>
  </si>
  <si>
    <t>biomass</t>
  </si>
  <si>
    <t>gasCC</t>
  </si>
  <si>
    <t>SK_REG_DSS</t>
  </si>
  <si>
    <t>SK_HWD_DSS</t>
  </si>
  <si>
    <t>SK_URC_DSS</t>
  </si>
  <si>
    <t>SK_SWC_DSS</t>
  </si>
  <si>
    <t>SK_PQA_DSS</t>
  </si>
  <si>
    <t>SK_LDM_DSS</t>
  </si>
  <si>
    <t>SK_TTL_DSS</t>
  </si>
  <si>
    <t>SK_BRA_DSS</t>
  </si>
  <si>
    <t>SK_CND_DSS</t>
  </si>
  <si>
    <t>SK_RUC_DSS</t>
  </si>
  <si>
    <t>SK_WEY_DSS</t>
  </si>
  <si>
    <t>SK_MRS_DSS</t>
  </si>
  <si>
    <t>SK_BCK_DSS</t>
  </si>
  <si>
    <t>SK_ASS_DSS</t>
  </si>
  <si>
    <t>SK_KDY_DSS</t>
  </si>
  <si>
    <t>SK_PBL_DSS</t>
  </si>
  <si>
    <t>Saskatachewan</t>
  </si>
  <si>
    <t>Nodes</t>
  </si>
  <si>
    <t>Characteristics of existing transmission system nodes</t>
  </si>
  <si>
    <t>Distribution</t>
  </si>
  <si>
    <t>Characteristics of existing distribution substations</t>
  </si>
  <si>
    <t>SK_CRY_GSS</t>
  </si>
  <si>
    <t>SK_CCK_GSS</t>
  </si>
  <si>
    <t>SK_EBC_GSS</t>
  </si>
  <si>
    <t>SK_ERM_GSS</t>
  </si>
  <si>
    <t>SK_ISF_GSS</t>
  </si>
  <si>
    <t>SK_LDS_GSS</t>
  </si>
  <si>
    <t>SK_MDL_GSS</t>
  </si>
  <si>
    <t>SK_NIP_GSS</t>
  </si>
  <si>
    <t>SK_BFD_GSS</t>
  </si>
  <si>
    <t>SK_PPR_GSS</t>
  </si>
  <si>
    <t>SK_QEB_GSS</t>
  </si>
  <si>
    <t>SK_RVH_GSS</t>
  </si>
  <si>
    <t>SK_SHD_GSS</t>
  </si>
  <si>
    <t>SK_BTY_DSS</t>
  </si>
  <si>
    <t>SK_CHP_DSS</t>
  </si>
  <si>
    <t>SK_CDT_DSS</t>
  </si>
  <si>
    <t>SK_KLK_DSS</t>
  </si>
  <si>
    <t>SK_PRA_DSS</t>
  </si>
  <si>
    <t>SK_WLV_DSS</t>
  </si>
  <si>
    <t>SK_YKT_DSS</t>
  </si>
  <si>
    <t>SK_BLP_DSS</t>
  </si>
  <si>
    <t>SK_LMS_DSS</t>
  </si>
  <si>
    <t>SK_SNT_DSS</t>
  </si>
  <si>
    <t>SK_TSD_DSS</t>
  </si>
  <si>
    <t>SK_MRS_GSS</t>
  </si>
  <si>
    <t>PP_MBSK02_GEN</t>
  </si>
  <si>
    <t>PP_MBSK03_GEN</t>
  </si>
  <si>
    <t>SK_YLH01_GEN</t>
  </si>
  <si>
    <t>SK_SPH01_GEN</t>
  </si>
  <si>
    <t>SK_PPR01_GEN</t>
  </si>
  <si>
    <t>SK_NIP01_GEN</t>
  </si>
  <si>
    <t>SK_MRD01_GEN</t>
  </si>
  <si>
    <t>SK_ISF01_GEN</t>
  </si>
  <si>
    <t>SK_ERM01_GEN</t>
  </si>
  <si>
    <t>SK_EBC01_GEN</t>
  </si>
  <si>
    <t>SK_CRY01_GEN</t>
  </si>
  <si>
    <t>SK_CCK01_GEN</t>
  </si>
  <si>
    <t>SK_BFD01_GEN</t>
  </si>
  <si>
    <t>SK_YLH02_GEN</t>
  </si>
  <si>
    <t>SK_SPH02_GEN</t>
  </si>
  <si>
    <t>SK_QEB02_GEN</t>
  </si>
  <si>
    <t>SK_PPR02_GEN</t>
  </si>
  <si>
    <t>SK_NIP02_GEN</t>
  </si>
  <si>
    <t>SK_MRD02_GEN</t>
  </si>
  <si>
    <t>SK_ISF02_GEN</t>
  </si>
  <si>
    <t>SK_ERM02_GEN</t>
  </si>
  <si>
    <t>SK_EBC02_GEN</t>
  </si>
  <si>
    <t>SK_CRY02_GEN</t>
  </si>
  <si>
    <t>SK_CCK02_GEN</t>
  </si>
  <si>
    <t>SK_BFD02_GEN</t>
  </si>
  <si>
    <t>SK_YLH03_GEN</t>
  </si>
  <si>
    <t>SK_QEB03_GEN</t>
  </si>
  <si>
    <t>SK_NIP03_GEN</t>
  </si>
  <si>
    <t>SK_MRD03_GEN</t>
  </si>
  <si>
    <t>SK_ISF03_GEN</t>
  </si>
  <si>
    <t>SK_EBC03_GEN</t>
  </si>
  <si>
    <t>SK_CRY03_GEN</t>
  </si>
  <si>
    <t>SK_CCK03_GEN</t>
  </si>
  <si>
    <t>SK_BDM03_GEN</t>
  </si>
  <si>
    <t>SK_QEB04_GEN</t>
  </si>
  <si>
    <t>SK_ISF04_GEN</t>
  </si>
  <si>
    <t>SK_EBC04_GEN</t>
  </si>
  <si>
    <t>SK_QEB05_GEN</t>
  </si>
  <si>
    <t>SK_ISF05_GEN</t>
  </si>
  <si>
    <t>SK_EBC05_GEN</t>
  </si>
  <si>
    <t>SK_QEB06_GEN</t>
  </si>
  <si>
    <t>SK_ISF06_GEN</t>
  </si>
  <si>
    <t>SK_EBC06_GEN</t>
  </si>
  <si>
    <t>SK_BDM06_GEN</t>
  </si>
  <si>
    <t>SK_QEB07_GEN</t>
  </si>
  <si>
    <t>SK_ISF07_GEN</t>
  </si>
  <si>
    <t>SK_EBC07_GEN</t>
  </si>
  <si>
    <t>SK_QEB08_GEN</t>
  </si>
  <si>
    <t>SK_EBC08_GEN</t>
  </si>
  <si>
    <t>SK_QEB09_GEN</t>
  </si>
  <si>
    <t>2018 Rate Application</t>
  </si>
  <si>
    <t>Storage Code</t>
  </si>
  <si>
    <t>Assumed connection point for sales and purchases</t>
  </si>
  <si>
    <t>Operating Region</t>
  </si>
  <si>
    <t>IPT Boundary Dam</t>
  </si>
  <si>
    <t>IPT EB Campbell</t>
  </si>
  <si>
    <t>IPT Island Falls</t>
  </si>
  <si>
    <t>IPT McNeill</t>
  </si>
  <si>
    <t>IPT Tantallon</t>
  </si>
  <si>
    <t>IPT Yorkton</t>
  </si>
  <si>
    <t>AB-SK Border</t>
  </si>
  <si>
    <t>SK-US Border</t>
  </si>
  <si>
    <t>CSS = AC/DC Converter Station</t>
  </si>
  <si>
    <t>DFS = Dual Function Distribution and Generation Substation</t>
  </si>
  <si>
    <t>DSS = Distribution Substation</t>
  </si>
  <si>
    <t>GEN = Generating Unit</t>
  </si>
  <si>
    <t>GSS = Generating Substation</t>
  </si>
  <si>
    <t>INT = International Intertie</t>
  </si>
  <si>
    <t>IPT = Interprovincial Intertie</t>
  </si>
  <si>
    <t>ISS = Industrial Customer Substation</t>
  </si>
  <si>
    <t>SWS = Switching Station</t>
  </si>
  <si>
    <t>TSS = Terminal Station</t>
  </si>
  <si>
    <t>Canada Energy Regulator</t>
  </si>
  <si>
    <t>International Power Lines Dashboard</t>
  </si>
  <si>
    <t>https://www.cer-rec.gc.ca/en/data-analysis/facilities-we-regulate/international-power-lines-dashboard/index.html</t>
  </si>
  <si>
    <t>Canada</t>
  </si>
  <si>
    <t>Saskpower reports US to SK  summer capacity = winter capacity = 80 MW</t>
  </si>
  <si>
    <t>Reported capacities are export capacities only</t>
  </si>
  <si>
    <t>SK_AWS00_GEN</t>
  </si>
  <si>
    <t>SK_BLH00_GEN</t>
  </si>
  <si>
    <t>SK_CTN00_GEN</t>
  </si>
  <si>
    <t>SK_CHL00_GEN</t>
  </si>
  <si>
    <t>SK_CHN00_GEN</t>
  </si>
  <si>
    <t>SK_CYP00_GEN</t>
  </si>
  <si>
    <t>SK_FXT00_GEN</t>
  </si>
  <si>
    <t>SK_GST00_GEN</t>
  </si>
  <si>
    <t>SK_GTP00_GEN</t>
  </si>
  <si>
    <t>SK_HFL00_GEN</t>
  </si>
  <si>
    <t>SK_LDS00_GEN</t>
  </si>
  <si>
    <t>SK_MDL00_GEN</t>
  </si>
  <si>
    <t>SK_MRS00_GEN</t>
  </si>
  <si>
    <t>SK_NRGA00_GEN</t>
  </si>
  <si>
    <t>SK_NRGE00_GEN</t>
  </si>
  <si>
    <t>SK_NRGK00_GEN</t>
  </si>
  <si>
    <t>SK_NRGL00_GEN</t>
  </si>
  <si>
    <t>SK_PSK00_GEN</t>
  </si>
  <si>
    <t>PP_MBSK00_GEN</t>
  </si>
  <si>
    <t>SK_QEB00_GEN</t>
  </si>
  <si>
    <t>SK_RDL00_GEN</t>
  </si>
  <si>
    <t>SK_RVH00_GEN</t>
  </si>
  <si>
    <t>SK_SHD00_GEN</t>
  </si>
  <si>
    <t>SK_SNB00_GEN</t>
  </si>
  <si>
    <t>SK_WTL00_GEN</t>
  </si>
  <si>
    <t>SK_WLL00_GEN</t>
  </si>
  <si>
    <t>SK_WSL00_GEN</t>
  </si>
  <si>
    <t>Tazi Twé Hydroelectric Project</t>
  </si>
  <si>
    <t>SaskPower/ATCO Power</t>
  </si>
  <si>
    <t>gasSC</t>
  </si>
  <si>
    <t>HYDROELECTRIC PUIMPED STORAGE</t>
  </si>
  <si>
    <t>Existing Design</t>
  </si>
  <si>
    <t>Reservoir Design</t>
  </si>
  <si>
    <t>Costs</t>
  </si>
  <si>
    <t>Pumped Storage Project</t>
  </si>
  <si>
    <t>Project Code</t>
  </si>
  <si>
    <t>Distance to Market Grid</t>
  </si>
  <si>
    <t>Estimated Round Trip Efficiency</t>
  </si>
  <si>
    <t>Reservoir Storage</t>
  </si>
  <si>
    <t>Design Flow (Pumping)</t>
  </si>
  <si>
    <t>Pump Type</t>
  </si>
  <si>
    <t>Efficient Pumping Capacity Duration</t>
  </si>
  <si>
    <t>Total Capital Cost</t>
  </si>
  <si>
    <t>Assume extended to 2050</t>
  </si>
  <si>
    <t>See the Hourly  folder</t>
  </si>
  <si>
    <t>Operational in 2021</t>
  </si>
  <si>
    <t>Line Length</t>
  </si>
  <si>
    <t>Line Segment Length</t>
  </si>
  <si>
    <t>IPP contract durations presumed to be: all fossil fuel - 30 years; hydroelectric run-of-river - 40 years; wind - 20 years; solar 20 years; storage - 20 years; biomass - 30 years; biogas - 15 years; all renewals same duration as initial contract</t>
  </si>
  <si>
    <t>Non-IPP project economic lives presumed to be: all fossil fuel - 30 years; nuclear - 50 years + 40 years per renewal; storage (including pumped) hydroelectric - 70 years + 40 years per renewal; hydroelectric run-of-river - 40 years; wind - 20 years; solar 20 years; storage - 20 years; biomass - 30 years; biogas - 15 years; all renewals same as initial project, unless indicated</t>
  </si>
  <si>
    <t>Multi-unit hydro_run facilities treated as single-unit facilities</t>
  </si>
  <si>
    <t>BLANK</t>
  </si>
  <si>
    <t>Separates included from excluded tabs in CODERS</t>
  </si>
  <si>
    <t>Data under review</t>
  </si>
  <si>
    <t>all other colours are linked to references</t>
  </si>
  <si>
    <t>2026-2036</t>
  </si>
  <si>
    <t>2026-2036 Rate</t>
  </si>
  <si>
    <t>GWh/y</t>
  </si>
  <si>
    <t>FORECAST ANNUAL ENERGY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</si>
</sst>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0.0000"/>
    <numFmt numFmtId="166" formatCode="#,##0.000000"/>
    <numFmt numFmtId="167" formatCode="0.0000"/>
    <numFmt numFmtId="168" formatCode="#,##0.0"/>
    <numFmt numFmtId="169" formatCode="#,##0.0000000000"/>
  </numFmts>
  <fonts count="35" x14ac:knownFonts="1">
    <font>
      <sz val="12"/>
      <color theme="1"/>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u/>
      <sz val="11"/>
      <color theme="10"/>
      <name val="Calibri"/>
      <family val="2"/>
      <scheme val="minor"/>
    </font>
    <font>
      <sz val="12"/>
      <name val="Calibri"/>
      <family val="2"/>
    </font>
    <font>
      <sz val="12"/>
      <color rgb="FF000000"/>
      <name val="Calibri"/>
      <family val="2"/>
    </font>
    <font>
      <sz val="14"/>
      <color theme="1"/>
      <name val="Calibri"/>
      <family val="2"/>
      <scheme val="minor"/>
    </font>
    <font>
      <sz val="12"/>
      <color theme="1"/>
      <name val="Calibri"/>
      <family val="2"/>
    </font>
    <font>
      <sz val="11"/>
      <name val="Arial"/>
      <family val="2"/>
    </font>
    <font>
      <sz val="14"/>
      <name val="Calibri"/>
      <family val="2"/>
    </font>
    <font>
      <sz val="14"/>
      <color rgb="FF000000"/>
      <name val="Calibri"/>
      <family val="2"/>
    </font>
    <font>
      <sz val="14"/>
      <color theme="1"/>
      <name val="Calibri (Body)"/>
    </font>
    <font>
      <b/>
      <sz val="14"/>
      <color rgb="FFFF0000"/>
      <name val="Calibri"/>
      <family val="2"/>
      <scheme val="minor"/>
    </font>
    <font>
      <sz val="14"/>
      <color theme="1"/>
      <name val="Helvetica"/>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sz val="12"/>
      <color rgb="FFFA7D00"/>
      <name val="Calibri"/>
      <family val="2"/>
      <scheme val="minor"/>
    </font>
    <font>
      <i/>
      <sz val="12"/>
      <color rgb="FF7F7F7F"/>
      <name val="Calibri"/>
      <family val="2"/>
      <scheme val="minor"/>
    </font>
    <font>
      <sz val="12"/>
      <color theme="0"/>
      <name val="Calibri"/>
      <family val="2"/>
      <scheme val="minor"/>
    </font>
    <font>
      <b/>
      <sz val="14"/>
      <color rgb="FF000000"/>
      <name val="Calibri"/>
      <family val="2"/>
      <scheme val="minor"/>
    </font>
    <font>
      <sz val="14"/>
      <name val="Calibri"/>
      <family val="2"/>
      <scheme val="minor"/>
    </font>
    <font>
      <sz val="14"/>
      <color theme="1"/>
      <name val="Calibri"/>
      <family val="2"/>
    </font>
    <font>
      <sz val="14"/>
      <color rgb="FF000000"/>
      <name val="Calibri"/>
      <family val="2"/>
      <scheme val="minor"/>
    </font>
    <font>
      <sz val="8"/>
      <name val="Calibri"/>
      <family val="2"/>
      <scheme val="minor"/>
    </font>
    <font>
      <b/>
      <sz val="12"/>
      <name val="Calibri"/>
      <family val="2"/>
      <scheme val="minor"/>
    </font>
  </fonts>
  <fills count="7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gray125">
        <fgColor theme="0" tint="-0.14996795556505021"/>
        <bgColor indexed="65"/>
      </patternFill>
    </fill>
    <fill>
      <patternFill patternType="solid">
        <fgColor theme="6" tint="0.39997558519241921"/>
        <bgColor indexed="64"/>
      </patternFill>
    </fill>
    <fill>
      <patternFill patternType="solid">
        <fgColor theme="4"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patternFill>
    </fill>
    <fill>
      <patternFill patternType="solid">
        <fgColor theme="5" tint="-0.249977111117893"/>
        <bgColor indexed="64"/>
      </patternFill>
    </fill>
    <fill>
      <patternFill patternType="solid">
        <fgColor theme="6" tint="-0.249977111117893"/>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7" tint="-0.249977111117893"/>
        <bgColor indexed="64"/>
      </patternFill>
    </fill>
    <fill>
      <patternFill patternType="solid">
        <fgColor theme="4" tint="0.59999389629810485"/>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bgColor indexed="64"/>
      </patternFill>
    </fill>
    <fill>
      <patternFill patternType="solid">
        <fgColor theme="5"/>
        <bgColor indexed="64"/>
      </patternFill>
    </fill>
    <fill>
      <patternFill patternType="solid">
        <fgColor theme="9" tint="0.59999389629810485"/>
        <bgColor indexed="64"/>
      </patternFill>
    </fill>
    <fill>
      <patternFill patternType="solid">
        <fgColor theme="6"/>
        <bgColor indexed="64"/>
      </patternFill>
    </fill>
    <fill>
      <patternFill patternType="solid">
        <fgColor theme="7"/>
        <bgColor indexed="64"/>
      </patternFill>
    </fill>
    <fill>
      <patternFill patternType="solid">
        <fgColor theme="9"/>
        <bgColor indexed="64"/>
      </patternFill>
    </fill>
    <fill>
      <patternFill patternType="solid">
        <fgColor theme="6" tint="0.59999389629810485"/>
        <bgColor indexed="64"/>
      </patternFill>
    </fill>
    <fill>
      <patternFill patternType="solid">
        <fgColor theme="8"/>
        <bgColor indexed="64"/>
      </patternFill>
    </fill>
    <fill>
      <patternFill patternType="solid">
        <fgColor rgb="FF0070C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75">
    <xf numFmtId="3" fontId="0" fillId="0" borderId="0">
      <alignment horizontal="right" vertical="center"/>
    </xf>
    <xf numFmtId="0" fontId="8" fillId="0" borderId="0"/>
    <xf numFmtId="0" fontId="5" fillId="0" borderId="0" applyNumberFormat="0" applyFill="0" applyBorder="0" applyAlignment="0" applyProtection="0"/>
    <xf numFmtId="1" fontId="29" fillId="0" borderId="9">
      <alignment horizontal="center" vertical="center" wrapText="1"/>
    </xf>
    <xf numFmtId="1" fontId="14" fillId="11" borderId="9">
      <alignment horizontal="center" vertical="center"/>
    </xf>
    <xf numFmtId="0" fontId="14" fillId="0" borderId="0" applyNumberFormat="0" applyFill="0" applyBorder="0" applyAlignment="0" applyProtection="0"/>
    <xf numFmtId="43" fontId="16" fillId="0" borderId="0" applyFont="0" applyFill="0" applyBorder="0" applyAlignment="0" applyProtection="0"/>
    <xf numFmtId="41" fontId="16" fillId="0" borderId="0" applyFon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10" fontId="16" fillId="0" borderId="0" applyFont="0" applyFill="0" applyBorder="0" applyAlignment="0" applyProtection="0"/>
    <xf numFmtId="0" fontId="17" fillId="0" borderId="0" applyNumberFormat="0" applyFill="0" applyBorder="0" applyAlignment="0" applyProtection="0"/>
    <xf numFmtId="0" fontId="18" fillId="0" borderId="1" applyNumberFormat="0" applyFill="0" applyAlignment="0" applyProtection="0"/>
    <xf numFmtId="0" fontId="19" fillId="0" borderId="2" applyNumberFormat="0" applyFill="0" applyAlignment="0" applyProtection="0"/>
    <xf numFmtId="0" fontId="20" fillId="0" borderId="3" applyNumberFormat="0" applyFill="0" applyAlignment="0" applyProtection="0"/>
    <xf numFmtId="0" fontId="20" fillId="0" borderId="0" applyNumberFormat="0" applyFill="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4" applyNumberFormat="0" applyAlignment="0" applyProtection="0"/>
    <xf numFmtId="0" fontId="25" fillId="18" borderId="5" applyNumberFormat="0" applyAlignment="0" applyProtection="0"/>
    <xf numFmtId="0" fontId="26" fillId="0" borderId="6" applyNumberFormat="0" applyFill="0" applyAlignment="0" applyProtection="0"/>
    <xf numFmtId="0" fontId="4" fillId="44" borderId="9" applyNumberFormat="0" applyAlignment="0" applyProtection="0"/>
    <xf numFmtId="0" fontId="16" fillId="19" borderId="7" applyNumberFormat="0" applyFont="0" applyAlignment="0" applyProtection="0"/>
    <xf numFmtId="0" fontId="27" fillId="0" borderId="0" applyNumberFormat="0" applyFill="0" applyBorder="0" applyAlignment="0" applyProtection="0"/>
    <xf numFmtId="0" fontId="2" fillId="0" borderId="8" applyNumberFormat="0" applyFill="0" applyAlignment="0" applyProtection="0"/>
    <xf numFmtId="0" fontId="28"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8"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8"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8"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8"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28"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10" fontId="30" fillId="0" borderId="9">
      <alignment horizontal="right" vertical="center"/>
    </xf>
    <xf numFmtId="0" fontId="11" fillId="0" borderId="9">
      <alignment horizontal="left" vertical="center" wrapText="1"/>
    </xf>
    <xf numFmtId="0" fontId="11" fillId="0" borderId="9">
      <alignment horizontal="center" vertical="center" wrapText="1"/>
    </xf>
    <xf numFmtId="3" fontId="3" fillId="0" borderId="0">
      <alignment horizontal="left" vertical="center"/>
    </xf>
    <xf numFmtId="0" fontId="5" fillId="0" borderId="0" applyNumberFormat="0" applyFill="0" applyBorder="0" applyAlignment="0" applyProtection="0"/>
    <xf numFmtId="3" fontId="8" fillId="0" borderId="9">
      <alignment horizontal="right" vertical="center"/>
    </xf>
    <xf numFmtId="0" fontId="4" fillId="0" borderId="0">
      <alignment vertical="center"/>
    </xf>
    <xf numFmtId="0" fontId="11" fillId="0" borderId="9">
      <alignment horizontal="right" vertical="center" wrapText="1"/>
    </xf>
    <xf numFmtId="3" fontId="3" fillId="0" borderId="9">
      <alignment horizontal="left" vertical="center"/>
    </xf>
    <xf numFmtId="4" fontId="8" fillId="0" borderId="9">
      <alignment horizontal="right" vertical="center"/>
    </xf>
    <xf numFmtId="10" fontId="8" fillId="0" borderId="9" applyFill="0" applyAlignment="0" applyProtection="0"/>
    <xf numFmtId="165" fontId="8" fillId="0" borderId="9">
      <alignment horizontal="right" vertical="center"/>
    </xf>
    <xf numFmtId="166" fontId="8" fillId="0" borderId="9">
      <alignment horizontal="right" vertical="center"/>
    </xf>
    <xf numFmtId="2" fontId="14" fillId="11" borderId="9">
      <alignment vertical="center"/>
    </xf>
    <xf numFmtId="0" fontId="4" fillId="0" borderId="0">
      <alignment vertical="center"/>
    </xf>
    <xf numFmtId="167" fontId="14" fillId="11" borderId="9">
      <alignment vertical="center"/>
    </xf>
    <xf numFmtId="3" fontId="1" fillId="0" borderId="0">
      <alignment horizontal="right" vertical="center"/>
    </xf>
    <xf numFmtId="0" fontId="4" fillId="0" borderId="0">
      <alignment vertical="center"/>
    </xf>
    <xf numFmtId="3" fontId="8" fillId="0" borderId="9">
      <alignment horizontal="right" vertical="center"/>
    </xf>
    <xf numFmtId="1" fontId="14" fillId="11" borderId="9">
      <alignment vertical="center"/>
    </xf>
    <xf numFmtId="168" fontId="8" fillId="0" borderId="9">
      <alignment horizontal="right" vertical="center"/>
    </xf>
    <xf numFmtId="169" fontId="8" fillId="0" borderId="9">
      <alignment horizontal="right" vertical="center"/>
    </xf>
    <xf numFmtId="10" fontId="8" fillId="0" borderId="9" applyFill="0" applyAlignment="0" applyProtection="0"/>
    <xf numFmtId="0" fontId="11" fillId="0" borderId="9">
      <alignment horizontal="left" vertical="center" wrapText="1"/>
    </xf>
    <xf numFmtId="0" fontId="11" fillId="0" borderId="9">
      <alignment horizontal="center" vertical="center" wrapText="1"/>
    </xf>
  </cellStyleXfs>
  <cellXfs count="244">
    <xf numFmtId="3" fontId="0" fillId="0" borderId="0" xfId="0">
      <alignment horizontal="right" vertical="center"/>
    </xf>
    <xf numFmtId="0" fontId="11" fillId="51" borderId="9" xfId="51" applyFill="1">
      <alignment horizontal="left" vertical="center" wrapText="1"/>
    </xf>
    <xf numFmtId="3" fontId="8" fillId="59" borderId="9" xfId="55" applyFill="1">
      <alignment horizontal="right" vertical="center"/>
    </xf>
    <xf numFmtId="0" fontId="2" fillId="0" borderId="0" xfId="1" applyFont="1" applyAlignment="1">
      <alignment horizontal="center" vertical="center" wrapText="1"/>
    </xf>
    <xf numFmtId="0" fontId="8" fillId="0" borderId="0" xfId="1"/>
    <xf numFmtId="0" fontId="2" fillId="0" borderId="0" xfId="1" applyFont="1" applyAlignment="1">
      <alignment horizontal="center"/>
    </xf>
    <xf numFmtId="0" fontId="8" fillId="0" borderId="0" xfId="1" applyAlignment="1">
      <alignment horizontal="center"/>
    </xf>
    <xf numFmtId="1" fontId="6" fillId="0" borderId="0" xfId="3" applyFont="1" applyBorder="1" applyAlignment="1">
      <alignment horizontal="left" vertical="top" wrapText="1"/>
    </xf>
    <xf numFmtId="1" fontId="6" fillId="0" borderId="0" xfId="3" applyFont="1" applyBorder="1" applyAlignment="1">
      <alignment horizontal="center" vertical="top" wrapText="1"/>
    </xf>
    <xf numFmtId="0" fontId="2" fillId="0" borderId="0" xfId="1" applyFont="1" applyAlignment="1">
      <alignment horizontal="center" wrapText="1"/>
    </xf>
    <xf numFmtId="3" fontId="0" fillId="0" borderId="0" xfId="0" applyAlignment="1"/>
    <xf numFmtId="3" fontId="4" fillId="0" borderId="0" xfId="0" applyFont="1" applyAlignment="1"/>
    <xf numFmtId="1" fontId="11" fillId="0" borderId="0" xfId="3" applyFont="1" applyBorder="1" applyAlignment="1">
      <alignment horizontal="left" vertical="top" wrapText="1"/>
    </xf>
    <xf numFmtId="1" fontId="11" fillId="0" borderId="0" xfId="3" applyFont="1" applyBorder="1" applyAlignment="1">
      <alignment horizontal="center" vertical="top" wrapText="1"/>
    </xf>
    <xf numFmtId="3" fontId="8" fillId="0" borderId="0" xfId="0" applyFont="1" applyAlignment="1"/>
    <xf numFmtId="0" fontId="3" fillId="0" borderId="0" xfId="1" applyFont="1" applyAlignment="1">
      <alignment horizontal="center" vertical="center"/>
    </xf>
    <xf numFmtId="0" fontId="1" fillId="0" borderId="0" xfId="1" applyFont="1"/>
    <xf numFmtId="1" fontId="29" fillId="0" borderId="9" xfId="3">
      <alignment horizontal="center" vertical="center" wrapText="1"/>
    </xf>
    <xf numFmtId="0" fontId="11" fillId="0" borderId="9" xfId="51">
      <alignment horizontal="left" vertical="center" wrapText="1"/>
    </xf>
    <xf numFmtId="0" fontId="11" fillId="8" borderId="9" xfId="52" applyFill="1">
      <alignment horizontal="center" vertical="center" wrapText="1"/>
    </xf>
    <xf numFmtId="0" fontId="11" fillId="10" borderId="9" xfId="52" applyFill="1">
      <alignment horizontal="center" vertical="center" wrapText="1"/>
    </xf>
    <xf numFmtId="3" fontId="3" fillId="0" borderId="0" xfId="53">
      <alignment horizontal="left" vertical="center"/>
    </xf>
    <xf numFmtId="1" fontId="29" fillId="4" borderId="9" xfId="3" applyFill="1">
      <alignment horizontal="center" vertical="center" wrapText="1"/>
    </xf>
    <xf numFmtId="1" fontId="29" fillId="2" borderId="9" xfId="3" applyFill="1">
      <alignment horizontal="center" vertical="center" wrapText="1"/>
    </xf>
    <xf numFmtId="0" fontId="3" fillId="0" borderId="0" xfId="1" applyFont="1" applyAlignment="1">
      <alignment horizontal="left" wrapText="1"/>
    </xf>
    <xf numFmtId="0" fontId="4" fillId="0" borderId="0" xfId="1" applyFont="1" applyAlignment="1">
      <alignment horizontal="right"/>
    </xf>
    <xf numFmtId="0" fontId="1" fillId="0" borderId="0" xfId="1" applyFont="1" applyAlignment="1">
      <alignment horizontal="center"/>
    </xf>
    <xf numFmtId="0" fontId="4" fillId="0" borderId="0" xfId="1" applyFont="1"/>
    <xf numFmtId="0" fontId="1" fillId="0" borderId="0" xfId="1" applyFont="1" applyAlignment="1">
      <alignment horizontal="right" vertical="center"/>
    </xf>
    <xf numFmtId="0" fontId="1" fillId="0" borderId="0" xfId="1" applyFont="1" applyAlignment="1">
      <alignment horizontal="center" vertical="center"/>
    </xf>
    <xf numFmtId="3" fontId="2" fillId="0" borderId="0" xfId="0" applyFont="1" applyAlignment="1">
      <alignment horizontal="center"/>
    </xf>
    <xf numFmtId="3" fontId="6" fillId="0" borderId="0" xfId="0" applyFont="1" applyAlignment="1">
      <alignment horizontal="left" vertical="top" wrapText="1"/>
    </xf>
    <xf numFmtId="3" fontId="6" fillId="0" borderId="0" xfId="0" applyFont="1" applyAlignment="1">
      <alignment horizontal="center" vertical="top" wrapText="1"/>
    </xf>
    <xf numFmtId="3" fontId="0" fillId="0" borderId="0" xfId="0">
      <alignment horizontal="right" vertical="center"/>
    </xf>
    <xf numFmtId="1" fontId="7" fillId="0" borderId="0" xfId="0" applyNumberFormat="1" applyFont="1" applyAlignment="1">
      <alignment horizontal="right" vertical="top" shrinkToFit="1"/>
    </xf>
    <xf numFmtId="3" fontId="7" fillId="0" borderId="0" xfId="0" applyFont="1" applyAlignment="1">
      <alignment horizontal="right" vertical="top" shrinkToFit="1"/>
    </xf>
    <xf numFmtId="3" fontId="6" fillId="0" borderId="0" xfId="0" applyFont="1" applyAlignment="1">
      <alignment horizontal="right" vertical="top" wrapText="1"/>
    </xf>
    <xf numFmtId="0" fontId="8" fillId="0" borderId="0" xfId="1" applyAlignment="1">
      <alignment horizontal="right" vertical="center"/>
    </xf>
    <xf numFmtId="0" fontId="8" fillId="0" borderId="0" xfId="1" applyAlignment="1">
      <alignment horizontal="center" vertical="center"/>
    </xf>
    <xf numFmtId="1" fontId="12" fillId="0" borderId="0" xfId="0" applyNumberFormat="1" applyFont="1" applyAlignment="1">
      <alignment horizontal="right" vertical="top" shrinkToFit="1"/>
    </xf>
    <xf numFmtId="3" fontId="8" fillId="0" borderId="0" xfId="0" applyFont="1" applyAlignment="1">
      <alignment horizontal="center"/>
    </xf>
    <xf numFmtId="3" fontId="11" fillId="0" borderId="0" xfId="0" applyFont="1" applyAlignment="1">
      <alignment horizontal="center" vertical="top" wrapText="1"/>
    </xf>
    <xf numFmtId="3" fontId="6" fillId="0" borderId="0" xfId="0" applyFont="1" applyAlignment="1">
      <alignment horizontal="center" vertical="top" wrapText="1"/>
    </xf>
    <xf numFmtId="2" fontId="7" fillId="0" borderId="0" xfId="0" applyNumberFormat="1" applyFont="1" applyAlignment="1">
      <alignment horizontal="right" vertical="top" shrinkToFit="1"/>
    </xf>
    <xf numFmtId="164" fontId="7" fillId="0" borderId="0" xfId="0" applyNumberFormat="1" applyFont="1" applyAlignment="1">
      <alignment horizontal="right" vertical="top" shrinkToFit="1"/>
    </xf>
    <xf numFmtId="0" fontId="1" fillId="0" borderId="0" xfId="1" applyFont="1" applyAlignment="1">
      <alignment horizontal="right"/>
    </xf>
    <xf numFmtId="0" fontId="11" fillId="0" borderId="9" xfId="52">
      <alignment horizontal="center" vertical="center" wrapText="1"/>
    </xf>
    <xf numFmtId="3" fontId="4" fillId="0" borderId="0" xfId="0" applyFont="1">
      <alignment horizontal="right" vertical="center"/>
    </xf>
    <xf numFmtId="3" fontId="0" fillId="0" borderId="0" xfId="0">
      <alignment horizontal="right" vertical="center"/>
    </xf>
    <xf numFmtId="3" fontId="0" fillId="0" borderId="0" xfId="0" applyAlignment="1">
      <alignment horizontal="center"/>
    </xf>
    <xf numFmtId="3" fontId="0" fillId="0" borderId="0" xfId="0" applyAlignment="1">
      <alignment horizontal="right"/>
    </xf>
    <xf numFmtId="3" fontId="8" fillId="0" borderId="0" xfId="0" applyFont="1">
      <alignment horizontal="right" vertical="center"/>
    </xf>
    <xf numFmtId="3" fontId="8" fillId="3" borderId="0" xfId="0" applyFont="1" applyFill="1">
      <alignment horizontal="right" vertical="center"/>
    </xf>
    <xf numFmtId="3" fontId="0" fillId="0" borderId="0" xfId="0">
      <alignment horizontal="right" vertical="center"/>
    </xf>
    <xf numFmtId="3" fontId="9" fillId="0" borderId="0" xfId="0" applyFont="1">
      <alignment horizontal="right" vertical="center"/>
    </xf>
    <xf numFmtId="3" fontId="9" fillId="0" borderId="0" xfId="0" applyFont="1" applyAlignment="1">
      <alignment horizontal="center"/>
    </xf>
    <xf numFmtId="4" fontId="9" fillId="0" borderId="0" xfId="0" applyNumberFormat="1" applyFont="1">
      <alignment horizontal="right" vertical="center"/>
    </xf>
    <xf numFmtId="3" fontId="9" fillId="0" borderId="0" xfId="0" applyFont="1">
      <alignment horizontal="right" vertical="center"/>
    </xf>
    <xf numFmtId="3" fontId="9" fillId="0" borderId="0" xfId="0" applyFont="1">
      <alignment horizontal="right" vertical="center"/>
    </xf>
    <xf numFmtId="4" fontId="9" fillId="0" borderId="0" xfId="0" applyNumberFormat="1" applyFont="1">
      <alignment horizontal="right" vertical="center"/>
    </xf>
    <xf numFmtId="164" fontId="15" fillId="0" borderId="0" xfId="0" applyNumberFormat="1" applyFont="1">
      <alignment horizontal="right" vertical="center"/>
    </xf>
    <xf numFmtId="3" fontId="0" fillId="0" borderId="0" xfId="0" applyAlignment="1">
      <alignment horizontal="right"/>
    </xf>
    <xf numFmtId="1" fontId="8" fillId="0" borderId="0" xfId="0" applyNumberFormat="1" applyFont="1">
      <alignment horizontal="right" vertical="center"/>
    </xf>
    <xf numFmtId="3" fontId="3" fillId="0" borderId="0" xfId="0" applyFont="1" applyAlignment="1">
      <alignment horizontal="center"/>
    </xf>
    <xf numFmtId="3" fontId="8" fillId="2" borderId="0" xfId="0" applyFont="1" applyFill="1" applyAlignment="1"/>
    <xf numFmtId="3" fontId="8" fillId="4" borderId="0" xfId="0" applyFont="1" applyFill="1" applyAlignment="1"/>
    <xf numFmtId="3" fontId="8" fillId="3" borderId="0" xfId="0" applyFont="1" applyFill="1" applyAlignment="1"/>
    <xf numFmtId="3" fontId="8" fillId="0" borderId="9" xfId="55">
      <alignment horizontal="right" vertical="center"/>
    </xf>
    <xf numFmtId="0" fontId="4" fillId="0" borderId="0" xfId="56">
      <alignment vertical="center"/>
    </xf>
    <xf numFmtId="3" fontId="8" fillId="8" borderId="9" xfId="55" applyFill="1">
      <alignment horizontal="right" vertical="center"/>
    </xf>
    <xf numFmtId="3" fontId="8" fillId="10" borderId="9" xfId="55" applyFill="1">
      <alignment horizontal="right" vertical="center"/>
    </xf>
    <xf numFmtId="1" fontId="29" fillId="0" borderId="9" xfId="3" quotePrefix="1">
      <alignment horizontal="center" vertical="center" wrapText="1"/>
    </xf>
    <xf numFmtId="3" fontId="8" fillId="7" borderId="9" xfId="55" applyFill="1">
      <alignment horizontal="right" vertical="center"/>
    </xf>
    <xf numFmtId="0" fontId="11" fillId="0" borderId="9" xfId="57">
      <alignment horizontal="right" vertical="center" wrapText="1"/>
    </xf>
    <xf numFmtId="10" fontId="30" fillId="0" borderId="9" xfId="50">
      <alignment horizontal="right" vertical="center"/>
    </xf>
    <xf numFmtId="1" fontId="29" fillId="0" borderId="9" xfId="3" applyFill="1">
      <alignment horizontal="center" vertical="center" wrapText="1"/>
    </xf>
    <xf numFmtId="3" fontId="1" fillId="0" borderId="0" xfId="0" applyFont="1" applyAlignment="1"/>
    <xf numFmtId="1" fontId="11" fillId="0" borderId="0" xfId="3" applyFont="1" applyBorder="1" applyAlignment="1">
      <alignment horizontal="left" vertical="top"/>
    </xf>
    <xf numFmtId="3" fontId="8" fillId="6" borderId="9" xfId="55" applyFill="1">
      <alignment horizontal="right" vertical="center"/>
    </xf>
    <xf numFmtId="0" fontId="11" fillId="8" borderId="9" xfId="51" applyFill="1">
      <alignment horizontal="left" vertical="center" wrapText="1"/>
    </xf>
    <xf numFmtId="0" fontId="11" fillId="10" borderId="9" xfId="51" applyFill="1">
      <alignment horizontal="left" vertical="center" wrapText="1"/>
    </xf>
    <xf numFmtId="0" fontId="1" fillId="0" borderId="0" xfId="1" applyFont="1" applyAlignment="1">
      <alignment horizontal="left" vertical="center" wrapText="1"/>
    </xf>
    <xf numFmtId="10" fontId="0" fillId="0" borderId="0" xfId="0" applyNumberFormat="1" applyAlignment="1"/>
    <xf numFmtId="3" fontId="3" fillId="0" borderId="0" xfId="0" applyFont="1" applyAlignment="1"/>
    <xf numFmtId="3" fontId="8" fillId="45" borderId="9" xfId="55" applyFill="1">
      <alignment horizontal="right" vertical="center"/>
    </xf>
    <xf numFmtId="0" fontId="1" fillId="0" borderId="0" xfId="1" applyFont="1" applyFill="1" applyAlignment="1">
      <alignment horizontal="center"/>
    </xf>
    <xf numFmtId="3" fontId="8" fillId="0" borderId="9" xfId="55" applyFill="1">
      <alignment horizontal="right" vertical="center"/>
    </xf>
    <xf numFmtId="0" fontId="1" fillId="0" borderId="0" xfId="1" applyFont="1" applyFill="1" applyAlignment="1">
      <alignment horizontal="center" vertical="center"/>
    </xf>
    <xf numFmtId="0" fontId="8" fillId="0" borderId="0" xfId="1" applyFill="1" applyAlignment="1">
      <alignment horizontal="center" vertical="center"/>
    </xf>
    <xf numFmtId="3" fontId="0" fillId="0" borderId="0" xfId="0" applyFill="1">
      <alignment horizontal="right" vertical="center"/>
    </xf>
    <xf numFmtId="1" fontId="14" fillId="0" borderId="9" xfId="4" applyFill="1">
      <alignment horizontal="center" vertical="center"/>
    </xf>
    <xf numFmtId="1" fontId="29" fillId="3" borderId="9" xfId="3" applyFill="1">
      <alignment horizontal="center" vertical="center" wrapText="1"/>
    </xf>
    <xf numFmtId="0" fontId="11" fillId="0" borderId="9" xfId="51" applyFill="1">
      <alignment horizontal="left" vertical="center" wrapText="1"/>
    </xf>
    <xf numFmtId="0" fontId="11" fillId="0" borderId="9" xfId="52" applyFill="1">
      <alignment horizontal="center" vertical="center" wrapText="1"/>
    </xf>
    <xf numFmtId="3" fontId="1" fillId="0" borderId="0" xfId="1" applyNumberFormat="1" applyFont="1" applyAlignment="1">
      <alignment horizontal="right" vertical="center"/>
    </xf>
    <xf numFmtId="3" fontId="3" fillId="0" borderId="9" xfId="58">
      <alignment horizontal="left" vertical="center"/>
    </xf>
    <xf numFmtId="4" fontId="8" fillId="0" borderId="9" xfId="59">
      <alignment horizontal="right" vertical="center"/>
    </xf>
    <xf numFmtId="4" fontId="8" fillId="13" borderId="9" xfId="59" applyFill="1">
      <alignment horizontal="right" vertical="center"/>
    </xf>
    <xf numFmtId="10" fontId="8" fillId="0" borderId="9" xfId="60" applyAlignment="1">
      <alignment horizontal="right" vertical="center"/>
    </xf>
    <xf numFmtId="0" fontId="2" fillId="0" borderId="0" xfId="1" applyFont="1" applyAlignment="1">
      <alignment horizontal="center" vertical="center"/>
    </xf>
    <xf numFmtId="0" fontId="1" fillId="0" borderId="0" xfId="1" applyFont="1" applyFill="1"/>
    <xf numFmtId="4" fontId="8" fillId="0" borderId="9" xfId="59" applyFill="1">
      <alignment horizontal="right" vertical="center"/>
    </xf>
    <xf numFmtId="0" fontId="11" fillId="0" borderId="10" xfId="57" applyBorder="1">
      <alignment horizontal="right" vertical="center" wrapText="1"/>
    </xf>
    <xf numFmtId="0" fontId="11" fillId="0" borderId="10" xfId="52" applyBorder="1">
      <alignment horizontal="center" vertical="center" wrapText="1"/>
    </xf>
    <xf numFmtId="10" fontId="0" fillId="0" borderId="0" xfId="0" applyNumberFormat="1">
      <alignment horizontal="right" vertical="center"/>
    </xf>
    <xf numFmtId="3" fontId="8" fillId="46" borderId="9" xfId="55" applyFill="1">
      <alignment horizontal="right" vertical="center"/>
    </xf>
    <xf numFmtId="0" fontId="11" fillId="13" borderId="9" xfId="52" applyFill="1">
      <alignment horizontal="center" vertical="center" wrapText="1"/>
    </xf>
    <xf numFmtId="3" fontId="3" fillId="4" borderId="9" xfId="58" applyFill="1">
      <alignment horizontal="left" vertical="center"/>
    </xf>
    <xf numFmtId="3" fontId="10" fillId="0" borderId="0" xfId="0" applyFont="1">
      <alignment horizontal="right" vertical="center"/>
    </xf>
    <xf numFmtId="1" fontId="14" fillId="11" borderId="9" xfId="4">
      <alignment horizontal="center" vertical="center"/>
    </xf>
    <xf numFmtId="3" fontId="8" fillId="13" borderId="9" xfId="55" applyFill="1">
      <alignment horizontal="right" vertical="center"/>
    </xf>
    <xf numFmtId="0" fontId="2" fillId="0" borderId="0" xfId="1" applyFont="1" applyFill="1" applyAlignment="1">
      <alignment horizontal="center" wrapText="1"/>
    </xf>
    <xf numFmtId="1" fontId="11" fillId="0" borderId="0" xfId="3" applyFont="1" applyFill="1" applyBorder="1" applyAlignment="1">
      <alignment horizontal="center" vertical="top" wrapText="1"/>
    </xf>
    <xf numFmtId="3" fontId="6" fillId="0" borderId="0" xfId="0" applyFont="1" applyFill="1" applyAlignment="1">
      <alignment horizontal="center" vertical="top" wrapText="1"/>
    </xf>
    <xf numFmtId="166" fontId="8" fillId="48" borderId="9" xfId="62" applyFill="1">
      <alignment horizontal="right" vertical="center"/>
    </xf>
    <xf numFmtId="0" fontId="8" fillId="0" borderId="0" xfId="1" applyFill="1"/>
    <xf numFmtId="166" fontId="8" fillId="48" borderId="9" xfId="62" applyFill="1" applyBorder="1">
      <alignment horizontal="right" vertical="center"/>
    </xf>
    <xf numFmtId="0" fontId="8" fillId="0" borderId="0" xfId="1" applyFill="1" applyAlignment="1">
      <alignment horizontal="center"/>
    </xf>
    <xf numFmtId="3" fontId="6" fillId="0" borderId="0" xfId="0" applyFont="1" applyFill="1" applyAlignment="1">
      <alignment horizontal="right" vertical="top" wrapText="1"/>
    </xf>
    <xf numFmtId="0" fontId="1" fillId="0" borderId="0" xfId="1" applyFont="1" applyFill="1" applyAlignment="1">
      <alignment horizontal="left" vertical="center" wrapText="1"/>
    </xf>
    <xf numFmtId="3" fontId="8" fillId="49" borderId="9" xfId="55" applyFill="1">
      <alignment horizontal="right" vertical="center"/>
    </xf>
    <xf numFmtId="0" fontId="11" fillId="49" borderId="9" xfId="52" applyFill="1">
      <alignment horizontal="center" vertical="center" wrapText="1"/>
    </xf>
    <xf numFmtId="4" fontId="8" fillId="48" borderId="9" xfId="59" applyFill="1">
      <alignment horizontal="right" vertical="center"/>
    </xf>
    <xf numFmtId="0" fontId="11" fillId="10" borderId="9" xfId="51" applyFill="1" applyBorder="1">
      <alignment horizontal="left" vertical="center" wrapText="1"/>
    </xf>
    <xf numFmtId="0" fontId="11" fillId="10" borderId="0" xfId="51" applyFill="1" applyBorder="1">
      <alignment horizontal="left" vertical="center" wrapText="1"/>
    </xf>
    <xf numFmtId="4" fontId="8" fillId="10" borderId="9" xfId="59" applyFill="1">
      <alignment horizontal="right" vertical="center"/>
    </xf>
    <xf numFmtId="4" fontId="8" fillId="8" borderId="9" xfId="59" applyFill="1">
      <alignment horizontal="right" vertical="center"/>
    </xf>
    <xf numFmtId="4" fontId="8" fillId="50" borderId="9" xfId="59" applyFill="1">
      <alignment horizontal="right" vertical="center"/>
    </xf>
    <xf numFmtId="3" fontId="0" fillId="0" borderId="0" xfId="0" applyFill="1" applyAlignment="1"/>
    <xf numFmtId="0" fontId="11" fillId="51" borderId="9" xfId="52" applyFill="1">
      <alignment horizontal="center" vertical="center" wrapText="1"/>
    </xf>
    <xf numFmtId="10" fontId="8" fillId="10" borderId="9" xfId="60" applyFill="1" applyAlignment="1">
      <alignment horizontal="right" vertical="center"/>
    </xf>
    <xf numFmtId="10" fontId="8" fillId="0" borderId="9" xfId="60" applyFill="1" applyAlignment="1">
      <alignment horizontal="right" vertical="center"/>
    </xf>
    <xf numFmtId="0" fontId="11" fillId="49" borderId="9" xfId="51" applyFill="1">
      <alignment horizontal="left" vertical="center" wrapText="1"/>
    </xf>
    <xf numFmtId="0" fontId="11" fillId="5" borderId="9" xfId="52" applyFill="1">
      <alignment horizontal="center" vertical="center" wrapText="1"/>
    </xf>
    <xf numFmtId="1" fontId="8" fillId="0" borderId="0" xfId="1" applyNumberFormat="1" applyAlignment="1">
      <alignment horizontal="center"/>
    </xf>
    <xf numFmtId="49" fontId="13" fillId="0" borderId="0" xfId="1" applyNumberFormat="1" applyFont="1" applyAlignment="1">
      <alignment horizontal="left"/>
    </xf>
    <xf numFmtId="0" fontId="13" fillId="0" borderId="0" xfId="1" applyFont="1" applyAlignment="1">
      <alignment horizontal="left"/>
    </xf>
    <xf numFmtId="0" fontId="3" fillId="0" borderId="0" xfId="1" applyFont="1"/>
    <xf numFmtId="3" fontId="31" fillId="0" borderId="0" xfId="0" applyFont="1">
      <alignment horizontal="right" vertical="center"/>
    </xf>
    <xf numFmtId="0" fontId="11" fillId="7" borderId="9" xfId="51" applyFill="1">
      <alignment horizontal="left" vertical="center" wrapText="1"/>
    </xf>
    <xf numFmtId="0" fontId="11" fillId="12" borderId="9" xfId="51" applyFill="1">
      <alignment horizontal="left" vertical="center" wrapText="1"/>
    </xf>
    <xf numFmtId="0" fontId="11" fillId="9" borderId="9" xfId="51" applyFill="1">
      <alignment horizontal="left" vertical="center" wrapText="1"/>
    </xf>
    <xf numFmtId="0" fontId="8" fillId="6" borderId="0" xfId="1" applyFill="1"/>
    <xf numFmtId="0" fontId="11" fillId="5" borderId="9" xfId="51" applyFill="1">
      <alignment horizontal="left" vertical="center" wrapText="1"/>
    </xf>
    <xf numFmtId="0" fontId="11" fillId="13" borderId="9" xfId="51" applyFill="1">
      <alignment horizontal="left" vertical="center" wrapText="1"/>
    </xf>
    <xf numFmtId="0" fontId="8" fillId="45" borderId="0" xfId="1" applyFill="1"/>
    <xf numFmtId="3" fontId="13" fillId="0" borderId="0" xfId="0" applyFont="1" applyAlignment="1">
      <alignment horizontal="left" vertical="center"/>
    </xf>
    <xf numFmtId="0" fontId="11" fillId="46" borderId="9" xfId="51" applyFill="1">
      <alignment horizontal="left" vertical="center" wrapText="1"/>
    </xf>
    <xf numFmtId="0" fontId="11" fillId="50" borderId="9" xfId="51" applyFill="1">
      <alignment horizontal="left" vertical="center" wrapText="1"/>
    </xf>
    <xf numFmtId="0" fontId="11" fillId="52" borderId="9" xfId="51" applyFill="1">
      <alignment horizontal="left" vertical="center" wrapText="1"/>
    </xf>
    <xf numFmtId="0" fontId="11" fillId="55" borderId="9" xfId="51" applyFill="1">
      <alignment horizontal="left" vertical="center" wrapText="1"/>
    </xf>
    <xf numFmtId="0" fontId="11" fillId="54" borderId="9" xfId="51" applyFill="1">
      <alignment horizontal="left" vertical="center" wrapText="1"/>
    </xf>
    <xf numFmtId="0" fontId="11" fillId="57" borderId="9" xfId="51" applyFill="1">
      <alignment horizontal="left" vertical="center" wrapText="1"/>
    </xf>
    <xf numFmtId="0" fontId="11" fillId="59" borderId="9" xfId="51" applyFill="1">
      <alignment horizontal="left" vertical="center" wrapText="1"/>
    </xf>
    <xf numFmtId="0" fontId="11" fillId="47" borderId="9" xfId="51" applyFill="1">
      <alignment horizontal="left" vertical="center" wrapText="1"/>
    </xf>
    <xf numFmtId="0" fontId="11" fillId="48" borderId="9" xfId="51" applyFill="1">
      <alignment horizontal="left" vertical="center" wrapText="1"/>
    </xf>
    <xf numFmtId="0" fontId="11" fillId="53" borderId="9" xfId="51" applyFill="1">
      <alignment horizontal="left" vertical="center" wrapText="1"/>
    </xf>
    <xf numFmtId="2" fontId="7" fillId="0" borderId="0" xfId="0" applyNumberFormat="1" applyFont="1" applyFill="1" applyAlignment="1">
      <alignment horizontal="right" vertical="top" shrinkToFit="1"/>
    </xf>
    <xf numFmtId="0" fontId="11" fillId="52" borderId="9" xfId="52" applyFill="1">
      <alignment horizontal="center" vertical="center" wrapText="1"/>
    </xf>
    <xf numFmtId="3" fontId="8" fillId="52" borderId="9" xfId="55" applyFill="1">
      <alignment horizontal="right" vertical="center"/>
    </xf>
    <xf numFmtId="3" fontId="32" fillId="49" borderId="9" xfId="0" applyFont="1" applyFill="1" applyBorder="1">
      <alignment horizontal="right" vertical="center"/>
    </xf>
    <xf numFmtId="3" fontId="0" fillId="0" borderId="0" xfId="0" applyBorder="1">
      <alignment horizontal="right" vertical="center"/>
    </xf>
    <xf numFmtId="0" fontId="11" fillId="0" borderId="9" xfId="51" applyAlignment="1">
      <alignment horizontal="left" vertical="top" wrapText="1"/>
    </xf>
    <xf numFmtId="10" fontId="30" fillId="59" borderId="9" xfId="50" applyFill="1">
      <alignment horizontal="right" vertical="center"/>
    </xf>
    <xf numFmtId="10" fontId="8" fillId="59" borderId="9" xfId="60" applyFill="1" applyAlignment="1">
      <alignment horizontal="right" vertical="center"/>
    </xf>
    <xf numFmtId="10" fontId="30" fillId="55" borderId="9" xfId="50" applyFill="1">
      <alignment horizontal="right" vertical="center"/>
    </xf>
    <xf numFmtId="3" fontId="8" fillId="55" borderId="9" xfId="55" applyFill="1">
      <alignment horizontal="right" vertical="center"/>
    </xf>
    <xf numFmtId="10" fontId="30" fillId="58" borderId="9" xfId="50" applyFill="1">
      <alignment horizontal="right" vertical="center"/>
    </xf>
    <xf numFmtId="0" fontId="11" fillId="0" borderId="9" xfId="52" applyAlignment="1">
      <alignment horizontal="center" vertical="top" wrapText="1"/>
    </xf>
    <xf numFmtId="0" fontId="11" fillId="58" borderId="9" xfId="51" applyFill="1" applyAlignment="1">
      <alignment horizontal="left" vertical="top" wrapText="1"/>
    </xf>
    <xf numFmtId="0" fontId="11" fillId="56" borderId="9" xfId="51" applyFill="1" applyAlignment="1">
      <alignment horizontal="left" vertical="top" wrapText="1"/>
    </xf>
    <xf numFmtId="10" fontId="30" fillId="56" borderId="9" xfId="50" applyFill="1">
      <alignment horizontal="right" vertical="center"/>
    </xf>
    <xf numFmtId="10" fontId="8" fillId="53" borderId="9" xfId="60" applyFill="1" applyAlignment="1">
      <alignment horizontal="right" vertical="center"/>
    </xf>
    <xf numFmtId="10" fontId="30" fillId="54" borderId="9" xfId="50" applyFill="1">
      <alignment horizontal="right" vertical="center"/>
    </xf>
    <xf numFmtId="10" fontId="8" fillId="54" borderId="9" xfId="60" applyFill="1" applyAlignment="1">
      <alignment horizontal="right" vertical="center"/>
    </xf>
    <xf numFmtId="4" fontId="8" fillId="58" borderId="9" xfId="59" applyFill="1">
      <alignment horizontal="right" vertical="center"/>
    </xf>
    <xf numFmtId="4" fontId="8" fillId="59" borderId="9" xfId="59" applyFill="1">
      <alignment horizontal="right" vertical="center"/>
    </xf>
    <xf numFmtId="4" fontId="8" fillId="56" borderId="9" xfId="59" applyFill="1">
      <alignment horizontal="right" vertical="center"/>
    </xf>
    <xf numFmtId="4" fontId="8" fillId="54" borderId="9" xfId="59" applyFill="1">
      <alignment horizontal="right" vertical="center"/>
    </xf>
    <xf numFmtId="10" fontId="8" fillId="8" borderId="9" xfId="60" applyFill="1" applyAlignment="1">
      <alignment horizontal="right" vertical="center"/>
    </xf>
    <xf numFmtId="10" fontId="30" fillId="8" borderId="9" xfId="50" applyFill="1">
      <alignment horizontal="right" vertical="center"/>
    </xf>
    <xf numFmtId="0" fontId="11" fillId="0" borderId="9" xfId="51" applyFill="1" applyAlignment="1">
      <alignment horizontal="left" vertical="top" wrapText="1"/>
    </xf>
    <xf numFmtId="10" fontId="30" fillId="0" borderId="9" xfId="50" applyFill="1">
      <alignment horizontal="right" vertical="center"/>
    </xf>
    <xf numFmtId="3" fontId="0" fillId="0" borderId="0" xfId="0">
      <alignment horizontal="right" vertical="center"/>
    </xf>
    <xf numFmtId="0" fontId="4" fillId="0" borderId="0" xfId="56" applyFill="1">
      <alignment vertical="center"/>
    </xf>
    <xf numFmtId="1" fontId="6" fillId="0" borderId="0" xfId="3" applyFont="1" applyFill="1" applyBorder="1" applyAlignment="1">
      <alignment horizontal="center" vertical="top" wrapText="1"/>
    </xf>
    <xf numFmtId="1" fontId="12" fillId="0" borderId="0" xfId="0" applyNumberFormat="1" applyFont="1" applyFill="1" applyAlignment="1">
      <alignment horizontal="right" vertical="top" shrinkToFit="1"/>
    </xf>
    <xf numFmtId="164" fontId="7" fillId="0" borderId="0" xfId="0" applyNumberFormat="1" applyFont="1" applyFill="1" applyAlignment="1">
      <alignment horizontal="right" vertical="top" shrinkToFit="1"/>
    </xf>
    <xf numFmtId="1" fontId="7" fillId="0" borderId="0" xfId="0" applyNumberFormat="1" applyFont="1" applyFill="1" applyAlignment="1">
      <alignment horizontal="right" vertical="top" shrinkToFit="1"/>
    </xf>
    <xf numFmtId="3" fontId="0" fillId="0" borderId="0" xfId="0" applyFill="1" applyBorder="1">
      <alignment horizontal="right" vertical="center"/>
    </xf>
    <xf numFmtId="3" fontId="8" fillId="0" borderId="9" xfId="68">
      <alignment horizontal="right" vertical="center"/>
    </xf>
    <xf numFmtId="1" fontId="14" fillId="11" borderId="9" xfId="69">
      <alignment vertical="center"/>
    </xf>
    <xf numFmtId="0" fontId="11" fillId="61" borderId="9" xfId="51" applyFill="1">
      <alignment horizontal="left" vertical="center" wrapText="1"/>
    </xf>
    <xf numFmtId="3" fontId="8" fillId="0" borderId="9" xfId="68" applyFill="1">
      <alignment horizontal="right" vertical="center"/>
    </xf>
    <xf numFmtId="0" fontId="11" fillId="62" borderId="9" xfId="51" applyFill="1">
      <alignment horizontal="left" vertical="center" wrapText="1"/>
    </xf>
    <xf numFmtId="0" fontId="11" fillId="63" borderId="9" xfId="51" applyFill="1">
      <alignment horizontal="left" vertical="center" wrapText="1"/>
    </xf>
    <xf numFmtId="0" fontId="11" fillId="60" borderId="9" xfId="51" applyFill="1" applyAlignment="1">
      <alignment horizontal="left" vertical="top" wrapText="1"/>
    </xf>
    <xf numFmtId="0" fontId="11" fillId="64" borderId="9" xfId="51" applyFill="1" applyAlignment="1">
      <alignment horizontal="left" vertical="top" wrapText="1"/>
    </xf>
    <xf numFmtId="0" fontId="11" fillId="65" borderId="9" xfId="51" applyFill="1">
      <alignment horizontal="left" vertical="center" wrapText="1"/>
    </xf>
    <xf numFmtId="0" fontId="11" fillId="66" borderId="9" xfId="51" applyFill="1">
      <alignment horizontal="left" vertical="center" wrapText="1"/>
    </xf>
    <xf numFmtId="0" fontId="11" fillId="67" borderId="9" xfId="51" applyFill="1">
      <alignment horizontal="left" vertical="center" wrapText="1"/>
    </xf>
    <xf numFmtId="4" fontId="8" fillId="65" borderId="9" xfId="59" quotePrefix="1" applyFill="1">
      <alignment horizontal="right" vertical="center"/>
    </xf>
    <xf numFmtId="4" fontId="8" fillId="63" borderId="9" xfId="59" applyFill="1">
      <alignment horizontal="right" vertical="center"/>
    </xf>
    <xf numFmtId="165" fontId="8" fillId="63" borderId="9" xfId="61" applyFill="1">
      <alignment horizontal="right" vertical="center"/>
    </xf>
    <xf numFmtId="3" fontId="8" fillId="62" borderId="9" xfId="68" applyFill="1">
      <alignment horizontal="right" vertical="center"/>
    </xf>
    <xf numFmtId="3" fontId="8" fillId="62" borderId="9" xfId="55" applyFill="1">
      <alignment horizontal="right" vertical="center"/>
    </xf>
    <xf numFmtId="0" fontId="11" fillId="68" borderId="9" xfId="51" applyFill="1" applyAlignment="1">
      <alignment horizontal="left" vertical="top" wrapText="1"/>
    </xf>
    <xf numFmtId="166" fontId="8" fillId="0" borderId="9" xfId="62">
      <alignment horizontal="right" vertical="center"/>
    </xf>
    <xf numFmtId="14" fontId="34" fillId="0" borderId="0" xfId="0" applyNumberFormat="1" applyFont="1" applyAlignment="1">
      <alignment vertical="center"/>
    </xf>
    <xf numFmtId="0" fontId="11" fillId="0" borderId="9" xfId="51" applyAlignment="1">
      <alignment horizontal="center" vertical="center" wrapText="1"/>
    </xf>
    <xf numFmtId="1" fontId="34" fillId="0" borderId="0" xfId="0" applyNumberFormat="1" applyFont="1" applyAlignment="1">
      <alignment vertical="center" wrapText="1"/>
    </xf>
    <xf numFmtId="2" fontId="14" fillId="0" borderId="9" xfId="63" applyFill="1">
      <alignment vertical="center"/>
    </xf>
    <xf numFmtId="3" fontId="8" fillId="0" borderId="0" xfId="1" applyNumberFormat="1"/>
    <xf numFmtId="3" fontId="8" fillId="0" borderId="9" xfId="68" quotePrefix="1">
      <alignment horizontal="right" vertical="center"/>
    </xf>
    <xf numFmtId="3" fontId="8" fillId="53" borderId="9" xfId="68" applyFill="1">
      <alignment horizontal="right" vertical="center"/>
    </xf>
    <xf numFmtId="168" fontId="8" fillId="0" borderId="9" xfId="70">
      <alignment horizontal="right" vertical="center"/>
    </xf>
    <xf numFmtId="10" fontId="8" fillId="58" borderId="9" xfId="60" applyFill="1" applyAlignment="1">
      <alignment horizontal="right" vertical="center"/>
    </xf>
    <xf numFmtId="10" fontId="8" fillId="56" borderId="9" xfId="60" applyFill="1" applyAlignment="1">
      <alignment horizontal="right" vertical="center"/>
    </xf>
    <xf numFmtId="3" fontId="3" fillId="0" borderId="0" xfId="53" applyFill="1">
      <alignment horizontal="left" vertical="center"/>
    </xf>
    <xf numFmtId="1" fontId="6" fillId="0" borderId="0" xfId="3" applyFont="1" applyFill="1" applyBorder="1" applyAlignment="1">
      <alignment horizontal="left" vertical="top" wrapText="1"/>
    </xf>
    <xf numFmtId="1" fontId="11" fillId="0" borderId="0" xfId="3" applyFont="1" applyFill="1" applyBorder="1" applyAlignment="1">
      <alignment horizontal="left" vertical="top" wrapText="1"/>
    </xf>
    <xf numFmtId="3" fontId="6" fillId="0" borderId="0" xfId="0" applyFont="1" applyFill="1" applyAlignment="1">
      <alignment horizontal="left" vertical="top" wrapText="1"/>
    </xf>
    <xf numFmtId="3" fontId="9" fillId="0" borderId="0" xfId="0" applyFont="1" applyFill="1">
      <alignment horizontal="right" vertical="center"/>
    </xf>
    <xf numFmtId="169" fontId="8" fillId="0" borderId="9" xfId="71">
      <alignment horizontal="right" vertical="center"/>
    </xf>
    <xf numFmtId="0" fontId="4" fillId="0" borderId="0" xfId="64">
      <alignment vertical="center"/>
    </xf>
    <xf numFmtId="10" fontId="8" fillId="61" borderId="9" xfId="60" applyFill="1" applyAlignment="1">
      <alignment horizontal="right" vertical="center"/>
    </xf>
    <xf numFmtId="4" fontId="8" fillId="61" borderId="9" xfId="59" applyFill="1">
      <alignment horizontal="right" vertical="center"/>
    </xf>
    <xf numFmtId="0" fontId="4" fillId="0" borderId="0" xfId="67">
      <alignment vertical="center"/>
    </xf>
    <xf numFmtId="3" fontId="8" fillId="67" borderId="9" xfId="55" applyFill="1">
      <alignment horizontal="right" vertical="center"/>
    </xf>
    <xf numFmtId="0" fontId="11" fillId="69" borderId="9" xfId="51" applyFill="1">
      <alignment horizontal="left" vertical="center" wrapText="1"/>
    </xf>
    <xf numFmtId="10" fontId="8" fillId="0" borderId="9" xfId="72" applyAlignment="1">
      <alignment horizontal="right" vertical="center"/>
    </xf>
    <xf numFmtId="1" fontId="29" fillId="4" borderId="9" xfId="3" quotePrefix="1" applyFill="1">
      <alignment horizontal="center" vertical="center" wrapText="1"/>
    </xf>
    <xf numFmtId="0" fontId="11" fillId="0" borderId="9" xfId="73">
      <alignment horizontal="left" vertical="center" wrapText="1"/>
    </xf>
    <xf numFmtId="0" fontId="11" fillId="0" borderId="9" xfId="74">
      <alignment horizontal="center" vertical="center" wrapText="1"/>
    </xf>
    <xf numFmtId="10" fontId="8" fillId="0" borderId="9" xfId="72" applyFill="1" applyAlignment="1">
      <alignment vertical="center"/>
    </xf>
    <xf numFmtId="10" fontId="8" fillId="0" borderId="9" xfId="72" applyFill="1" applyAlignment="1">
      <alignment horizontal="right" vertical="center"/>
    </xf>
    <xf numFmtId="4" fontId="4" fillId="0" borderId="9" xfId="22" applyNumberFormat="1" applyFill="1" applyAlignment="1">
      <alignment horizontal="right" vertical="center"/>
    </xf>
    <xf numFmtId="3" fontId="31" fillId="59" borderId="0" xfId="0" applyFont="1" applyFill="1">
      <alignment horizontal="right" vertical="center"/>
    </xf>
    <xf numFmtId="3" fontId="0" fillId="0" borderId="0" xfId="0" applyAlignment="1">
      <alignment horizontal="center" vertical="center"/>
    </xf>
    <xf numFmtId="1" fontId="14" fillId="11" borderId="9" xfId="4" applyAlignment="1">
      <alignment horizontal="right" vertical="center"/>
    </xf>
    <xf numFmtId="0" fontId="11" fillId="70" borderId="9" xfId="51" applyFill="1">
      <alignment horizontal="left" vertical="center" wrapText="1"/>
    </xf>
    <xf numFmtId="3" fontId="3" fillId="0" borderId="9" xfId="58" applyFill="1">
      <alignment horizontal="left" vertical="center"/>
    </xf>
    <xf numFmtId="0" fontId="30" fillId="0" borderId="9" xfId="0" applyNumberFormat="1" applyFont="1" applyBorder="1" applyAlignment="1">
      <alignment horizontal="center" vertical="center" wrapText="1"/>
    </xf>
    <xf numFmtId="3" fontId="8" fillId="0" borderId="9" xfId="55" applyBorder="1">
      <alignment horizontal="right" vertical="center"/>
    </xf>
  </cellXfs>
  <cellStyles count="75">
    <cellStyle name="20% - Accent1" xfId="27" builtinId="30" hidden="1" customBuiltin="1"/>
    <cellStyle name="20% - Accent2" xfId="31" builtinId="34" hidden="1"/>
    <cellStyle name="20% - Accent3" xfId="35" builtinId="38" hidden="1"/>
    <cellStyle name="20% - Accent4" xfId="39" builtinId="42" hidden="1"/>
    <cellStyle name="20% - Accent5" xfId="43" builtinId="46" hidden="1"/>
    <cellStyle name="20% - Accent6" xfId="47" builtinId="50" hidden="1"/>
    <cellStyle name="40% - Accent1" xfId="28" builtinId="31" hidden="1"/>
    <cellStyle name="40% - Accent2" xfId="32" builtinId="35" hidden="1"/>
    <cellStyle name="40% - Accent3" xfId="36" builtinId="39" hidden="1"/>
    <cellStyle name="40% - Accent4" xfId="40" builtinId="43" hidden="1"/>
    <cellStyle name="40% - Accent5" xfId="44" builtinId="47" hidden="1"/>
    <cellStyle name="40% - Accent6" xfId="48" builtinId="51" hidden="1"/>
    <cellStyle name="60% - Accent1" xfId="29" builtinId="32" hidden="1"/>
    <cellStyle name="60% - Accent2" xfId="33" builtinId="36" hidden="1"/>
    <cellStyle name="60% - Accent3" xfId="37" builtinId="40" hidden="1"/>
    <cellStyle name="60% - Accent4" xfId="41" builtinId="44" hidden="1"/>
    <cellStyle name="60% - Accent5" xfId="45" builtinId="48" hidden="1"/>
    <cellStyle name="60% - Accent6" xfId="49" builtinId="52" hidden="1"/>
    <cellStyle name="Accent1" xfId="26" builtinId="29" hidden="1"/>
    <cellStyle name="Accent2" xfId="30" builtinId="33" hidden="1"/>
    <cellStyle name="Accent3" xfId="34" builtinId="37" hidden="1"/>
    <cellStyle name="Accent4" xfId="38" builtinId="41" hidden="1"/>
    <cellStyle name="Accent5" xfId="42" builtinId="45" hidden="1"/>
    <cellStyle name="Accent6" xfId="46" builtinId="49" hidden="1"/>
    <cellStyle name="Bad" xfId="17" builtinId="27" hidden="1"/>
    <cellStyle name="Check Cell" xfId="22" builtinId="23" customBuiltin="1"/>
    <cellStyle name="Comma" xfId="6" builtinId="3" hidden="1"/>
    <cellStyle name="Comma [0]" xfId="7" builtinId="6" hidden="1"/>
    <cellStyle name="Currency" xfId="8" builtinId="4" hidden="1"/>
    <cellStyle name="Currency [0]" xfId="9" builtinId="7" hidden="1"/>
    <cellStyle name="Decimal-1" xfId="70" xr:uid="{FB3E5271-043B-7A4C-BAB2-2AF062C05F49}"/>
    <cellStyle name="Decimal-10" xfId="71" xr:uid="{31B2A6F0-6933-2549-A5CA-DC7F85B828D7}"/>
    <cellStyle name="Decimal-2" xfId="59" xr:uid="{59F2DE31-3DBC-7847-8307-350AE5F9EF93}"/>
    <cellStyle name="Decimal-4" xfId="61" xr:uid="{981164D0-941C-EC47-AE52-6AABB63344CC}"/>
    <cellStyle name="Decimal-6" xfId="62" xr:uid="{359FC06D-26E7-C94F-977A-E96543FC7CB6}"/>
    <cellStyle name="Estimated" xfId="4" xr:uid="{38062CB6-EF4B-CF41-85AF-D72FF9707668}"/>
    <cellStyle name="Estimated 2" xfId="63" xr:uid="{2CBF7AFB-D0B1-DC40-BD53-381180120CB9}"/>
    <cellStyle name="Estimated 3" xfId="69" xr:uid="{4C280013-E608-6647-BCB4-DE0F6E7A9D28}"/>
    <cellStyle name="Estimated 4" xfId="65" xr:uid="{4F6DE7E1-8D2D-D14D-8C5B-0B65BEEEE068}"/>
    <cellStyle name="Explanatory Text" xfId="24" builtinId="53" hidden="1"/>
    <cellStyle name="Good" xfId="16" builtinId="26" hidden="1"/>
    <cellStyle name="Heading 1" xfId="12" builtinId="16" hidden="1"/>
    <cellStyle name="Heading 2" xfId="13" builtinId="17" hidden="1"/>
    <cellStyle name="Heading 3" xfId="14" builtinId="18" hidden="1"/>
    <cellStyle name="Heading 4" xfId="15" builtinId="19" hidden="1"/>
    <cellStyle name="Hyperlink" xfId="2" builtinId="8" hidden="1"/>
    <cellStyle name="Hyperlink" xfId="54" builtinId="8" hidden="1"/>
    <cellStyle name="Input" xfId="19" builtinId="20" hidden="1"/>
    <cellStyle name="Linked Cell" xfId="21" builtinId="24" hidden="1"/>
    <cellStyle name="Neutral" xfId="18" builtinId="28" hidden="1"/>
    <cellStyle name="Normal" xfId="0" builtinId="0" customBuiltin="1"/>
    <cellStyle name="Normal 2" xfId="1" xr:uid="{6518068D-7F63-BB47-8624-9E754A647162}"/>
    <cellStyle name="Normal 3" xfId="3" xr:uid="{FD7BBF8A-3A79-CC46-92E9-540F981CCC7D}"/>
    <cellStyle name="Normal 4" xfId="66" xr:uid="{7A05EF23-CD06-ED42-8B5F-0C446E7FB5F7}"/>
    <cellStyle name="Note" xfId="23" builtinId="10" hidden="1"/>
    <cellStyle name="Number" xfId="55" xr:uid="{5C13E065-72F8-3E45-9DB1-A89D31B8B255}"/>
    <cellStyle name="Number 2" xfId="68" xr:uid="{012CC1EB-ECD8-E548-AA80-B27E51977380}"/>
    <cellStyle name="Output" xfId="20" builtinId="21" hidden="1"/>
    <cellStyle name="Percent" xfId="10" builtinId="5" hidden="1" customBuiltin="1"/>
    <cellStyle name="Percent" xfId="50" builtinId="5" customBuiltin="1"/>
    <cellStyle name="Percent-2" xfId="60" xr:uid="{0BF72AFF-3FB6-874C-89C2-B9FC41D576A0}"/>
    <cellStyle name="Percent-2 2" xfId="72" xr:uid="{B88F1D21-6847-F443-9611-B2A7AD5F67C6}"/>
    <cellStyle name="Sub-title" xfId="56" xr:uid="{515D02F9-C424-0749-A2F2-AE42248D9FF3}"/>
    <cellStyle name="Sub-title 2" xfId="64" xr:uid="{EC4CD4BD-F348-FA48-9F21-49A757111160}"/>
    <cellStyle name="Sub-title 2 2" xfId="67" xr:uid="{884C7100-D3D5-144E-9C0F-30118DD7EE08}"/>
    <cellStyle name="Text Centre" xfId="52" xr:uid="{EF003E5B-098A-5F4E-91C9-5340529FBA44}"/>
    <cellStyle name="Text Centre 2" xfId="74" xr:uid="{FFB34612-69A1-874C-894B-85EC3238EFA7}"/>
    <cellStyle name="Text Left" xfId="51" xr:uid="{4561F0F6-4880-BA48-899A-5D67000CD77E}"/>
    <cellStyle name="Text Left 2" xfId="73" xr:uid="{CFF08FBC-FD2D-D340-B5D7-A9049BB44E41}"/>
    <cellStyle name="Text Right" xfId="57" xr:uid="{30D929E0-F7E1-414C-82D5-3CF792823DD5}"/>
    <cellStyle name="Title" xfId="11" builtinId="15" hidden="1"/>
    <cellStyle name="Title" xfId="53" builtinId="15" customBuiltin="1"/>
    <cellStyle name="Title 2" xfId="58" xr:uid="{6904B770-0267-574B-B471-12ADE3AC7B30}"/>
    <cellStyle name="Total" xfId="25" builtinId="25" hidden="1"/>
    <cellStyle name="Warning Text" xfId="5" builtinId="11" hidden="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xdr:col>
      <xdr:colOff>0</xdr:colOff>
      <xdr:row>95</xdr:row>
      <xdr:rowOff>0</xdr:rowOff>
    </xdr:from>
    <xdr:ext cx="0" cy="169544"/>
    <xdr:sp macro="" textlink="">
      <xdr:nvSpPr>
        <xdr:cNvPr id="2" name="Shape 6">
          <a:extLst>
            <a:ext uri="{FF2B5EF4-FFF2-40B4-BE49-F238E27FC236}">
              <a16:creationId xmlns:a16="http://schemas.microsoft.com/office/drawing/2014/main" id="{7656E44F-73D9-D844-9805-0BE29029F42C}"/>
            </a:ext>
          </a:extLst>
        </xdr:cNvPr>
        <xdr:cNvSpPr/>
      </xdr:nvSpPr>
      <xdr:spPr>
        <a:xfrm>
          <a:off x="4305300" y="162941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95</xdr:row>
      <xdr:rowOff>0</xdr:rowOff>
    </xdr:from>
    <xdr:ext cx="0" cy="169544"/>
    <xdr:sp macro="" textlink="">
      <xdr:nvSpPr>
        <xdr:cNvPr id="3" name="Shape 7">
          <a:extLst>
            <a:ext uri="{FF2B5EF4-FFF2-40B4-BE49-F238E27FC236}">
              <a16:creationId xmlns:a16="http://schemas.microsoft.com/office/drawing/2014/main" id="{F72FF419-2CBE-3A40-99F1-31BE4E76DBEA}"/>
            </a:ext>
          </a:extLst>
        </xdr:cNvPr>
        <xdr:cNvSpPr/>
      </xdr:nvSpPr>
      <xdr:spPr>
        <a:xfrm>
          <a:off x="4305300" y="162941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95</xdr:row>
      <xdr:rowOff>0</xdr:rowOff>
    </xdr:from>
    <xdr:ext cx="0" cy="169544"/>
    <xdr:sp macro="" textlink="">
      <xdr:nvSpPr>
        <xdr:cNvPr id="4" name="Shape 6">
          <a:extLst>
            <a:ext uri="{FF2B5EF4-FFF2-40B4-BE49-F238E27FC236}">
              <a16:creationId xmlns:a16="http://schemas.microsoft.com/office/drawing/2014/main" id="{BA438648-14E4-CC4B-B8A0-16B274255178}"/>
            </a:ext>
          </a:extLst>
        </xdr:cNvPr>
        <xdr:cNvSpPr/>
      </xdr:nvSpPr>
      <xdr:spPr>
        <a:xfrm>
          <a:off x="4305300" y="162941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95</xdr:row>
      <xdr:rowOff>0</xdr:rowOff>
    </xdr:from>
    <xdr:ext cx="0" cy="169544"/>
    <xdr:sp macro="" textlink="">
      <xdr:nvSpPr>
        <xdr:cNvPr id="5" name="Shape 7">
          <a:extLst>
            <a:ext uri="{FF2B5EF4-FFF2-40B4-BE49-F238E27FC236}">
              <a16:creationId xmlns:a16="http://schemas.microsoft.com/office/drawing/2014/main" id="{93294FA6-D8C5-7A4C-8ED7-87BA7DF04F9D}"/>
            </a:ext>
          </a:extLst>
        </xdr:cNvPr>
        <xdr:cNvSpPr/>
      </xdr:nvSpPr>
      <xdr:spPr>
        <a:xfrm>
          <a:off x="4305300" y="162941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82</xdr:row>
      <xdr:rowOff>0</xdr:rowOff>
    </xdr:from>
    <xdr:ext cx="0" cy="169544"/>
    <xdr:sp macro="" textlink="">
      <xdr:nvSpPr>
        <xdr:cNvPr id="6" name="Shape 6">
          <a:extLst>
            <a:ext uri="{FF2B5EF4-FFF2-40B4-BE49-F238E27FC236}">
              <a16:creationId xmlns:a16="http://schemas.microsoft.com/office/drawing/2014/main" id="{69F18C64-6FED-E346-93CF-2AB5195C892D}"/>
            </a:ext>
          </a:extLst>
        </xdr:cNvPr>
        <xdr:cNvSpPr/>
      </xdr:nvSpPr>
      <xdr:spPr>
        <a:xfrm>
          <a:off x="4305300" y="131572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82</xdr:row>
      <xdr:rowOff>0</xdr:rowOff>
    </xdr:from>
    <xdr:ext cx="0" cy="169544"/>
    <xdr:sp macro="" textlink="">
      <xdr:nvSpPr>
        <xdr:cNvPr id="7" name="Shape 7">
          <a:extLst>
            <a:ext uri="{FF2B5EF4-FFF2-40B4-BE49-F238E27FC236}">
              <a16:creationId xmlns:a16="http://schemas.microsoft.com/office/drawing/2014/main" id="{1892572E-7B27-B04E-91C0-27EEC64D0150}"/>
            </a:ext>
          </a:extLst>
        </xdr:cNvPr>
        <xdr:cNvSpPr/>
      </xdr:nvSpPr>
      <xdr:spPr>
        <a:xfrm>
          <a:off x="4305300" y="131572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82</xdr:row>
      <xdr:rowOff>0</xdr:rowOff>
    </xdr:from>
    <xdr:ext cx="0" cy="169544"/>
    <xdr:sp macro="" textlink="">
      <xdr:nvSpPr>
        <xdr:cNvPr id="8" name="Shape 6">
          <a:extLst>
            <a:ext uri="{FF2B5EF4-FFF2-40B4-BE49-F238E27FC236}">
              <a16:creationId xmlns:a16="http://schemas.microsoft.com/office/drawing/2014/main" id="{B3C17FBB-BE36-7443-9711-77E4092FAAFC}"/>
            </a:ext>
          </a:extLst>
        </xdr:cNvPr>
        <xdr:cNvSpPr/>
      </xdr:nvSpPr>
      <xdr:spPr>
        <a:xfrm>
          <a:off x="4305300" y="131572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82</xdr:row>
      <xdr:rowOff>0</xdr:rowOff>
    </xdr:from>
    <xdr:ext cx="0" cy="169544"/>
    <xdr:sp macro="" textlink="">
      <xdr:nvSpPr>
        <xdr:cNvPr id="9" name="Shape 7">
          <a:extLst>
            <a:ext uri="{FF2B5EF4-FFF2-40B4-BE49-F238E27FC236}">
              <a16:creationId xmlns:a16="http://schemas.microsoft.com/office/drawing/2014/main" id="{050CF019-6DC4-0D42-854F-D9FD2E3CB23C}"/>
            </a:ext>
          </a:extLst>
        </xdr:cNvPr>
        <xdr:cNvSpPr/>
      </xdr:nvSpPr>
      <xdr:spPr>
        <a:xfrm>
          <a:off x="4305300" y="131572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2</xdr:col>
      <xdr:colOff>0</xdr:colOff>
      <xdr:row>82</xdr:row>
      <xdr:rowOff>0</xdr:rowOff>
    </xdr:from>
    <xdr:ext cx="0" cy="169544"/>
    <xdr:sp macro="" textlink="">
      <xdr:nvSpPr>
        <xdr:cNvPr id="10" name="Shape 6">
          <a:extLst>
            <a:ext uri="{FF2B5EF4-FFF2-40B4-BE49-F238E27FC236}">
              <a16:creationId xmlns:a16="http://schemas.microsoft.com/office/drawing/2014/main" id="{C0CCA976-005F-B249-8DB9-982E85026B2E}"/>
            </a:ext>
          </a:extLst>
        </xdr:cNvPr>
        <xdr:cNvSpPr/>
      </xdr:nvSpPr>
      <xdr:spPr>
        <a:xfrm>
          <a:off x="2717800" y="131572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2</xdr:col>
      <xdr:colOff>0</xdr:colOff>
      <xdr:row>82</xdr:row>
      <xdr:rowOff>0</xdr:rowOff>
    </xdr:from>
    <xdr:ext cx="0" cy="169544"/>
    <xdr:sp macro="" textlink="">
      <xdr:nvSpPr>
        <xdr:cNvPr id="11" name="Shape 7">
          <a:extLst>
            <a:ext uri="{FF2B5EF4-FFF2-40B4-BE49-F238E27FC236}">
              <a16:creationId xmlns:a16="http://schemas.microsoft.com/office/drawing/2014/main" id="{264EC3CE-0C05-984F-88E3-9F38C89D8476}"/>
            </a:ext>
          </a:extLst>
        </xdr:cNvPr>
        <xdr:cNvSpPr/>
      </xdr:nvSpPr>
      <xdr:spPr>
        <a:xfrm>
          <a:off x="2717800" y="131572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2</xdr:col>
      <xdr:colOff>0</xdr:colOff>
      <xdr:row>82</xdr:row>
      <xdr:rowOff>0</xdr:rowOff>
    </xdr:from>
    <xdr:ext cx="0" cy="169544"/>
    <xdr:sp macro="" textlink="">
      <xdr:nvSpPr>
        <xdr:cNvPr id="12" name="Shape 6">
          <a:extLst>
            <a:ext uri="{FF2B5EF4-FFF2-40B4-BE49-F238E27FC236}">
              <a16:creationId xmlns:a16="http://schemas.microsoft.com/office/drawing/2014/main" id="{C99537C9-4130-9644-B6EE-81B67CDF2AB9}"/>
            </a:ext>
          </a:extLst>
        </xdr:cNvPr>
        <xdr:cNvSpPr/>
      </xdr:nvSpPr>
      <xdr:spPr>
        <a:xfrm>
          <a:off x="2717800" y="131572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2</xdr:col>
      <xdr:colOff>0</xdr:colOff>
      <xdr:row>82</xdr:row>
      <xdr:rowOff>0</xdr:rowOff>
    </xdr:from>
    <xdr:ext cx="0" cy="169544"/>
    <xdr:sp macro="" textlink="">
      <xdr:nvSpPr>
        <xdr:cNvPr id="13" name="Shape 7">
          <a:extLst>
            <a:ext uri="{FF2B5EF4-FFF2-40B4-BE49-F238E27FC236}">
              <a16:creationId xmlns:a16="http://schemas.microsoft.com/office/drawing/2014/main" id="{E3DFD2A7-68E2-734B-AC1B-B5F8B43A52D1}"/>
            </a:ext>
          </a:extLst>
        </xdr:cNvPr>
        <xdr:cNvSpPr/>
      </xdr:nvSpPr>
      <xdr:spPr>
        <a:xfrm>
          <a:off x="2717800" y="131572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65</xdr:row>
      <xdr:rowOff>0</xdr:rowOff>
    </xdr:from>
    <xdr:ext cx="0" cy="169544"/>
    <xdr:sp macro="" textlink="">
      <xdr:nvSpPr>
        <xdr:cNvPr id="2" name="Shape 6">
          <a:extLst>
            <a:ext uri="{FF2B5EF4-FFF2-40B4-BE49-F238E27FC236}">
              <a16:creationId xmlns:a16="http://schemas.microsoft.com/office/drawing/2014/main" id="{11DFE2B5-B627-9949-9E9B-B84C4E592215}"/>
            </a:ext>
          </a:extLst>
        </xdr:cNvPr>
        <xdr:cNvSpPr/>
      </xdr:nvSpPr>
      <xdr:spPr>
        <a:xfrm>
          <a:off x="4305300" y="147828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65</xdr:row>
      <xdr:rowOff>0</xdr:rowOff>
    </xdr:from>
    <xdr:ext cx="0" cy="169544"/>
    <xdr:sp macro="" textlink="">
      <xdr:nvSpPr>
        <xdr:cNvPr id="3" name="Shape 7">
          <a:extLst>
            <a:ext uri="{FF2B5EF4-FFF2-40B4-BE49-F238E27FC236}">
              <a16:creationId xmlns:a16="http://schemas.microsoft.com/office/drawing/2014/main" id="{1E09D489-6995-CE4A-9C7E-EB50FED0A716}"/>
            </a:ext>
          </a:extLst>
        </xdr:cNvPr>
        <xdr:cNvSpPr/>
      </xdr:nvSpPr>
      <xdr:spPr>
        <a:xfrm>
          <a:off x="4305300" y="147828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65</xdr:row>
      <xdr:rowOff>0</xdr:rowOff>
    </xdr:from>
    <xdr:ext cx="0" cy="169544"/>
    <xdr:sp macro="" textlink="">
      <xdr:nvSpPr>
        <xdr:cNvPr id="4" name="Shape 6">
          <a:extLst>
            <a:ext uri="{FF2B5EF4-FFF2-40B4-BE49-F238E27FC236}">
              <a16:creationId xmlns:a16="http://schemas.microsoft.com/office/drawing/2014/main" id="{E472F413-5435-D64A-8C56-1049B568FB36}"/>
            </a:ext>
          </a:extLst>
        </xdr:cNvPr>
        <xdr:cNvSpPr/>
      </xdr:nvSpPr>
      <xdr:spPr>
        <a:xfrm>
          <a:off x="4305300" y="147828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65</xdr:row>
      <xdr:rowOff>0</xdr:rowOff>
    </xdr:from>
    <xdr:ext cx="0" cy="169544"/>
    <xdr:sp macro="" textlink="">
      <xdr:nvSpPr>
        <xdr:cNvPr id="5" name="Shape 7">
          <a:extLst>
            <a:ext uri="{FF2B5EF4-FFF2-40B4-BE49-F238E27FC236}">
              <a16:creationId xmlns:a16="http://schemas.microsoft.com/office/drawing/2014/main" id="{D6AA5E9D-2908-FE47-8E46-DF985637CECC}"/>
            </a:ext>
          </a:extLst>
        </xdr:cNvPr>
        <xdr:cNvSpPr/>
      </xdr:nvSpPr>
      <xdr:spPr>
        <a:xfrm>
          <a:off x="4305300" y="147828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52</xdr:row>
      <xdr:rowOff>0</xdr:rowOff>
    </xdr:from>
    <xdr:ext cx="0" cy="169544"/>
    <xdr:sp macro="" textlink="">
      <xdr:nvSpPr>
        <xdr:cNvPr id="6" name="Shape 6">
          <a:extLst>
            <a:ext uri="{FF2B5EF4-FFF2-40B4-BE49-F238E27FC236}">
              <a16:creationId xmlns:a16="http://schemas.microsoft.com/office/drawing/2014/main" id="{6E48484C-CD98-074C-A195-1EC0E26ECCF0}"/>
            </a:ext>
          </a:extLst>
        </xdr:cNvPr>
        <xdr:cNvSpPr/>
      </xdr:nvSpPr>
      <xdr:spPr>
        <a:xfrm>
          <a:off x="4305300" y="116459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52</xdr:row>
      <xdr:rowOff>0</xdr:rowOff>
    </xdr:from>
    <xdr:ext cx="0" cy="169544"/>
    <xdr:sp macro="" textlink="">
      <xdr:nvSpPr>
        <xdr:cNvPr id="7" name="Shape 7">
          <a:extLst>
            <a:ext uri="{FF2B5EF4-FFF2-40B4-BE49-F238E27FC236}">
              <a16:creationId xmlns:a16="http://schemas.microsoft.com/office/drawing/2014/main" id="{D3F4D91F-59C9-904E-AAD6-3C04DC041AC2}"/>
            </a:ext>
          </a:extLst>
        </xdr:cNvPr>
        <xdr:cNvSpPr/>
      </xdr:nvSpPr>
      <xdr:spPr>
        <a:xfrm>
          <a:off x="4305300" y="116459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52</xdr:row>
      <xdr:rowOff>0</xdr:rowOff>
    </xdr:from>
    <xdr:ext cx="0" cy="169544"/>
    <xdr:sp macro="" textlink="">
      <xdr:nvSpPr>
        <xdr:cNvPr id="8" name="Shape 6">
          <a:extLst>
            <a:ext uri="{FF2B5EF4-FFF2-40B4-BE49-F238E27FC236}">
              <a16:creationId xmlns:a16="http://schemas.microsoft.com/office/drawing/2014/main" id="{F18FE948-31B1-9042-A489-6C1D16AF01F0}"/>
            </a:ext>
          </a:extLst>
        </xdr:cNvPr>
        <xdr:cNvSpPr/>
      </xdr:nvSpPr>
      <xdr:spPr>
        <a:xfrm>
          <a:off x="4305300" y="116459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52</xdr:row>
      <xdr:rowOff>0</xdr:rowOff>
    </xdr:from>
    <xdr:ext cx="0" cy="169544"/>
    <xdr:sp macro="" textlink="">
      <xdr:nvSpPr>
        <xdr:cNvPr id="9" name="Shape 7">
          <a:extLst>
            <a:ext uri="{FF2B5EF4-FFF2-40B4-BE49-F238E27FC236}">
              <a16:creationId xmlns:a16="http://schemas.microsoft.com/office/drawing/2014/main" id="{2CB793A2-7714-D041-AD9F-7C8FD215B03A}"/>
            </a:ext>
          </a:extLst>
        </xdr:cNvPr>
        <xdr:cNvSpPr/>
      </xdr:nvSpPr>
      <xdr:spPr>
        <a:xfrm>
          <a:off x="4305300" y="116459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2</xdr:col>
      <xdr:colOff>0</xdr:colOff>
      <xdr:row>52</xdr:row>
      <xdr:rowOff>0</xdr:rowOff>
    </xdr:from>
    <xdr:ext cx="0" cy="169544"/>
    <xdr:sp macro="" textlink="">
      <xdr:nvSpPr>
        <xdr:cNvPr id="10" name="Shape 6">
          <a:extLst>
            <a:ext uri="{FF2B5EF4-FFF2-40B4-BE49-F238E27FC236}">
              <a16:creationId xmlns:a16="http://schemas.microsoft.com/office/drawing/2014/main" id="{C071FDDC-A816-444D-883F-BBEEF08386E4}"/>
            </a:ext>
          </a:extLst>
        </xdr:cNvPr>
        <xdr:cNvSpPr/>
      </xdr:nvSpPr>
      <xdr:spPr>
        <a:xfrm>
          <a:off x="2717800" y="116459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2</xdr:col>
      <xdr:colOff>0</xdr:colOff>
      <xdr:row>52</xdr:row>
      <xdr:rowOff>0</xdr:rowOff>
    </xdr:from>
    <xdr:ext cx="0" cy="169544"/>
    <xdr:sp macro="" textlink="">
      <xdr:nvSpPr>
        <xdr:cNvPr id="11" name="Shape 7">
          <a:extLst>
            <a:ext uri="{FF2B5EF4-FFF2-40B4-BE49-F238E27FC236}">
              <a16:creationId xmlns:a16="http://schemas.microsoft.com/office/drawing/2014/main" id="{124B6301-3F2D-174D-89B4-0906BD4F132C}"/>
            </a:ext>
          </a:extLst>
        </xdr:cNvPr>
        <xdr:cNvSpPr/>
      </xdr:nvSpPr>
      <xdr:spPr>
        <a:xfrm>
          <a:off x="2717800" y="116459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2</xdr:col>
      <xdr:colOff>0</xdr:colOff>
      <xdr:row>52</xdr:row>
      <xdr:rowOff>0</xdr:rowOff>
    </xdr:from>
    <xdr:ext cx="0" cy="169544"/>
    <xdr:sp macro="" textlink="">
      <xdr:nvSpPr>
        <xdr:cNvPr id="12" name="Shape 6">
          <a:extLst>
            <a:ext uri="{FF2B5EF4-FFF2-40B4-BE49-F238E27FC236}">
              <a16:creationId xmlns:a16="http://schemas.microsoft.com/office/drawing/2014/main" id="{406BD307-8A18-1140-BF76-428B828D2713}"/>
            </a:ext>
          </a:extLst>
        </xdr:cNvPr>
        <xdr:cNvSpPr/>
      </xdr:nvSpPr>
      <xdr:spPr>
        <a:xfrm>
          <a:off x="2717800" y="116459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2</xdr:col>
      <xdr:colOff>0</xdr:colOff>
      <xdr:row>52</xdr:row>
      <xdr:rowOff>0</xdr:rowOff>
    </xdr:from>
    <xdr:ext cx="0" cy="169544"/>
    <xdr:sp macro="" textlink="">
      <xdr:nvSpPr>
        <xdr:cNvPr id="13" name="Shape 7">
          <a:extLst>
            <a:ext uri="{FF2B5EF4-FFF2-40B4-BE49-F238E27FC236}">
              <a16:creationId xmlns:a16="http://schemas.microsoft.com/office/drawing/2014/main" id="{E0FE2DCF-9D2B-0B4B-96CD-6FDA8852B26B}"/>
            </a:ext>
          </a:extLst>
        </xdr:cNvPr>
        <xdr:cNvSpPr/>
      </xdr:nvSpPr>
      <xdr:spPr>
        <a:xfrm>
          <a:off x="2717800" y="116459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58</xdr:row>
      <xdr:rowOff>0</xdr:rowOff>
    </xdr:from>
    <xdr:ext cx="0" cy="169544"/>
    <xdr:sp macro="" textlink="">
      <xdr:nvSpPr>
        <xdr:cNvPr id="2" name="Shape 6">
          <a:extLst>
            <a:ext uri="{FF2B5EF4-FFF2-40B4-BE49-F238E27FC236}">
              <a16:creationId xmlns:a16="http://schemas.microsoft.com/office/drawing/2014/main" id="{7AF6693F-5D1B-2243-94C4-710567F2B0E2}"/>
            </a:ext>
          </a:extLst>
        </xdr:cNvPr>
        <xdr:cNvSpPr/>
      </xdr:nvSpPr>
      <xdr:spPr>
        <a:xfrm>
          <a:off x="6121400" y="1948180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58</xdr:row>
      <xdr:rowOff>0</xdr:rowOff>
    </xdr:from>
    <xdr:ext cx="0" cy="169544"/>
    <xdr:sp macro="" textlink="">
      <xdr:nvSpPr>
        <xdr:cNvPr id="3" name="Shape 7">
          <a:extLst>
            <a:ext uri="{FF2B5EF4-FFF2-40B4-BE49-F238E27FC236}">
              <a16:creationId xmlns:a16="http://schemas.microsoft.com/office/drawing/2014/main" id="{9407B037-2CBB-2E45-8577-278EA49E3547}"/>
            </a:ext>
          </a:extLst>
        </xdr:cNvPr>
        <xdr:cNvSpPr/>
      </xdr:nvSpPr>
      <xdr:spPr>
        <a:xfrm>
          <a:off x="6121400" y="1948180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58</xdr:row>
      <xdr:rowOff>0</xdr:rowOff>
    </xdr:from>
    <xdr:ext cx="0" cy="169544"/>
    <xdr:sp macro="" textlink="">
      <xdr:nvSpPr>
        <xdr:cNvPr id="4" name="Shape 6">
          <a:extLst>
            <a:ext uri="{FF2B5EF4-FFF2-40B4-BE49-F238E27FC236}">
              <a16:creationId xmlns:a16="http://schemas.microsoft.com/office/drawing/2014/main" id="{FEDCCE8A-DB13-1949-A7B3-C613618AD510}"/>
            </a:ext>
          </a:extLst>
        </xdr:cNvPr>
        <xdr:cNvSpPr/>
      </xdr:nvSpPr>
      <xdr:spPr>
        <a:xfrm>
          <a:off x="6121400" y="1948180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58</xdr:row>
      <xdr:rowOff>0</xdr:rowOff>
    </xdr:from>
    <xdr:ext cx="0" cy="169544"/>
    <xdr:sp macro="" textlink="">
      <xdr:nvSpPr>
        <xdr:cNvPr id="5" name="Shape 7">
          <a:extLst>
            <a:ext uri="{FF2B5EF4-FFF2-40B4-BE49-F238E27FC236}">
              <a16:creationId xmlns:a16="http://schemas.microsoft.com/office/drawing/2014/main" id="{4BD11238-DCAF-204B-A85F-E9195F6A1BF3}"/>
            </a:ext>
          </a:extLst>
        </xdr:cNvPr>
        <xdr:cNvSpPr/>
      </xdr:nvSpPr>
      <xdr:spPr>
        <a:xfrm>
          <a:off x="6121400" y="1948180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45</xdr:row>
      <xdr:rowOff>0</xdr:rowOff>
    </xdr:from>
    <xdr:ext cx="0" cy="169544"/>
    <xdr:sp macro="" textlink="">
      <xdr:nvSpPr>
        <xdr:cNvPr id="6" name="Shape 6">
          <a:extLst>
            <a:ext uri="{FF2B5EF4-FFF2-40B4-BE49-F238E27FC236}">
              <a16:creationId xmlns:a16="http://schemas.microsoft.com/office/drawing/2014/main" id="{933847C2-B635-BB40-9D1E-4561AF8857BB}"/>
            </a:ext>
          </a:extLst>
        </xdr:cNvPr>
        <xdr:cNvSpPr/>
      </xdr:nvSpPr>
      <xdr:spPr>
        <a:xfrm>
          <a:off x="6121400" y="1916811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45</xdr:row>
      <xdr:rowOff>0</xdr:rowOff>
    </xdr:from>
    <xdr:ext cx="0" cy="169544"/>
    <xdr:sp macro="" textlink="">
      <xdr:nvSpPr>
        <xdr:cNvPr id="7" name="Shape 7">
          <a:extLst>
            <a:ext uri="{FF2B5EF4-FFF2-40B4-BE49-F238E27FC236}">
              <a16:creationId xmlns:a16="http://schemas.microsoft.com/office/drawing/2014/main" id="{66124EEC-1D09-E842-A4B3-215E685889F0}"/>
            </a:ext>
          </a:extLst>
        </xdr:cNvPr>
        <xdr:cNvSpPr/>
      </xdr:nvSpPr>
      <xdr:spPr>
        <a:xfrm>
          <a:off x="6121400" y="1916811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45</xdr:row>
      <xdr:rowOff>0</xdr:rowOff>
    </xdr:from>
    <xdr:ext cx="0" cy="169544"/>
    <xdr:sp macro="" textlink="">
      <xdr:nvSpPr>
        <xdr:cNvPr id="8" name="Shape 6">
          <a:extLst>
            <a:ext uri="{FF2B5EF4-FFF2-40B4-BE49-F238E27FC236}">
              <a16:creationId xmlns:a16="http://schemas.microsoft.com/office/drawing/2014/main" id="{5DB7DA60-ECCB-7347-89ED-3F32A3C34C21}"/>
            </a:ext>
          </a:extLst>
        </xdr:cNvPr>
        <xdr:cNvSpPr/>
      </xdr:nvSpPr>
      <xdr:spPr>
        <a:xfrm>
          <a:off x="6121400" y="1916811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45</xdr:row>
      <xdr:rowOff>0</xdr:rowOff>
    </xdr:from>
    <xdr:ext cx="0" cy="169544"/>
    <xdr:sp macro="" textlink="">
      <xdr:nvSpPr>
        <xdr:cNvPr id="9" name="Shape 7">
          <a:extLst>
            <a:ext uri="{FF2B5EF4-FFF2-40B4-BE49-F238E27FC236}">
              <a16:creationId xmlns:a16="http://schemas.microsoft.com/office/drawing/2014/main" id="{B6942315-7EB6-E44A-815E-13BE343F0071}"/>
            </a:ext>
          </a:extLst>
        </xdr:cNvPr>
        <xdr:cNvSpPr/>
      </xdr:nvSpPr>
      <xdr:spPr>
        <a:xfrm>
          <a:off x="6121400" y="1916811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2</xdr:col>
      <xdr:colOff>0</xdr:colOff>
      <xdr:row>45</xdr:row>
      <xdr:rowOff>0</xdr:rowOff>
    </xdr:from>
    <xdr:ext cx="0" cy="169544"/>
    <xdr:sp macro="" textlink="">
      <xdr:nvSpPr>
        <xdr:cNvPr id="10" name="Shape 6">
          <a:extLst>
            <a:ext uri="{FF2B5EF4-FFF2-40B4-BE49-F238E27FC236}">
              <a16:creationId xmlns:a16="http://schemas.microsoft.com/office/drawing/2014/main" id="{B8A15730-3A09-8F43-8D85-53EC0F98462A}"/>
            </a:ext>
          </a:extLst>
        </xdr:cNvPr>
        <xdr:cNvSpPr/>
      </xdr:nvSpPr>
      <xdr:spPr>
        <a:xfrm>
          <a:off x="3238500" y="1916811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2</xdr:col>
      <xdr:colOff>0</xdr:colOff>
      <xdr:row>45</xdr:row>
      <xdr:rowOff>0</xdr:rowOff>
    </xdr:from>
    <xdr:ext cx="0" cy="169544"/>
    <xdr:sp macro="" textlink="">
      <xdr:nvSpPr>
        <xdr:cNvPr id="11" name="Shape 7">
          <a:extLst>
            <a:ext uri="{FF2B5EF4-FFF2-40B4-BE49-F238E27FC236}">
              <a16:creationId xmlns:a16="http://schemas.microsoft.com/office/drawing/2014/main" id="{19786064-5491-7142-953B-425C53649629}"/>
            </a:ext>
          </a:extLst>
        </xdr:cNvPr>
        <xdr:cNvSpPr/>
      </xdr:nvSpPr>
      <xdr:spPr>
        <a:xfrm>
          <a:off x="3238500" y="1916811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2</xdr:col>
      <xdr:colOff>0</xdr:colOff>
      <xdr:row>45</xdr:row>
      <xdr:rowOff>0</xdr:rowOff>
    </xdr:from>
    <xdr:ext cx="0" cy="169544"/>
    <xdr:sp macro="" textlink="">
      <xdr:nvSpPr>
        <xdr:cNvPr id="12" name="Shape 6">
          <a:extLst>
            <a:ext uri="{FF2B5EF4-FFF2-40B4-BE49-F238E27FC236}">
              <a16:creationId xmlns:a16="http://schemas.microsoft.com/office/drawing/2014/main" id="{076E51EB-1EC0-4146-9BD6-2076BB8F99FE}"/>
            </a:ext>
          </a:extLst>
        </xdr:cNvPr>
        <xdr:cNvSpPr/>
      </xdr:nvSpPr>
      <xdr:spPr>
        <a:xfrm>
          <a:off x="3238500" y="1916811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2</xdr:col>
      <xdr:colOff>0</xdr:colOff>
      <xdr:row>45</xdr:row>
      <xdr:rowOff>0</xdr:rowOff>
    </xdr:from>
    <xdr:ext cx="0" cy="169544"/>
    <xdr:sp macro="" textlink="">
      <xdr:nvSpPr>
        <xdr:cNvPr id="13" name="Shape 7">
          <a:extLst>
            <a:ext uri="{FF2B5EF4-FFF2-40B4-BE49-F238E27FC236}">
              <a16:creationId xmlns:a16="http://schemas.microsoft.com/office/drawing/2014/main" id="{EBE931E7-C952-B342-A0FD-C9A0831E6E13}"/>
            </a:ext>
          </a:extLst>
        </xdr:cNvPr>
        <xdr:cNvSpPr/>
      </xdr:nvSpPr>
      <xdr:spPr>
        <a:xfrm>
          <a:off x="3238500" y="1916811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ome/Files/UoT-PhD/Research/00-References/Alberta/Transmission/SLIVER%20model%20inputs%20-%20AB-4-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er_inputs"/>
      <sheetName val="site independent"/>
      <sheetName val="modeled attributes"/>
      <sheetName val="modeled attributes _original"/>
      <sheetName val="scenario analysis"/>
      <sheetName val="vre plants"/>
      <sheetName val="non-vre plants"/>
      <sheetName val="storage"/>
      <sheetName val="EV_aggregator"/>
      <sheetName val="demand response"/>
      <sheetName val="demand centres"/>
      <sheetName val="existing transmission"/>
      <sheetName val="Nodes"/>
      <sheetName val="excel input instructions"/>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3">
          <cell r="B3" t="str">
            <v>Wind</v>
          </cell>
          <cell r="C3" t="str">
            <v>Solar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00400-ED41-AE44-ABD4-F3258F17FE14}">
  <sheetPr codeName="Sheet1"/>
  <dimension ref="A1:C30"/>
  <sheetViews>
    <sheetView workbookViewId="0">
      <selection activeCell="G24" sqref="G24"/>
    </sheetView>
  </sheetViews>
  <sheetFormatPr baseColWidth="10" defaultRowHeight="16" x14ac:dyDescent="0.2"/>
  <cols>
    <col min="1" max="1" width="4.83203125" style="10" customWidth="1"/>
    <col min="2" max="2" width="21.6640625" style="10" customWidth="1"/>
    <col min="3" max="3" width="10.83203125" style="10"/>
    <col min="4" max="16384" width="10.83203125" style="53"/>
  </cols>
  <sheetData>
    <row r="1" spans="1:3" s="10" customFormat="1" ht="21" x14ac:dyDescent="0.25">
      <c r="A1" s="63" t="s">
        <v>129</v>
      </c>
      <c r="B1" s="21" t="s">
        <v>28</v>
      </c>
    </row>
    <row r="2" spans="1:3" s="10" customFormat="1" x14ac:dyDescent="0.2"/>
    <row r="3" spans="1:3" s="14" customFormat="1" ht="19" x14ac:dyDescent="0.25">
      <c r="B3" s="4" t="s">
        <v>527</v>
      </c>
      <c r="C3" s="4" t="s">
        <v>524</v>
      </c>
    </row>
    <row r="4" spans="1:3" s="14" customFormat="1" ht="19" x14ac:dyDescent="0.25">
      <c r="B4" s="4" t="s">
        <v>525</v>
      </c>
      <c r="C4" s="4" t="s">
        <v>526</v>
      </c>
    </row>
    <row r="5" spans="1:3" s="14" customFormat="1" ht="19" x14ac:dyDescent="0.25">
      <c r="B5" s="4" t="s">
        <v>654</v>
      </c>
      <c r="C5" s="4" t="s">
        <v>655</v>
      </c>
    </row>
    <row r="6" spans="1:3" s="14" customFormat="1" ht="19" x14ac:dyDescent="0.25">
      <c r="B6" s="14" t="s">
        <v>23</v>
      </c>
      <c r="C6" s="14" t="s">
        <v>27</v>
      </c>
    </row>
    <row r="7" spans="1:3" s="14" customFormat="1" ht="19" x14ac:dyDescent="0.25">
      <c r="B7" s="14" t="s">
        <v>719</v>
      </c>
      <c r="C7" s="14" t="s">
        <v>720</v>
      </c>
    </row>
    <row r="8" spans="1:3" s="14" customFormat="1" ht="19" x14ac:dyDescent="0.25">
      <c r="B8" s="14" t="s">
        <v>877</v>
      </c>
      <c r="C8" s="14" t="s">
        <v>878</v>
      </c>
    </row>
    <row r="9" spans="1:3" s="14" customFormat="1" ht="19" x14ac:dyDescent="0.25">
      <c r="B9" s="4" t="s">
        <v>222</v>
      </c>
      <c r="C9" s="4" t="s">
        <v>223</v>
      </c>
    </row>
    <row r="10" spans="1:3" s="14" customFormat="1" ht="19" x14ac:dyDescent="0.25">
      <c r="B10" s="4" t="s">
        <v>224</v>
      </c>
      <c r="C10" s="4" t="s">
        <v>225</v>
      </c>
    </row>
    <row r="11" spans="1:3" s="14" customFormat="1" ht="19" x14ac:dyDescent="0.25">
      <c r="B11" s="4" t="s">
        <v>226</v>
      </c>
      <c r="C11" s="4" t="s">
        <v>227</v>
      </c>
    </row>
    <row r="12" spans="1:3" s="14" customFormat="1" ht="19" x14ac:dyDescent="0.25">
      <c r="B12" s="4" t="s">
        <v>228</v>
      </c>
      <c r="C12" s="4" t="s">
        <v>229</v>
      </c>
    </row>
    <row r="13" spans="1:3" s="14" customFormat="1" ht="19" x14ac:dyDescent="0.25">
      <c r="B13" s="14" t="s">
        <v>721</v>
      </c>
      <c r="C13" s="14" t="s">
        <v>722</v>
      </c>
    </row>
    <row r="14" spans="1:3" s="14" customFormat="1" ht="19" x14ac:dyDescent="0.25">
      <c r="B14" s="14" t="s">
        <v>44</v>
      </c>
      <c r="C14" s="14" t="s">
        <v>45</v>
      </c>
    </row>
    <row r="15" spans="1:3" s="51" customFormat="1" ht="19" x14ac:dyDescent="0.25">
      <c r="A15" s="14"/>
      <c r="B15" s="4" t="s">
        <v>232</v>
      </c>
      <c r="C15" s="4" t="s">
        <v>263</v>
      </c>
    </row>
    <row r="16" spans="1:3" s="51" customFormat="1" ht="19" x14ac:dyDescent="0.25">
      <c r="A16" s="14"/>
      <c r="B16" s="4" t="s">
        <v>233</v>
      </c>
      <c r="C16" s="4" t="s">
        <v>264</v>
      </c>
    </row>
    <row r="17" spans="1:3" s="14" customFormat="1" ht="19" x14ac:dyDescent="0.25">
      <c r="B17" s="14" t="s">
        <v>230</v>
      </c>
      <c r="C17" s="14" t="s">
        <v>265</v>
      </c>
    </row>
    <row r="18" spans="1:3" s="14" customFormat="1" ht="19" x14ac:dyDescent="0.25">
      <c r="B18" s="14" t="s">
        <v>231</v>
      </c>
      <c r="C18" s="14" t="s">
        <v>266</v>
      </c>
    </row>
    <row r="19" spans="1:3" s="14" customFormat="1" ht="19" x14ac:dyDescent="0.25">
      <c r="B19" s="14" t="s">
        <v>253</v>
      </c>
      <c r="C19" s="14" t="s">
        <v>267</v>
      </c>
    </row>
    <row r="20" spans="1:3" s="14" customFormat="1" ht="19" x14ac:dyDescent="0.25">
      <c r="B20" s="14" t="s">
        <v>638</v>
      </c>
      <c r="C20" s="14" t="s">
        <v>639</v>
      </c>
    </row>
    <row r="21" spans="1:3" s="14" customFormat="1" ht="19" x14ac:dyDescent="0.25"/>
    <row r="22" spans="1:3" s="51" customFormat="1" ht="19" x14ac:dyDescent="0.25">
      <c r="A22" s="14"/>
      <c r="B22" s="64"/>
      <c r="C22" s="4" t="s">
        <v>255</v>
      </c>
    </row>
    <row r="23" spans="1:3" s="51" customFormat="1" ht="19" x14ac:dyDescent="0.25">
      <c r="A23" s="14"/>
      <c r="B23" s="66"/>
      <c r="C23" s="4" t="s">
        <v>879</v>
      </c>
    </row>
    <row r="24" spans="1:3" s="51" customFormat="1" ht="19" x14ac:dyDescent="0.25">
      <c r="A24" s="14"/>
      <c r="B24" s="65"/>
      <c r="C24" s="4" t="s">
        <v>254</v>
      </c>
    </row>
    <row r="25" spans="1:3" s="51" customFormat="1" ht="19" x14ac:dyDescent="0.25">
      <c r="A25" s="14"/>
      <c r="B25" s="239">
        <v>27</v>
      </c>
      <c r="C25" s="4" t="s">
        <v>59</v>
      </c>
    </row>
    <row r="26" spans="1:3" s="51" customFormat="1" ht="19" x14ac:dyDescent="0.25">
      <c r="A26" s="14"/>
      <c r="B26" s="14"/>
      <c r="C26" s="4" t="s">
        <v>880</v>
      </c>
    </row>
    <row r="27" spans="1:3" s="183" customFormat="1" x14ac:dyDescent="0.2">
      <c r="A27" s="10"/>
      <c r="B27" s="10"/>
      <c r="C27" s="10"/>
    </row>
    <row r="28" spans="1:3" s="183" customFormat="1" x14ac:dyDescent="0.2">
      <c r="A28" s="10"/>
      <c r="B28" s="10"/>
      <c r="C28" s="10"/>
    </row>
    <row r="29" spans="1:3" s="183" customFormat="1" x14ac:dyDescent="0.2">
      <c r="A29" s="10"/>
      <c r="B29" s="10"/>
      <c r="C29" s="10"/>
    </row>
    <row r="30" spans="1:3" s="183" customFormat="1" x14ac:dyDescent="0.2">
      <c r="A30" s="10"/>
      <c r="B30" s="10"/>
      <c r="C3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15121-EE5F-8C42-988A-02BFA43F9B17}">
  <dimension ref="A1:AK36"/>
  <sheetViews>
    <sheetView zoomScaleNormal="100" workbookViewId="0">
      <pane xSplit="3" ySplit="3" topLeftCell="D7" activePane="bottomRight" state="frozen"/>
      <selection pane="topRight" activeCell="C1" sqref="C1"/>
      <selection pane="bottomLeft" activeCell="A2" sqref="A2"/>
      <selection pane="bottomRight" activeCell="A23" sqref="A23"/>
    </sheetView>
  </sheetViews>
  <sheetFormatPr baseColWidth="10" defaultRowHeight="19" x14ac:dyDescent="0.25"/>
  <cols>
    <col min="1" max="1" width="4.83203125" style="4" customWidth="1"/>
    <col min="2" max="2" width="63.5" style="4" customWidth="1"/>
    <col min="3" max="3" width="13.5" style="134" customWidth="1"/>
    <col min="4" max="4" width="140.83203125" style="135" customWidth="1"/>
    <col min="5" max="5" width="165.6640625" style="136" customWidth="1"/>
    <col min="6" max="7" width="57.6640625" style="136" customWidth="1"/>
    <col min="8" max="8" width="100.83203125" style="136" customWidth="1"/>
    <col min="9" max="16384" width="10.83203125" style="4"/>
  </cols>
  <sheetData>
    <row r="1" spans="1:8" s="21" customFormat="1" ht="21" x14ac:dyDescent="0.2">
      <c r="A1" s="21" t="s">
        <v>129</v>
      </c>
      <c r="B1" s="21" t="s">
        <v>498</v>
      </c>
    </row>
    <row r="2" spans="1:8" s="53" customFormat="1" ht="16" x14ac:dyDescent="0.2"/>
    <row r="3" spans="1:8" s="137" customFormat="1" ht="21" x14ac:dyDescent="0.25">
      <c r="B3" s="17" t="s">
        <v>499</v>
      </c>
      <c r="C3" s="17" t="s">
        <v>500</v>
      </c>
      <c r="D3" s="17" t="s">
        <v>501</v>
      </c>
      <c r="E3" s="17" t="s">
        <v>502</v>
      </c>
      <c r="F3" s="17" t="s">
        <v>503</v>
      </c>
      <c r="G3" s="17" t="s">
        <v>453</v>
      </c>
      <c r="H3" s="17" t="s">
        <v>32</v>
      </c>
    </row>
    <row r="4" spans="1:8" ht="20" x14ac:dyDescent="0.25">
      <c r="B4" s="132" t="s">
        <v>77</v>
      </c>
      <c r="C4" s="46">
        <v>2007</v>
      </c>
      <c r="D4" s="18" t="s">
        <v>560</v>
      </c>
      <c r="E4" s="18" t="s">
        <v>543</v>
      </c>
      <c r="F4" s="18"/>
      <c r="G4" s="18" t="s">
        <v>529</v>
      </c>
      <c r="H4" s="18"/>
    </row>
    <row r="5" spans="1:8" ht="20" x14ac:dyDescent="0.25">
      <c r="B5" s="152" t="s">
        <v>136</v>
      </c>
      <c r="C5" s="46">
        <v>2019</v>
      </c>
      <c r="D5" s="18" t="s">
        <v>513</v>
      </c>
      <c r="E5" s="18" t="s">
        <v>514</v>
      </c>
      <c r="F5" s="18"/>
      <c r="G5" s="18" t="s">
        <v>529</v>
      </c>
      <c r="H5" s="18"/>
    </row>
    <row r="6" spans="1:8" ht="20" x14ac:dyDescent="0.25">
      <c r="B6" s="169" t="s">
        <v>579</v>
      </c>
      <c r="C6" s="168">
        <v>2020</v>
      </c>
      <c r="D6" s="162" t="s">
        <v>580</v>
      </c>
      <c r="E6" s="162" t="s">
        <v>581</v>
      </c>
      <c r="F6" s="162"/>
      <c r="G6" s="162" t="s">
        <v>582</v>
      </c>
      <c r="H6" s="162"/>
    </row>
    <row r="7" spans="1:8" s="138" customFormat="1" ht="20" x14ac:dyDescent="0.2">
      <c r="B7" s="153" t="s">
        <v>515</v>
      </c>
      <c r="C7" s="46">
        <v>2017</v>
      </c>
      <c r="D7" s="18" t="s">
        <v>516</v>
      </c>
      <c r="E7" s="18" t="s">
        <v>517</v>
      </c>
      <c r="F7" s="18"/>
      <c r="G7" s="18" t="s">
        <v>518</v>
      </c>
      <c r="H7" s="18"/>
    </row>
    <row r="8" spans="1:8" s="138" customFormat="1" ht="20" x14ac:dyDescent="0.2">
      <c r="B8" s="154" t="s">
        <v>519</v>
      </c>
      <c r="C8" s="46">
        <v>2019</v>
      </c>
      <c r="D8" s="18" t="s">
        <v>520</v>
      </c>
      <c r="E8" s="18" t="s">
        <v>521</v>
      </c>
      <c r="F8" s="18"/>
      <c r="G8" s="18"/>
      <c r="H8" s="18"/>
    </row>
    <row r="9" spans="1:8" ht="20" x14ac:dyDescent="0.25">
      <c r="B9" s="155" t="s">
        <v>522</v>
      </c>
      <c r="C9" s="46">
        <v>2020</v>
      </c>
      <c r="D9" s="18"/>
      <c r="E9" s="18"/>
      <c r="F9" s="18"/>
      <c r="G9" s="18"/>
      <c r="H9" s="18"/>
    </row>
    <row r="10" spans="1:8" ht="20" x14ac:dyDescent="0.25">
      <c r="B10" s="156" t="s">
        <v>523</v>
      </c>
      <c r="C10" s="46"/>
      <c r="D10" s="18"/>
      <c r="E10" s="18"/>
      <c r="F10" s="18"/>
      <c r="G10" s="18"/>
      <c r="H10" s="18"/>
    </row>
    <row r="11" spans="1:8" s="138" customFormat="1" ht="20" x14ac:dyDescent="0.2">
      <c r="B11" s="151" t="s">
        <v>136</v>
      </c>
      <c r="C11" s="46">
        <v>2016</v>
      </c>
      <c r="D11" s="18" t="s">
        <v>508</v>
      </c>
      <c r="E11" s="18" t="s">
        <v>509</v>
      </c>
      <c r="F11" s="18"/>
      <c r="G11" s="18" t="s">
        <v>504</v>
      </c>
      <c r="H11" s="18"/>
    </row>
    <row r="12" spans="1:8" s="138" customFormat="1" ht="40" x14ac:dyDescent="0.2">
      <c r="B12" s="1" t="s">
        <v>204</v>
      </c>
      <c r="C12" s="46">
        <v>2012</v>
      </c>
      <c r="D12" s="18" t="s">
        <v>606</v>
      </c>
      <c r="E12" s="18" t="s">
        <v>607</v>
      </c>
      <c r="F12" s="18"/>
      <c r="G12" s="18" t="s">
        <v>529</v>
      </c>
      <c r="H12" s="18"/>
    </row>
    <row r="13" spans="1:8" x14ac:dyDescent="0.25">
      <c r="B13" s="192"/>
      <c r="C13" s="46"/>
      <c r="D13" s="18"/>
      <c r="E13" s="18"/>
      <c r="F13" s="18"/>
      <c r="G13" s="18"/>
      <c r="H13" s="18"/>
    </row>
    <row r="14" spans="1:8" ht="20" x14ac:dyDescent="0.25">
      <c r="B14" s="170" t="s">
        <v>585</v>
      </c>
      <c r="C14" s="168">
        <v>2019</v>
      </c>
      <c r="D14" s="162" t="s">
        <v>586</v>
      </c>
      <c r="E14" s="162" t="s">
        <v>587</v>
      </c>
      <c r="F14" s="162"/>
      <c r="G14" s="162" t="s">
        <v>582</v>
      </c>
      <c r="H14" s="162"/>
    </row>
    <row r="15" spans="1:8" x14ac:dyDescent="0.25">
      <c r="B15" s="206"/>
      <c r="C15" s="168"/>
      <c r="D15" s="162"/>
      <c r="E15" s="162"/>
      <c r="F15" s="162"/>
      <c r="G15" s="162"/>
      <c r="H15" s="162"/>
    </row>
    <row r="16" spans="1:8" x14ac:dyDescent="0.25">
      <c r="B16" s="196"/>
      <c r="C16" s="168"/>
      <c r="D16" s="162"/>
      <c r="E16" s="162"/>
      <c r="F16" s="162"/>
      <c r="G16" s="162"/>
      <c r="H16" s="162"/>
    </row>
    <row r="17" spans="1:19" x14ac:dyDescent="0.25">
      <c r="B17" s="197"/>
      <c r="C17" s="168"/>
      <c r="D17" s="162"/>
      <c r="E17" s="162"/>
      <c r="F17" s="162"/>
      <c r="G17" s="162"/>
      <c r="H17" s="162"/>
    </row>
    <row r="18" spans="1:19" s="138" customFormat="1" ht="20" x14ac:dyDescent="0.2">
      <c r="B18" s="79" t="s">
        <v>77</v>
      </c>
      <c r="C18" s="46">
        <v>2018</v>
      </c>
      <c r="D18" s="18" t="s">
        <v>798</v>
      </c>
      <c r="E18" s="18" t="s">
        <v>528</v>
      </c>
      <c r="F18" s="18"/>
      <c r="G18" s="18" t="s">
        <v>529</v>
      </c>
      <c r="H18" s="18"/>
    </row>
    <row r="19" spans="1:19" s="138" customFormat="1" ht="20" x14ac:dyDescent="0.2">
      <c r="B19" s="80" t="s">
        <v>77</v>
      </c>
      <c r="C19" s="46">
        <v>2020</v>
      </c>
      <c r="D19" s="18" t="s">
        <v>530</v>
      </c>
      <c r="E19" s="18" t="s">
        <v>531</v>
      </c>
      <c r="F19" s="18"/>
      <c r="G19" s="18" t="s">
        <v>529</v>
      </c>
      <c r="H19" s="18"/>
    </row>
    <row r="20" spans="1:19" ht="20" x14ac:dyDescent="0.25">
      <c r="B20" s="139" t="s">
        <v>505</v>
      </c>
      <c r="C20" s="46">
        <v>2019</v>
      </c>
      <c r="D20" s="18" t="s">
        <v>506</v>
      </c>
      <c r="E20" s="18" t="s">
        <v>507</v>
      </c>
      <c r="F20" s="18"/>
      <c r="G20" s="18" t="s">
        <v>529</v>
      </c>
      <c r="H20" s="18"/>
    </row>
    <row r="21" spans="1:19" s="138" customFormat="1" ht="20" x14ac:dyDescent="0.2">
      <c r="B21" s="140" t="s">
        <v>77</v>
      </c>
      <c r="C21" s="46">
        <v>2018</v>
      </c>
      <c r="D21" s="18" t="s">
        <v>532</v>
      </c>
      <c r="E21" s="18" t="s">
        <v>533</v>
      </c>
      <c r="F21" s="18"/>
      <c r="G21" s="18" t="s">
        <v>529</v>
      </c>
      <c r="H21" s="18"/>
    </row>
    <row r="22" spans="1:19" s="138" customFormat="1" ht="20" x14ac:dyDescent="0.2">
      <c r="B22" s="141" t="s">
        <v>77</v>
      </c>
      <c r="C22" s="46">
        <v>2018</v>
      </c>
      <c r="D22" s="18" t="s">
        <v>534</v>
      </c>
      <c r="E22" s="18" t="s">
        <v>533</v>
      </c>
      <c r="F22" s="18"/>
      <c r="G22" s="18" t="s">
        <v>529</v>
      </c>
      <c r="H22" s="18"/>
    </row>
    <row r="23" spans="1:19" s="138" customFormat="1" ht="20" x14ac:dyDescent="0.25">
      <c r="A23" s="237"/>
      <c r="B23" s="142" t="s">
        <v>77</v>
      </c>
      <c r="C23" s="46">
        <v>2018</v>
      </c>
      <c r="D23" s="18" t="s">
        <v>535</v>
      </c>
      <c r="E23" s="18" t="s">
        <v>533</v>
      </c>
      <c r="F23" s="18"/>
      <c r="G23" s="18" t="s">
        <v>529</v>
      </c>
      <c r="H23" s="18"/>
    </row>
    <row r="24" spans="1:19" s="53" customFormat="1" ht="20" x14ac:dyDescent="0.25">
      <c r="B24" s="143" t="s">
        <v>77</v>
      </c>
      <c r="C24" s="46">
        <v>2016</v>
      </c>
      <c r="D24" s="18" t="s">
        <v>536</v>
      </c>
      <c r="E24" s="18" t="s">
        <v>537</v>
      </c>
      <c r="F24" s="18"/>
      <c r="G24" s="18" t="s">
        <v>529</v>
      </c>
      <c r="H24" s="18"/>
      <c r="K24" s="4"/>
      <c r="L24" s="4"/>
      <c r="M24" s="4"/>
      <c r="N24" s="4"/>
      <c r="O24" s="4"/>
      <c r="P24" s="4"/>
      <c r="Q24" s="4"/>
      <c r="R24" s="4"/>
      <c r="S24" s="28"/>
    </row>
    <row r="25" spans="1:19" s="138" customFormat="1" ht="20" x14ac:dyDescent="0.2">
      <c r="B25" s="144" t="s">
        <v>853</v>
      </c>
      <c r="C25" s="46">
        <v>2014</v>
      </c>
      <c r="D25" s="18" t="s">
        <v>541</v>
      </c>
      <c r="E25" s="18" t="s">
        <v>542</v>
      </c>
      <c r="F25" s="18"/>
      <c r="G25" s="18" t="s">
        <v>529</v>
      </c>
      <c r="H25" s="18"/>
    </row>
    <row r="26" spans="1:19" ht="20" x14ac:dyDescent="0.25">
      <c r="B26" s="145" t="s">
        <v>77</v>
      </c>
      <c r="C26" s="46">
        <v>2018</v>
      </c>
      <c r="D26" s="18" t="s">
        <v>538</v>
      </c>
      <c r="E26" s="146" t="s">
        <v>533</v>
      </c>
      <c r="F26" s="18"/>
      <c r="G26" s="18" t="s">
        <v>529</v>
      </c>
      <c r="H26" s="18"/>
    </row>
    <row r="27" spans="1:19" ht="20" x14ac:dyDescent="0.25">
      <c r="B27" s="147" t="s">
        <v>77</v>
      </c>
      <c r="C27" s="46">
        <v>2019</v>
      </c>
      <c r="D27" s="18" t="s">
        <v>540</v>
      </c>
      <c r="E27" s="18" t="s">
        <v>539</v>
      </c>
      <c r="F27" s="18"/>
      <c r="G27" s="18" t="s">
        <v>529</v>
      </c>
      <c r="H27" s="18"/>
    </row>
    <row r="28" spans="1:19" ht="20" x14ac:dyDescent="0.25">
      <c r="B28" s="148" t="s">
        <v>696</v>
      </c>
      <c r="C28" s="46">
        <v>2018</v>
      </c>
      <c r="D28" s="18"/>
      <c r="E28" s="18" t="s">
        <v>426</v>
      </c>
      <c r="F28" s="18"/>
      <c r="G28" s="18" t="s">
        <v>529</v>
      </c>
      <c r="H28" s="18"/>
    </row>
    <row r="29" spans="1:19" ht="20" x14ac:dyDescent="0.25">
      <c r="B29" s="149" t="s">
        <v>551</v>
      </c>
      <c r="C29" s="46">
        <v>2019</v>
      </c>
      <c r="D29" s="18" t="s">
        <v>552</v>
      </c>
      <c r="E29" s="18" t="s">
        <v>554</v>
      </c>
      <c r="F29" s="18"/>
      <c r="G29" s="18" t="s">
        <v>553</v>
      </c>
      <c r="H29" s="18"/>
    </row>
    <row r="30" spans="1:19" ht="20" x14ac:dyDescent="0.25">
      <c r="B30" s="150" t="s">
        <v>510</v>
      </c>
      <c r="C30" s="46">
        <v>2020</v>
      </c>
      <c r="D30" s="18" t="s">
        <v>511</v>
      </c>
      <c r="E30" s="18" t="s">
        <v>512</v>
      </c>
      <c r="F30" s="18"/>
      <c r="G30" s="18" t="s">
        <v>504</v>
      </c>
      <c r="H30" s="18"/>
    </row>
    <row r="31" spans="1:19" ht="20" x14ac:dyDescent="0.25">
      <c r="B31" s="194" t="s">
        <v>631</v>
      </c>
      <c r="C31" s="46">
        <v>2017</v>
      </c>
      <c r="D31" s="18" t="s">
        <v>632</v>
      </c>
      <c r="E31" s="18"/>
      <c r="F31" s="18"/>
      <c r="G31" s="18"/>
      <c r="H31" s="18"/>
    </row>
    <row r="32" spans="1:19" ht="20" x14ac:dyDescent="0.25">
      <c r="B32" s="195" t="s">
        <v>634</v>
      </c>
      <c r="C32" s="46">
        <v>2017</v>
      </c>
      <c r="D32" s="18" t="s">
        <v>635</v>
      </c>
      <c r="E32" s="18" t="s">
        <v>633</v>
      </c>
      <c r="F32" s="18"/>
      <c r="G32" s="18"/>
      <c r="H32" s="18"/>
    </row>
    <row r="33" spans="2:37" ht="20" x14ac:dyDescent="0.25">
      <c r="B33" s="198" t="s">
        <v>625</v>
      </c>
      <c r="C33" s="46">
        <v>1979</v>
      </c>
      <c r="D33" s="18" t="s">
        <v>626</v>
      </c>
      <c r="E33" s="18" t="s">
        <v>627</v>
      </c>
      <c r="F33" s="18"/>
      <c r="G33" s="18"/>
      <c r="H33" s="18"/>
    </row>
    <row r="34" spans="2:37" x14ac:dyDescent="0.25">
      <c r="B34" s="199"/>
      <c r="C34" s="46"/>
      <c r="D34" s="18"/>
      <c r="E34" s="18"/>
      <c r="F34" s="18"/>
      <c r="G34" s="18"/>
      <c r="H34" s="18"/>
    </row>
    <row r="35" spans="2:37" x14ac:dyDescent="0.25">
      <c r="B35" s="229"/>
      <c r="C35" s="46"/>
      <c r="D35" s="18"/>
      <c r="E35" s="18"/>
      <c r="F35" s="18"/>
      <c r="G35" s="18"/>
      <c r="H35" s="18"/>
      <c r="J35" s="183"/>
      <c r="K35" s="42"/>
      <c r="L35" s="29"/>
      <c r="M35" s="42"/>
      <c r="N35" s="42"/>
      <c r="O35" s="42"/>
      <c r="P35" s="42"/>
      <c r="Q35" s="29"/>
      <c r="R35" s="42"/>
      <c r="S35" s="42"/>
      <c r="T35" s="28"/>
      <c r="U35" s="28"/>
      <c r="V35" s="34"/>
      <c r="W35" s="34"/>
      <c r="Y35" s="16"/>
      <c r="AF35" s="6"/>
      <c r="AJ35" s="183"/>
      <c r="AK35" s="183"/>
    </row>
    <row r="36" spans="2:37" ht="20" x14ac:dyDescent="0.25">
      <c r="B36" s="200" t="s">
        <v>820</v>
      </c>
      <c r="C36" s="46">
        <v>2021</v>
      </c>
      <c r="D36" s="18" t="s">
        <v>821</v>
      </c>
      <c r="E36" s="18" t="s">
        <v>822</v>
      </c>
      <c r="F36" s="18"/>
      <c r="G36" s="18" t="s">
        <v>823</v>
      </c>
      <c r="H36" s="18"/>
    </row>
  </sheetData>
  <autoFilter ref="B3:H3" xr:uid="{4394770A-2345-D74B-BD81-DB7567B27015}">
    <sortState xmlns:xlrd2="http://schemas.microsoft.com/office/spreadsheetml/2017/richdata2" ref="B4:H206">
      <sortCondition ref="G3:G20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BDF20-10D6-F646-8865-6EC8CB276D84}">
  <sheetPr codeName="Sheet3"/>
  <dimension ref="A1:BK265"/>
  <sheetViews>
    <sheetView zoomScaleNormal="100" workbookViewId="0">
      <pane xSplit="2" ySplit="3" topLeftCell="H33" activePane="bottomRight" state="frozen"/>
      <selection activeCell="AW23" sqref="AW23"/>
      <selection pane="topRight" activeCell="AW23" sqref="AW23"/>
      <selection pane="bottomLeft" activeCell="AW23" sqref="AW23"/>
      <selection pane="bottomRight" activeCell="K44" sqref="K44"/>
    </sheetView>
  </sheetViews>
  <sheetFormatPr baseColWidth="10" defaultRowHeight="19" x14ac:dyDescent="0.25"/>
  <cols>
    <col min="1" max="1" width="4.83203125" style="4" customWidth="1"/>
    <col min="2" max="2" width="54.83203125" style="4" customWidth="1"/>
    <col min="3" max="3" width="20.83203125" style="115" customWidth="1"/>
    <col min="4" max="4" width="50.83203125" style="4" customWidth="1"/>
    <col min="5" max="5" width="20.83203125" style="6" customWidth="1"/>
    <col min="6" max="6" width="20.83203125" style="45" customWidth="1"/>
    <col min="7" max="7" width="20.83203125" style="4" customWidth="1"/>
    <col min="8" max="8" width="25.5" style="115" customWidth="1"/>
    <col min="9" max="9" width="18.83203125" style="115" customWidth="1"/>
    <col min="10" max="10" width="30.83203125" style="53" customWidth="1"/>
    <col min="11" max="11" width="20.83203125" style="89" customWidth="1"/>
    <col min="12" max="12" width="12.83203125" style="4" customWidth="1"/>
    <col min="13" max="14" width="12.83203125" style="6" customWidth="1"/>
    <col min="15" max="15" width="4.83203125" style="85" customWidth="1"/>
    <col min="16" max="16" width="24" style="6" customWidth="1"/>
    <col min="17" max="17" width="24" style="117" customWidth="1"/>
    <col min="18" max="18" width="15.83203125" style="4" customWidth="1"/>
    <col min="19" max="19" width="16.83203125" style="4" customWidth="1"/>
    <col min="20" max="20" width="15.83203125" style="4" customWidth="1"/>
    <col min="21" max="22" width="16.83203125" style="4" customWidth="1"/>
    <col min="23" max="23" width="16.83203125" style="115" customWidth="1"/>
    <col min="24" max="24" width="4.83203125" style="53" customWidth="1"/>
    <col min="25" max="25" width="79.1640625" style="4" customWidth="1"/>
    <col min="26" max="26" width="48.83203125" style="4" customWidth="1"/>
    <col min="27" max="16384" width="10.83203125" style="4"/>
  </cols>
  <sheetData>
    <row r="1" spans="1:26" ht="21" x14ac:dyDescent="0.25">
      <c r="A1" s="63" t="s">
        <v>129</v>
      </c>
      <c r="B1" s="21" t="s">
        <v>75</v>
      </c>
      <c r="C1" s="218"/>
      <c r="D1" s="24"/>
      <c r="F1" s="25"/>
      <c r="J1" s="4"/>
      <c r="K1" s="53"/>
      <c r="P1" s="68" t="s">
        <v>29</v>
      </c>
      <c r="Q1" s="184"/>
      <c r="R1" s="27"/>
      <c r="T1" s="27"/>
    </row>
    <row r="2" spans="1:26" s="9" customFormat="1" ht="40" x14ac:dyDescent="0.2">
      <c r="A2" s="5"/>
      <c r="B2" s="22" t="s">
        <v>19</v>
      </c>
      <c r="C2" s="22" t="s">
        <v>679</v>
      </c>
      <c r="D2" s="22" t="s">
        <v>14</v>
      </c>
      <c r="E2" s="22" t="s">
        <v>22</v>
      </c>
      <c r="F2" s="22" t="s">
        <v>15</v>
      </c>
      <c r="G2" s="22" t="s">
        <v>16</v>
      </c>
      <c r="H2" s="22" t="s">
        <v>595</v>
      </c>
      <c r="I2" s="22" t="s">
        <v>801</v>
      </c>
      <c r="J2" s="22" t="s">
        <v>597</v>
      </c>
      <c r="K2" s="22" t="s">
        <v>598</v>
      </c>
      <c r="L2" s="22" t="s">
        <v>544</v>
      </c>
      <c r="M2" s="22" t="s">
        <v>18</v>
      </c>
      <c r="N2" s="22" t="s">
        <v>66</v>
      </c>
      <c r="O2" s="75"/>
      <c r="P2" s="22" t="s">
        <v>424</v>
      </c>
      <c r="Q2" s="22" t="s">
        <v>599</v>
      </c>
      <c r="R2" s="22" t="s">
        <v>17</v>
      </c>
      <c r="S2" s="22" t="s">
        <v>562</v>
      </c>
      <c r="T2" s="22" t="s">
        <v>563</v>
      </c>
      <c r="U2" s="22" t="s">
        <v>305</v>
      </c>
      <c r="V2" s="22" t="s">
        <v>39</v>
      </c>
      <c r="W2" s="22" t="s">
        <v>261</v>
      </c>
      <c r="X2" s="53"/>
      <c r="Y2" s="22" t="s">
        <v>428</v>
      </c>
      <c r="Z2" s="22" t="s">
        <v>32</v>
      </c>
    </row>
    <row r="3" spans="1:26" s="5" customFormat="1" ht="20" x14ac:dyDescent="0.2">
      <c r="B3" s="17"/>
      <c r="C3" s="75"/>
      <c r="D3" s="17"/>
      <c r="E3" s="17"/>
      <c r="F3" s="17"/>
      <c r="G3" s="17"/>
      <c r="H3" s="17"/>
      <c r="I3" s="17"/>
      <c r="J3" s="3"/>
      <c r="K3" s="3"/>
      <c r="L3" s="17"/>
      <c r="M3" s="17"/>
      <c r="N3" s="17"/>
      <c r="O3" s="75"/>
      <c r="P3" s="17"/>
      <c r="Q3" s="75"/>
      <c r="R3" s="17" t="s">
        <v>20</v>
      </c>
      <c r="S3" s="17"/>
      <c r="T3" s="17" t="s">
        <v>20</v>
      </c>
      <c r="U3" s="17" t="s">
        <v>26</v>
      </c>
      <c r="V3" s="17" t="s">
        <v>21</v>
      </c>
      <c r="W3" s="75"/>
      <c r="X3" s="53"/>
      <c r="Y3" s="17"/>
      <c r="Z3" s="17"/>
    </row>
    <row r="4" spans="1:26" ht="20" x14ac:dyDescent="0.25">
      <c r="B4" s="80" t="s">
        <v>641</v>
      </c>
      <c r="C4" s="46" t="s">
        <v>826</v>
      </c>
      <c r="D4" s="80" t="s">
        <v>642</v>
      </c>
      <c r="E4" s="123" t="s">
        <v>210</v>
      </c>
      <c r="F4" s="114">
        <v>50.413571909315401</v>
      </c>
      <c r="G4" s="114">
        <v>-104.468475799158</v>
      </c>
      <c r="H4" s="46" t="s">
        <v>423</v>
      </c>
      <c r="I4" s="46" t="s">
        <v>718</v>
      </c>
      <c r="J4" s="121" t="s">
        <v>559</v>
      </c>
      <c r="K4" s="93" t="s">
        <v>702</v>
      </c>
      <c r="L4" s="120">
        <v>138</v>
      </c>
      <c r="M4" s="20">
        <v>2022</v>
      </c>
      <c r="N4" s="20">
        <v>2042</v>
      </c>
      <c r="O4" s="86"/>
      <c r="P4" s="20" t="s">
        <v>211</v>
      </c>
      <c r="Q4" s="93" t="s">
        <v>601</v>
      </c>
      <c r="R4" s="125">
        <v>10</v>
      </c>
      <c r="S4" s="217">
        <f>System!$E$12</f>
        <v>0.1</v>
      </c>
      <c r="T4" s="177">
        <f t="shared" ref="T4:T35" si="0">R4*S4</f>
        <v>1</v>
      </c>
      <c r="U4" s="225">
        <v>0.18</v>
      </c>
      <c r="V4" s="226">
        <f t="shared" ref="V4:V35" si="1">R4*24*365*U4/1000</f>
        <v>15.768000000000001</v>
      </c>
      <c r="W4" s="67"/>
      <c r="X4" s="183"/>
      <c r="Y4" s="96"/>
      <c r="Z4" s="18"/>
    </row>
    <row r="5" spans="1:26" ht="20" x14ac:dyDescent="0.25">
      <c r="B5" s="80" t="s">
        <v>101</v>
      </c>
      <c r="C5" s="46" t="s">
        <v>827</v>
      </c>
      <c r="D5" s="80" t="s">
        <v>43</v>
      </c>
      <c r="E5" s="80" t="s">
        <v>102</v>
      </c>
      <c r="F5" s="116">
        <v>50.399054999999997</v>
      </c>
      <c r="G5" s="116">
        <v>-107.223077</v>
      </c>
      <c r="H5" s="46" t="s">
        <v>423</v>
      </c>
      <c r="I5" s="46" t="s">
        <v>718</v>
      </c>
      <c r="J5" s="121" t="s">
        <v>102</v>
      </c>
      <c r="K5" s="93" t="s">
        <v>713</v>
      </c>
      <c r="L5" s="120">
        <v>138</v>
      </c>
      <c r="M5" s="20">
        <v>2021</v>
      </c>
      <c r="N5" s="20">
        <v>2041</v>
      </c>
      <c r="O5" s="86"/>
      <c r="P5" s="20" t="s">
        <v>209</v>
      </c>
      <c r="Q5" s="93" t="s">
        <v>602</v>
      </c>
      <c r="R5" s="125">
        <v>176</v>
      </c>
      <c r="S5" s="174">
        <f>System!$E$11</f>
        <v>0.2</v>
      </c>
      <c r="T5" s="178">
        <f t="shared" si="0"/>
        <v>35.200000000000003</v>
      </c>
      <c r="U5" s="174">
        <f>System!$J$11</f>
        <v>0.4</v>
      </c>
      <c r="V5" s="178">
        <f t="shared" si="1"/>
        <v>616.70399999999995</v>
      </c>
      <c r="W5" s="67"/>
      <c r="X5" s="183"/>
      <c r="Y5" s="67"/>
      <c r="Z5" s="18"/>
    </row>
    <row r="6" spans="1:26" ht="20" x14ac:dyDescent="0.25">
      <c r="B6" s="80" t="s">
        <v>291</v>
      </c>
      <c r="C6" s="46" t="s">
        <v>781</v>
      </c>
      <c r="D6" s="80" t="s">
        <v>77</v>
      </c>
      <c r="E6" s="80" t="s">
        <v>86</v>
      </c>
      <c r="F6" s="116">
        <v>49.0960314934633</v>
      </c>
      <c r="G6" s="116">
        <v>-103.030508969376</v>
      </c>
      <c r="H6" s="46" t="s">
        <v>423</v>
      </c>
      <c r="I6" s="46" t="s">
        <v>718</v>
      </c>
      <c r="J6" s="121" t="s">
        <v>442</v>
      </c>
      <c r="K6" s="93" t="s">
        <v>697</v>
      </c>
      <c r="L6" s="120">
        <v>230</v>
      </c>
      <c r="M6" s="20">
        <v>2014</v>
      </c>
      <c r="N6" s="109">
        <f>M6+30</f>
        <v>2044</v>
      </c>
      <c r="O6" s="86"/>
      <c r="P6" s="20" t="s">
        <v>698</v>
      </c>
      <c r="Q6" s="93" t="s">
        <v>699</v>
      </c>
      <c r="R6" s="125">
        <v>139</v>
      </c>
      <c r="S6" s="216">
        <f>System!$E$4</f>
        <v>0.9</v>
      </c>
      <c r="T6" s="175">
        <f t="shared" si="0"/>
        <v>125.10000000000001</v>
      </c>
      <c r="U6" s="174">
        <f>System!$J$4</f>
        <v>0.8</v>
      </c>
      <c r="V6" s="178">
        <f t="shared" si="1"/>
        <v>974.11199999999997</v>
      </c>
      <c r="W6" s="70">
        <v>2</v>
      </c>
      <c r="X6" s="183"/>
      <c r="Y6" s="67"/>
      <c r="Z6" s="92"/>
    </row>
    <row r="7" spans="1:26" ht="20" x14ac:dyDescent="0.25">
      <c r="B7" s="80" t="s">
        <v>590</v>
      </c>
      <c r="C7" s="46" t="s">
        <v>791</v>
      </c>
      <c r="D7" s="80" t="s">
        <v>77</v>
      </c>
      <c r="E7" s="123" t="s">
        <v>86</v>
      </c>
      <c r="F7" s="116">
        <v>49.0960314934633</v>
      </c>
      <c r="G7" s="116">
        <v>-103.030508969376</v>
      </c>
      <c r="H7" s="46" t="s">
        <v>423</v>
      </c>
      <c r="I7" s="46" t="s">
        <v>718</v>
      </c>
      <c r="J7" s="121" t="s">
        <v>442</v>
      </c>
      <c r="K7" s="93" t="s">
        <v>697</v>
      </c>
      <c r="L7" s="120">
        <v>230</v>
      </c>
      <c r="M7" s="20">
        <v>1959</v>
      </c>
      <c r="N7" s="19">
        <v>2027</v>
      </c>
      <c r="O7" s="86"/>
      <c r="P7" s="20" t="s">
        <v>38</v>
      </c>
      <c r="Q7" s="93" t="s">
        <v>600</v>
      </c>
      <c r="R7" s="125">
        <v>284</v>
      </c>
      <c r="S7" s="216">
        <f>System!$E$4</f>
        <v>0.9</v>
      </c>
      <c r="T7" s="175">
        <f t="shared" si="0"/>
        <v>255.6</v>
      </c>
      <c r="U7" s="174">
        <f>System!$J$4</f>
        <v>0.8</v>
      </c>
      <c r="V7" s="178">
        <f t="shared" si="1"/>
        <v>1990.2719999999999</v>
      </c>
      <c r="W7" s="70">
        <v>2</v>
      </c>
      <c r="X7" s="183"/>
      <c r="Y7" s="96"/>
      <c r="Z7" s="92"/>
    </row>
    <row r="8" spans="1:26" ht="20" x14ac:dyDescent="0.25">
      <c r="B8" s="80" t="s">
        <v>105</v>
      </c>
      <c r="C8" s="46" t="s">
        <v>828</v>
      </c>
      <c r="D8" s="80" t="s">
        <v>77</v>
      </c>
      <c r="E8" s="123" t="s">
        <v>97</v>
      </c>
      <c r="F8" s="114">
        <v>50.132488340561203</v>
      </c>
      <c r="G8" s="114">
        <v>-107.492772203158</v>
      </c>
      <c r="H8" s="46" t="s">
        <v>423</v>
      </c>
      <c r="I8" s="46" t="s">
        <v>718</v>
      </c>
      <c r="J8" s="121" t="s">
        <v>97</v>
      </c>
      <c r="K8" s="93" t="s">
        <v>705</v>
      </c>
      <c r="L8" s="120">
        <v>138</v>
      </c>
      <c r="M8" s="20">
        <v>2006</v>
      </c>
      <c r="N8" s="109">
        <f>M8+20</f>
        <v>2026</v>
      </c>
      <c r="O8" s="86"/>
      <c r="P8" s="20" t="s">
        <v>209</v>
      </c>
      <c r="Q8" s="93" t="s">
        <v>602</v>
      </c>
      <c r="R8" s="125">
        <v>150</v>
      </c>
      <c r="S8" s="174">
        <f>System!$E$11</f>
        <v>0.2</v>
      </c>
      <c r="T8" s="178">
        <f t="shared" si="0"/>
        <v>30</v>
      </c>
      <c r="U8" s="174">
        <f>System!$J$11</f>
        <v>0.4</v>
      </c>
      <c r="V8" s="178">
        <f t="shared" si="1"/>
        <v>525.6</v>
      </c>
      <c r="W8" s="67"/>
      <c r="X8" s="183"/>
      <c r="Y8" s="96"/>
      <c r="Z8" s="18"/>
    </row>
    <row r="9" spans="1:26" ht="20" x14ac:dyDescent="0.25">
      <c r="B9" s="80" t="s">
        <v>79</v>
      </c>
      <c r="C9" s="46" t="s">
        <v>829</v>
      </c>
      <c r="D9" s="80" t="s">
        <v>77</v>
      </c>
      <c r="E9" s="123" t="s">
        <v>116</v>
      </c>
      <c r="F9" s="114">
        <v>59.612514475632402</v>
      </c>
      <c r="G9" s="114">
        <v>-109.114098123356</v>
      </c>
      <c r="H9" s="46" t="s">
        <v>423</v>
      </c>
      <c r="I9" s="93" t="s">
        <v>504</v>
      </c>
      <c r="J9" s="121" t="s">
        <v>343</v>
      </c>
      <c r="K9" s="93" t="s">
        <v>704</v>
      </c>
      <c r="L9" s="120">
        <v>115</v>
      </c>
      <c r="M9" s="20">
        <v>1980</v>
      </c>
      <c r="N9" s="109">
        <f>M9+70</f>
        <v>2050</v>
      </c>
      <c r="O9" s="86"/>
      <c r="P9" s="20" t="s">
        <v>300</v>
      </c>
      <c r="Q9" s="93" t="s">
        <v>307</v>
      </c>
      <c r="R9" s="125">
        <v>10</v>
      </c>
      <c r="S9" s="164">
        <f>System!$E$9</f>
        <v>0.98099999999999998</v>
      </c>
      <c r="T9" s="176">
        <f t="shared" si="0"/>
        <v>9.81</v>
      </c>
      <c r="U9" s="174">
        <f>System!$J$9</f>
        <v>0.45</v>
      </c>
      <c r="V9" s="178">
        <f t="shared" si="1"/>
        <v>39.42</v>
      </c>
      <c r="W9" s="70">
        <v>1</v>
      </c>
      <c r="Y9" s="96"/>
      <c r="Z9" s="92"/>
    </row>
    <row r="10" spans="1:26" ht="20" x14ac:dyDescent="0.25">
      <c r="B10" s="79" t="s">
        <v>96</v>
      </c>
      <c r="C10" s="46" t="s">
        <v>830</v>
      </c>
      <c r="D10" s="79" t="s">
        <v>77</v>
      </c>
      <c r="E10" s="79" t="s">
        <v>97</v>
      </c>
      <c r="F10" s="116">
        <v>50.341988000000001</v>
      </c>
      <c r="G10" s="116">
        <v>-107.93799199999999</v>
      </c>
      <c r="H10" s="46" t="s">
        <v>423</v>
      </c>
      <c r="I10" s="46" t="s">
        <v>718</v>
      </c>
      <c r="J10" s="121" t="s">
        <v>97</v>
      </c>
      <c r="K10" s="93" t="s">
        <v>705</v>
      </c>
      <c r="L10" s="120">
        <v>230</v>
      </c>
      <c r="M10" s="19">
        <v>2019</v>
      </c>
      <c r="N10" s="109">
        <f>M10+30</f>
        <v>2049</v>
      </c>
      <c r="O10" s="86"/>
      <c r="P10" s="19" t="s">
        <v>299</v>
      </c>
      <c r="Q10" s="93" t="s">
        <v>701</v>
      </c>
      <c r="R10" s="126">
        <v>350</v>
      </c>
      <c r="S10" s="216">
        <f>System!$E$6</f>
        <v>0.73</v>
      </c>
      <c r="T10" s="175">
        <f t="shared" si="0"/>
        <v>255.5</v>
      </c>
      <c r="U10" s="174">
        <f>System!$J$6</f>
        <v>0.8</v>
      </c>
      <c r="V10" s="178">
        <f t="shared" si="1"/>
        <v>2452.8000000000002</v>
      </c>
      <c r="W10" s="70">
        <v>1</v>
      </c>
      <c r="X10" s="183"/>
      <c r="Y10" s="96"/>
      <c r="Z10" s="80" t="s">
        <v>98</v>
      </c>
    </row>
    <row r="11" spans="1:26" ht="20" x14ac:dyDescent="0.25">
      <c r="B11" s="80" t="s">
        <v>275</v>
      </c>
      <c r="C11" s="46" t="s">
        <v>758</v>
      </c>
      <c r="D11" s="80" t="s">
        <v>854</v>
      </c>
      <c r="E11" s="80" t="s">
        <v>94</v>
      </c>
      <c r="F11" s="116">
        <v>52.0927120949952</v>
      </c>
      <c r="G11" s="116">
        <v>-106.85332337885799</v>
      </c>
      <c r="H11" s="46" t="s">
        <v>423</v>
      </c>
      <c r="I11" s="46" t="s">
        <v>718</v>
      </c>
      <c r="J11" s="121" t="s">
        <v>396</v>
      </c>
      <c r="K11" s="93" t="s">
        <v>723</v>
      </c>
      <c r="L11" s="120">
        <v>138</v>
      </c>
      <c r="M11" s="20">
        <v>2003</v>
      </c>
      <c r="N11" s="109">
        <f>M11+30</f>
        <v>2033</v>
      </c>
      <c r="O11" s="86"/>
      <c r="P11" s="20" t="s">
        <v>302</v>
      </c>
      <c r="Q11" s="93" t="s">
        <v>701</v>
      </c>
      <c r="R11" s="125">
        <v>83</v>
      </c>
      <c r="S11" s="216">
        <f>System!$E$6</f>
        <v>0.73</v>
      </c>
      <c r="T11" s="175">
        <f t="shared" si="0"/>
        <v>60.589999999999996</v>
      </c>
      <c r="U11" s="174">
        <f>System!$J$6</f>
        <v>0.8</v>
      </c>
      <c r="V11" s="178">
        <f t="shared" si="1"/>
        <v>581.66399999999999</v>
      </c>
      <c r="W11" s="70">
        <v>3</v>
      </c>
      <c r="X11" s="161"/>
      <c r="Y11" s="96"/>
      <c r="Z11" s="92"/>
    </row>
    <row r="12" spans="1:26" ht="20" x14ac:dyDescent="0.25">
      <c r="B12" s="80" t="s">
        <v>283</v>
      </c>
      <c r="C12" s="46" t="s">
        <v>770</v>
      </c>
      <c r="D12" s="80" t="s">
        <v>854</v>
      </c>
      <c r="E12" s="80" t="s">
        <v>94</v>
      </c>
      <c r="F12" s="114">
        <v>52.0927120949952</v>
      </c>
      <c r="G12" s="114">
        <v>-106.85332337885799</v>
      </c>
      <c r="H12" s="46" t="s">
        <v>423</v>
      </c>
      <c r="I12" s="46" t="s">
        <v>718</v>
      </c>
      <c r="J12" s="121" t="s">
        <v>396</v>
      </c>
      <c r="K12" s="93" t="s">
        <v>723</v>
      </c>
      <c r="L12" s="120">
        <v>138</v>
      </c>
      <c r="M12" s="20">
        <v>2003</v>
      </c>
      <c r="N12" s="109">
        <f>M12+30</f>
        <v>2033</v>
      </c>
      <c r="O12" s="86"/>
      <c r="P12" s="20" t="s">
        <v>302</v>
      </c>
      <c r="Q12" s="93" t="s">
        <v>701</v>
      </c>
      <c r="R12" s="125">
        <v>83</v>
      </c>
      <c r="S12" s="216">
        <f>System!$E$6</f>
        <v>0.73</v>
      </c>
      <c r="T12" s="175">
        <f t="shared" si="0"/>
        <v>60.589999999999996</v>
      </c>
      <c r="U12" s="174">
        <f>System!$J$6</f>
        <v>0.8</v>
      </c>
      <c r="V12" s="178">
        <f t="shared" si="1"/>
        <v>581.66399999999999</v>
      </c>
      <c r="W12" s="70">
        <v>3</v>
      </c>
      <c r="X12" s="161"/>
      <c r="Y12" s="96"/>
      <c r="Z12" s="92"/>
    </row>
    <row r="13" spans="1:26" ht="20" x14ac:dyDescent="0.25">
      <c r="B13" s="80" t="s">
        <v>292</v>
      </c>
      <c r="C13" s="46" t="s">
        <v>779</v>
      </c>
      <c r="D13" s="80" t="s">
        <v>854</v>
      </c>
      <c r="E13" s="80" t="s">
        <v>94</v>
      </c>
      <c r="F13" s="114">
        <v>52.0927120949952</v>
      </c>
      <c r="G13" s="114">
        <v>-106.85332337885799</v>
      </c>
      <c r="H13" s="46" t="s">
        <v>423</v>
      </c>
      <c r="I13" s="46" t="s">
        <v>718</v>
      </c>
      <c r="J13" s="121" t="s">
        <v>396</v>
      </c>
      <c r="K13" s="93" t="s">
        <v>723</v>
      </c>
      <c r="L13" s="120">
        <v>138</v>
      </c>
      <c r="M13" s="20">
        <v>2003</v>
      </c>
      <c r="N13" s="109">
        <f>M13+30</f>
        <v>2033</v>
      </c>
      <c r="O13" s="86"/>
      <c r="P13" s="20" t="s">
        <v>302</v>
      </c>
      <c r="Q13" s="93" t="s">
        <v>701</v>
      </c>
      <c r="R13" s="125">
        <v>83</v>
      </c>
      <c r="S13" s="216">
        <f>System!$E$6</f>
        <v>0.73</v>
      </c>
      <c r="T13" s="175">
        <f t="shared" si="0"/>
        <v>60.589999999999996</v>
      </c>
      <c r="U13" s="174">
        <f>System!$J$6</f>
        <v>0.8</v>
      </c>
      <c r="V13" s="178">
        <f t="shared" si="1"/>
        <v>581.66399999999999</v>
      </c>
      <c r="W13" s="70">
        <v>3</v>
      </c>
      <c r="X13" s="183"/>
      <c r="Y13" s="96"/>
      <c r="Z13" s="92"/>
    </row>
    <row r="14" spans="1:26" ht="20" x14ac:dyDescent="0.25">
      <c r="B14" s="80" t="s">
        <v>273</v>
      </c>
      <c r="C14" s="46" t="s">
        <v>759</v>
      </c>
      <c r="D14" s="80" t="s">
        <v>77</v>
      </c>
      <c r="E14" s="123" t="s">
        <v>84</v>
      </c>
      <c r="F14" s="114">
        <v>51.274888114138697</v>
      </c>
      <c r="G14" s="114">
        <v>-106.873515035368</v>
      </c>
      <c r="H14" s="46" t="s">
        <v>423</v>
      </c>
      <c r="I14" s="46" t="s">
        <v>718</v>
      </c>
      <c r="J14" s="121" t="s">
        <v>83</v>
      </c>
      <c r="K14" s="93" t="s">
        <v>724</v>
      </c>
      <c r="L14" s="120">
        <v>230</v>
      </c>
      <c r="M14" s="20">
        <v>1969</v>
      </c>
      <c r="N14" s="109">
        <f>M14+70</f>
        <v>2039</v>
      </c>
      <c r="O14" s="86"/>
      <c r="P14" s="20" t="s">
        <v>300</v>
      </c>
      <c r="Q14" s="93" t="s">
        <v>307</v>
      </c>
      <c r="R14" s="125">
        <v>62</v>
      </c>
      <c r="S14" s="164">
        <f>System!$E$9</f>
        <v>0.98099999999999998</v>
      </c>
      <c r="T14" s="176">
        <f t="shared" si="0"/>
        <v>60.821999999999996</v>
      </c>
      <c r="U14" s="174">
        <f>System!$J$9</f>
        <v>0.45</v>
      </c>
      <c r="V14" s="178">
        <f t="shared" si="1"/>
        <v>244.404</v>
      </c>
      <c r="W14" s="70">
        <v>3</v>
      </c>
      <c r="X14" s="183"/>
      <c r="Y14" s="96"/>
      <c r="Z14" s="92"/>
    </row>
    <row r="15" spans="1:26" ht="20" x14ac:dyDescent="0.25">
      <c r="B15" s="80" t="s">
        <v>281</v>
      </c>
      <c r="C15" s="46" t="s">
        <v>771</v>
      </c>
      <c r="D15" s="80" t="s">
        <v>77</v>
      </c>
      <c r="E15" s="80" t="s">
        <v>84</v>
      </c>
      <c r="F15" s="114">
        <v>51.274888114138697</v>
      </c>
      <c r="G15" s="114">
        <v>-106.873515035368</v>
      </c>
      <c r="H15" s="46" t="s">
        <v>423</v>
      </c>
      <c r="I15" s="46" t="s">
        <v>718</v>
      </c>
      <c r="J15" s="121" t="s">
        <v>83</v>
      </c>
      <c r="K15" s="93" t="s">
        <v>724</v>
      </c>
      <c r="L15" s="120">
        <v>230</v>
      </c>
      <c r="M15" s="20">
        <v>1969</v>
      </c>
      <c r="N15" s="109">
        <f>M15+70</f>
        <v>2039</v>
      </c>
      <c r="O15" s="86"/>
      <c r="P15" s="20" t="s">
        <v>300</v>
      </c>
      <c r="Q15" s="93" t="s">
        <v>307</v>
      </c>
      <c r="R15" s="125">
        <v>62</v>
      </c>
      <c r="S15" s="164">
        <f>System!$E$9</f>
        <v>0.98099999999999998</v>
      </c>
      <c r="T15" s="176">
        <f t="shared" si="0"/>
        <v>60.821999999999996</v>
      </c>
      <c r="U15" s="174">
        <f>System!$J$9</f>
        <v>0.45</v>
      </c>
      <c r="V15" s="178">
        <f t="shared" si="1"/>
        <v>244.404</v>
      </c>
      <c r="W15" s="70">
        <v>3</v>
      </c>
      <c r="X15" s="183"/>
      <c r="Y15" s="96"/>
      <c r="Z15" s="92"/>
    </row>
    <row r="16" spans="1:26" ht="20" x14ac:dyDescent="0.25">
      <c r="B16" s="80" t="s">
        <v>289</v>
      </c>
      <c r="C16" s="46" t="s">
        <v>780</v>
      </c>
      <c r="D16" s="80" t="s">
        <v>77</v>
      </c>
      <c r="E16" s="123" t="s">
        <v>84</v>
      </c>
      <c r="F16" s="114">
        <v>51.274888114138697</v>
      </c>
      <c r="G16" s="114">
        <v>-106.873515035368</v>
      </c>
      <c r="H16" s="46" t="s">
        <v>423</v>
      </c>
      <c r="I16" s="46" t="s">
        <v>718</v>
      </c>
      <c r="J16" s="121" t="s">
        <v>83</v>
      </c>
      <c r="K16" s="93" t="s">
        <v>724</v>
      </c>
      <c r="L16" s="120">
        <v>230</v>
      </c>
      <c r="M16" s="20">
        <v>1969</v>
      </c>
      <c r="N16" s="109">
        <f>M16+70</f>
        <v>2039</v>
      </c>
      <c r="O16" s="86"/>
      <c r="P16" s="20" t="s">
        <v>300</v>
      </c>
      <c r="Q16" s="93" t="s">
        <v>307</v>
      </c>
      <c r="R16" s="125">
        <v>62</v>
      </c>
      <c r="S16" s="164">
        <f>System!$E$9</f>
        <v>0.98099999999999998</v>
      </c>
      <c r="T16" s="176">
        <f t="shared" si="0"/>
        <v>60.821999999999996</v>
      </c>
      <c r="U16" s="174">
        <f>System!$J$9</f>
        <v>0.45</v>
      </c>
      <c r="V16" s="178">
        <f t="shared" si="1"/>
        <v>244.404</v>
      </c>
      <c r="W16" s="70">
        <v>3</v>
      </c>
      <c r="X16" s="183"/>
      <c r="Y16" s="96"/>
      <c r="Z16" s="92"/>
    </row>
    <row r="17" spans="2:26" ht="20" x14ac:dyDescent="0.25">
      <c r="B17" s="80" t="s">
        <v>99</v>
      </c>
      <c r="C17" s="46" t="s">
        <v>831</v>
      </c>
      <c r="D17" s="80" t="s">
        <v>77</v>
      </c>
      <c r="E17" s="80" t="s">
        <v>100</v>
      </c>
      <c r="F17" s="116">
        <v>50.018332752609403</v>
      </c>
      <c r="G17" s="116">
        <v>-108.490291925061</v>
      </c>
      <c r="H17" s="46" t="s">
        <v>423</v>
      </c>
      <c r="I17" s="46" t="s">
        <v>718</v>
      </c>
      <c r="J17" s="121" t="s">
        <v>386</v>
      </c>
      <c r="K17" s="93" t="s">
        <v>714</v>
      </c>
      <c r="L17" s="120">
        <v>138</v>
      </c>
      <c r="M17" s="20">
        <v>2002</v>
      </c>
      <c r="N17" s="109">
        <f>M17+20</f>
        <v>2022</v>
      </c>
      <c r="O17" s="86"/>
      <c r="P17" s="20" t="s">
        <v>209</v>
      </c>
      <c r="Q17" s="93" t="s">
        <v>602</v>
      </c>
      <c r="R17" s="125">
        <v>11</v>
      </c>
      <c r="S17" s="174">
        <f>System!$E$11</f>
        <v>0.2</v>
      </c>
      <c r="T17" s="178">
        <f t="shared" si="0"/>
        <v>2.2000000000000002</v>
      </c>
      <c r="U17" s="174">
        <f>System!$J$11</f>
        <v>0.4</v>
      </c>
      <c r="V17" s="178">
        <f t="shared" si="1"/>
        <v>38.543999999999997</v>
      </c>
      <c r="W17" s="67"/>
      <c r="X17" s="183"/>
      <c r="Y17" s="96"/>
      <c r="Z17" s="18"/>
    </row>
    <row r="18" spans="2:26" ht="20" x14ac:dyDescent="0.25">
      <c r="B18" s="80" t="s">
        <v>406</v>
      </c>
      <c r="C18" s="46" t="s">
        <v>757</v>
      </c>
      <c r="D18" s="80" t="s">
        <v>77</v>
      </c>
      <c r="E18" s="123" t="s">
        <v>81</v>
      </c>
      <c r="F18" s="116">
        <v>53.688960908919903</v>
      </c>
      <c r="G18" s="116">
        <v>-103.347515925088</v>
      </c>
      <c r="H18" s="46" t="s">
        <v>423</v>
      </c>
      <c r="I18" s="46" t="s">
        <v>718</v>
      </c>
      <c r="J18" s="121" t="s">
        <v>338</v>
      </c>
      <c r="K18" s="93" t="s">
        <v>725</v>
      </c>
      <c r="L18" s="120">
        <v>230</v>
      </c>
      <c r="M18" s="20">
        <v>1963</v>
      </c>
      <c r="N18" s="109">
        <f t="shared" ref="N18:N25" si="2">M18+70</f>
        <v>2033</v>
      </c>
      <c r="O18" s="86"/>
      <c r="P18" s="20" t="s">
        <v>300</v>
      </c>
      <c r="Q18" s="93" t="s">
        <v>307</v>
      </c>
      <c r="R18" s="125">
        <v>36</v>
      </c>
      <c r="S18" s="164">
        <f>System!$E$9</f>
        <v>0.98099999999999998</v>
      </c>
      <c r="T18" s="176">
        <f t="shared" si="0"/>
        <v>35.316000000000003</v>
      </c>
      <c r="U18" s="174">
        <f>System!$J$9</f>
        <v>0.45</v>
      </c>
      <c r="V18" s="178">
        <f t="shared" si="1"/>
        <v>141.91200000000001</v>
      </c>
      <c r="W18" s="70">
        <v>8</v>
      </c>
      <c r="X18" s="183"/>
      <c r="Y18" s="96"/>
      <c r="Z18" s="18"/>
    </row>
    <row r="19" spans="2:26" ht="20" x14ac:dyDescent="0.25">
      <c r="B19" s="80" t="s">
        <v>399</v>
      </c>
      <c r="C19" s="46" t="s">
        <v>769</v>
      </c>
      <c r="D19" s="80" t="s">
        <v>77</v>
      </c>
      <c r="E19" s="123" t="s">
        <v>81</v>
      </c>
      <c r="F19" s="114">
        <v>53.688960908919903</v>
      </c>
      <c r="G19" s="114">
        <v>-103.347515925088</v>
      </c>
      <c r="H19" s="46" t="s">
        <v>423</v>
      </c>
      <c r="I19" s="46" t="s">
        <v>718</v>
      </c>
      <c r="J19" s="121" t="s">
        <v>338</v>
      </c>
      <c r="K19" s="93" t="s">
        <v>725</v>
      </c>
      <c r="L19" s="120">
        <v>230</v>
      </c>
      <c r="M19" s="20">
        <v>1963</v>
      </c>
      <c r="N19" s="109">
        <f t="shared" si="2"/>
        <v>2033</v>
      </c>
      <c r="O19" s="86"/>
      <c r="P19" s="20" t="s">
        <v>300</v>
      </c>
      <c r="Q19" s="93" t="s">
        <v>307</v>
      </c>
      <c r="R19" s="125">
        <v>36</v>
      </c>
      <c r="S19" s="164">
        <f>System!$E$9</f>
        <v>0.98099999999999998</v>
      </c>
      <c r="T19" s="176">
        <f t="shared" si="0"/>
        <v>35.316000000000003</v>
      </c>
      <c r="U19" s="174">
        <f>System!$J$9</f>
        <v>0.45</v>
      </c>
      <c r="V19" s="178">
        <f t="shared" si="1"/>
        <v>141.91200000000001</v>
      </c>
      <c r="W19" s="70">
        <v>8</v>
      </c>
      <c r="X19" s="183"/>
      <c r="Y19" s="96"/>
      <c r="Z19" s="18"/>
    </row>
    <row r="20" spans="2:26" ht="20" x14ac:dyDescent="0.25">
      <c r="B20" s="80" t="s">
        <v>400</v>
      </c>
      <c r="C20" s="46" t="s">
        <v>778</v>
      </c>
      <c r="D20" s="80" t="s">
        <v>77</v>
      </c>
      <c r="E20" s="123" t="s">
        <v>81</v>
      </c>
      <c r="F20" s="114">
        <v>53.688960908919903</v>
      </c>
      <c r="G20" s="114">
        <v>-103.347515925088</v>
      </c>
      <c r="H20" s="46" t="s">
        <v>423</v>
      </c>
      <c r="I20" s="46" t="s">
        <v>718</v>
      </c>
      <c r="J20" s="121" t="s">
        <v>338</v>
      </c>
      <c r="K20" s="93" t="s">
        <v>725</v>
      </c>
      <c r="L20" s="120">
        <v>230</v>
      </c>
      <c r="M20" s="20">
        <v>1963</v>
      </c>
      <c r="N20" s="109">
        <f t="shared" si="2"/>
        <v>2033</v>
      </c>
      <c r="O20" s="86"/>
      <c r="P20" s="20" t="s">
        <v>300</v>
      </c>
      <c r="Q20" s="93" t="s">
        <v>307</v>
      </c>
      <c r="R20" s="125">
        <v>36</v>
      </c>
      <c r="S20" s="164">
        <f>System!$E$9</f>
        <v>0.98099999999999998</v>
      </c>
      <c r="T20" s="176">
        <f t="shared" si="0"/>
        <v>35.316000000000003</v>
      </c>
      <c r="U20" s="174">
        <f>System!$J$9</f>
        <v>0.45</v>
      </c>
      <c r="V20" s="178">
        <f t="shared" si="1"/>
        <v>141.91200000000001</v>
      </c>
      <c r="W20" s="70">
        <v>8</v>
      </c>
      <c r="X20" s="183"/>
      <c r="Y20" s="96"/>
      <c r="Z20" s="18"/>
    </row>
    <row r="21" spans="2:26" ht="20" x14ac:dyDescent="0.25">
      <c r="B21" s="80" t="s">
        <v>401</v>
      </c>
      <c r="C21" s="46" t="s">
        <v>784</v>
      </c>
      <c r="D21" s="80" t="s">
        <v>77</v>
      </c>
      <c r="E21" s="123" t="s">
        <v>81</v>
      </c>
      <c r="F21" s="114">
        <v>53.688960908919903</v>
      </c>
      <c r="G21" s="114">
        <v>-103.347515925088</v>
      </c>
      <c r="H21" s="46" t="s">
        <v>423</v>
      </c>
      <c r="I21" s="46" t="s">
        <v>718</v>
      </c>
      <c r="J21" s="121" t="s">
        <v>338</v>
      </c>
      <c r="K21" s="93" t="s">
        <v>725</v>
      </c>
      <c r="L21" s="120">
        <v>230</v>
      </c>
      <c r="M21" s="20">
        <v>1963</v>
      </c>
      <c r="N21" s="109">
        <f t="shared" si="2"/>
        <v>2033</v>
      </c>
      <c r="O21" s="86"/>
      <c r="P21" s="20" t="s">
        <v>300</v>
      </c>
      <c r="Q21" s="93" t="s">
        <v>307</v>
      </c>
      <c r="R21" s="125">
        <v>36</v>
      </c>
      <c r="S21" s="164">
        <f>System!$E$9</f>
        <v>0.98099999999999998</v>
      </c>
      <c r="T21" s="176">
        <f t="shared" si="0"/>
        <v>35.316000000000003</v>
      </c>
      <c r="U21" s="174">
        <f>System!$J$9</f>
        <v>0.45</v>
      </c>
      <c r="V21" s="178">
        <f t="shared" si="1"/>
        <v>141.91200000000001</v>
      </c>
      <c r="W21" s="70">
        <v>8</v>
      </c>
      <c r="X21" s="183"/>
      <c r="Y21" s="96"/>
      <c r="Z21" s="18"/>
    </row>
    <row r="22" spans="2:26" ht="20" x14ac:dyDescent="0.25">
      <c r="B22" s="80" t="s">
        <v>402</v>
      </c>
      <c r="C22" s="46" t="s">
        <v>787</v>
      </c>
      <c r="D22" s="80" t="s">
        <v>77</v>
      </c>
      <c r="E22" s="123" t="s">
        <v>81</v>
      </c>
      <c r="F22" s="114">
        <v>53.688960908919903</v>
      </c>
      <c r="G22" s="114">
        <v>-103.347515925088</v>
      </c>
      <c r="H22" s="46" t="s">
        <v>423</v>
      </c>
      <c r="I22" s="46" t="s">
        <v>718</v>
      </c>
      <c r="J22" s="121" t="s">
        <v>338</v>
      </c>
      <c r="K22" s="93" t="s">
        <v>725</v>
      </c>
      <c r="L22" s="120">
        <v>230</v>
      </c>
      <c r="M22" s="20">
        <v>1963</v>
      </c>
      <c r="N22" s="109">
        <f t="shared" si="2"/>
        <v>2033</v>
      </c>
      <c r="O22" s="86"/>
      <c r="P22" s="20" t="s">
        <v>300</v>
      </c>
      <c r="Q22" s="93" t="s">
        <v>307</v>
      </c>
      <c r="R22" s="125">
        <v>36</v>
      </c>
      <c r="S22" s="164">
        <f>System!$E$9</f>
        <v>0.98099999999999998</v>
      </c>
      <c r="T22" s="176">
        <f t="shared" si="0"/>
        <v>35.316000000000003</v>
      </c>
      <c r="U22" s="174">
        <f>System!$J$9</f>
        <v>0.45</v>
      </c>
      <c r="V22" s="178">
        <f t="shared" si="1"/>
        <v>141.91200000000001</v>
      </c>
      <c r="W22" s="70">
        <v>8</v>
      </c>
      <c r="X22" s="183"/>
      <c r="Y22" s="96"/>
      <c r="Z22" s="18"/>
    </row>
    <row r="23" spans="2:26" ht="20" x14ac:dyDescent="0.25">
      <c r="B23" s="80" t="s">
        <v>403</v>
      </c>
      <c r="C23" s="46" t="s">
        <v>790</v>
      </c>
      <c r="D23" s="80" t="s">
        <v>77</v>
      </c>
      <c r="E23" s="80" t="s">
        <v>81</v>
      </c>
      <c r="F23" s="116">
        <v>53.688960908919903</v>
      </c>
      <c r="G23" s="116">
        <v>-103.347515925088</v>
      </c>
      <c r="H23" s="46" t="s">
        <v>423</v>
      </c>
      <c r="I23" s="46" t="s">
        <v>718</v>
      </c>
      <c r="J23" s="121" t="s">
        <v>338</v>
      </c>
      <c r="K23" s="93" t="s">
        <v>725</v>
      </c>
      <c r="L23" s="120">
        <v>230</v>
      </c>
      <c r="M23" s="20">
        <v>1963</v>
      </c>
      <c r="N23" s="109">
        <f t="shared" si="2"/>
        <v>2033</v>
      </c>
      <c r="O23" s="86"/>
      <c r="P23" s="20" t="s">
        <v>300</v>
      </c>
      <c r="Q23" s="93" t="s">
        <v>307</v>
      </c>
      <c r="R23" s="125">
        <v>36</v>
      </c>
      <c r="S23" s="164">
        <f>System!$E$9</f>
        <v>0.98099999999999998</v>
      </c>
      <c r="T23" s="176">
        <f t="shared" si="0"/>
        <v>35.316000000000003</v>
      </c>
      <c r="U23" s="174">
        <f>System!$J$9</f>
        <v>0.45</v>
      </c>
      <c r="V23" s="178">
        <f t="shared" si="1"/>
        <v>141.91200000000001</v>
      </c>
      <c r="W23" s="70">
        <v>8</v>
      </c>
      <c r="X23" s="161"/>
      <c r="Y23" s="96"/>
      <c r="Z23" s="18"/>
    </row>
    <row r="24" spans="2:26" ht="20" x14ac:dyDescent="0.25">
      <c r="B24" s="80" t="s">
        <v>404</v>
      </c>
      <c r="C24" s="46" t="s">
        <v>794</v>
      </c>
      <c r="D24" s="80" t="s">
        <v>77</v>
      </c>
      <c r="E24" s="80" t="s">
        <v>81</v>
      </c>
      <c r="F24" s="116">
        <v>53.688960908919903</v>
      </c>
      <c r="G24" s="116">
        <v>-103.347515925088</v>
      </c>
      <c r="H24" s="46" t="s">
        <v>423</v>
      </c>
      <c r="I24" s="46" t="s">
        <v>718</v>
      </c>
      <c r="J24" s="121" t="s">
        <v>338</v>
      </c>
      <c r="K24" s="93" t="s">
        <v>725</v>
      </c>
      <c r="L24" s="120">
        <v>230</v>
      </c>
      <c r="M24" s="20">
        <v>1966</v>
      </c>
      <c r="N24" s="109">
        <f t="shared" si="2"/>
        <v>2036</v>
      </c>
      <c r="O24" s="86"/>
      <c r="P24" s="20" t="s">
        <v>300</v>
      </c>
      <c r="Q24" s="93" t="s">
        <v>307</v>
      </c>
      <c r="R24" s="125">
        <v>36</v>
      </c>
      <c r="S24" s="164">
        <f>System!$E$9</f>
        <v>0.98099999999999998</v>
      </c>
      <c r="T24" s="176">
        <f t="shared" si="0"/>
        <v>35.316000000000003</v>
      </c>
      <c r="U24" s="174">
        <f>System!$J$9</f>
        <v>0.45</v>
      </c>
      <c r="V24" s="178">
        <f t="shared" si="1"/>
        <v>141.91200000000001</v>
      </c>
      <c r="W24" s="70">
        <v>8</v>
      </c>
      <c r="X24" s="161"/>
      <c r="Y24" s="96"/>
      <c r="Z24" s="18"/>
    </row>
    <row r="25" spans="2:26" ht="20" x14ac:dyDescent="0.25">
      <c r="B25" s="80" t="s">
        <v>405</v>
      </c>
      <c r="C25" s="46" t="s">
        <v>796</v>
      </c>
      <c r="D25" s="80" t="s">
        <v>77</v>
      </c>
      <c r="E25" s="80" t="s">
        <v>81</v>
      </c>
      <c r="F25" s="116">
        <v>53.688960908919903</v>
      </c>
      <c r="G25" s="116">
        <v>-103.347515925088</v>
      </c>
      <c r="H25" s="46" t="s">
        <v>423</v>
      </c>
      <c r="I25" s="46" t="s">
        <v>718</v>
      </c>
      <c r="J25" s="121" t="s">
        <v>338</v>
      </c>
      <c r="K25" s="93" t="s">
        <v>725</v>
      </c>
      <c r="L25" s="120">
        <v>230</v>
      </c>
      <c r="M25" s="20">
        <v>1966</v>
      </c>
      <c r="N25" s="109">
        <f t="shared" si="2"/>
        <v>2036</v>
      </c>
      <c r="O25" s="86"/>
      <c r="P25" s="20" t="s">
        <v>300</v>
      </c>
      <c r="Q25" s="93" t="s">
        <v>307</v>
      </c>
      <c r="R25" s="125">
        <v>36</v>
      </c>
      <c r="S25" s="164">
        <f>System!$E$9</f>
        <v>0.98099999999999998</v>
      </c>
      <c r="T25" s="176">
        <f t="shared" si="0"/>
        <v>35.316000000000003</v>
      </c>
      <c r="U25" s="174">
        <f>System!$J$9</f>
        <v>0.45</v>
      </c>
      <c r="V25" s="178">
        <f t="shared" si="1"/>
        <v>141.91200000000001</v>
      </c>
      <c r="W25" s="70">
        <v>8</v>
      </c>
      <c r="X25" s="161"/>
      <c r="Y25" s="96"/>
      <c r="Z25" s="18"/>
    </row>
    <row r="26" spans="2:26" ht="20" x14ac:dyDescent="0.25">
      <c r="B26" s="80" t="s">
        <v>276</v>
      </c>
      <c r="C26" s="46" t="s">
        <v>756</v>
      </c>
      <c r="D26" s="80" t="s">
        <v>77</v>
      </c>
      <c r="E26" s="80" t="s">
        <v>92</v>
      </c>
      <c r="F26" s="114">
        <v>51.857821947998197</v>
      </c>
      <c r="G26" s="114">
        <v>-109.03335215353199</v>
      </c>
      <c r="H26" s="46" t="s">
        <v>423</v>
      </c>
      <c r="I26" s="46" t="s">
        <v>718</v>
      </c>
      <c r="J26" s="121" t="s">
        <v>377</v>
      </c>
      <c r="K26" s="93" t="s">
        <v>726</v>
      </c>
      <c r="L26" s="120">
        <v>138</v>
      </c>
      <c r="M26" s="20">
        <v>2009</v>
      </c>
      <c r="N26" s="109">
        <f>M26+30</f>
        <v>2039</v>
      </c>
      <c r="O26" s="86"/>
      <c r="P26" s="20" t="s">
        <v>139</v>
      </c>
      <c r="Q26" s="93" t="s">
        <v>855</v>
      </c>
      <c r="R26" s="125">
        <v>46</v>
      </c>
      <c r="S26" s="216">
        <f>System!$E$5</f>
        <v>0.93</v>
      </c>
      <c r="T26" s="175">
        <f t="shared" si="0"/>
        <v>42.78</v>
      </c>
      <c r="U26" s="174">
        <f>System!$J$5</f>
        <v>0.2</v>
      </c>
      <c r="V26" s="178">
        <f t="shared" si="1"/>
        <v>80.591999999999999</v>
      </c>
      <c r="W26" s="70">
        <v>2</v>
      </c>
      <c r="X26" s="161"/>
      <c r="Y26" s="96"/>
      <c r="Z26" s="92"/>
    </row>
    <row r="27" spans="2:26" ht="20" x14ac:dyDescent="0.25">
      <c r="B27" s="80" t="s">
        <v>284</v>
      </c>
      <c r="C27" s="46" t="s">
        <v>768</v>
      </c>
      <c r="D27" s="80" t="s">
        <v>77</v>
      </c>
      <c r="E27" s="80" t="s">
        <v>92</v>
      </c>
      <c r="F27" s="114">
        <v>51.857821947998197</v>
      </c>
      <c r="G27" s="114">
        <v>-109.03335215353199</v>
      </c>
      <c r="H27" s="46" t="s">
        <v>423</v>
      </c>
      <c r="I27" s="46" t="s">
        <v>718</v>
      </c>
      <c r="J27" s="121" t="s">
        <v>377</v>
      </c>
      <c r="K27" s="93" t="s">
        <v>726</v>
      </c>
      <c r="L27" s="120">
        <v>138</v>
      </c>
      <c r="M27" s="20">
        <v>2009</v>
      </c>
      <c r="N27" s="109">
        <f>M27+30</f>
        <v>2039</v>
      </c>
      <c r="O27" s="86"/>
      <c r="P27" s="20" t="s">
        <v>139</v>
      </c>
      <c r="Q27" s="93" t="s">
        <v>855</v>
      </c>
      <c r="R27" s="125">
        <v>46</v>
      </c>
      <c r="S27" s="216">
        <f>System!$E$5</f>
        <v>0.93</v>
      </c>
      <c r="T27" s="175">
        <f t="shared" si="0"/>
        <v>42.78</v>
      </c>
      <c r="U27" s="174">
        <f>System!$J$5</f>
        <v>0.2</v>
      </c>
      <c r="V27" s="178">
        <f t="shared" si="1"/>
        <v>80.591999999999999</v>
      </c>
      <c r="W27" s="70">
        <v>2</v>
      </c>
      <c r="X27" s="183"/>
      <c r="Y27" s="96"/>
      <c r="Z27" s="92"/>
    </row>
    <row r="28" spans="2:26" ht="20" x14ac:dyDescent="0.25">
      <c r="B28" s="80" t="s">
        <v>640</v>
      </c>
      <c r="C28" s="46" t="s">
        <v>832</v>
      </c>
      <c r="D28" s="80" t="s">
        <v>558</v>
      </c>
      <c r="E28" s="123" t="s">
        <v>441</v>
      </c>
      <c r="F28" s="116">
        <v>50.514260999999998</v>
      </c>
      <c r="G28" s="116">
        <v>-104.687652</v>
      </c>
      <c r="H28" s="46" t="s">
        <v>423</v>
      </c>
      <c r="I28" s="46" t="s">
        <v>718</v>
      </c>
      <c r="J28" s="121" t="s">
        <v>347</v>
      </c>
      <c r="K28" s="93" t="s">
        <v>710</v>
      </c>
      <c r="L28" s="120">
        <v>138</v>
      </c>
      <c r="M28" s="20">
        <v>2022</v>
      </c>
      <c r="N28" s="20">
        <v>2042</v>
      </c>
      <c r="O28" s="86"/>
      <c r="P28" s="20" t="s">
        <v>211</v>
      </c>
      <c r="Q28" s="93" t="s">
        <v>601</v>
      </c>
      <c r="R28" s="125">
        <v>10</v>
      </c>
      <c r="S28" s="217">
        <f>System!$E$12</f>
        <v>0.1</v>
      </c>
      <c r="T28" s="177">
        <f t="shared" si="0"/>
        <v>1</v>
      </c>
      <c r="U28" s="225">
        <v>0.18</v>
      </c>
      <c r="V28" s="226">
        <f t="shared" si="1"/>
        <v>15.768000000000001</v>
      </c>
      <c r="W28" s="67"/>
      <c r="X28" s="183"/>
      <c r="Y28" s="96"/>
      <c r="Z28" s="18"/>
    </row>
    <row r="29" spans="2:26" ht="20" x14ac:dyDescent="0.25">
      <c r="B29" s="80" t="s">
        <v>206</v>
      </c>
      <c r="C29" s="46" t="s">
        <v>833</v>
      </c>
      <c r="D29" s="80" t="s">
        <v>207</v>
      </c>
      <c r="E29" s="123" t="s">
        <v>208</v>
      </c>
      <c r="F29" s="116">
        <v>49.626550000000002</v>
      </c>
      <c r="G29" s="116">
        <v>-105.97539</v>
      </c>
      <c r="H29" s="46" t="s">
        <v>423</v>
      </c>
      <c r="I29" s="46" t="s">
        <v>718</v>
      </c>
      <c r="J29" s="121" t="s">
        <v>208</v>
      </c>
      <c r="K29" s="93" t="s">
        <v>715</v>
      </c>
      <c r="L29" s="120">
        <v>138</v>
      </c>
      <c r="M29" s="20">
        <v>2020</v>
      </c>
      <c r="N29" s="20">
        <v>2040</v>
      </c>
      <c r="O29" s="86"/>
      <c r="P29" s="20" t="s">
        <v>209</v>
      </c>
      <c r="Q29" s="93" t="s">
        <v>602</v>
      </c>
      <c r="R29" s="125">
        <v>200</v>
      </c>
      <c r="S29" s="174">
        <f>System!$E$11</f>
        <v>0.2</v>
      </c>
      <c r="T29" s="178">
        <f t="shared" si="0"/>
        <v>40</v>
      </c>
      <c r="U29" s="174">
        <f>System!$J$11</f>
        <v>0.4</v>
      </c>
      <c r="V29" s="178">
        <f t="shared" si="1"/>
        <v>700.8</v>
      </c>
      <c r="W29" s="67"/>
      <c r="X29" s="161"/>
      <c r="Y29" s="96"/>
      <c r="Z29" s="18"/>
    </row>
    <row r="30" spans="2:26" ht="20" x14ac:dyDescent="0.25">
      <c r="B30" s="80" t="s">
        <v>643</v>
      </c>
      <c r="C30" s="46" t="s">
        <v>834</v>
      </c>
      <c r="D30" s="80" t="s">
        <v>77</v>
      </c>
      <c r="E30" s="80" t="s">
        <v>561</v>
      </c>
      <c r="F30" s="116">
        <v>50.366663000000003</v>
      </c>
      <c r="G30" s="116">
        <v>-105.48827199999999</v>
      </c>
      <c r="H30" s="46" t="s">
        <v>423</v>
      </c>
      <c r="I30" s="46" t="s">
        <v>718</v>
      </c>
      <c r="J30" s="121" t="s">
        <v>440</v>
      </c>
      <c r="K30" s="93" t="s">
        <v>706</v>
      </c>
      <c r="L30" s="120">
        <v>138</v>
      </c>
      <c r="M30" s="20">
        <v>2025</v>
      </c>
      <c r="N30" s="109">
        <f>M30+30</f>
        <v>2055</v>
      </c>
      <c r="O30" s="86"/>
      <c r="P30" s="20" t="s">
        <v>299</v>
      </c>
      <c r="Q30" s="93" t="s">
        <v>701</v>
      </c>
      <c r="R30" s="125">
        <v>350</v>
      </c>
      <c r="S30" s="216">
        <f>System!$E$6</f>
        <v>0.73</v>
      </c>
      <c r="T30" s="175">
        <f t="shared" si="0"/>
        <v>255.5</v>
      </c>
      <c r="U30" s="174">
        <f>System!$J$6</f>
        <v>0.8</v>
      </c>
      <c r="V30" s="178">
        <f t="shared" si="1"/>
        <v>2452.8000000000002</v>
      </c>
      <c r="W30" s="70">
        <v>1</v>
      </c>
      <c r="X30" s="161"/>
      <c r="Y30" s="96"/>
      <c r="Z30" s="18"/>
    </row>
    <row r="31" spans="2:26" ht="20" x14ac:dyDescent="0.25">
      <c r="B31" s="80" t="s">
        <v>555</v>
      </c>
      <c r="C31" s="46" t="s">
        <v>835</v>
      </c>
      <c r="D31" s="80" t="s">
        <v>556</v>
      </c>
      <c r="E31" s="123" t="s">
        <v>557</v>
      </c>
      <c r="F31" s="114">
        <v>50.177793999999999</v>
      </c>
      <c r="G31" s="114">
        <v>-107.46848</v>
      </c>
      <c r="H31" s="46" t="s">
        <v>423</v>
      </c>
      <c r="I31" s="46" t="s">
        <v>718</v>
      </c>
      <c r="J31" s="121" t="s">
        <v>392</v>
      </c>
      <c r="K31" s="93" t="s">
        <v>711</v>
      </c>
      <c r="L31" s="120">
        <v>230</v>
      </c>
      <c r="M31" s="20">
        <v>2022</v>
      </c>
      <c r="N31" s="20">
        <v>2042</v>
      </c>
      <c r="O31" s="86"/>
      <c r="P31" s="20" t="s">
        <v>211</v>
      </c>
      <c r="Q31" s="93" t="s">
        <v>601</v>
      </c>
      <c r="R31" s="125">
        <v>10</v>
      </c>
      <c r="S31" s="217">
        <f>System!$E$12</f>
        <v>0.1</v>
      </c>
      <c r="T31" s="177">
        <f t="shared" si="0"/>
        <v>1</v>
      </c>
      <c r="U31" s="225">
        <v>0.18</v>
      </c>
      <c r="V31" s="226">
        <f t="shared" si="1"/>
        <v>15.768000000000001</v>
      </c>
      <c r="W31" s="67"/>
      <c r="X31" s="161"/>
      <c r="Y31" s="96"/>
      <c r="Z31" s="18"/>
    </row>
    <row r="32" spans="2:26" ht="20" x14ac:dyDescent="0.25">
      <c r="B32" s="80" t="s">
        <v>274</v>
      </c>
      <c r="C32" s="46" t="s">
        <v>755</v>
      </c>
      <c r="D32" s="80" t="s">
        <v>77</v>
      </c>
      <c r="E32" s="80" t="s">
        <v>137</v>
      </c>
      <c r="F32" s="116">
        <v>55.529034442382603</v>
      </c>
      <c r="G32" s="116">
        <v>-102.356930206831</v>
      </c>
      <c r="H32" s="46" t="s">
        <v>423</v>
      </c>
      <c r="I32" s="93" t="s">
        <v>504</v>
      </c>
      <c r="J32" s="121" t="s">
        <v>80</v>
      </c>
      <c r="K32" s="93" t="s">
        <v>727</v>
      </c>
      <c r="L32" s="120">
        <v>230</v>
      </c>
      <c r="M32" s="20">
        <v>1930</v>
      </c>
      <c r="N32" s="109">
        <f t="shared" ref="N32:N37" si="3">M32+70+40</f>
        <v>2040</v>
      </c>
      <c r="O32" s="86"/>
      <c r="P32" s="20" t="s">
        <v>300</v>
      </c>
      <c r="Q32" s="93" t="s">
        <v>307</v>
      </c>
      <c r="R32" s="125">
        <v>13</v>
      </c>
      <c r="S32" s="164">
        <f>System!$E$9</f>
        <v>0.98099999999999998</v>
      </c>
      <c r="T32" s="176">
        <f t="shared" si="0"/>
        <v>12.753</v>
      </c>
      <c r="U32" s="174">
        <f>System!$J$9</f>
        <v>0.45</v>
      </c>
      <c r="V32" s="178">
        <f t="shared" si="1"/>
        <v>51.246000000000002</v>
      </c>
      <c r="W32" s="70">
        <v>7</v>
      </c>
      <c r="X32" s="161"/>
      <c r="Y32" s="96"/>
      <c r="Z32" s="18"/>
    </row>
    <row r="33" spans="2:26" ht="20" x14ac:dyDescent="0.25">
      <c r="B33" s="80" t="s">
        <v>282</v>
      </c>
      <c r="C33" s="46" t="s">
        <v>767</v>
      </c>
      <c r="D33" s="80" t="s">
        <v>77</v>
      </c>
      <c r="E33" s="80" t="s">
        <v>137</v>
      </c>
      <c r="F33" s="116">
        <v>55.529034442382603</v>
      </c>
      <c r="G33" s="116">
        <v>-102.356930206831</v>
      </c>
      <c r="H33" s="46" t="s">
        <v>423</v>
      </c>
      <c r="I33" s="93" t="s">
        <v>504</v>
      </c>
      <c r="J33" s="121" t="s">
        <v>80</v>
      </c>
      <c r="K33" s="93" t="s">
        <v>727</v>
      </c>
      <c r="L33" s="120">
        <v>230</v>
      </c>
      <c r="M33" s="20">
        <v>1930</v>
      </c>
      <c r="N33" s="109">
        <f t="shared" si="3"/>
        <v>2040</v>
      </c>
      <c r="O33" s="86"/>
      <c r="P33" s="20" t="s">
        <v>300</v>
      </c>
      <c r="Q33" s="93" t="s">
        <v>307</v>
      </c>
      <c r="R33" s="125">
        <v>13</v>
      </c>
      <c r="S33" s="164">
        <f>System!$E$9</f>
        <v>0.98099999999999998</v>
      </c>
      <c r="T33" s="176">
        <f t="shared" si="0"/>
        <v>12.753</v>
      </c>
      <c r="U33" s="174">
        <f>System!$J$9</f>
        <v>0.45</v>
      </c>
      <c r="V33" s="178">
        <f t="shared" si="1"/>
        <v>51.246000000000002</v>
      </c>
      <c r="W33" s="70">
        <v>7</v>
      </c>
      <c r="X33" s="161"/>
      <c r="Y33" s="96"/>
      <c r="Z33" s="18"/>
    </row>
    <row r="34" spans="2:26" ht="20" x14ac:dyDescent="0.25">
      <c r="B34" s="80" t="s">
        <v>290</v>
      </c>
      <c r="C34" s="46" t="s">
        <v>777</v>
      </c>
      <c r="D34" s="80" t="s">
        <v>77</v>
      </c>
      <c r="E34" s="80" t="s">
        <v>137</v>
      </c>
      <c r="F34" s="116">
        <v>55.529034442382603</v>
      </c>
      <c r="G34" s="116">
        <v>-102.356930206831</v>
      </c>
      <c r="H34" s="46" t="s">
        <v>423</v>
      </c>
      <c r="I34" s="93" t="s">
        <v>504</v>
      </c>
      <c r="J34" s="121" t="s">
        <v>80</v>
      </c>
      <c r="K34" s="93" t="s">
        <v>727</v>
      </c>
      <c r="L34" s="120">
        <v>230</v>
      </c>
      <c r="M34" s="20">
        <v>1930</v>
      </c>
      <c r="N34" s="109">
        <f t="shared" si="3"/>
        <v>2040</v>
      </c>
      <c r="O34" s="86"/>
      <c r="P34" s="20" t="s">
        <v>300</v>
      </c>
      <c r="Q34" s="93" t="s">
        <v>307</v>
      </c>
      <c r="R34" s="125">
        <v>13</v>
      </c>
      <c r="S34" s="164">
        <f>System!$E$9</f>
        <v>0.98099999999999998</v>
      </c>
      <c r="T34" s="176">
        <f t="shared" si="0"/>
        <v>12.753</v>
      </c>
      <c r="U34" s="174">
        <f>System!$J$9</f>
        <v>0.45</v>
      </c>
      <c r="V34" s="178">
        <f t="shared" si="1"/>
        <v>51.246000000000002</v>
      </c>
      <c r="W34" s="70">
        <v>7</v>
      </c>
      <c r="X34" s="161"/>
      <c r="Y34" s="96"/>
      <c r="Z34" s="18"/>
    </row>
    <row r="35" spans="2:26" ht="20" x14ac:dyDescent="0.25">
      <c r="B35" s="80" t="s">
        <v>295</v>
      </c>
      <c r="C35" s="46" t="s">
        <v>783</v>
      </c>
      <c r="D35" s="80" t="s">
        <v>77</v>
      </c>
      <c r="E35" s="80" t="s">
        <v>137</v>
      </c>
      <c r="F35" s="114">
        <v>55.529034442382603</v>
      </c>
      <c r="G35" s="114">
        <v>-102.356930206831</v>
      </c>
      <c r="H35" s="46" t="s">
        <v>423</v>
      </c>
      <c r="I35" s="93" t="s">
        <v>504</v>
      </c>
      <c r="J35" s="121" t="s">
        <v>80</v>
      </c>
      <c r="K35" s="93" t="s">
        <v>727</v>
      </c>
      <c r="L35" s="120">
        <v>230</v>
      </c>
      <c r="M35" s="20">
        <v>1936</v>
      </c>
      <c r="N35" s="109">
        <f t="shared" si="3"/>
        <v>2046</v>
      </c>
      <c r="O35" s="86"/>
      <c r="P35" s="20" t="s">
        <v>300</v>
      </c>
      <c r="Q35" s="93" t="s">
        <v>307</v>
      </c>
      <c r="R35" s="125">
        <v>18</v>
      </c>
      <c r="S35" s="164">
        <f>System!$E$9</f>
        <v>0.98099999999999998</v>
      </c>
      <c r="T35" s="176">
        <f t="shared" si="0"/>
        <v>17.658000000000001</v>
      </c>
      <c r="U35" s="174">
        <f>System!$J$9</f>
        <v>0.45</v>
      </c>
      <c r="V35" s="178">
        <f t="shared" si="1"/>
        <v>70.956000000000003</v>
      </c>
      <c r="W35" s="70">
        <v>7</v>
      </c>
      <c r="X35" s="161"/>
      <c r="Y35" s="96"/>
      <c r="Z35" s="18"/>
    </row>
    <row r="36" spans="2:26" ht="20" x14ac:dyDescent="0.25">
      <c r="B36" s="80" t="s">
        <v>296</v>
      </c>
      <c r="C36" s="46" t="s">
        <v>786</v>
      </c>
      <c r="D36" s="80" t="s">
        <v>77</v>
      </c>
      <c r="E36" s="80" t="s">
        <v>137</v>
      </c>
      <c r="F36" s="116">
        <v>55.529034442382603</v>
      </c>
      <c r="G36" s="116">
        <v>-102.356930206831</v>
      </c>
      <c r="H36" s="46" t="s">
        <v>423</v>
      </c>
      <c r="I36" s="93" t="s">
        <v>504</v>
      </c>
      <c r="J36" s="121" t="s">
        <v>80</v>
      </c>
      <c r="K36" s="93" t="s">
        <v>727</v>
      </c>
      <c r="L36" s="120">
        <v>230</v>
      </c>
      <c r="M36" s="20">
        <v>1938</v>
      </c>
      <c r="N36" s="109">
        <f t="shared" si="3"/>
        <v>2048</v>
      </c>
      <c r="O36" s="86"/>
      <c r="P36" s="20" t="s">
        <v>300</v>
      </c>
      <c r="Q36" s="93" t="s">
        <v>307</v>
      </c>
      <c r="R36" s="125">
        <v>18</v>
      </c>
      <c r="S36" s="164">
        <f>System!$E$9</f>
        <v>0.98099999999999998</v>
      </c>
      <c r="T36" s="176">
        <f t="shared" ref="T36:T67" si="4">R36*S36</f>
        <v>17.658000000000001</v>
      </c>
      <c r="U36" s="174">
        <f>System!$J$9</f>
        <v>0.45</v>
      </c>
      <c r="V36" s="178">
        <f t="shared" ref="V36:V67" si="5">R36*24*365*U36/1000</f>
        <v>70.956000000000003</v>
      </c>
      <c r="W36" s="70">
        <v>7</v>
      </c>
      <c r="X36" s="161"/>
      <c r="Y36" s="96"/>
      <c r="Z36" s="18"/>
    </row>
    <row r="37" spans="2:26" ht="20" x14ac:dyDescent="0.25">
      <c r="B37" s="80" t="s">
        <v>297</v>
      </c>
      <c r="C37" s="46" t="s">
        <v>789</v>
      </c>
      <c r="D37" s="80" t="s">
        <v>77</v>
      </c>
      <c r="E37" s="80" t="s">
        <v>137</v>
      </c>
      <c r="F37" s="114">
        <v>55.529034442382603</v>
      </c>
      <c r="G37" s="114">
        <v>-102.356930206831</v>
      </c>
      <c r="H37" s="46" t="s">
        <v>423</v>
      </c>
      <c r="I37" s="93" t="s">
        <v>504</v>
      </c>
      <c r="J37" s="121" t="s">
        <v>80</v>
      </c>
      <c r="K37" s="93" t="s">
        <v>727</v>
      </c>
      <c r="L37" s="120">
        <v>230</v>
      </c>
      <c r="M37" s="20">
        <v>1947</v>
      </c>
      <c r="N37" s="109">
        <f t="shared" si="3"/>
        <v>2057</v>
      </c>
      <c r="O37" s="86"/>
      <c r="P37" s="20" t="s">
        <v>300</v>
      </c>
      <c r="Q37" s="93" t="s">
        <v>307</v>
      </c>
      <c r="R37" s="125">
        <v>18</v>
      </c>
      <c r="S37" s="164">
        <f>System!$E$9</f>
        <v>0.98099999999999998</v>
      </c>
      <c r="T37" s="176">
        <f t="shared" si="4"/>
        <v>17.658000000000001</v>
      </c>
      <c r="U37" s="174">
        <f>System!$J$9</f>
        <v>0.45</v>
      </c>
      <c r="V37" s="178">
        <f t="shared" si="5"/>
        <v>70.956000000000003</v>
      </c>
      <c r="W37" s="70">
        <v>7</v>
      </c>
      <c r="X37" s="161"/>
      <c r="Y37" s="96"/>
      <c r="Z37" s="18"/>
    </row>
    <row r="38" spans="2:26" ht="20" x14ac:dyDescent="0.25">
      <c r="B38" s="80" t="s">
        <v>298</v>
      </c>
      <c r="C38" s="46" t="s">
        <v>793</v>
      </c>
      <c r="D38" s="80" t="s">
        <v>77</v>
      </c>
      <c r="E38" s="80" t="s">
        <v>137</v>
      </c>
      <c r="F38" s="114">
        <v>55.529034442382603</v>
      </c>
      <c r="G38" s="114">
        <v>-102.356930206831</v>
      </c>
      <c r="H38" s="46" t="s">
        <v>423</v>
      </c>
      <c r="I38" s="93" t="s">
        <v>504</v>
      </c>
      <c r="J38" s="121" t="s">
        <v>80</v>
      </c>
      <c r="K38" s="93" t="s">
        <v>727</v>
      </c>
      <c r="L38" s="120">
        <v>230</v>
      </c>
      <c r="M38" s="20">
        <v>1959</v>
      </c>
      <c r="N38" s="109">
        <f>M38+70</f>
        <v>2029</v>
      </c>
      <c r="O38" s="86"/>
      <c r="P38" s="20" t="s">
        <v>300</v>
      </c>
      <c r="Q38" s="93" t="s">
        <v>307</v>
      </c>
      <c r="R38" s="125">
        <v>18</v>
      </c>
      <c r="S38" s="164">
        <f>System!$E$9</f>
        <v>0.98099999999999998</v>
      </c>
      <c r="T38" s="176">
        <f t="shared" si="4"/>
        <v>17.658000000000001</v>
      </c>
      <c r="U38" s="174">
        <f>System!$J$9</f>
        <v>0.45</v>
      </c>
      <c r="V38" s="178">
        <f t="shared" si="5"/>
        <v>70.956000000000003</v>
      </c>
      <c r="W38" s="70">
        <v>7</v>
      </c>
      <c r="X38" s="183"/>
      <c r="Y38" s="96"/>
      <c r="Z38" s="18"/>
    </row>
    <row r="39" spans="2:26" ht="20" x14ac:dyDescent="0.25">
      <c r="B39" s="80" t="s">
        <v>93</v>
      </c>
      <c r="C39" s="46" t="s">
        <v>836</v>
      </c>
      <c r="D39" s="80" t="s">
        <v>77</v>
      </c>
      <c r="E39" s="80" t="s">
        <v>93</v>
      </c>
      <c r="F39" s="114">
        <v>52.2243682179</v>
      </c>
      <c r="G39" s="114">
        <v>-108.432966451041</v>
      </c>
      <c r="H39" s="46" t="s">
        <v>423</v>
      </c>
      <c r="I39" s="46" t="s">
        <v>718</v>
      </c>
      <c r="J39" s="121" t="s">
        <v>93</v>
      </c>
      <c r="K39" s="93" t="s">
        <v>728</v>
      </c>
      <c r="L39" s="120">
        <v>138</v>
      </c>
      <c r="M39" s="20">
        <v>1975</v>
      </c>
      <c r="N39" s="109">
        <f>M39+30+30</f>
        <v>2035</v>
      </c>
      <c r="O39" s="86"/>
      <c r="P39" s="20" t="s">
        <v>139</v>
      </c>
      <c r="Q39" s="93" t="s">
        <v>855</v>
      </c>
      <c r="R39" s="125">
        <v>79</v>
      </c>
      <c r="S39" s="216">
        <f>System!$E$5</f>
        <v>0.93</v>
      </c>
      <c r="T39" s="175">
        <f t="shared" si="4"/>
        <v>73.47</v>
      </c>
      <c r="U39" s="174">
        <f>System!$J$5</f>
        <v>0.2</v>
      </c>
      <c r="V39" s="178">
        <f t="shared" si="5"/>
        <v>138.40799999999999</v>
      </c>
      <c r="W39" s="70">
        <v>1</v>
      </c>
      <c r="X39" s="183"/>
      <c r="Y39" s="96"/>
      <c r="Z39" s="18"/>
    </row>
    <row r="40" spans="2:26" ht="20" x14ac:dyDescent="0.25">
      <c r="B40" s="80" t="s">
        <v>88</v>
      </c>
      <c r="C40" s="46" t="s">
        <v>837</v>
      </c>
      <c r="D40" s="80" t="s">
        <v>77</v>
      </c>
      <c r="E40" s="123" t="s">
        <v>88</v>
      </c>
      <c r="F40" s="116">
        <v>54.088439999999999</v>
      </c>
      <c r="G40" s="116">
        <v>-108.437515</v>
      </c>
      <c r="H40" s="46" t="s">
        <v>423</v>
      </c>
      <c r="I40" s="46" t="s">
        <v>718</v>
      </c>
      <c r="J40" s="121" t="s">
        <v>88</v>
      </c>
      <c r="K40" s="93" t="s">
        <v>729</v>
      </c>
      <c r="L40" s="120">
        <v>230</v>
      </c>
      <c r="M40" s="20">
        <v>1984</v>
      </c>
      <c r="N40" s="109">
        <f>M40+30+30</f>
        <v>2044</v>
      </c>
      <c r="O40" s="86"/>
      <c r="P40" s="20" t="s">
        <v>139</v>
      </c>
      <c r="Q40" s="93" t="s">
        <v>855</v>
      </c>
      <c r="R40" s="125">
        <v>44</v>
      </c>
      <c r="S40" s="216">
        <f>System!$E$5</f>
        <v>0.93</v>
      </c>
      <c r="T40" s="175">
        <f t="shared" si="4"/>
        <v>40.92</v>
      </c>
      <c r="U40" s="174">
        <f>System!$J$5</f>
        <v>0.2</v>
      </c>
      <c r="V40" s="178">
        <f t="shared" si="5"/>
        <v>77.087999999999994</v>
      </c>
      <c r="W40" s="70">
        <v>1</v>
      </c>
      <c r="X40" s="183"/>
      <c r="Y40" s="96"/>
      <c r="Z40" s="18"/>
    </row>
    <row r="41" spans="2:26" ht="20" x14ac:dyDescent="0.25">
      <c r="B41" s="80" t="s">
        <v>277</v>
      </c>
      <c r="C41" s="46" t="s">
        <v>754</v>
      </c>
      <c r="D41" s="80" t="s">
        <v>138</v>
      </c>
      <c r="E41" s="80" t="s">
        <v>89</v>
      </c>
      <c r="F41" s="116">
        <v>53.2593641591505</v>
      </c>
      <c r="G41" s="116">
        <v>-109.951360934414</v>
      </c>
      <c r="H41" s="46" t="s">
        <v>423</v>
      </c>
      <c r="I41" s="46" t="s">
        <v>718</v>
      </c>
      <c r="J41" s="121" t="s">
        <v>89</v>
      </c>
      <c r="K41" s="93" t="s">
        <v>707</v>
      </c>
      <c r="L41" s="120">
        <v>230</v>
      </c>
      <c r="M41" s="20">
        <v>1999</v>
      </c>
      <c r="N41" s="109">
        <f>M41+30</f>
        <v>2029</v>
      </c>
      <c r="O41" s="86"/>
      <c r="P41" s="20" t="s">
        <v>302</v>
      </c>
      <c r="Q41" s="93" t="s">
        <v>701</v>
      </c>
      <c r="R41" s="125">
        <v>76</v>
      </c>
      <c r="S41" s="216">
        <f>System!$E$6</f>
        <v>0.73</v>
      </c>
      <c r="T41" s="175">
        <f t="shared" si="4"/>
        <v>55.48</v>
      </c>
      <c r="U41" s="174">
        <f>System!$J$6</f>
        <v>0.8</v>
      </c>
      <c r="V41" s="178">
        <f t="shared" si="5"/>
        <v>532.60799999999995</v>
      </c>
      <c r="W41" s="70">
        <v>3</v>
      </c>
      <c r="X41" s="89"/>
      <c r="Y41" s="96"/>
      <c r="Z41" s="92"/>
    </row>
    <row r="42" spans="2:26" ht="20" x14ac:dyDescent="0.25">
      <c r="B42" s="80" t="s">
        <v>285</v>
      </c>
      <c r="C42" s="46" t="s">
        <v>766</v>
      </c>
      <c r="D42" s="80" t="s">
        <v>138</v>
      </c>
      <c r="E42" s="80" t="s">
        <v>89</v>
      </c>
      <c r="F42" s="114">
        <v>53.2593641591505</v>
      </c>
      <c r="G42" s="114">
        <v>-109.951360934414</v>
      </c>
      <c r="H42" s="46" t="s">
        <v>423</v>
      </c>
      <c r="I42" s="46" t="s">
        <v>718</v>
      </c>
      <c r="J42" s="121" t="s">
        <v>89</v>
      </c>
      <c r="K42" s="93" t="s">
        <v>707</v>
      </c>
      <c r="L42" s="120">
        <v>230</v>
      </c>
      <c r="M42" s="20">
        <v>1999</v>
      </c>
      <c r="N42" s="109">
        <f>M42+30</f>
        <v>2029</v>
      </c>
      <c r="O42" s="86"/>
      <c r="P42" s="20" t="s">
        <v>302</v>
      </c>
      <c r="Q42" s="93" t="s">
        <v>701</v>
      </c>
      <c r="R42" s="125">
        <v>76</v>
      </c>
      <c r="S42" s="216">
        <f>System!$E$6</f>
        <v>0.73</v>
      </c>
      <c r="T42" s="175">
        <f t="shared" si="4"/>
        <v>55.48</v>
      </c>
      <c r="U42" s="174">
        <f>System!$J$6</f>
        <v>0.8</v>
      </c>
      <c r="V42" s="178">
        <f t="shared" si="5"/>
        <v>532.60799999999995</v>
      </c>
      <c r="W42" s="70">
        <v>3</v>
      </c>
      <c r="X42" s="189"/>
      <c r="Y42" s="96"/>
      <c r="Z42" s="92"/>
    </row>
    <row r="43" spans="2:26" ht="20" x14ac:dyDescent="0.25">
      <c r="B43" s="80" t="s">
        <v>293</v>
      </c>
      <c r="C43" s="46" t="s">
        <v>776</v>
      </c>
      <c r="D43" s="80" t="s">
        <v>138</v>
      </c>
      <c r="E43" s="80" t="s">
        <v>89</v>
      </c>
      <c r="F43" s="114">
        <v>53.2593641591505</v>
      </c>
      <c r="G43" s="114">
        <v>-109.951360934414</v>
      </c>
      <c r="H43" s="46" t="s">
        <v>423</v>
      </c>
      <c r="I43" s="46" t="s">
        <v>718</v>
      </c>
      <c r="J43" s="121" t="s">
        <v>89</v>
      </c>
      <c r="K43" s="93" t="s">
        <v>707</v>
      </c>
      <c r="L43" s="120">
        <v>230</v>
      </c>
      <c r="M43" s="20">
        <v>1999</v>
      </c>
      <c r="N43" s="109">
        <f>M43+30</f>
        <v>2029</v>
      </c>
      <c r="O43" s="86"/>
      <c r="P43" s="20" t="s">
        <v>302</v>
      </c>
      <c r="Q43" s="93" t="s">
        <v>701</v>
      </c>
      <c r="R43" s="125">
        <v>76</v>
      </c>
      <c r="S43" s="216">
        <f>System!$E$6</f>
        <v>0.73</v>
      </c>
      <c r="T43" s="175">
        <f t="shared" si="4"/>
        <v>55.48</v>
      </c>
      <c r="U43" s="174">
        <f>System!$J$6</f>
        <v>0.8</v>
      </c>
      <c r="V43" s="178">
        <f t="shared" si="5"/>
        <v>532.60799999999995</v>
      </c>
      <c r="W43" s="70">
        <v>3</v>
      </c>
      <c r="X43" s="161"/>
      <c r="Y43" s="96"/>
      <c r="Z43" s="18"/>
    </row>
    <row r="44" spans="2:26" ht="20" x14ac:dyDescent="0.25">
      <c r="B44" s="80" t="s">
        <v>102</v>
      </c>
      <c r="C44" s="46" t="s">
        <v>838</v>
      </c>
      <c r="D44" s="80" t="s">
        <v>77</v>
      </c>
      <c r="E44" s="80" t="s">
        <v>102</v>
      </c>
      <c r="F44" s="116">
        <v>50.399023053851401</v>
      </c>
      <c r="G44" s="116">
        <v>-106.95743515818</v>
      </c>
      <c r="H44" s="46" t="s">
        <v>423</v>
      </c>
      <c r="I44" s="46" t="s">
        <v>718</v>
      </c>
      <c r="J44" s="121" t="s">
        <v>102</v>
      </c>
      <c r="K44" s="93" t="s">
        <v>747</v>
      </c>
      <c r="L44" s="120">
        <v>138</v>
      </c>
      <c r="M44" s="20">
        <v>2015</v>
      </c>
      <c r="N44" s="20">
        <v>2035</v>
      </c>
      <c r="O44" s="86"/>
      <c r="P44" s="20" t="s">
        <v>209</v>
      </c>
      <c r="Q44" s="93" t="s">
        <v>602</v>
      </c>
      <c r="R44" s="125">
        <v>23</v>
      </c>
      <c r="S44" s="174">
        <f>System!$E$11</f>
        <v>0.2</v>
      </c>
      <c r="T44" s="178">
        <f t="shared" si="4"/>
        <v>4.6000000000000005</v>
      </c>
      <c r="U44" s="174">
        <f>System!$J$11</f>
        <v>0.4</v>
      </c>
      <c r="V44" s="178">
        <f t="shared" si="5"/>
        <v>80.591999999999999</v>
      </c>
      <c r="W44" s="67"/>
      <c r="X44" s="183"/>
      <c r="Y44" s="96"/>
      <c r="Z44" s="18"/>
    </row>
    <row r="45" spans="2:26" ht="20" x14ac:dyDescent="0.25">
      <c r="B45" s="80" t="s">
        <v>675</v>
      </c>
      <c r="C45" s="46" t="s">
        <v>753</v>
      </c>
      <c r="D45" s="80" t="s">
        <v>77</v>
      </c>
      <c r="E45" s="80" t="s">
        <v>81</v>
      </c>
      <c r="F45" s="116">
        <v>53.320946676261102</v>
      </c>
      <c r="G45" s="116">
        <v>-104.04309452899901</v>
      </c>
      <c r="H45" s="46" t="s">
        <v>423</v>
      </c>
      <c r="I45" s="46" t="s">
        <v>718</v>
      </c>
      <c r="J45" s="121" t="s">
        <v>81</v>
      </c>
      <c r="K45" s="93" t="s">
        <v>730</v>
      </c>
      <c r="L45" s="120">
        <v>138</v>
      </c>
      <c r="M45" s="20">
        <v>1985</v>
      </c>
      <c r="N45" s="109">
        <f>M45+70</f>
        <v>2055</v>
      </c>
      <c r="O45" s="86"/>
      <c r="P45" s="20" t="s">
        <v>300</v>
      </c>
      <c r="Q45" s="93" t="s">
        <v>307</v>
      </c>
      <c r="R45" s="125">
        <v>85</v>
      </c>
      <c r="S45" s="164">
        <f>System!$E$9</f>
        <v>0.98099999999999998</v>
      </c>
      <c r="T45" s="176">
        <f t="shared" si="4"/>
        <v>83.385000000000005</v>
      </c>
      <c r="U45" s="174">
        <f>System!$J$9</f>
        <v>0.45</v>
      </c>
      <c r="V45" s="178">
        <f t="shared" si="5"/>
        <v>335.07</v>
      </c>
      <c r="W45" s="70">
        <v>3</v>
      </c>
      <c r="X45" s="161"/>
      <c r="Y45" s="96"/>
      <c r="Z45" s="18"/>
    </row>
    <row r="46" spans="2:26" ht="20" x14ac:dyDescent="0.25">
      <c r="B46" s="80" t="s">
        <v>676</v>
      </c>
      <c r="C46" s="46" t="s">
        <v>765</v>
      </c>
      <c r="D46" s="80" t="s">
        <v>77</v>
      </c>
      <c r="E46" s="80" t="s">
        <v>81</v>
      </c>
      <c r="F46" s="116">
        <v>53.320946676261102</v>
      </c>
      <c r="G46" s="116">
        <v>-104.04309452899901</v>
      </c>
      <c r="H46" s="46" t="s">
        <v>423</v>
      </c>
      <c r="I46" s="46" t="s">
        <v>718</v>
      </c>
      <c r="J46" s="121" t="s">
        <v>81</v>
      </c>
      <c r="K46" s="93" t="s">
        <v>730</v>
      </c>
      <c r="L46" s="120">
        <v>138</v>
      </c>
      <c r="M46" s="20">
        <v>1985</v>
      </c>
      <c r="N46" s="109">
        <f>M46+70</f>
        <v>2055</v>
      </c>
      <c r="O46" s="86"/>
      <c r="P46" s="20" t="s">
        <v>300</v>
      </c>
      <c r="Q46" s="93" t="s">
        <v>307</v>
      </c>
      <c r="R46" s="125">
        <v>85</v>
      </c>
      <c r="S46" s="164">
        <f>System!$E$9</f>
        <v>0.98099999999999998</v>
      </c>
      <c r="T46" s="176">
        <f t="shared" si="4"/>
        <v>83.385000000000005</v>
      </c>
      <c r="U46" s="174">
        <f>System!$J$9</f>
        <v>0.45</v>
      </c>
      <c r="V46" s="178">
        <f t="shared" si="5"/>
        <v>335.07</v>
      </c>
      <c r="W46" s="70">
        <v>3</v>
      </c>
      <c r="X46" s="161"/>
      <c r="Y46" s="96"/>
      <c r="Z46" s="18"/>
    </row>
    <row r="47" spans="2:26" ht="20" x14ac:dyDescent="0.25">
      <c r="B47" s="80" t="s">
        <v>677</v>
      </c>
      <c r="C47" s="46" t="s">
        <v>775</v>
      </c>
      <c r="D47" s="80" t="s">
        <v>77</v>
      </c>
      <c r="E47" s="80" t="s">
        <v>81</v>
      </c>
      <c r="F47" s="114">
        <v>53.320946676261102</v>
      </c>
      <c r="G47" s="114">
        <v>-104.04309452899901</v>
      </c>
      <c r="H47" s="46" t="s">
        <v>423</v>
      </c>
      <c r="I47" s="46" t="s">
        <v>718</v>
      </c>
      <c r="J47" s="121" t="s">
        <v>81</v>
      </c>
      <c r="K47" s="93" t="s">
        <v>730</v>
      </c>
      <c r="L47" s="120">
        <v>138</v>
      </c>
      <c r="M47" s="20">
        <v>1985</v>
      </c>
      <c r="N47" s="109">
        <f>M47+70</f>
        <v>2055</v>
      </c>
      <c r="O47" s="86"/>
      <c r="P47" s="20" t="s">
        <v>300</v>
      </c>
      <c r="Q47" s="93" t="s">
        <v>307</v>
      </c>
      <c r="R47" s="125">
        <v>85</v>
      </c>
      <c r="S47" s="164">
        <f>System!$E$9</f>
        <v>0.98099999999999998</v>
      </c>
      <c r="T47" s="176">
        <f t="shared" si="4"/>
        <v>83.385000000000005</v>
      </c>
      <c r="U47" s="174">
        <f>System!$J$9</f>
        <v>0.45</v>
      </c>
      <c r="V47" s="178">
        <f t="shared" si="5"/>
        <v>335.07</v>
      </c>
      <c r="W47" s="70">
        <v>3</v>
      </c>
      <c r="X47" s="161"/>
      <c r="Y47" s="96"/>
      <c r="Z47" s="18"/>
    </row>
    <row r="48" spans="2:26" ht="20" x14ac:dyDescent="0.25">
      <c r="B48" s="80" t="s">
        <v>407</v>
      </c>
      <c r="C48" s="46" t="s">
        <v>760</v>
      </c>
      <c r="D48" s="80" t="s">
        <v>90</v>
      </c>
      <c r="E48" s="80" t="s">
        <v>91</v>
      </c>
      <c r="F48" s="114">
        <v>52.683225995950302</v>
      </c>
      <c r="G48" s="114">
        <v>-108.17148927319801</v>
      </c>
      <c r="H48" s="46" t="s">
        <v>423</v>
      </c>
      <c r="I48" s="46" t="s">
        <v>718</v>
      </c>
      <c r="J48" s="121" t="s">
        <v>336</v>
      </c>
      <c r="K48" s="93" t="s">
        <v>731</v>
      </c>
      <c r="L48" s="120">
        <v>138</v>
      </c>
      <c r="M48" s="20">
        <v>2013</v>
      </c>
      <c r="N48" s="109">
        <f t="shared" ref="N48:N53" si="6">M48+30</f>
        <v>2043</v>
      </c>
      <c r="O48" s="86"/>
      <c r="P48" s="20" t="s">
        <v>139</v>
      </c>
      <c r="Q48" s="93" t="s">
        <v>855</v>
      </c>
      <c r="R48" s="125">
        <v>176</v>
      </c>
      <c r="S48" s="216">
        <f>System!$E$5</f>
        <v>0.93</v>
      </c>
      <c r="T48" s="175">
        <f t="shared" si="4"/>
        <v>163.68</v>
      </c>
      <c r="U48" s="174">
        <f>System!$J$5</f>
        <v>0.2</v>
      </c>
      <c r="V48" s="178">
        <f t="shared" si="5"/>
        <v>308.35199999999998</v>
      </c>
      <c r="W48" s="70">
        <v>2</v>
      </c>
      <c r="X48" s="161"/>
      <c r="Y48" s="96"/>
      <c r="Z48" s="18"/>
    </row>
    <row r="49" spans="2:26" ht="20" x14ac:dyDescent="0.25">
      <c r="B49" s="80" t="s">
        <v>408</v>
      </c>
      <c r="C49" s="46" t="s">
        <v>772</v>
      </c>
      <c r="D49" s="80" t="s">
        <v>90</v>
      </c>
      <c r="E49" s="123" t="s">
        <v>91</v>
      </c>
      <c r="F49" s="114">
        <v>52.683225995950302</v>
      </c>
      <c r="G49" s="114">
        <v>-108.17148927319801</v>
      </c>
      <c r="H49" s="46" t="s">
        <v>423</v>
      </c>
      <c r="I49" s="46" t="s">
        <v>718</v>
      </c>
      <c r="J49" s="121" t="s">
        <v>336</v>
      </c>
      <c r="K49" s="93" t="s">
        <v>731</v>
      </c>
      <c r="L49" s="120">
        <v>138</v>
      </c>
      <c r="M49" s="20">
        <v>2013</v>
      </c>
      <c r="N49" s="109">
        <f t="shared" si="6"/>
        <v>2043</v>
      </c>
      <c r="O49" s="86"/>
      <c r="P49" s="20" t="s">
        <v>299</v>
      </c>
      <c r="Q49" s="93" t="s">
        <v>701</v>
      </c>
      <c r="R49" s="125">
        <v>95</v>
      </c>
      <c r="S49" s="216">
        <f>System!$E$6</f>
        <v>0.73</v>
      </c>
      <c r="T49" s="175">
        <f t="shared" si="4"/>
        <v>69.349999999999994</v>
      </c>
      <c r="U49" s="174">
        <f>System!$J$6</f>
        <v>0.8</v>
      </c>
      <c r="V49" s="178">
        <f t="shared" si="5"/>
        <v>665.76</v>
      </c>
      <c r="W49" s="70">
        <v>2</v>
      </c>
      <c r="X49" s="183"/>
      <c r="Y49" s="96"/>
      <c r="Z49" s="18"/>
    </row>
    <row r="50" spans="2:26" ht="20" x14ac:dyDescent="0.25">
      <c r="B50" s="80" t="s">
        <v>114</v>
      </c>
      <c r="C50" s="46" t="s">
        <v>839</v>
      </c>
      <c r="D50" s="80" t="s">
        <v>109</v>
      </c>
      <c r="E50" s="123" t="s">
        <v>115</v>
      </c>
      <c r="F50" s="116">
        <v>49.323799000000001</v>
      </c>
      <c r="G50" s="116">
        <v>-102.295725</v>
      </c>
      <c r="H50" s="46" t="s">
        <v>423</v>
      </c>
      <c r="I50" s="46" t="s">
        <v>718</v>
      </c>
      <c r="J50" s="121" t="s">
        <v>87</v>
      </c>
      <c r="K50" s="93" t="s">
        <v>735</v>
      </c>
      <c r="L50" s="120">
        <v>138</v>
      </c>
      <c r="M50" s="20">
        <v>2008</v>
      </c>
      <c r="N50" s="109">
        <f t="shared" si="6"/>
        <v>2038</v>
      </c>
      <c r="O50" s="86"/>
      <c r="P50" s="20" t="s">
        <v>301</v>
      </c>
      <c r="Q50" s="93" t="s">
        <v>700</v>
      </c>
      <c r="R50" s="125">
        <v>5</v>
      </c>
      <c r="S50" s="216">
        <f>System!$E$7</f>
        <v>0.95</v>
      </c>
      <c r="T50" s="175">
        <f t="shared" si="4"/>
        <v>4.75</v>
      </c>
      <c r="U50" s="174">
        <f>System!$J$7</f>
        <v>0.95</v>
      </c>
      <c r="V50" s="178">
        <f t="shared" si="5"/>
        <v>41.61</v>
      </c>
      <c r="W50" s="70">
        <v>1</v>
      </c>
      <c r="X50" s="161"/>
      <c r="Y50" s="96"/>
      <c r="Z50" s="18"/>
    </row>
    <row r="51" spans="2:26" ht="20" x14ac:dyDescent="0.25">
      <c r="B51" s="80" t="s">
        <v>112</v>
      </c>
      <c r="C51" s="46" t="s">
        <v>840</v>
      </c>
      <c r="D51" s="80" t="s">
        <v>109</v>
      </c>
      <c r="E51" s="123" t="s">
        <v>113</v>
      </c>
      <c r="F51" s="116">
        <v>50.252586999999998</v>
      </c>
      <c r="G51" s="116">
        <v>-104.407212</v>
      </c>
      <c r="H51" s="46" t="s">
        <v>423</v>
      </c>
      <c r="I51" s="46" t="s">
        <v>718</v>
      </c>
      <c r="J51" s="121" t="s">
        <v>559</v>
      </c>
      <c r="K51" s="93" t="s">
        <v>702</v>
      </c>
      <c r="L51" s="120">
        <v>138</v>
      </c>
      <c r="M51" s="20">
        <v>2008</v>
      </c>
      <c r="N51" s="109">
        <f t="shared" si="6"/>
        <v>2038</v>
      </c>
      <c r="O51" s="86"/>
      <c r="P51" s="20" t="s">
        <v>301</v>
      </c>
      <c r="Q51" s="93" t="s">
        <v>700</v>
      </c>
      <c r="R51" s="125">
        <v>5</v>
      </c>
      <c r="S51" s="216">
        <f>System!$E$7</f>
        <v>0.95</v>
      </c>
      <c r="T51" s="175">
        <f t="shared" si="4"/>
        <v>4.75</v>
      </c>
      <c r="U51" s="174">
        <f>System!$J$7</f>
        <v>0.95</v>
      </c>
      <c r="V51" s="178">
        <f t="shared" si="5"/>
        <v>41.61</v>
      </c>
      <c r="W51" s="70">
        <v>1</v>
      </c>
      <c r="X51" s="161"/>
      <c r="Y51" s="96"/>
      <c r="Z51" s="18"/>
    </row>
    <row r="52" spans="2:26" ht="20" x14ac:dyDescent="0.25">
      <c r="B52" s="80" t="s">
        <v>108</v>
      </c>
      <c r="C52" s="46" t="s">
        <v>841</v>
      </c>
      <c r="D52" s="80" t="s">
        <v>109</v>
      </c>
      <c r="E52" s="80" t="s">
        <v>92</v>
      </c>
      <c r="F52" s="114">
        <v>51.938893999999998</v>
      </c>
      <c r="G52" s="114">
        <v>-109.18071</v>
      </c>
      <c r="H52" s="46" t="s">
        <v>423</v>
      </c>
      <c r="I52" s="46" t="s">
        <v>718</v>
      </c>
      <c r="J52" s="121" t="s">
        <v>377</v>
      </c>
      <c r="K52" s="93" t="s">
        <v>726</v>
      </c>
      <c r="L52" s="120">
        <v>138</v>
      </c>
      <c r="M52" s="20">
        <v>2006</v>
      </c>
      <c r="N52" s="109">
        <f t="shared" si="6"/>
        <v>2036</v>
      </c>
      <c r="O52" s="86"/>
      <c r="P52" s="20" t="s">
        <v>301</v>
      </c>
      <c r="Q52" s="93" t="s">
        <v>700</v>
      </c>
      <c r="R52" s="125">
        <v>5</v>
      </c>
      <c r="S52" s="216">
        <f>System!$E$7</f>
        <v>0.95</v>
      </c>
      <c r="T52" s="175">
        <f t="shared" si="4"/>
        <v>4.75</v>
      </c>
      <c r="U52" s="174">
        <f>System!$J$7</f>
        <v>0.95</v>
      </c>
      <c r="V52" s="178">
        <f t="shared" si="5"/>
        <v>41.61</v>
      </c>
      <c r="W52" s="70">
        <v>1</v>
      </c>
      <c r="X52" s="183"/>
      <c r="Y52" s="96"/>
      <c r="Z52" s="18"/>
    </row>
    <row r="53" spans="2:26" ht="20" x14ac:dyDescent="0.25">
      <c r="B53" s="80" t="s">
        <v>110</v>
      </c>
      <c r="C53" s="46" t="s">
        <v>842</v>
      </c>
      <c r="D53" s="80" t="s">
        <v>109</v>
      </c>
      <c r="E53" s="123" t="s">
        <v>111</v>
      </c>
      <c r="F53" s="116">
        <v>51.240436000000003</v>
      </c>
      <c r="G53" s="116">
        <v>-106.67677999999999</v>
      </c>
      <c r="H53" s="46" t="s">
        <v>423</v>
      </c>
      <c r="I53" s="46" t="s">
        <v>718</v>
      </c>
      <c r="J53" s="121" t="s">
        <v>371</v>
      </c>
      <c r="K53" s="93" t="s">
        <v>703</v>
      </c>
      <c r="L53" s="120">
        <v>138</v>
      </c>
      <c r="M53" s="20">
        <v>2008</v>
      </c>
      <c r="N53" s="109">
        <f t="shared" si="6"/>
        <v>2038</v>
      </c>
      <c r="O53" s="86"/>
      <c r="P53" s="20" t="s">
        <v>301</v>
      </c>
      <c r="Q53" s="93" t="s">
        <v>700</v>
      </c>
      <c r="R53" s="125">
        <v>5</v>
      </c>
      <c r="S53" s="216">
        <f>System!$E$7</f>
        <v>0.95</v>
      </c>
      <c r="T53" s="175">
        <f t="shared" si="4"/>
        <v>4.75</v>
      </c>
      <c r="U53" s="174">
        <f>System!$J$7</f>
        <v>0.95</v>
      </c>
      <c r="V53" s="178">
        <f t="shared" si="5"/>
        <v>41.61</v>
      </c>
      <c r="W53" s="70">
        <v>1</v>
      </c>
      <c r="X53" s="161"/>
      <c r="Y53" s="96"/>
      <c r="Z53" s="18"/>
    </row>
    <row r="54" spans="2:26" ht="20" x14ac:dyDescent="0.25">
      <c r="B54" s="80" t="s">
        <v>644</v>
      </c>
      <c r="C54" s="46" t="s">
        <v>843</v>
      </c>
      <c r="D54" s="80" t="s">
        <v>645</v>
      </c>
      <c r="E54" s="123" t="s">
        <v>350</v>
      </c>
      <c r="F54" s="114">
        <v>49.641659711271103</v>
      </c>
      <c r="G54" s="114">
        <v>-103.904801883508</v>
      </c>
      <c r="H54" s="46" t="s">
        <v>423</v>
      </c>
      <c r="I54" s="46" t="s">
        <v>718</v>
      </c>
      <c r="J54" s="121" t="s">
        <v>350</v>
      </c>
      <c r="K54" s="93" t="s">
        <v>712</v>
      </c>
      <c r="L54" s="120">
        <v>138</v>
      </c>
      <c r="M54" s="20">
        <v>2022</v>
      </c>
      <c r="N54" s="20">
        <v>2042</v>
      </c>
      <c r="O54" s="86"/>
      <c r="P54" s="20" t="s">
        <v>211</v>
      </c>
      <c r="Q54" s="93" t="s">
        <v>601</v>
      </c>
      <c r="R54" s="125">
        <v>10</v>
      </c>
      <c r="S54" s="217">
        <f>System!$E$12</f>
        <v>0.1</v>
      </c>
      <c r="T54" s="177">
        <f t="shared" si="4"/>
        <v>1</v>
      </c>
      <c r="U54" s="225">
        <v>0.18</v>
      </c>
      <c r="V54" s="226">
        <f t="shared" si="5"/>
        <v>15.768000000000001</v>
      </c>
      <c r="W54" s="67"/>
      <c r="X54" s="161"/>
      <c r="Y54" s="96"/>
      <c r="Z54" s="18"/>
    </row>
    <row r="55" spans="2:26" ht="20" x14ac:dyDescent="0.25">
      <c r="B55" s="80" t="s">
        <v>278</v>
      </c>
      <c r="C55" s="46" t="s">
        <v>752</v>
      </c>
      <c r="D55" s="80" t="s">
        <v>77</v>
      </c>
      <c r="E55" s="80" t="s">
        <v>85</v>
      </c>
      <c r="F55" s="114">
        <v>49.0578807961789</v>
      </c>
      <c r="G55" s="114">
        <v>-105.48482491105401</v>
      </c>
      <c r="H55" s="46" t="s">
        <v>423</v>
      </c>
      <c r="I55" s="46" t="s">
        <v>718</v>
      </c>
      <c r="J55" s="121" t="s">
        <v>370</v>
      </c>
      <c r="K55" s="93" t="s">
        <v>732</v>
      </c>
      <c r="L55" s="120">
        <v>230</v>
      </c>
      <c r="M55" s="20">
        <v>1981</v>
      </c>
      <c r="N55" s="19">
        <v>2029</v>
      </c>
      <c r="O55" s="86"/>
      <c r="P55" s="20" t="s">
        <v>38</v>
      </c>
      <c r="Q55" s="93" t="s">
        <v>600</v>
      </c>
      <c r="R55" s="125">
        <v>291</v>
      </c>
      <c r="S55" s="216">
        <f>System!$E$4</f>
        <v>0.9</v>
      </c>
      <c r="T55" s="175">
        <f t="shared" si="4"/>
        <v>261.90000000000003</v>
      </c>
      <c r="U55" s="174">
        <f>System!$J$4</f>
        <v>0.8</v>
      </c>
      <c r="V55" s="178">
        <f t="shared" si="5"/>
        <v>2039.328</v>
      </c>
      <c r="W55" s="70">
        <v>2</v>
      </c>
      <c r="X55" s="183"/>
      <c r="Y55" s="96"/>
      <c r="Z55" s="18"/>
    </row>
    <row r="56" spans="2:26" ht="20" x14ac:dyDescent="0.25">
      <c r="B56" s="80" t="s">
        <v>286</v>
      </c>
      <c r="C56" s="46" t="s">
        <v>764</v>
      </c>
      <c r="D56" s="80" t="s">
        <v>77</v>
      </c>
      <c r="E56" s="80" t="s">
        <v>85</v>
      </c>
      <c r="F56" s="114">
        <v>49.0578807961789</v>
      </c>
      <c r="G56" s="114">
        <v>-105.48482491105401</v>
      </c>
      <c r="H56" s="46" t="s">
        <v>423</v>
      </c>
      <c r="I56" s="46" t="s">
        <v>718</v>
      </c>
      <c r="J56" s="121" t="s">
        <v>370</v>
      </c>
      <c r="K56" s="93" t="s">
        <v>732</v>
      </c>
      <c r="L56" s="120">
        <v>230</v>
      </c>
      <c r="M56" s="20">
        <v>1981</v>
      </c>
      <c r="N56" s="19">
        <v>2029</v>
      </c>
      <c r="O56" s="86"/>
      <c r="P56" s="20" t="s">
        <v>38</v>
      </c>
      <c r="Q56" s="93" t="s">
        <v>600</v>
      </c>
      <c r="R56" s="125">
        <v>291</v>
      </c>
      <c r="S56" s="216">
        <f>System!$E$4</f>
        <v>0.9</v>
      </c>
      <c r="T56" s="175">
        <f t="shared" si="4"/>
        <v>261.90000000000003</v>
      </c>
      <c r="U56" s="174">
        <f>System!$J$4</f>
        <v>0.8</v>
      </c>
      <c r="V56" s="178">
        <f t="shared" si="5"/>
        <v>2039.328</v>
      </c>
      <c r="W56" s="70">
        <v>2</v>
      </c>
      <c r="X56" s="161"/>
      <c r="Y56" s="96"/>
      <c r="Z56" s="18"/>
    </row>
    <row r="57" spans="2:26" ht="20" x14ac:dyDescent="0.25">
      <c r="B57" s="152" t="s">
        <v>429</v>
      </c>
      <c r="C57" s="46" t="s">
        <v>844</v>
      </c>
      <c r="D57" s="152" t="s">
        <v>136</v>
      </c>
      <c r="E57" s="129" t="s">
        <v>695</v>
      </c>
      <c r="F57" s="114">
        <v>54.794728543283199</v>
      </c>
      <c r="G57" s="114">
        <v>-101.885936768498</v>
      </c>
      <c r="H57" s="46" t="s">
        <v>423</v>
      </c>
      <c r="I57" s="93" t="s">
        <v>504</v>
      </c>
      <c r="J57" s="121" t="s">
        <v>464</v>
      </c>
      <c r="K57" s="46" t="s">
        <v>467</v>
      </c>
      <c r="L57" s="160">
        <v>115</v>
      </c>
      <c r="M57" s="129">
        <v>2015</v>
      </c>
      <c r="N57" s="129">
        <v>2022</v>
      </c>
      <c r="O57" s="86"/>
      <c r="P57" s="20" t="s">
        <v>300</v>
      </c>
      <c r="Q57" s="93" t="s">
        <v>307</v>
      </c>
      <c r="R57" s="125">
        <v>25</v>
      </c>
      <c r="S57" s="164">
        <f>System!$E$9</f>
        <v>0.98099999999999998</v>
      </c>
      <c r="T57" s="176">
        <f t="shared" si="4"/>
        <v>24.524999999999999</v>
      </c>
      <c r="U57" s="130">
        <v>0.9</v>
      </c>
      <c r="V57" s="125">
        <f t="shared" si="5"/>
        <v>197.1</v>
      </c>
      <c r="W57" s="67"/>
      <c r="X57" s="243"/>
      <c r="Y57" s="96"/>
      <c r="Z57" s="18"/>
    </row>
    <row r="58" spans="2:26" ht="20" x14ac:dyDescent="0.25">
      <c r="B58" s="152" t="s">
        <v>430</v>
      </c>
      <c r="C58" s="46" t="s">
        <v>748</v>
      </c>
      <c r="D58" s="152" t="s">
        <v>136</v>
      </c>
      <c r="E58" s="129" t="s">
        <v>695</v>
      </c>
      <c r="F58" s="114">
        <v>53.722667595762601</v>
      </c>
      <c r="G58" s="114">
        <v>-101.76956512251699</v>
      </c>
      <c r="H58" s="46" t="s">
        <v>423</v>
      </c>
      <c r="I58" s="46" t="s">
        <v>718</v>
      </c>
      <c r="J58" s="121" t="s">
        <v>547</v>
      </c>
      <c r="K58" s="46" t="s">
        <v>466</v>
      </c>
      <c r="L58" s="120">
        <v>230</v>
      </c>
      <c r="M58" s="129">
        <v>2020</v>
      </c>
      <c r="N58" s="129">
        <v>2040</v>
      </c>
      <c r="O58" s="86"/>
      <c r="P58" s="20" t="s">
        <v>300</v>
      </c>
      <c r="Q58" s="93" t="s">
        <v>307</v>
      </c>
      <c r="R58" s="125">
        <v>100</v>
      </c>
      <c r="S58" s="164">
        <f>System!$E$9</f>
        <v>0.98099999999999998</v>
      </c>
      <c r="T58" s="176">
        <f t="shared" si="4"/>
        <v>98.1</v>
      </c>
      <c r="U58" s="130">
        <v>0.9</v>
      </c>
      <c r="V58" s="125">
        <f t="shared" si="5"/>
        <v>788.4</v>
      </c>
      <c r="W58" s="67"/>
      <c r="X58" s="243"/>
      <c r="Y58" s="96"/>
      <c r="Z58" s="18" t="s">
        <v>800</v>
      </c>
    </row>
    <row r="59" spans="2:26" ht="20" x14ac:dyDescent="0.25">
      <c r="B59" s="152" t="s">
        <v>431</v>
      </c>
      <c r="C59" s="46" t="s">
        <v>749</v>
      </c>
      <c r="D59" s="152" t="s">
        <v>136</v>
      </c>
      <c r="E59" s="129" t="s">
        <v>695</v>
      </c>
      <c r="F59" s="114">
        <v>50.544463130550298</v>
      </c>
      <c r="G59" s="114">
        <v>-101.474715411651</v>
      </c>
      <c r="H59" s="46" t="s">
        <v>423</v>
      </c>
      <c r="I59" s="46" t="s">
        <v>718</v>
      </c>
      <c r="J59" s="121" t="s">
        <v>548</v>
      </c>
      <c r="K59" s="46" t="s">
        <v>549</v>
      </c>
      <c r="L59" s="120">
        <v>230</v>
      </c>
      <c r="M59" s="129">
        <v>2022</v>
      </c>
      <c r="N59" s="129">
        <v>2038</v>
      </c>
      <c r="O59" s="86"/>
      <c r="P59" s="20" t="s">
        <v>300</v>
      </c>
      <c r="Q59" s="93" t="s">
        <v>307</v>
      </c>
      <c r="R59" s="125">
        <v>215</v>
      </c>
      <c r="S59" s="164">
        <f>System!$E$9</f>
        <v>0.98099999999999998</v>
      </c>
      <c r="T59" s="176">
        <f t="shared" si="4"/>
        <v>210.91499999999999</v>
      </c>
      <c r="U59" s="130">
        <v>0.9</v>
      </c>
      <c r="V59" s="125">
        <f t="shared" si="5"/>
        <v>1695.06</v>
      </c>
      <c r="W59" s="67"/>
      <c r="X59" s="243"/>
      <c r="Y59" s="96"/>
      <c r="Z59" s="18" t="s">
        <v>800</v>
      </c>
    </row>
    <row r="60" spans="2:26" ht="20" x14ac:dyDescent="0.25">
      <c r="B60" s="80" t="s">
        <v>140</v>
      </c>
      <c r="C60" s="46" t="s">
        <v>845</v>
      </c>
      <c r="D60" s="80" t="s">
        <v>77</v>
      </c>
      <c r="E60" s="123" t="s">
        <v>94</v>
      </c>
      <c r="F60" s="116">
        <v>52.094373614061503</v>
      </c>
      <c r="G60" s="116">
        <v>-106.704925003428</v>
      </c>
      <c r="H60" s="46" t="s">
        <v>423</v>
      </c>
      <c r="I60" s="46" t="s">
        <v>718</v>
      </c>
      <c r="J60" s="121" t="s">
        <v>437</v>
      </c>
      <c r="K60" s="93" t="s">
        <v>733</v>
      </c>
      <c r="L60" s="120">
        <v>230</v>
      </c>
      <c r="M60" s="20">
        <v>1959</v>
      </c>
      <c r="N60" s="109">
        <f>M60+30+30+30</f>
        <v>2049</v>
      </c>
      <c r="O60" s="86"/>
      <c r="P60" s="20" t="s">
        <v>299</v>
      </c>
      <c r="Q60" s="93" t="s">
        <v>701</v>
      </c>
      <c r="R60" s="125">
        <v>61</v>
      </c>
      <c r="S60" s="216">
        <f>System!$E$6</f>
        <v>0.73</v>
      </c>
      <c r="T60" s="175">
        <f t="shared" si="4"/>
        <v>44.53</v>
      </c>
      <c r="U60" s="174">
        <f>System!$J$6</f>
        <v>0.8</v>
      </c>
      <c r="V60" s="178">
        <f t="shared" si="5"/>
        <v>427.488</v>
      </c>
      <c r="W60" s="70">
        <v>12</v>
      </c>
      <c r="X60" s="161"/>
      <c r="Y60" s="96"/>
      <c r="Z60" s="92"/>
    </row>
    <row r="61" spans="2:26" ht="20" x14ac:dyDescent="0.25">
      <c r="B61" s="80" t="s">
        <v>141</v>
      </c>
      <c r="C61" s="46" t="s">
        <v>763</v>
      </c>
      <c r="D61" s="80" t="s">
        <v>77</v>
      </c>
      <c r="E61" s="80" t="s">
        <v>94</v>
      </c>
      <c r="F61" s="114">
        <v>52.094373614061503</v>
      </c>
      <c r="G61" s="114">
        <v>-106.704925003428</v>
      </c>
      <c r="H61" s="46" t="s">
        <v>423</v>
      </c>
      <c r="I61" s="46" t="s">
        <v>718</v>
      </c>
      <c r="J61" s="121" t="s">
        <v>437</v>
      </c>
      <c r="K61" s="93" t="s">
        <v>733</v>
      </c>
      <c r="L61" s="120">
        <v>230</v>
      </c>
      <c r="M61" s="20">
        <v>1959</v>
      </c>
      <c r="N61" s="109">
        <f>M61+30+30+30</f>
        <v>2049</v>
      </c>
      <c r="O61" s="86"/>
      <c r="P61" s="20" t="s">
        <v>299</v>
      </c>
      <c r="Q61" s="93" t="s">
        <v>701</v>
      </c>
      <c r="R61" s="125">
        <v>62</v>
      </c>
      <c r="S61" s="216">
        <f>System!$E$6</f>
        <v>0.73</v>
      </c>
      <c r="T61" s="175">
        <f t="shared" si="4"/>
        <v>45.26</v>
      </c>
      <c r="U61" s="174">
        <f>System!$J$6</f>
        <v>0.8</v>
      </c>
      <c r="V61" s="178">
        <f t="shared" si="5"/>
        <v>434.49599999999998</v>
      </c>
      <c r="W61" s="70">
        <v>12</v>
      </c>
      <c r="X61" s="161"/>
      <c r="Y61" s="96"/>
      <c r="Z61" s="92"/>
    </row>
    <row r="62" spans="2:26" ht="20" x14ac:dyDescent="0.25">
      <c r="B62" s="80" t="s">
        <v>142</v>
      </c>
      <c r="C62" s="46" t="s">
        <v>774</v>
      </c>
      <c r="D62" s="80" t="s">
        <v>77</v>
      </c>
      <c r="E62" s="123" t="s">
        <v>94</v>
      </c>
      <c r="F62" s="114">
        <v>52.094373614061503</v>
      </c>
      <c r="G62" s="114">
        <v>-106.704925003428</v>
      </c>
      <c r="H62" s="46" t="s">
        <v>423</v>
      </c>
      <c r="I62" s="46" t="s">
        <v>718</v>
      </c>
      <c r="J62" s="121" t="s">
        <v>437</v>
      </c>
      <c r="K62" s="93" t="s">
        <v>733</v>
      </c>
      <c r="L62" s="120">
        <v>230</v>
      </c>
      <c r="M62" s="20">
        <v>1971</v>
      </c>
      <c r="N62" s="109">
        <f>M62+30+30</f>
        <v>2031</v>
      </c>
      <c r="O62" s="86"/>
      <c r="P62" s="20" t="s">
        <v>299</v>
      </c>
      <c r="Q62" s="93" t="s">
        <v>701</v>
      </c>
      <c r="R62" s="125">
        <v>95</v>
      </c>
      <c r="S62" s="216">
        <f>System!$E$6</f>
        <v>0.73</v>
      </c>
      <c r="T62" s="175">
        <f t="shared" si="4"/>
        <v>69.349999999999994</v>
      </c>
      <c r="U62" s="174">
        <f>System!$J$6</f>
        <v>0.8</v>
      </c>
      <c r="V62" s="178">
        <f t="shared" si="5"/>
        <v>665.76</v>
      </c>
      <c r="W62" s="70">
        <v>12</v>
      </c>
      <c r="X62" s="161"/>
      <c r="Y62" s="96"/>
      <c r="Z62" s="92"/>
    </row>
    <row r="63" spans="2:26" ht="20" x14ac:dyDescent="0.25">
      <c r="B63" s="80" t="s">
        <v>143</v>
      </c>
      <c r="C63" s="46" t="s">
        <v>782</v>
      </c>
      <c r="D63" s="80" t="s">
        <v>77</v>
      </c>
      <c r="E63" s="80" t="s">
        <v>94</v>
      </c>
      <c r="F63" s="114">
        <v>52.094373614061503</v>
      </c>
      <c r="G63" s="114">
        <v>-106.704925003428</v>
      </c>
      <c r="H63" s="46" t="s">
        <v>423</v>
      </c>
      <c r="I63" s="46" t="s">
        <v>718</v>
      </c>
      <c r="J63" s="121" t="s">
        <v>437</v>
      </c>
      <c r="K63" s="93" t="s">
        <v>733</v>
      </c>
      <c r="L63" s="120">
        <v>230</v>
      </c>
      <c r="M63" s="20">
        <v>2002</v>
      </c>
      <c r="N63" s="109">
        <f t="shared" ref="N63:N71" si="7">M63+30</f>
        <v>2032</v>
      </c>
      <c r="O63" s="86"/>
      <c r="P63" s="20" t="s">
        <v>299</v>
      </c>
      <c r="Q63" s="93" t="s">
        <v>701</v>
      </c>
      <c r="R63" s="125">
        <v>25</v>
      </c>
      <c r="S63" s="216">
        <f>System!$E$6</f>
        <v>0.73</v>
      </c>
      <c r="T63" s="175">
        <f t="shared" si="4"/>
        <v>18.25</v>
      </c>
      <c r="U63" s="174">
        <f>System!$J$6</f>
        <v>0.8</v>
      </c>
      <c r="V63" s="178">
        <f t="shared" si="5"/>
        <v>175.2</v>
      </c>
      <c r="W63" s="70">
        <v>12</v>
      </c>
      <c r="X63" s="161"/>
      <c r="Y63" s="96"/>
      <c r="Z63" s="92"/>
    </row>
    <row r="64" spans="2:26" ht="20" x14ac:dyDescent="0.25">
      <c r="B64" s="80" t="s">
        <v>144</v>
      </c>
      <c r="C64" s="46" t="s">
        <v>785</v>
      </c>
      <c r="D64" s="80" t="s">
        <v>77</v>
      </c>
      <c r="E64" s="80" t="s">
        <v>94</v>
      </c>
      <c r="F64" s="116">
        <v>52.094373614061503</v>
      </c>
      <c r="G64" s="116">
        <v>-106.704925003428</v>
      </c>
      <c r="H64" s="46" t="s">
        <v>423</v>
      </c>
      <c r="I64" s="46" t="s">
        <v>718</v>
      </c>
      <c r="J64" s="121" t="s">
        <v>437</v>
      </c>
      <c r="K64" s="93" t="s">
        <v>733</v>
      </c>
      <c r="L64" s="120">
        <v>230</v>
      </c>
      <c r="M64" s="20">
        <v>2002</v>
      </c>
      <c r="N64" s="109">
        <f t="shared" si="7"/>
        <v>2032</v>
      </c>
      <c r="O64" s="86"/>
      <c r="P64" s="20" t="s">
        <v>299</v>
      </c>
      <c r="Q64" s="93" t="s">
        <v>701</v>
      </c>
      <c r="R64" s="125">
        <v>25</v>
      </c>
      <c r="S64" s="216">
        <f>System!$E$6</f>
        <v>0.73</v>
      </c>
      <c r="T64" s="175">
        <f t="shared" si="4"/>
        <v>18.25</v>
      </c>
      <c r="U64" s="174">
        <f>System!$J$6</f>
        <v>0.8</v>
      </c>
      <c r="V64" s="178">
        <f t="shared" si="5"/>
        <v>175.2</v>
      </c>
      <c r="W64" s="70">
        <v>12</v>
      </c>
      <c r="X64" s="161"/>
      <c r="Y64" s="96"/>
      <c r="Z64" s="92"/>
    </row>
    <row r="65" spans="2:26" ht="20" x14ac:dyDescent="0.25">
      <c r="B65" s="80" t="s">
        <v>145</v>
      </c>
      <c r="C65" s="46" t="s">
        <v>788</v>
      </c>
      <c r="D65" s="80" t="s">
        <v>77</v>
      </c>
      <c r="E65" s="80" t="s">
        <v>94</v>
      </c>
      <c r="F65" s="114">
        <v>52.094373614061503</v>
      </c>
      <c r="G65" s="114">
        <v>-106.704925003428</v>
      </c>
      <c r="H65" s="46" t="s">
        <v>423</v>
      </c>
      <c r="I65" s="46" t="s">
        <v>718</v>
      </c>
      <c r="J65" s="121" t="s">
        <v>437</v>
      </c>
      <c r="K65" s="93" t="s">
        <v>733</v>
      </c>
      <c r="L65" s="120">
        <v>230</v>
      </c>
      <c r="M65" s="20">
        <v>2002</v>
      </c>
      <c r="N65" s="109">
        <f t="shared" si="7"/>
        <v>2032</v>
      </c>
      <c r="O65" s="86"/>
      <c r="P65" s="20" t="s">
        <v>299</v>
      </c>
      <c r="Q65" s="93" t="s">
        <v>701</v>
      </c>
      <c r="R65" s="125">
        <v>25</v>
      </c>
      <c r="S65" s="216">
        <f>System!$E$6</f>
        <v>0.73</v>
      </c>
      <c r="T65" s="175">
        <f t="shared" si="4"/>
        <v>18.25</v>
      </c>
      <c r="U65" s="174">
        <f>System!$J$6</f>
        <v>0.8</v>
      </c>
      <c r="V65" s="178">
        <f t="shared" si="5"/>
        <v>175.2</v>
      </c>
      <c r="W65" s="70">
        <v>12</v>
      </c>
      <c r="X65" s="161"/>
      <c r="Y65" s="96"/>
      <c r="Z65" s="92"/>
    </row>
    <row r="66" spans="2:26" ht="20" x14ac:dyDescent="0.25">
      <c r="B66" s="80" t="s">
        <v>146</v>
      </c>
      <c r="C66" s="46" t="s">
        <v>792</v>
      </c>
      <c r="D66" s="80" t="s">
        <v>77</v>
      </c>
      <c r="E66" s="80" t="s">
        <v>94</v>
      </c>
      <c r="F66" s="114">
        <v>52.094373614061503</v>
      </c>
      <c r="G66" s="114">
        <v>-106.704925003428</v>
      </c>
      <c r="H66" s="46" t="s">
        <v>423</v>
      </c>
      <c r="I66" s="46" t="s">
        <v>718</v>
      </c>
      <c r="J66" s="121" t="s">
        <v>437</v>
      </c>
      <c r="K66" s="93" t="s">
        <v>733</v>
      </c>
      <c r="L66" s="120">
        <v>230</v>
      </c>
      <c r="M66" s="20">
        <v>2002</v>
      </c>
      <c r="N66" s="109">
        <f t="shared" si="7"/>
        <v>2032</v>
      </c>
      <c r="O66" s="86"/>
      <c r="P66" s="20" t="s">
        <v>299</v>
      </c>
      <c r="Q66" s="93" t="s">
        <v>701</v>
      </c>
      <c r="R66" s="125">
        <v>25</v>
      </c>
      <c r="S66" s="216">
        <f>System!$E$6</f>
        <v>0.73</v>
      </c>
      <c r="T66" s="175">
        <f t="shared" si="4"/>
        <v>18.25</v>
      </c>
      <c r="U66" s="174">
        <f>System!$J$6</f>
        <v>0.8</v>
      </c>
      <c r="V66" s="178">
        <f t="shared" si="5"/>
        <v>175.2</v>
      </c>
      <c r="W66" s="70">
        <v>12</v>
      </c>
      <c r="X66" s="183"/>
      <c r="Y66" s="96"/>
      <c r="Z66" s="92"/>
    </row>
    <row r="67" spans="2:26" ht="20" x14ac:dyDescent="0.25">
      <c r="B67" s="80" t="s">
        <v>147</v>
      </c>
      <c r="C67" s="46" t="s">
        <v>795</v>
      </c>
      <c r="D67" s="80" t="s">
        <v>77</v>
      </c>
      <c r="E67" s="80" t="s">
        <v>94</v>
      </c>
      <c r="F67" s="114">
        <v>52.094373614061503</v>
      </c>
      <c r="G67" s="114">
        <v>-106.704925003428</v>
      </c>
      <c r="H67" s="46" t="s">
        <v>423</v>
      </c>
      <c r="I67" s="46" t="s">
        <v>718</v>
      </c>
      <c r="J67" s="121" t="s">
        <v>437</v>
      </c>
      <c r="K67" s="93" t="s">
        <v>733</v>
      </c>
      <c r="L67" s="120">
        <v>230</v>
      </c>
      <c r="M67" s="20">
        <v>2002</v>
      </c>
      <c r="N67" s="109">
        <f t="shared" si="7"/>
        <v>2032</v>
      </c>
      <c r="O67" s="86"/>
      <c r="P67" s="20" t="s">
        <v>299</v>
      </c>
      <c r="Q67" s="93" t="s">
        <v>701</v>
      </c>
      <c r="R67" s="125">
        <v>25</v>
      </c>
      <c r="S67" s="216">
        <f>System!$E$6</f>
        <v>0.73</v>
      </c>
      <c r="T67" s="175">
        <f t="shared" si="4"/>
        <v>18.25</v>
      </c>
      <c r="U67" s="174">
        <f>System!$J$6</f>
        <v>0.8</v>
      </c>
      <c r="V67" s="178">
        <f t="shared" si="5"/>
        <v>175.2</v>
      </c>
      <c r="W67" s="70">
        <v>12</v>
      </c>
      <c r="X67" s="161"/>
      <c r="Y67" s="96"/>
      <c r="Z67" s="92"/>
    </row>
    <row r="68" spans="2:26" ht="20" x14ac:dyDescent="0.25">
      <c r="B68" s="80" t="s">
        <v>148</v>
      </c>
      <c r="C68" s="46" t="s">
        <v>797</v>
      </c>
      <c r="D68" s="80" t="s">
        <v>77</v>
      </c>
      <c r="E68" s="80" t="s">
        <v>94</v>
      </c>
      <c r="F68" s="114">
        <v>52.094373614061503</v>
      </c>
      <c r="G68" s="114">
        <v>-106.704925003428</v>
      </c>
      <c r="H68" s="46" t="s">
        <v>423</v>
      </c>
      <c r="I68" s="46" t="s">
        <v>718</v>
      </c>
      <c r="J68" s="121" t="s">
        <v>437</v>
      </c>
      <c r="K68" s="93" t="s">
        <v>733</v>
      </c>
      <c r="L68" s="120">
        <v>230</v>
      </c>
      <c r="M68" s="20">
        <v>2002</v>
      </c>
      <c r="N68" s="109">
        <f t="shared" si="7"/>
        <v>2032</v>
      </c>
      <c r="O68" s="86"/>
      <c r="P68" s="20" t="s">
        <v>299</v>
      </c>
      <c r="Q68" s="93" t="s">
        <v>701</v>
      </c>
      <c r="R68" s="125">
        <v>25</v>
      </c>
      <c r="S68" s="216">
        <f>System!$E$6</f>
        <v>0.73</v>
      </c>
      <c r="T68" s="175">
        <f t="shared" ref="T68:T83" si="8">R68*S68</f>
        <v>18.25</v>
      </c>
      <c r="U68" s="174">
        <f>System!$J$6</f>
        <v>0.8</v>
      </c>
      <c r="V68" s="178">
        <f t="shared" ref="V68:V83" si="9">R68*24*365*U68/1000</f>
        <v>175.2</v>
      </c>
      <c r="W68" s="70">
        <v>12</v>
      </c>
      <c r="X68" s="161"/>
      <c r="Y68" s="96"/>
      <c r="Z68" s="92"/>
    </row>
    <row r="69" spans="2:26" ht="20" x14ac:dyDescent="0.25">
      <c r="B69" s="80" t="s">
        <v>149</v>
      </c>
      <c r="C69" s="46" t="s">
        <v>680</v>
      </c>
      <c r="D69" s="80" t="s">
        <v>77</v>
      </c>
      <c r="E69" s="123" t="s">
        <v>94</v>
      </c>
      <c r="F69" s="116">
        <v>52.094373614061503</v>
      </c>
      <c r="G69" s="116">
        <v>-106.704925003428</v>
      </c>
      <c r="H69" s="46" t="s">
        <v>423</v>
      </c>
      <c r="I69" s="46" t="s">
        <v>718</v>
      </c>
      <c r="J69" s="121" t="s">
        <v>437</v>
      </c>
      <c r="K69" s="93" t="s">
        <v>733</v>
      </c>
      <c r="L69" s="120">
        <v>230</v>
      </c>
      <c r="M69" s="20">
        <v>2010</v>
      </c>
      <c r="N69" s="109">
        <f t="shared" si="7"/>
        <v>2040</v>
      </c>
      <c r="O69" s="86"/>
      <c r="P69" s="20" t="s">
        <v>299</v>
      </c>
      <c r="Q69" s="93" t="s">
        <v>701</v>
      </c>
      <c r="R69" s="125">
        <v>36</v>
      </c>
      <c r="S69" s="216">
        <f>System!$E$6</f>
        <v>0.73</v>
      </c>
      <c r="T69" s="175">
        <f t="shared" si="8"/>
        <v>26.28</v>
      </c>
      <c r="U69" s="174">
        <f>System!$J$6</f>
        <v>0.8</v>
      </c>
      <c r="V69" s="178">
        <f t="shared" si="9"/>
        <v>252.28800000000001</v>
      </c>
      <c r="W69" s="70">
        <v>12</v>
      </c>
      <c r="X69" s="161"/>
      <c r="Y69" s="96"/>
      <c r="Z69" s="92"/>
    </row>
    <row r="70" spans="2:26" ht="20" x14ac:dyDescent="0.25">
      <c r="B70" s="80" t="s">
        <v>150</v>
      </c>
      <c r="C70" s="46" t="s">
        <v>681</v>
      </c>
      <c r="D70" s="80" t="s">
        <v>77</v>
      </c>
      <c r="E70" s="123" t="s">
        <v>94</v>
      </c>
      <c r="F70" s="114">
        <v>52.094373614061503</v>
      </c>
      <c r="G70" s="114">
        <v>-106.704925003428</v>
      </c>
      <c r="H70" s="46" t="s">
        <v>423</v>
      </c>
      <c r="I70" s="46" t="s">
        <v>718</v>
      </c>
      <c r="J70" s="121" t="s">
        <v>437</v>
      </c>
      <c r="K70" s="93" t="s">
        <v>733</v>
      </c>
      <c r="L70" s="120">
        <v>230</v>
      </c>
      <c r="M70" s="20">
        <v>2010</v>
      </c>
      <c r="N70" s="109">
        <f t="shared" si="7"/>
        <v>2040</v>
      </c>
      <c r="O70" s="86"/>
      <c r="P70" s="20" t="s">
        <v>299</v>
      </c>
      <c r="Q70" s="93" t="s">
        <v>701</v>
      </c>
      <c r="R70" s="125">
        <v>36</v>
      </c>
      <c r="S70" s="216">
        <f>System!$E$6</f>
        <v>0.73</v>
      </c>
      <c r="T70" s="175">
        <f t="shared" si="8"/>
        <v>26.28</v>
      </c>
      <c r="U70" s="174">
        <f>System!$J$6</f>
        <v>0.8</v>
      </c>
      <c r="V70" s="178">
        <f t="shared" si="9"/>
        <v>252.28800000000001</v>
      </c>
      <c r="W70" s="70">
        <v>12</v>
      </c>
      <c r="X70" s="161"/>
      <c r="Y70" s="96"/>
      <c r="Z70" s="92"/>
    </row>
    <row r="71" spans="2:26" ht="20" x14ac:dyDescent="0.25">
      <c r="B71" s="80" t="s">
        <v>151</v>
      </c>
      <c r="C71" s="46" t="s">
        <v>682</v>
      </c>
      <c r="D71" s="80" t="s">
        <v>77</v>
      </c>
      <c r="E71" s="80" t="s">
        <v>94</v>
      </c>
      <c r="F71" s="116">
        <v>52.094373614061503</v>
      </c>
      <c r="G71" s="116">
        <v>-106.704925003428</v>
      </c>
      <c r="H71" s="46" t="s">
        <v>423</v>
      </c>
      <c r="I71" s="46" t="s">
        <v>718</v>
      </c>
      <c r="J71" s="121" t="s">
        <v>437</v>
      </c>
      <c r="K71" s="93" t="s">
        <v>733</v>
      </c>
      <c r="L71" s="120">
        <v>230</v>
      </c>
      <c r="M71" s="20">
        <v>2010</v>
      </c>
      <c r="N71" s="109">
        <f t="shared" si="7"/>
        <v>2040</v>
      </c>
      <c r="O71" s="86"/>
      <c r="P71" s="20" t="s">
        <v>299</v>
      </c>
      <c r="Q71" s="93" t="s">
        <v>701</v>
      </c>
      <c r="R71" s="125">
        <v>36</v>
      </c>
      <c r="S71" s="216">
        <f>System!$E$6</f>
        <v>0.73</v>
      </c>
      <c r="T71" s="175">
        <f t="shared" si="8"/>
        <v>26.28</v>
      </c>
      <c r="U71" s="174">
        <f>System!$J$6</f>
        <v>0.8</v>
      </c>
      <c r="V71" s="178">
        <f t="shared" si="9"/>
        <v>252.28800000000001</v>
      </c>
      <c r="W71" s="70">
        <v>12</v>
      </c>
      <c r="X71" s="161"/>
      <c r="Y71" s="96"/>
      <c r="Z71" s="92"/>
    </row>
    <row r="72" spans="2:26" s="115" customFormat="1" ht="20" x14ac:dyDescent="0.25">
      <c r="B72" s="80" t="s">
        <v>106</v>
      </c>
      <c r="C72" s="46" t="s">
        <v>846</v>
      </c>
      <c r="D72" s="80" t="s">
        <v>77</v>
      </c>
      <c r="E72" s="80" t="s">
        <v>107</v>
      </c>
      <c r="F72" s="116">
        <v>50.191839719779097</v>
      </c>
      <c r="G72" s="116">
        <v>-101.742477532175</v>
      </c>
      <c r="H72" s="46" t="s">
        <v>423</v>
      </c>
      <c r="I72" s="46" t="s">
        <v>718</v>
      </c>
      <c r="J72" s="121" t="s">
        <v>348</v>
      </c>
      <c r="K72" s="93" t="s">
        <v>716</v>
      </c>
      <c r="L72" s="120">
        <v>230</v>
      </c>
      <c r="M72" s="20">
        <v>2011</v>
      </c>
      <c r="N72" s="20">
        <v>2031</v>
      </c>
      <c r="O72" s="86"/>
      <c r="P72" s="20" t="s">
        <v>209</v>
      </c>
      <c r="Q72" s="93" t="s">
        <v>602</v>
      </c>
      <c r="R72" s="125">
        <v>26</v>
      </c>
      <c r="S72" s="174">
        <f>System!$E$11</f>
        <v>0.2</v>
      </c>
      <c r="T72" s="178">
        <f t="shared" si="8"/>
        <v>5.2</v>
      </c>
      <c r="U72" s="174">
        <f>System!$J$11</f>
        <v>0.4</v>
      </c>
      <c r="V72" s="178">
        <f t="shared" si="9"/>
        <v>91.103999999999999</v>
      </c>
      <c r="W72" s="67"/>
      <c r="X72" s="183"/>
      <c r="Y72" s="96"/>
      <c r="Z72" s="18"/>
    </row>
    <row r="73" spans="2:26" s="115" customFormat="1" ht="20" x14ac:dyDescent="0.25">
      <c r="B73" s="80" t="s">
        <v>564</v>
      </c>
      <c r="C73" s="46" t="s">
        <v>847</v>
      </c>
      <c r="D73" s="80" t="s">
        <v>565</v>
      </c>
      <c r="E73" s="123" t="s">
        <v>564</v>
      </c>
      <c r="F73" s="114">
        <v>50.892871999999997</v>
      </c>
      <c r="G73" s="114">
        <v>-106.881422</v>
      </c>
      <c r="H73" s="46" t="s">
        <v>423</v>
      </c>
      <c r="I73" s="46" t="s">
        <v>718</v>
      </c>
      <c r="J73" s="121" t="s">
        <v>564</v>
      </c>
      <c r="K73" s="93" t="s">
        <v>734</v>
      </c>
      <c r="L73" s="120">
        <v>238</v>
      </c>
      <c r="M73" s="20">
        <v>2020</v>
      </c>
      <c r="N73" s="20">
        <v>2040</v>
      </c>
      <c r="O73" s="86"/>
      <c r="P73" s="20" t="s">
        <v>209</v>
      </c>
      <c r="Q73" s="93" t="s">
        <v>602</v>
      </c>
      <c r="R73" s="125">
        <v>10</v>
      </c>
      <c r="S73" s="174">
        <f>System!$E$11</f>
        <v>0.2</v>
      </c>
      <c r="T73" s="178">
        <f t="shared" si="8"/>
        <v>2</v>
      </c>
      <c r="U73" s="174">
        <f>System!$J$11</f>
        <v>0.4</v>
      </c>
      <c r="V73" s="178">
        <f t="shared" si="9"/>
        <v>35.04</v>
      </c>
      <c r="W73" s="67"/>
      <c r="X73" s="183"/>
      <c r="Y73" s="96"/>
      <c r="Z73" s="18"/>
    </row>
    <row r="74" spans="2:26" s="115" customFormat="1" ht="20" x14ac:dyDescent="0.25">
      <c r="B74" s="80" t="s">
        <v>87</v>
      </c>
      <c r="C74" s="46" t="s">
        <v>848</v>
      </c>
      <c r="D74" s="80" t="s">
        <v>77</v>
      </c>
      <c r="E74" s="124" t="s">
        <v>86</v>
      </c>
      <c r="F74" s="116">
        <v>49.0882614845981</v>
      </c>
      <c r="G74" s="116">
        <v>-102.864192841351</v>
      </c>
      <c r="H74" s="46" t="s">
        <v>423</v>
      </c>
      <c r="I74" s="46" t="s">
        <v>718</v>
      </c>
      <c r="J74" s="121" t="s">
        <v>87</v>
      </c>
      <c r="K74" s="93" t="s">
        <v>735</v>
      </c>
      <c r="L74" s="120">
        <v>230</v>
      </c>
      <c r="M74" s="20">
        <v>1992</v>
      </c>
      <c r="N74" s="19">
        <v>2029</v>
      </c>
      <c r="O74" s="86"/>
      <c r="P74" s="20" t="s">
        <v>38</v>
      </c>
      <c r="Q74" s="93" t="s">
        <v>600</v>
      </c>
      <c r="R74" s="125">
        <v>276</v>
      </c>
      <c r="S74" s="216">
        <f>System!$E$4</f>
        <v>0.9</v>
      </c>
      <c r="T74" s="175">
        <f t="shared" si="8"/>
        <v>248.4</v>
      </c>
      <c r="U74" s="174">
        <f>System!$J$4</f>
        <v>0.8</v>
      </c>
      <c r="V74" s="178">
        <f t="shared" si="9"/>
        <v>1934.2080000000001</v>
      </c>
      <c r="W74" s="70">
        <v>1</v>
      </c>
      <c r="X74" s="183"/>
      <c r="Y74" s="96"/>
      <c r="Z74" s="92"/>
    </row>
    <row r="75" spans="2:26" ht="20" x14ac:dyDescent="0.25">
      <c r="B75" s="80" t="s">
        <v>279</v>
      </c>
      <c r="C75" s="46" t="s">
        <v>751</v>
      </c>
      <c r="D75" s="80" t="s">
        <v>90</v>
      </c>
      <c r="E75" s="80" t="s">
        <v>95</v>
      </c>
      <c r="F75" s="114">
        <v>50.598931999999998</v>
      </c>
      <c r="G75" s="114">
        <v>-101.84740499999999</v>
      </c>
      <c r="H75" s="46" t="s">
        <v>423</v>
      </c>
      <c r="I75" s="46" t="s">
        <v>718</v>
      </c>
      <c r="J75" s="121" t="s">
        <v>128</v>
      </c>
      <c r="K75" s="93" t="s">
        <v>708</v>
      </c>
      <c r="L75" s="120">
        <v>138</v>
      </c>
      <c r="M75" s="20">
        <v>2011</v>
      </c>
      <c r="N75" s="109">
        <f>M75+30</f>
        <v>2041</v>
      </c>
      <c r="O75" s="86"/>
      <c r="P75" s="20" t="s">
        <v>139</v>
      </c>
      <c r="Q75" s="93" t="s">
        <v>855</v>
      </c>
      <c r="R75" s="125">
        <v>89</v>
      </c>
      <c r="S75" s="216">
        <f>System!$E$5</f>
        <v>0.93</v>
      </c>
      <c r="T75" s="175">
        <f t="shared" si="8"/>
        <v>82.77000000000001</v>
      </c>
      <c r="U75" s="174">
        <f>System!$J$5</f>
        <v>0.2</v>
      </c>
      <c r="V75" s="178">
        <f t="shared" si="9"/>
        <v>155.928</v>
      </c>
      <c r="W75" s="70">
        <v>2</v>
      </c>
      <c r="X75" s="183"/>
      <c r="Y75" s="96"/>
      <c r="Z75" s="18"/>
    </row>
    <row r="76" spans="2:26" ht="20" x14ac:dyDescent="0.25">
      <c r="B76" s="80" t="s">
        <v>287</v>
      </c>
      <c r="C76" s="46" t="s">
        <v>762</v>
      </c>
      <c r="D76" s="80" t="s">
        <v>90</v>
      </c>
      <c r="E76" s="123" t="s">
        <v>95</v>
      </c>
      <c r="F76" s="114">
        <v>50.598931999999998</v>
      </c>
      <c r="G76" s="114">
        <v>-101.84740499999999</v>
      </c>
      <c r="H76" s="46" t="s">
        <v>423</v>
      </c>
      <c r="I76" s="46" t="s">
        <v>718</v>
      </c>
      <c r="J76" s="121" t="s">
        <v>128</v>
      </c>
      <c r="K76" s="93" t="s">
        <v>708</v>
      </c>
      <c r="L76" s="120">
        <v>138</v>
      </c>
      <c r="M76" s="20">
        <v>2011</v>
      </c>
      <c r="N76" s="109">
        <f>M76+30</f>
        <v>2041</v>
      </c>
      <c r="O76" s="86"/>
      <c r="P76" s="20" t="s">
        <v>139</v>
      </c>
      <c r="Q76" s="93" t="s">
        <v>855</v>
      </c>
      <c r="R76" s="125">
        <v>89</v>
      </c>
      <c r="S76" s="216">
        <f>System!$E$5</f>
        <v>0.93</v>
      </c>
      <c r="T76" s="175">
        <f t="shared" si="8"/>
        <v>82.77000000000001</v>
      </c>
      <c r="U76" s="174">
        <f>System!$J$5</f>
        <v>0.2</v>
      </c>
      <c r="V76" s="178">
        <f t="shared" si="9"/>
        <v>155.928</v>
      </c>
      <c r="W76" s="70">
        <v>2</v>
      </c>
      <c r="Y76" s="96"/>
      <c r="Z76" s="18"/>
    </row>
    <row r="77" spans="2:26" ht="20" x14ac:dyDescent="0.25">
      <c r="B77" s="80" t="s">
        <v>103</v>
      </c>
      <c r="C77" s="93" t="s">
        <v>849</v>
      </c>
      <c r="D77" s="80" t="s">
        <v>104</v>
      </c>
      <c r="E77" s="80" t="s">
        <v>100</v>
      </c>
      <c r="F77" s="114">
        <v>50.077972587021797</v>
      </c>
      <c r="G77" s="114">
        <v>-108.392936086785</v>
      </c>
      <c r="H77" s="46" t="s">
        <v>423</v>
      </c>
      <c r="I77" s="46" t="s">
        <v>718</v>
      </c>
      <c r="J77" s="121" t="s">
        <v>386</v>
      </c>
      <c r="K77" s="93" t="s">
        <v>714</v>
      </c>
      <c r="L77" s="120">
        <v>138</v>
      </c>
      <c r="M77" s="20">
        <v>2002</v>
      </c>
      <c r="N77" s="109">
        <f>M77+20</f>
        <v>2022</v>
      </c>
      <c r="O77" s="86"/>
      <c r="P77" s="20" t="s">
        <v>209</v>
      </c>
      <c r="Q77" s="93" t="s">
        <v>602</v>
      </c>
      <c r="R77" s="125">
        <v>11</v>
      </c>
      <c r="S77" s="174">
        <f>System!$E$11</f>
        <v>0.2</v>
      </c>
      <c r="T77" s="178">
        <f t="shared" si="8"/>
        <v>2.2000000000000002</v>
      </c>
      <c r="U77" s="174">
        <f>System!$J$11</f>
        <v>0.4</v>
      </c>
      <c r="V77" s="178">
        <f t="shared" si="9"/>
        <v>38.543999999999997</v>
      </c>
      <c r="W77" s="67"/>
      <c r="X77" s="183"/>
      <c r="Y77" s="96"/>
      <c r="Z77" s="18"/>
    </row>
    <row r="78" spans="2:26" ht="20" x14ac:dyDescent="0.25">
      <c r="B78" s="80" t="s">
        <v>78</v>
      </c>
      <c r="C78" s="93" t="s">
        <v>850</v>
      </c>
      <c r="D78" s="80" t="s">
        <v>77</v>
      </c>
      <c r="E78" s="80" t="s">
        <v>116</v>
      </c>
      <c r="F78" s="114">
        <v>59.632275629996599</v>
      </c>
      <c r="G78" s="114">
        <v>-109.05607087432401</v>
      </c>
      <c r="H78" s="46" t="s">
        <v>423</v>
      </c>
      <c r="I78" s="93" t="s">
        <v>504</v>
      </c>
      <c r="J78" s="121" t="s">
        <v>343</v>
      </c>
      <c r="K78" s="93" t="s">
        <v>704</v>
      </c>
      <c r="L78" s="120">
        <v>115</v>
      </c>
      <c r="M78" s="20">
        <v>1961</v>
      </c>
      <c r="N78" s="109">
        <f>M78+70+40</f>
        <v>2071</v>
      </c>
      <c r="O78" s="86"/>
      <c r="P78" s="20" t="s">
        <v>303</v>
      </c>
      <c r="Q78" s="93" t="s">
        <v>678</v>
      </c>
      <c r="R78" s="125">
        <v>8</v>
      </c>
      <c r="S78" s="164">
        <f>System!$E$8</f>
        <v>0.65</v>
      </c>
      <c r="T78" s="176">
        <f t="shared" si="8"/>
        <v>5.2</v>
      </c>
      <c r="U78" s="174">
        <f>System!$J$8</f>
        <v>0.35</v>
      </c>
      <c r="V78" s="178">
        <f t="shared" si="9"/>
        <v>24.527999999999999</v>
      </c>
      <c r="W78" s="70">
        <v>1</v>
      </c>
      <c r="X78" s="183"/>
      <c r="Y78" s="96"/>
      <c r="Z78" s="18"/>
    </row>
    <row r="79" spans="2:26" ht="20" x14ac:dyDescent="0.25">
      <c r="B79" s="80" t="s">
        <v>76</v>
      </c>
      <c r="C79" s="93" t="s">
        <v>851</v>
      </c>
      <c r="D79" s="80" t="s">
        <v>77</v>
      </c>
      <c r="E79" s="123" t="s">
        <v>116</v>
      </c>
      <c r="F79" s="114">
        <v>59.627396738086702</v>
      </c>
      <c r="G79" s="114">
        <v>-109.01798510386</v>
      </c>
      <c r="H79" s="46" t="s">
        <v>423</v>
      </c>
      <c r="I79" s="93" t="s">
        <v>504</v>
      </c>
      <c r="J79" s="121" t="s">
        <v>343</v>
      </c>
      <c r="K79" s="93" t="s">
        <v>704</v>
      </c>
      <c r="L79" s="160">
        <v>115</v>
      </c>
      <c r="M79" s="20">
        <v>1939</v>
      </c>
      <c r="N79" s="109">
        <f>M79+70+40</f>
        <v>2049</v>
      </c>
      <c r="O79" s="86"/>
      <c r="P79" s="20" t="s">
        <v>303</v>
      </c>
      <c r="Q79" s="93" t="s">
        <v>678</v>
      </c>
      <c r="R79" s="125">
        <v>5</v>
      </c>
      <c r="S79" s="164">
        <f>System!$E$8</f>
        <v>0.65</v>
      </c>
      <c r="T79" s="176">
        <f t="shared" si="8"/>
        <v>3.25</v>
      </c>
      <c r="U79" s="174">
        <f>System!$J$8</f>
        <v>0.35</v>
      </c>
      <c r="V79" s="178">
        <f t="shared" si="9"/>
        <v>15.329999999999998</v>
      </c>
      <c r="W79" s="70">
        <v>1</v>
      </c>
      <c r="X79" s="183"/>
      <c r="Y79" s="96"/>
      <c r="Z79" s="18"/>
    </row>
    <row r="80" spans="2:26" ht="20" x14ac:dyDescent="0.25">
      <c r="B80" s="80" t="s">
        <v>152</v>
      </c>
      <c r="C80" s="93" t="s">
        <v>852</v>
      </c>
      <c r="D80" s="80" t="s">
        <v>154</v>
      </c>
      <c r="E80" s="80" t="s">
        <v>153</v>
      </c>
      <c r="F80" s="114">
        <v>50.413974000000003</v>
      </c>
      <c r="G80" s="114">
        <v>-102.914036</v>
      </c>
      <c r="H80" s="46" t="s">
        <v>423</v>
      </c>
      <c r="I80" s="46" t="s">
        <v>718</v>
      </c>
      <c r="J80" s="121" t="s">
        <v>443</v>
      </c>
      <c r="K80" s="93" t="s">
        <v>717</v>
      </c>
      <c r="L80" s="120">
        <v>138</v>
      </c>
      <c r="M80" s="20">
        <v>2019</v>
      </c>
      <c r="N80" s="20">
        <v>2039</v>
      </c>
      <c r="O80" s="86"/>
      <c r="P80" s="20" t="s">
        <v>209</v>
      </c>
      <c r="Q80" s="93" t="s">
        <v>602</v>
      </c>
      <c r="R80" s="125">
        <v>20</v>
      </c>
      <c r="S80" s="174">
        <f>System!$E$11</f>
        <v>0.2</v>
      </c>
      <c r="T80" s="178">
        <f t="shared" si="8"/>
        <v>4</v>
      </c>
      <c r="U80" s="174">
        <f>System!$J$11</f>
        <v>0.4</v>
      </c>
      <c r="V80" s="178">
        <f t="shared" si="9"/>
        <v>70.08</v>
      </c>
      <c r="W80" s="67"/>
      <c r="X80" s="183"/>
      <c r="Y80" s="96"/>
      <c r="Z80" s="18"/>
    </row>
    <row r="81" spans="1:63" ht="20" x14ac:dyDescent="0.25">
      <c r="B81" s="80" t="s">
        <v>280</v>
      </c>
      <c r="C81" s="46" t="s">
        <v>750</v>
      </c>
      <c r="D81" s="80" t="s">
        <v>77</v>
      </c>
      <c r="E81" s="80" t="s">
        <v>91</v>
      </c>
      <c r="F81" s="114">
        <v>52.723245964801499</v>
      </c>
      <c r="G81" s="114">
        <v>-108.231789055199</v>
      </c>
      <c r="H81" s="46" t="s">
        <v>423</v>
      </c>
      <c r="I81" s="46" t="s">
        <v>718</v>
      </c>
      <c r="J81" s="121" t="s">
        <v>436</v>
      </c>
      <c r="K81" s="93" t="s">
        <v>709</v>
      </c>
      <c r="L81" s="120">
        <v>230</v>
      </c>
      <c r="M81" s="20">
        <v>2010</v>
      </c>
      <c r="N81" s="109">
        <f>M81+30</f>
        <v>2040</v>
      </c>
      <c r="O81" s="86"/>
      <c r="P81" s="20" t="s">
        <v>139</v>
      </c>
      <c r="Q81" s="93" t="s">
        <v>855</v>
      </c>
      <c r="R81" s="125">
        <v>46</v>
      </c>
      <c r="S81" s="216">
        <f>System!$E$5</f>
        <v>0.93</v>
      </c>
      <c r="T81" s="175">
        <f t="shared" si="8"/>
        <v>42.78</v>
      </c>
      <c r="U81" s="174">
        <f>System!$J$5</f>
        <v>0.2</v>
      </c>
      <c r="V81" s="178">
        <f t="shared" si="9"/>
        <v>80.591999999999999</v>
      </c>
      <c r="W81" s="70">
        <v>3</v>
      </c>
      <c r="X81" s="183"/>
      <c r="Y81" s="96"/>
      <c r="Z81" s="18"/>
    </row>
    <row r="82" spans="1:63" ht="20" x14ac:dyDescent="0.25">
      <c r="B82" s="80" t="s">
        <v>288</v>
      </c>
      <c r="C82" s="46" t="s">
        <v>761</v>
      </c>
      <c r="D82" s="80" t="s">
        <v>77</v>
      </c>
      <c r="E82" s="123" t="s">
        <v>91</v>
      </c>
      <c r="F82" s="114">
        <v>52.723245964801499</v>
      </c>
      <c r="G82" s="114">
        <v>-108.231789055199</v>
      </c>
      <c r="H82" s="46" t="s">
        <v>423</v>
      </c>
      <c r="I82" s="46" t="s">
        <v>718</v>
      </c>
      <c r="J82" s="121" t="s">
        <v>436</v>
      </c>
      <c r="K82" s="93" t="s">
        <v>709</v>
      </c>
      <c r="L82" s="120">
        <v>230</v>
      </c>
      <c r="M82" s="20">
        <v>2010</v>
      </c>
      <c r="N82" s="109">
        <f>M82+30</f>
        <v>2040</v>
      </c>
      <c r="O82" s="86"/>
      <c r="P82" s="20" t="s">
        <v>139</v>
      </c>
      <c r="Q82" s="93" t="s">
        <v>855</v>
      </c>
      <c r="R82" s="125">
        <v>46</v>
      </c>
      <c r="S82" s="216">
        <f>System!$E$5</f>
        <v>0.93</v>
      </c>
      <c r="T82" s="175">
        <f t="shared" si="8"/>
        <v>42.78</v>
      </c>
      <c r="U82" s="174">
        <f>System!$J$5</f>
        <v>0.2</v>
      </c>
      <c r="V82" s="178">
        <f t="shared" si="9"/>
        <v>80.591999999999999</v>
      </c>
      <c r="W82" s="70">
        <v>3</v>
      </c>
      <c r="X82" s="161"/>
      <c r="Y82" s="67"/>
      <c r="Z82" s="18"/>
    </row>
    <row r="83" spans="1:63" ht="20" x14ac:dyDescent="0.25">
      <c r="B83" s="80" t="s">
        <v>294</v>
      </c>
      <c r="C83" s="46" t="s">
        <v>773</v>
      </c>
      <c r="D83" s="80" t="s">
        <v>77</v>
      </c>
      <c r="E83" s="123" t="s">
        <v>91</v>
      </c>
      <c r="F83" s="114">
        <v>52.723245964801499</v>
      </c>
      <c r="G83" s="114">
        <v>-108.231789055199</v>
      </c>
      <c r="H83" s="46" t="s">
        <v>423</v>
      </c>
      <c r="I83" s="46" t="s">
        <v>718</v>
      </c>
      <c r="J83" s="121" t="s">
        <v>436</v>
      </c>
      <c r="K83" s="93" t="s">
        <v>709</v>
      </c>
      <c r="L83" s="120">
        <v>230</v>
      </c>
      <c r="M83" s="20">
        <v>2010</v>
      </c>
      <c r="N83" s="109">
        <f>M83+30</f>
        <v>2040</v>
      </c>
      <c r="O83" s="86"/>
      <c r="P83" s="20" t="s">
        <v>139</v>
      </c>
      <c r="Q83" s="93" t="s">
        <v>855</v>
      </c>
      <c r="R83" s="125">
        <v>46</v>
      </c>
      <c r="S83" s="216">
        <f>System!$E$5</f>
        <v>0.93</v>
      </c>
      <c r="T83" s="175">
        <f t="shared" si="8"/>
        <v>42.78</v>
      </c>
      <c r="U83" s="174">
        <f>System!$J$5</f>
        <v>0.2</v>
      </c>
      <c r="V83" s="178">
        <f t="shared" si="9"/>
        <v>80.591999999999999</v>
      </c>
      <c r="W83" s="70">
        <v>3</v>
      </c>
      <c r="X83" s="161"/>
      <c r="Y83" s="96"/>
      <c r="Z83" s="18"/>
    </row>
    <row r="84" spans="1:63" x14ac:dyDescent="0.25">
      <c r="B84" s="7"/>
      <c r="C84" s="219"/>
      <c r="D84" s="7"/>
      <c r="E84" s="7"/>
      <c r="F84" s="28"/>
      <c r="L84" s="10"/>
      <c r="M84" s="36"/>
      <c r="N84" s="36"/>
      <c r="O84" s="87"/>
      <c r="P84" s="8"/>
      <c r="Q84" s="185"/>
      <c r="R84" s="94"/>
      <c r="S84" s="35"/>
      <c r="T84" s="28"/>
      <c r="U84" s="35"/>
      <c r="V84" s="39"/>
      <c r="W84" s="186"/>
      <c r="Y84" s="53"/>
      <c r="Z84" s="53"/>
    </row>
    <row r="85" spans="1:63" x14ac:dyDescent="0.25">
      <c r="A85" s="27" t="s">
        <v>37</v>
      </c>
      <c r="B85" s="12"/>
      <c r="C85" s="220"/>
      <c r="D85" s="12"/>
      <c r="E85" s="12"/>
      <c r="F85" s="37"/>
      <c r="L85" s="14"/>
      <c r="M85" s="41"/>
      <c r="N85" s="41"/>
      <c r="O85" s="88"/>
      <c r="P85" s="13"/>
      <c r="Q85" s="112"/>
      <c r="R85" s="37"/>
      <c r="S85" s="39"/>
      <c r="T85" s="37"/>
      <c r="U85" s="39"/>
      <c r="V85" s="39"/>
      <c r="W85" s="186"/>
      <c r="Y85" s="53"/>
      <c r="Z85" s="53"/>
    </row>
    <row r="86" spans="1:63" x14ac:dyDescent="0.25">
      <c r="A86" s="77" t="s">
        <v>155</v>
      </c>
      <c r="D86" s="12"/>
      <c r="E86" s="12"/>
      <c r="F86" s="37"/>
      <c r="L86" s="14"/>
      <c r="M86" s="41"/>
      <c r="N86" s="41"/>
      <c r="O86" s="88"/>
      <c r="P86" s="13"/>
      <c r="Q86" s="112"/>
      <c r="R86" s="37"/>
      <c r="S86" s="39"/>
      <c r="T86" s="37"/>
      <c r="U86" s="39"/>
      <c r="V86" s="44"/>
      <c r="W86" s="187"/>
      <c r="Y86" s="53"/>
      <c r="Z86" s="53"/>
    </row>
    <row r="87" spans="1:63" x14ac:dyDescent="0.25">
      <c r="A87" s="4" t="s">
        <v>306</v>
      </c>
      <c r="B87" s="7"/>
      <c r="C87" s="219"/>
      <c r="D87" s="7"/>
      <c r="E87" s="42"/>
      <c r="F87" s="42"/>
      <c r="G87" s="42"/>
      <c r="H87" s="113"/>
      <c r="I87" s="113"/>
      <c r="L87" s="53"/>
      <c r="M87" s="42"/>
      <c r="N87" s="42"/>
      <c r="O87" s="53"/>
      <c r="P87" s="42"/>
      <c r="Q87" s="113"/>
      <c r="R87" s="28"/>
      <c r="S87" s="44"/>
      <c r="T87" s="28"/>
      <c r="U87" s="44"/>
      <c r="V87" s="44"/>
      <c r="W87" s="187"/>
      <c r="Y87" s="53"/>
      <c r="Z87" s="53"/>
      <c r="AA87" s="6"/>
      <c r="AX87" s="6"/>
    </row>
    <row r="88" spans="1:63" x14ac:dyDescent="0.25">
      <c r="A88" s="4" t="s">
        <v>591</v>
      </c>
      <c r="B88" s="7"/>
      <c r="C88" s="219"/>
      <c r="D88" s="7"/>
      <c r="E88" s="42"/>
      <c r="F88" s="42"/>
      <c r="G88" s="42"/>
      <c r="H88" s="113"/>
      <c r="I88" s="113"/>
      <c r="L88" s="53"/>
      <c r="M88" s="42"/>
      <c r="N88" s="42"/>
      <c r="O88" s="53"/>
      <c r="P88" s="42"/>
      <c r="Q88" s="113"/>
      <c r="R88" s="28"/>
      <c r="S88" s="44"/>
      <c r="T88" s="28"/>
      <c r="U88" s="44"/>
      <c r="Y88" s="53"/>
      <c r="Z88" s="53"/>
      <c r="AA88" s="6"/>
      <c r="AX88" s="6"/>
    </row>
    <row r="89" spans="1:63" x14ac:dyDescent="0.25">
      <c r="B89" s="7"/>
      <c r="C89" s="219"/>
      <c r="D89" s="7"/>
      <c r="E89" s="42"/>
      <c r="F89" s="42"/>
      <c r="G89" s="42"/>
      <c r="H89" s="113"/>
      <c r="I89" s="113"/>
      <c r="L89" s="53"/>
      <c r="M89" s="42"/>
      <c r="N89" s="42"/>
      <c r="O89" s="53"/>
      <c r="R89" s="37"/>
      <c r="T89" s="37"/>
      <c r="V89" s="43"/>
      <c r="W89" s="157"/>
      <c r="Y89" s="53"/>
      <c r="Z89" s="53"/>
      <c r="AA89" s="6"/>
      <c r="AX89" s="6"/>
    </row>
    <row r="90" spans="1:63" x14ac:dyDescent="0.25">
      <c r="A90" s="224" t="s">
        <v>409</v>
      </c>
      <c r="B90" s="12"/>
      <c r="C90" s="13"/>
      <c r="D90" s="12"/>
      <c r="E90" s="42"/>
      <c r="F90" s="42"/>
      <c r="G90" s="42"/>
      <c r="H90" s="42"/>
      <c r="I90" s="42"/>
      <c r="J90" s="183"/>
      <c r="K90" s="183"/>
      <c r="L90" s="183"/>
      <c r="M90" s="183"/>
      <c r="N90" s="42"/>
      <c r="O90" s="42"/>
      <c r="P90" s="42"/>
      <c r="Q90" s="42"/>
      <c r="R90" s="42"/>
      <c r="S90" s="183"/>
      <c r="T90" s="183"/>
      <c r="U90" s="42"/>
      <c r="V90" s="28"/>
      <c r="W90" s="42"/>
      <c r="X90" s="4"/>
    </row>
    <row r="91" spans="1:63" s="183" customFormat="1" x14ac:dyDescent="0.25">
      <c r="A91" s="4" t="s">
        <v>410</v>
      </c>
      <c r="C91" s="238"/>
      <c r="X91" s="4"/>
      <c r="Y91" s="4"/>
      <c r="Z91" s="4"/>
      <c r="AA91" s="4"/>
      <c r="AB91" s="4"/>
      <c r="AC91" s="4"/>
      <c r="AD91" s="4"/>
      <c r="AE91" s="4"/>
      <c r="AF91" s="4"/>
      <c r="AG91" s="4"/>
      <c r="AH91" s="4"/>
      <c r="AI91" s="4"/>
      <c r="AJ91" s="4"/>
    </row>
    <row r="92" spans="1:63" x14ac:dyDescent="0.25">
      <c r="A92" s="4" t="s">
        <v>411</v>
      </c>
      <c r="B92" s="7"/>
      <c r="C92" s="8"/>
      <c r="D92" s="7"/>
      <c r="E92" s="42"/>
      <c r="F92" s="42"/>
      <c r="G92" s="42"/>
      <c r="H92" s="42"/>
      <c r="I92" s="42"/>
      <c r="J92" s="183"/>
      <c r="K92" s="183"/>
      <c r="L92" s="183"/>
      <c r="M92" s="183"/>
      <c r="N92" s="42"/>
      <c r="O92" s="42"/>
      <c r="P92" s="42"/>
      <c r="Q92" s="42"/>
      <c r="R92" s="42"/>
      <c r="S92" s="183"/>
      <c r="T92" s="183"/>
      <c r="U92" s="42"/>
      <c r="V92" s="28"/>
      <c r="W92" s="42"/>
      <c r="X92" s="4"/>
    </row>
    <row r="93" spans="1:63" x14ac:dyDescent="0.25">
      <c r="A93" s="4" t="s">
        <v>874</v>
      </c>
      <c r="B93" s="7"/>
      <c r="C93" s="8"/>
      <c r="D93" s="7"/>
      <c r="E93" s="42"/>
      <c r="F93" s="183"/>
      <c r="G93" s="183"/>
      <c r="H93" s="183"/>
      <c r="I93" s="183"/>
      <c r="J93" s="183"/>
      <c r="K93" s="183"/>
      <c r="L93" s="183"/>
      <c r="M93" s="42"/>
      <c r="N93" s="42"/>
      <c r="O93" s="42"/>
      <c r="P93" s="42"/>
      <c r="Q93" s="42"/>
      <c r="R93" s="42"/>
      <c r="S93" s="42"/>
      <c r="T93" s="29"/>
      <c r="U93" s="42"/>
      <c r="V93" s="42"/>
      <c r="W93" s="28"/>
      <c r="X93" s="4"/>
      <c r="AN93" s="6"/>
      <c r="BK93" s="6"/>
    </row>
    <row r="94" spans="1:63" x14ac:dyDescent="0.25">
      <c r="A94" s="4" t="s">
        <v>875</v>
      </c>
      <c r="B94" s="7"/>
      <c r="C94" s="8"/>
      <c r="D94" s="7"/>
      <c r="E94" s="42"/>
      <c r="F94" s="183"/>
      <c r="G94" s="183"/>
      <c r="H94" s="183"/>
      <c r="I94" s="183"/>
      <c r="J94" s="183"/>
      <c r="K94" s="183"/>
      <c r="L94" s="183"/>
      <c r="M94" s="42"/>
      <c r="N94" s="42"/>
      <c r="O94" s="42"/>
      <c r="P94" s="42"/>
      <c r="Q94" s="42"/>
      <c r="R94" s="42"/>
      <c r="S94" s="42"/>
      <c r="T94" s="29"/>
      <c r="U94" s="42"/>
      <c r="V94" s="42"/>
      <c r="W94" s="28"/>
      <c r="X94" s="4"/>
      <c r="AN94" s="6"/>
      <c r="BK94" s="6"/>
    </row>
    <row r="95" spans="1:63" x14ac:dyDescent="0.25">
      <c r="A95" s="4" t="s">
        <v>646</v>
      </c>
      <c r="B95" s="7"/>
      <c r="C95" s="8"/>
      <c r="D95" s="7"/>
      <c r="E95" s="42"/>
      <c r="F95" s="42"/>
      <c r="G95" s="42"/>
      <c r="H95" s="42"/>
      <c r="I95" s="42"/>
      <c r="J95" s="183"/>
      <c r="K95" s="183"/>
      <c r="L95" s="183"/>
      <c r="M95" s="183"/>
      <c r="N95" s="42"/>
      <c r="O95" s="42"/>
      <c r="P95" s="42"/>
      <c r="Q95" s="42"/>
      <c r="R95" s="42"/>
      <c r="S95" s="183"/>
      <c r="T95" s="183"/>
      <c r="U95" s="42"/>
      <c r="V95" s="28"/>
      <c r="W95" s="42"/>
      <c r="X95" s="4"/>
    </row>
    <row r="96" spans="1:63" x14ac:dyDescent="0.25">
      <c r="A96" s="77" t="s">
        <v>647</v>
      </c>
      <c r="C96" s="6"/>
      <c r="D96" s="12"/>
      <c r="E96" s="12"/>
      <c r="F96" s="37"/>
      <c r="H96" s="4"/>
      <c r="I96" s="4"/>
      <c r="J96" s="4"/>
      <c r="K96" s="183"/>
      <c r="L96" s="183"/>
      <c r="M96" s="183"/>
      <c r="N96" s="41"/>
      <c r="O96" s="38"/>
      <c r="P96" s="41"/>
      <c r="Q96" s="38"/>
      <c r="R96" s="38"/>
      <c r="S96" s="38"/>
      <c r="T96" s="38"/>
      <c r="U96" s="13"/>
      <c r="V96" s="13"/>
      <c r="W96" s="13"/>
      <c r="X96" s="4"/>
    </row>
    <row r="97" spans="1:26" x14ac:dyDescent="0.25">
      <c r="A97" s="4" t="s">
        <v>876</v>
      </c>
      <c r="B97" s="14"/>
      <c r="C97" s="40"/>
      <c r="D97" s="14"/>
      <c r="E97" s="14"/>
      <c r="F97" s="14"/>
      <c r="G97" s="40"/>
      <c r="H97" s="40"/>
      <c r="I97" s="40"/>
      <c r="J97" s="40"/>
      <c r="K97" s="183"/>
      <c r="L97" s="183"/>
      <c r="M97" s="183"/>
      <c r="N97" s="14"/>
      <c r="O97" s="14"/>
      <c r="P97" s="14"/>
      <c r="Q97" s="14"/>
      <c r="R97" s="14"/>
      <c r="S97" s="14"/>
      <c r="T97" s="14"/>
      <c r="U97" s="14"/>
      <c r="V97" s="14"/>
      <c r="W97" s="14"/>
      <c r="X97" s="4"/>
    </row>
    <row r="98" spans="1:26" x14ac:dyDescent="0.25">
      <c r="B98" s="31"/>
      <c r="C98" s="221"/>
      <c r="D98" s="31"/>
      <c r="E98" s="32"/>
      <c r="F98" s="28"/>
      <c r="L98" s="33"/>
      <c r="M98" s="42"/>
      <c r="N98" s="42"/>
      <c r="O98" s="87"/>
      <c r="P98" s="42"/>
      <c r="Q98" s="113"/>
      <c r="R98" s="28"/>
      <c r="S98" s="43"/>
      <c r="T98" s="28"/>
      <c r="U98" s="43"/>
      <c r="V98" s="34"/>
      <c r="W98" s="188"/>
      <c r="Y98" s="53"/>
      <c r="Z98" s="53"/>
    </row>
    <row r="99" spans="1:26" x14ac:dyDescent="0.25">
      <c r="B99" s="33"/>
      <c r="C99" s="89"/>
      <c r="F99" s="28"/>
      <c r="L99" s="33"/>
      <c r="M99" s="42"/>
      <c r="N99" s="42"/>
      <c r="O99" s="87"/>
      <c r="P99" s="42"/>
      <c r="Q99" s="113"/>
      <c r="R99" s="28"/>
      <c r="S99" s="34"/>
      <c r="T99" s="28"/>
      <c r="U99" s="34"/>
      <c r="V99" s="34"/>
      <c r="W99" s="188"/>
      <c r="Y99" s="53"/>
      <c r="Z99" s="53"/>
    </row>
    <row r="100" spans="1:26" x14ac:dyDescent="0.25">
      <c r="B100" s="16"/>
      <c r="C100" s="100"/>
      <c r="F100" s="28"/>
      <c r="L100" s="33"/>
      <c r="O100" s="87"/>
      <c r="P100" s="42"/>
      <c r="Q100" s="113"/>
      <c r="R100" s="28"/>
      <c r="S100" s="34"/>
      <c r="T100" s="28"/>
      <c r="U100" s="34"/>
      <c r="V100" s="34"/>
      <c r="W100" s="188"/>
      <c r="Y100" s="53"/>
      <c r="Z100" s="53"/>
    </row>
    <row r="101" spans="1:26" x14ac:dyDescent="0.25">
      <c r="B101" s="31"/>
      <c r="C101" s="221"/>
      <c r="D101" s="31"/>
      <c r="E101" s="32"/>
      <c r="F101" s="28"/>
      <c r="L101" s="33"/>
      <c r="O101" s="87"/>
      <c r="P101" s="42"/>
      <c r="Q101" s="113"/>
      <c r="R101" s="28"/>
      <c r="S101" s="34"/>
      <c r="T101" s="28"/>
      <c r="U101" s="34"/>
      <c r="Y101" s="53"/>
      <c r="Z101" s="53"/>
    </row>
    <row r="102" spans="1:26" x14ac:dyDescent="0.25">
      <c r="B102" s="31"/>
      <c r="C102" s="221"/>
      <c r="D102" s="31"/>
      <c r="E102" s="32"/>
      <c r="F102" s="28"/>
      <c r="L102" s="33"/>
      <c r="M102" s="42"/>
      <c r="N102" s="42"/>
      <c r="O102" s="87"/>
      <c r="R102" s="28"/>
      <c r="T102" s="28"/>
      <c r="Y102" s="53"/>
      <c r="Z102" s="53"/>
    </row>
    <row r="103" spans="1:26" x14ac:dyDescent="0.25">
      <c r="B103" s="31"/>
      <c r="C103" s="221"/>
      <c r="D103" s="31"/>
      <c r="E103" s="32"/>
      <c r="F103" s="28"/>
      <c r="L103" s="33"/>
      <c r="M103" s="42"/>
      <c r="N103" s="42"/>
      <c r="O103" s="87"/>
      <c r="R103" s="28"/>
      <c r="T103" s="28"/>
      <c r="V103" s="34"/>
      <c r="W103" s="188"/>
      <c r="Y103" s="53"/>
      <c r="Z103" s="53"/>
    </row>
    <row r="104" spans="1:26" x14ac:dyDescent="0.25">
      <c r="B104" s="31"/>
      <c r="C104" s="221"/>
      <c r="D104" s="31"/>
      <c r="E104" s="32"/>
      <c r="F104" s="28"/>
      <c r="L104" s="33"/>
      <c r="M104" s="42"/>
      <c r="N104" s="42"/>
      <c r="O104" s="87"/>
      <c r="P104" s="42"/>
      <c r="Q104" s="113"/>
      <c r="R104" s="28"/>
      <c r="S104" s="34"/>
      <c r="T104" s="28"/>
      <c r="U104" s="34"/>
      <c r="V104" s="34"/>
      <c r="W104" s="188"/>
      <c r="Y104" s="53"/>
      <c r="Z104" s="53"/>
    </row>
    <row r="105" spans="1:26" x14ac:dyDescent="0.25">
      <c r="B105" s="31"/>
      <c r="C105" s="221"/>
      <c r="D105" s="31"/>
      <c r="E105" s="32"/>
      <c r="F105" s="28"/>
      <c r="L105" s="33"/>
      <c r="M105" s="42"/>
      <c r="N105" s="42"/>
      <c r="O105" s="87"/>
      <c r="P105" s="42"/>
      <c r="Q105" s="113"/>
      <c r="R105" s="28"/>
      <c r="S105" s="34"/>
      <c r="T105" s="28"/>
      <c r="U105" s="34"/>
      <c r="V105" s="44"/>
      <c r="W105" s="187"/>
      <c r="Y105" s="53"/>
      <c r="Z105" s="53"/>
    </row>
    <row r="106" spans="1:26" x14ac:dyDescent="0.25">
      <c r="B106" s="31"/>
      <c r="C106" s="221"/>
      <c r="D106" s="31"/>
      <c r="E106" s="32"/>
      <c r="F106" s="28"/>
      <c r="L106" s="33"/>
      <c r="M106" s="42"/>
      <c r="N106" s="42"/>
      <c r="O106" s="87"/>
      <c r="P106" s="42"/>
      <c r="Q106" s="113"/>
      <c r="R106" s="28"/>
      <c r="S106" s="44"/>
      <c r="T106" s="28"/>
      <c r="U106" s="44"/>
      <c r="V106" s="44"/>
      <c r="W106" s="187"/>
      <c r="Y106" s="53"/>
      <c r="Z106" s="53"/>
    </row>
    <row r="107" spans="1:26" x14ac:dyDescent="0.25">
      <c r="B107" s="31"/>
      <c r="C107" s="221"/>
      <c r="D107" s="31"/>
      <c r="E107" s="32"/>
      <c r="F107" s="28"/>
      <c r="L107" s="33"/>
      <c r="M107" s="42"/>
      <c r="N107" s="42"/>
      <c r="O107" s="87"/>
      <c r="P107" s="42"/>
      <c r="Q107" s="113"/>
      <c r="R107" s="28"/>
      <c r="S107" s="44"/>
      <c r="T107" s="28"/>
      <c r="U107" s="44"/>
      <c r="V107" s="43"/>
      <c r="W107" s="157"/>
      <c r="Y107" s="53"/>
      <c r="Z107" s="53"/>
    </row>
    <row r="108" spans="1:26" x14ac:dyDescent="0.25">
      <c r="B108" s="31"/>
      <c r="C108" s="221"/>
      <c r="D108" s="31"/>
      <c r="E108" s="32"/>
      <c r="F108" s="28"/>
      <c r="L108" s="33"/>
      <c r="M108" s="42"/>
      <c r="N108" s="42"/>
      <c r="O108" s="87"/>
      <c r="P108" s="42"/>
      <c r="Q108" s="113"/>
      <c r="R108" s="28"/>
      <c r="S108" s="43"/>
      <c r="T108" s="28"/>
      <c r="U108" s="43"/>
      <c r="V108" s="43"/>
      <c r="W108" s="157"/>
      <c r="Y108" s="53"/>
      <c r="Z108" s="53"/>
    </row>
    <row r="109" spans="1:26" x14ac:dyDescent="0.25">
      <c r="B109" s="16"/>
      <c r="C109" s="100"/>
      <c r="F109" s="28"/>
      <c r="L109" s="33"/>
      <c r="M109" s="42"/>
      <c r="N109" s="42"/>
      <c r="O109" s="87"/>
      <c r="P109" s="42"/>
      <c r="Q109" s="113"/>
      <c r="R109" s="28"/>
      <c r="S109" s="43"/>
      <c r="T109" s="28"/>
      <c r="U109" s="43"/>
      <c r="V109" s="34"/>
      <c r="W109" s="188"/>
      <c r="Y109" s="53"/>
      <c r="Z109" s="53"/>
    </row>
    <row r="110" spans="1:26" x14ac:dyDescent="0.25">
      <c r="B110" s="31"/>
      <c r="C110" s="221"/>
      <c r="D110" s="31"/>
      <c r="E110" s="32"/>
      <c r="F110" s="28"/>
      <c r="L110" s="33"/>
      <c r="O110" s="87"/>
      <c r="P110" s="42"/>
      <c r="Q110" s="113"/>
      <c r="R110" s="28"/>
      <c r="S110" s="34"/>
      <c r="T110" s="28"/>
      <c r="U110" s="34"/>
      <c r="V110" s="44"/>
      <c r="W110" s="187"/>
      <c r="Y110" s="53"/>
      <c r="Z110" s="53"/>
    </row>
    <row r="111" spans="1:26" x14ac:dyDescent="0.25">
      <c r="B111" s="31"/>
      <c r="C111" s="221"/>
      <c r="D111" s="31"/>
      <c r="E111" s="32"/>
      <c r="F111" s="28"/>
      <c r="L111" s="33"/>
      <c r="M111" s="42"/>
      <c r="N111" s="42"/>
      <c r="O111" s="87"/>
      <c r="P111" s="42"/>
      <c r="Q111" s="113"/>
      <c r="R111" s="28"/>
      <c r="S111" s="44"/>
      <c r="T111" s="28"/>
      <c r="U111" s="44"/>
      <c r="Y111" s="53"/>
      <c r="Z111" s="53"/>
    </row>
    <row r="112" spans="1:26" x14ac:dyDescent="0.25">
      <c r="B112" s="31"/>
      <c r="C112" s="221"/>
      <c r="D112" s="31"/>
      <c r="E112" s="32"/>
      <c r="F112" s="28"/>
      <c r="L112" s="33"/>
      <c r="M112" s="42"/>
      <c r="N112" s="42"/>
      <c r="O112" s="87"/>
      <c r="R112" s="28"/>
      <c r="T112" s="28"/>
      <c r="V112" s="43"/>
      <c r="W112" s="157"/>
      <c r="Y112" s="53"/>
      <c r="Z112" s="53"/>
    </row>
    <row r="113" spans="2:26" x14ac:dyDescent="0.25">
      <c r="B113" s="31"/>
      <c r="C113" s="221"/>
      <c r="D113" s="31"/>
      <c r="E113" s="32"/>
      <c r="F113" s="28"/>
      <c r="L113" s="33"/>
      <c r="M113" s="42"/>
      <c r="N113" s="42"/>
      <c r="O113" s="87"/>
      <c r="P113" s="42"/>
      <c r="Q113" s="113"/>
      <c r="R113" s="28"/>
      <c r="S113" s="43"/>
      <c r="T113" s="28"/>
      <c r="U113" s="43"/>
      <c r="V113" s="44"/>
      <c r="W113" s="187"/>
      <c r="Y113" s="53"/>
      <c r="Z113" s="53"/>
    </row>
    <row r="114" spans="2:26" x14ac:dyDescent="0.25">
      <c r="B114" s="31"/>
      <c r="C114" s="221"/>
      <c r="D114" s="31"/>
      <c r="E114" s="32"/>
      <c r="F114" s="28"/>
      <c r="L114" s="33"/>
      <c r="M114" s="42"/>
      <c r="N114" s="42"/>
      <c r="O114" s="87"/>
      <c r="P114" s="42"/>
      <c r="Q114" s="113"/>
      <c r="R114" s="28"/>
      <c r="S114" s="44"/>
      <c r="T114" s="28"/>
      <c r="U114" s="44"/>
      <c r="V114" s="43"/>
      <c r="W114" s="157"/>
      <c r="Y114" s="53"/>
      <c r="Z114" s="53"/>
    </row>
    <row r="115" spans="2:26" x14ac:dyDescent="0.25">
      <c r="B115" s="31"/>
      <c r="C115" s="221"/>
      <c r="D115" s="31"/>
      <c r="E115" s="32"/>
      <c r="F115" s="28"/>
      <c r="L115" s="33"/>
      <c r="M115" s="42"/>
      <c r="N115" s="42"/>
      <c r="O115" s="87"/>
      <c r="P115" s="42"/>
      <c r="Q115" s="113"/>
      <c r="R115" s="28"/>
      <c r="S115" s="43"/>
      <c r="T115" s="28"/>
      <c r="U115" s="43"/>
      <c r="V115" s="44"/>
      <c r="W115" s="187"/>
      <c r="Y115" s="53"/>
      <c r="Z115" s="53"/>
    </row>
    <row r="116" spans="2:26" x14ac:dyDescent="0.25">
      <c r="B116" s="31"/>
      <c r="C116" s="221"/>
      <c r="D116" s="31"/>
      <c r="E116" s="32"/>
      <c r="F116" s="28"/>
      <c r="L116" s="33"/>
      <c r="M116" s="42"/>
      <c r="N116" s="42"/>
      <c r="O116" s="87"/>
      <c r="P116" s="42"/>
      <c r="Q116" s="113"/>
      <c r="R116" s="28"/>
      <c r="S116" s="44"/>
      <c r="T116" s="28"/>
      <c r="U116" s="44"/>
      <c r="V116" s="44"/>
      <c r="W116" s="187"/>
      <c r="Y116" s="53"/>
      <c r="Z116" s="53"/>
    </row>
    <row r="117" spans="2:26" x14ac:dyDescent="0.25">
      <c r="B117" s="31"/>
      <c r="C117" s="221"/>
      <c r="D117" s="31"/>
      <c r="E117" s="32"/>
      <c r="F117" s="28"/>
      <c r="L117" s="33"/>
      <c r="M117" s="42"/>
      <c r="N117" s="42"/>
      <c r="O117" s="87"/>
      <c r="P117" s="42"/>
      <c r="Q117" s="113"/>
      <c r="R117" s="28"/>
      <c r="S117" s="44"/>
      <c r="T117" s="28"/>
      <c r="U117" s="44"/>
      <c r="V117" s="43"/>
      <c r="W117" s="157"/>
      <c r="Y117" s="53"/>
      <c r="Z117" s="53"/>
    </row>
    <row r="118" spans="2:26" x14ac:dyDescent="0.25">
      <c r="B118" s="31"/>
      <c r="C118" s="221"/>
      <c r="D118" s="31"/>
      <c r="E118" s="32"/>
      <c r="F118" s="28"/>
      <c r="L118" s="33"/>
      <c r="M118" s="42"/>
      <c r="N118" s="42"/>
      <c r="O118" s="87"/>
      <c r="P118" s="42"/>
      <c r="Q118" s="113"/>
      <c r="R118" s="28"/>
      <c r="S118" s="43"/>
      <c r="T118" s="28"/>
      <c r="U118" s="43"/>
      <c r="V118" s="34"/>
      <c r="W118" s="188"/>
      <c r="Y118" s="53"/>
      <c r="Z118" s="53"/>
    </row>
    <row r="119" spans="2:26" x14ac:dyDescent="0.25">
      <c r="B119" s="31"/>
      <c r="C119" s="221"/>
      <c r="D119" s="31"/>
      <c r="E119" s="32"/>
      <c r="F119" s="28"/>
      <c r="L119" s="33"/>
      <c r="M119" s="42"/>
      <c r="N119" s="42"/>
      <c r="O119" s="87"/>
      <c r="P119" s="42"/>
      <c r="Q119" s="113"/>
      <c r="R119" s="28"/>
      <c r="S119" s="34"/>
      <c r="T119" s="28"/>
      <c r="U119" s="34"/>
      <c r="V119" s="34"/>
      <c r="W119" s="188"/>
      <c r="Y119" s="53"/>
      <c r="Z119" s="53"/>
    </row>
    <row r="120" spans="2:26" x14ac:dyDescent="0.25">
      <c r="B120" s="31"/>
      <c r="C120" s="221"/>
      <c r="D120" s="31"/>
      <c r="E120" s="32"/>
      <c r="F120" s="28"/>
      <c r="L120" s="33"/>
      <c r="M120" s="42"/>
      <c r="N120" s="42"/>
      <c r="O120" s="87"/>
      <c r="P120" s="42"/>
      <c r="Q120" s="113"/>
      <c r="R120" s="28"/>
      <c r="S120" s="34"/>
      <c r="T120" s="28"/>
      <c r="U120" s="34"/>
      <c r="V120" s="34"/>
      <c r="W120" s="188"/>
      <c r="Y120" s="53"/>
      <c r="Z120" s="53"/>
    </row>
    <row r="121" spans="2:26" x14ac:dyDescent="0.25">
      <c r="B121" s="31"/>
      <c r="C121" s="221"/>
      <c r="D121" s="31"/>
      <c r="E121" s="32"/>
      <c r="F121" s="28"/>
      <c r="L121" s="33"/>
      <c r="M121" s="42"/>
      <c r="N121" s="42"/>
      <c r="O121" s="87"/>
      <c r="P121" s="42"/>
      <c r="Q121" s="113"/>
      <c r="R121" s="28"/>
      <c r="S121" s="34"/>
      <c r="T121" s="28"/>
      <c r="U121" s="34"/>
      <c r="V121" s="34"/>
      <c r="W121" s="188"/>
      <c r="Y121" s="53"/>
      <c r="Z121" s="53"/>
    </row>
    <row r="122" spans="2:26" x14ac:dyDescent="0.25">
      <c r="B122" s="31"/>
      <c r="C122" s="221"/>
      <c r="D122" s="31"/>
      <c r="E122" s="32"/>
      <c r="F122" s="28"/>
      <c r="L122" s="33"/>
      <c r="M122" s="42"/>
      <c r="N122" s="42"/>
      <c r="O122" s="87"/>
      <c r="P122" s="42"/>
      <c r="Q122" s="113"/>
      <c r="R122" s="28"/>
      <c r="S122" s="34"/>
      <c r="T122" s="28"/>
      <c r="U122" s="34"/>
      <c r="V122" s="34"/>
      <c r="W122" s="188"/>
      <c r="Y122" s="53"/>
      <c r="Z122" s="53"/>
    </row>
    <row r="123" spans="2:26" x14ac:dyDescent="0.25">
      <c r="B123" s="33"/>
      <c r="C123" s="89"/>
      <c r="F123" s="28"/>
      <c r="L123" s="33"/>
      <c r="M123" s="42"/>
      <c r="N123" s="42"/>
      <c r="O123" s="87"/>
      <c r="P123" s="42"/>
      <c r="Q123" s="113"/>
      <c r="R123" s="28"/>
      <c r="S123" s="34"/>
      <c r="T123" s="28"/>
      <c r="U123" s="34"/>
      <c r="V123" s="43"/>
      <c r="W123" s="157"/>
      <c r="Y123" s="53"/>
      <c r="Z123" s="53"/>
    </row>
    <row r="124" spans="2:26" x14ac:dyDescent="0.25">
      <c r="B124" s="33"/>
      <c r="C124" s="89"/>
      <c r="F124" s="28"/>
      <c r="L124" s="33"/>
      <c r="O124" s="87"/>
      <c r="P124" s="42"/>
      <c r="Q124" s="113"/>
      <c r="R124" s="28"/>
      <c r="S124" s="43"/>
      <c r="T124" s="28"/>
      <c r="U124" s="43"/>
      <c r="V124" s="44"/>
      <c r="W124" s="187"/>
      <c r="Y124" s="53"/>
      <c r="Z124" s="53"/>
    </row>
    <row r="125" spans="2:26" x14ac:dyDescent="0.25">
      <c r="B125" s="31"/>
      <c r="C125" s="221"/>
      <c r="D125" s="31"/>
      <c r="E125" s="32"/>
      <c r="F125" s="28"/>
      <c r="L125" s="33"/>
      <c r="O125" s="87"/>
      <c r="P125" s="42"/>
      <c r="Q125" s="113"/>
      <c r="R125" s="28"/>
      <c r="S125" s="44"/>
      <c r="T125" s="28"/>
      <c r="U125" s="44"/>
      <c r="Y125" s="53"/>
      <c r="Z125" s="53"/>
    </row>
    <row r="126" spans="2:26" x14ac:dyDescent="0.25">
      <c r="B126" s="31"/>
      <c r="C126" s="221"/>
      <c r="D126" s="31"/>
      <c r="E126" s="32"/>
      <c r="F126" s="28"/>
      <c r="L126" s="33"/>
      <c r="M126" s="42"/>
      <c r="N126" s="42"/>
      <c r="O126" s="87"/>
      <c r="R126" s="28"/>
      <c r="T126" s="28"/>
      <c r="Y126" s="53"/>
      <c r="Z126" s="53"/>
    </row>
    <row r="127" spans="2:26" x14ac:dyDescent="0.25">
      <c r="B127" s="31"/>
      <c r="C127" s="221"/>
      <c r="D127" s="31"/>
      <c r="E127" s="32"/>
      <c r="F127" s="28"/>
      <c r="L127" s="33"/>
      <c r="M127" s="42"/>
      <c r="N127" s="42"/>
      <c r="O127" s="87"/>
      <c r="R127" s="28"/>
      <c r="T127" s="28"/>
      <c r="V127" s="44"/>
      <c r="W127" s="187"/>
      <c r="Y127" s="53"/>
      <c r="Z127" s="53"/>
    </row>
    <row r="128" spans="2:26" x14ac:dyDescent="0.25">
      <c r="B128" s="16"/>
      <c r="C128" s="100"/>
      <c r="F128" s="28"/>
      <c r="L128" s="33"/>
      <c r="M128" s="42"/>
      <c r="N128" s="42"/>
      <c r="O128" s="87"/>
      <c r="P128" s="42"/>
      <c r="Q128" s="113"/>
      <c r="R128" s="28"/>
      <c r="S128" s="44"/>
      <c r="T128" s="28"/>
      <c r="U128" s="44"/>
      <c r="V128" s="34"/>
      <c r="W128" s="188"/>
      <c r="Y128" s="53"/>
      <c r="Z128" s="53"/>
    </row>
    <row r="129" spans="2:26" x14ac:dyDescent="0.25">
      <c r="B129" s="31"/>
      <c r="C129" s="221"/>
      <c r="D129" s="31"/>
      <c r="E129" s="32"/>
      <c r="F129" s="28"/>
      <c r="L129" s="33"/>
      <c r="O129" s="87"/>
      <c r="P129" s="42"/>
      <c r="Q129" s="113"/>
      <c r="R129" s="28"/>
      <c r="S129" s="34"/>
      <c r="T129" s="28"/>
      <c r="U129" s="34"/>
      <c r="V129" s="43"/>
      <c r="W129" s="157"/>
      <c r="Y129" s="53"/>
      <c r="Z129" s="53"/>
    </row>
    <row r="130" spans="2:26" x14ac:dyDescent="0.25">
      <c r="B130" s="33"/>
      <c r="C130" s="89"/>
      <c r="F130" s="28"/>
      <c r="L130" s="33"/>
      <c r="M130" s="42"/>
      <c r="N130" s="42"/>
      <c r="O130" s="87"/>
      <c r="P130" s="42"/>
      <c r="Q130" s="113"/>
      <c r="R130" s="28"/>
      <c r="S130" s="43"/>
      <c r="T130" s="28"/>
      <c r="U130" s="43"/>
      <c r="Y130" s="53"/>
      <c r="Z130" s="53"/>
    </row>
    <row r="131" spans="2:26" x14ac:dyDescent="0.25">
      <c r="B131" s="33"/>
      <c r="C131" s="89"/>
      <c r="F131" s="28"/>
      <c r="L131" s="33"/>
      <c r="O131" s="87"/>
      <c r="R131" s="28"/>
      <c r="T131" s="28"/>
      <c r="V131" s="43"/>
      <c r="W131" s="157"/>
      <c r="Y131" s="53"/>
      <c r="Z131" s="53"/>
    </row>
    <row r="132" spans="2:26" x14ac:dyDescent="0.25">
      <c r="B132" s="33"/>
      <c r="C132" s="89"/>
      <c r="F132" s="28"/>
      <c r="L132" s="33"/>
      <c r="O132" s="87"/>
      <c r="P132" s="42"/>
      <c r="Q132" s="113"/>
      <c r="R132" s="28"/>
      <c r="S132" s="43"/>
      <c r="T132" s="28"/>
      <c r="U132" s="43"/>
      <c r="Y132" s="53"/>
      <c r="Z132" s="53"/>
    </row>
    <row r="133" spans="2:26" x14ac:dyDescent="0.25">
      <c r="B133" s="31"/>
      <c r="C133" s="221"/>
      <c r="D133" s="31"/>
      <c r="E133" s="32"/>
      <c r="F133" s="28"/>
      <c r="L133" s="33"/>
      <c r="O133" s="87"/>
      <c r="R133" s="28"/>
      <c r="T133" s="28"/>
      <c r="Y133" s="53"/>
      <c r="Z133" s="53"/>
    </row>
    <row r="134" spans="2:26" x14ac:dyDescent="0.25">
      <c r="B134" s="31"/>
      <c r="C134" s="221"/>
      <c r="D134" s="31"/>
      <c r="E134" s="32"/>
      <c r="F134" s="28"/>
      <c r="L134" s="33"/>
      <c r="M134" s="42"/>
      <c r="N134" s="42"/>
      <c r="O134" s="87"/>
      <c r="R134" s="28"/>
      <c r="T134" s="28"/>
      <c r="Y134" s="53"/>
      <c r="Z134" s="53"/>
    </row>
    <row r="135" spans="2:26" x14ac:dyDescent="0.25">
      <c r="B135" s="31"/>
      <c r="C135" s="221"/>
      <c r="D135" s="31"/>
      <c r="E135" s="32"/>
      <c r="F135" s="28"/>
      <c r="L135" s="33"/>
      <c r="M135" s="42"/>
      <c r="N135" s="42"/>
      <c r="O135" s="87"/>
      <c r="R135" s="28"/>
      <c r="T135" s="28"/>
      <c r="V135" s="44"/>
      <c r="W135" s="187"/>
      <c r="Y135" s="53"/>
      <c r="Z135" s="53"/>
    </row>
    <row r="136" spans="2:26" x14ac:dyDescent="0.25">
      <c r="B136" s="31"/>
      <c r="C136" s="221"/>
      <c r="D136" s="31"/>
      <c r="E136" s="32"/>
      <c r="F136" s="28"/>
      <c r="L136" s="33"/>
      <c r="M136" s="42"/>
      <c r="N136" s="42"/>
      <c r="O136" s="87"/>
      <c r="P136" s="42"/>
      <c r="Q136" s="113"/>
      <c r="R136" s="28"/>
      <c r="S136" s="44"/>
      <c r="T136" s="28"/>
      <c r="U136" s="44"/>
      <c r="V136" s="43"/>
      <c r="W136" s="157"/>
      <c r="Y136" s="53"/>
      <c r="Z136" s="53"/>
    </row>
    <row r="137" spans="2:26" x14ac:dyDescent="0.25">
      <c r="B137" s="31"/>
      <c r="C137" s="221"/>
      <c r="D137" s="31"/>
      <c r="E137" s="32"/>
      <c r="F137" s="28"/>
      <c r="L137" s="33"/>
      <c r="M137" s="42"/>
      <c r="N137" s="42"/>
      <c r="O137" s="87"/>
      <c r="P137" s="42"/>
      <c r="Q137" s="113"/>
      <c r="R137" s="28"/>
      <c r="S137" s="43"/>
      <c r="T137" s="28"/>
      <c r="U137" s="43"/>
      <c r="V137" s="44"/>
      <c r="W137" s="187"/>
      <c r="Y137" s="53"/>
      <c r="Z137" s="53"/>
    </row>
    <row r="138" spans="2:26" x14ac:dyDescent="0.25">
      <c r="B138" s="31"/>
      <c r="C138" s="221"/>
      <c r="D138" s="31"/>
      <c r="E138" s="32"/>
      <c r="F138" s="28"/>
      <c r="L138" s="33"/>
      <c r="M138" s="42"/>
      <c r="N138" s="42"/>
      <c r="O138" s="87"/>
      <c r="P138" s="42"/>
      <c r="Q138" s="113"/>
      <c r="R138" s="28"/>
      <c r="S138" s="44"/>
      <c r="T138" s="28"/>
      <c r="U138" s="44"/>
      <c r="V138" s="44"/>
      <c r="W138" s="187"/>
      <c r="Y138" s="53"/>
      <c r="Z138" s="53"/>
    </row>
    <row r="139" spans="2:26" x14ac:dyDescent="0.25">
      <c r="B139" s="31"/>
      <c r="C139" s="221"/>
      <c r="D139" s="31"/>
      <c r="E139" s="32"/>
      <c r="F139" s="28"/>
      <c r="L139" s="33"/>
      <c r="M139" s="42"/>
      <c r="N139" s="42"/>
      <c r="O139" s="87"/>
      <c r="P139" s="42"/>
      <c r="Q139" s="113"/>
      <c r="R139" s="28"/>
      <c r="S139" s="44"/>
      <c r="T139" s="28"/>
      <c r="U139" s="44"/>
      <c r="V139" s="34"/>
      <c r="W139" s="188"/>
      <c r="Y139" s="53"/>
      <c r="Z139" s="53"/>
    </row>
    <row r="140" spans="2:26" x14ac:dyDescent="0.25">
      <c r="B140" s="31"/>
      <c r="C140" s="221"/>
      <c r="D140" s="31"/>
      <c r="E140" s="32"/>
      <c r="F140" s="28"/>
      <c r="L140" s="33"/>
      <c r="M140" s="42"/>
      <c r="N140" s="42"/>
      <c r="O140" s="87"/>
      <c r="P140" s="42"/>
      <c r="Q140" s="113"/>
      <c r="R140" s="28"/>
      <c r="S140" s="34"/>
      <c r="T140" s="28"/>
      <c r="U140" s="34"/>
      <c r="V140" s="44"/>
      <c r="W140" s="187"/>
      <c r="Y140" s="53"/>
      <c r="Z140" s="53"/>
    </row>
    <row r="141" spans="2:26" x14ac:dyDescent="0.25">
      <c r="B141" s="31"/>
      <c r="C141" s="221"/>
      <c r="D141" s="31"/>
      <c r="E141" s="32"/>
      <c r="F141" s="28"/>
      <c r="L141" s="33"/>
      <c r="M141" s="42"/>
      <c r="N141" s="42"/>
      <c r="O141" s="87"/>
      <c r="P141" s="42"/>
      <c r="Q141" s="113"/>
      <c r="R141" s="28"/>
      <c r="S141" s="44"/>
      <c r="T141" s="28"/>
      <c r="U141" s="44"/>
      <c r="V141" s="34"/>
      <c r="W141" s="188"/>
      <c r="Y141" s="53"/>
      <c r="Z141" s="53"/>
    </row>
    <row r="142" spans="2:26" x14ac:dyDescent="0.25">
      <c r="B142" s="31"/>
      <c r="C142" s="221"/>
      <c r="D142" s="31"/>
      <c r="E142" s="32"/>
      <c r="F142" s="28"/>
      <c r="L142" s="33"/>
      <c r="M142" s="42"/>
      <c r="N142" s="42"/>
      <c r="O142" s="87"/>
      <c r="P142" s="42"/>
      <c r="Q142" s="113"/>
      <c r="R142" s="28"/>
      <c r="S142" s="34"/>
      <c r="T142" s="28"/>
      <c r="U142" s="34"/>
      <c r="V142" s="44"/>
      <c r="W142" s="187"/>
      <c r="Y142" s="53"/>
      <c r="Z142" s="53"/>
    </row>
    <row r="143" spans="2:26" x14ac:dyDescent="0.25">
      <c r="B143" s="31"/>
      <c r="C143" s="221"/>
      <c r="D143" s="31"/>
      <c r="E143" s="32"/>
      <c r="F143" s="28"/>
      <c r="L143" s="33"/>
      <c r="M143" s="42"/>
      <c r="N143" s="42"/>
      <c r="O143" s="87"/>
      <c r="P143" s="42"/>
      <c r="Q143" s="113"/>
      <c r="R143" s="28"/>
      <c r="S143" s="44"/>
      <c r="T143" s="28"/>
      <c r="U143" s="44"/>
      <c r="V143" s="43"/>
      <c r="W143" s="157"/>
      <c r="Y143" s="53"/>
      <c r="Z143" s="53"/>
    </row>
    <row r="144" spans="2:26" x14ac:dyDescent="0.25">
      <c r="B144" s="31"/>
      <c r="C144" s="221"/>
      <c r="D144" s="31"/>
      <c r="E144" s="32"/>
      <c r="F144" s="28"/>
      <c r="L144" s="33"/>
      <c r="M144" s="42"/>
      <c r="N144" s="42"/>
      <c r="O144" s="87"/>
      <c r="P144" s="42"/>
      <c r="Q144" s="113"/>
      <c r="R144" s="28"/>
      <c r="S144" s="43"/>
      <c r="T144" s="28"/>
      <c r="U144" s="43"/>
      <c r="V144" s="44"/>
      <c r="W144" s="187"/>
      <c r="Y144" s="53"/>
      <c r="Z144" s="53"/>
    </row>
    <row r="145" spans="2:26" x14ac:dyDescent="0.25">
      <c r="B145" s="31"/>
      <c r="C145" s="221"/>
      <c r="D145" s="31"/>
      <c r="E145" s="32"/>
      <c r="F145" s="28"/>
      <c r="L145" s="33"/>
      <c r="M145" s="42"/>
      <c r="N145" s="42"/>
      <c r="O145" s="87"/>
      <c r="P145" s="42"/>
      <c r="Q145" s="113"/>
      <c r="R145" s="28"/>
      <c r="S145" s="44"/>
      <c r="T145" s="28"/>
      <c r="U145" s="44"/>
      <c r="V145" s="34"/>
      <c r="W145" s="188"/>
      <c r="Y145" s="53"/>
      <c r="Z145" s="53"/>
    </row>
    <row r="146" spans="2:26" x14ac:dyDescent="0.25">
      <c r="B146" s="31"/>
      <c r="C146" s="221"/>
      <c r="D146" s="31"/>
      <c r="E146" s="32"/>
      <c r="F146" s="28"/>
      <c r="L146" s="33"/>
      <c r="M146" s="42"/>
      <c r="N146" s="42"/>
      <c r="O146" s="87"/>
      <c r="P146" s="42"/>
      <c r="Q146" s="113"/>
      <c r="R146" s="28"/>
      <c r="S146" s="34"/>
      <c r="T146" s="28"/>
      <c r="U146" s="34"/>
      <c r="V146" s="34"/>
      <c r="W146" s="188"/>
      <c r="Y146" s="53"/>
      <c r="Z146" s="53"/>
    </row>
    <row r="147" spans="2:26" x14ac:dyDescent="0.25">
      <c r="B147" s="31"/>
      <c r="C147" s="221"/>
      <c r="D147" s="31"/>
      <c r="E147" s="32"/>
      <c r="F147" s="28"/>
      <c r="L147" s="33"/>
      <c r="M147" s="42"/>
      <c r="N147" s="42"/>
      <c r="O147" s="87"/>
      <c r="P147" s="42"/>
      <c r="Q147" s="113"/>
      <c r="R147" s="28"/>
      <c r="S147" s="34"/>
      <c r="T147" s="28"/>
      <c r="U147" s="34"/>
      <c r="V147" s="44"/>
      <c r="W147" s="187"/>
      <c r="Y147" s="53"/>
      <c r="Z147" s="53"/>
    </row>
    <row r="148" spans="2:26" x14ac:dyDescent="0.25">
      <c r="B148" s="33"/>
      <c r="C148" s="89"/>
      <c r="F148" s="28"/>
      <c r="L148" s="33"/>
      <c r="M148" s="42"/>
      <c r="N148" s="42"/>
      <c r="O148" s="87"/>
      <c r="P148" s="42"/>
      <c r="Q148" s="113"/>
      <c r="R148" s="28"/>
      <c r="S148" s="44"/>
      <c r="T148" s="28"/>
      <c r="U148" s="44"/>
      <c r="V148" s="34"/>
      <c r="W148" s="188"/>
      <c r="Y148" s="53"/>
      <c r="Z148" s="53"/>
    </row>
    <row r="149" spans="2:26" x14ac:dyDescent="0.25">
      <c r="B149" s="31"/>
      <c r="C149" s="221"/>
      <c r="D149" s="31"/>
      <c r="E149" s="32"/>
      <c r="F149" s="28"/>
      <c r="L149" s="33"/>
      <c r="O149" s="87"/>
      <c r="P149" s="42"/>
      <c r="Q149" s="113"/>
      <c r="R149" s="28"/>
      <c r="S149" s="34"/>
      <c r="T149" s="28"/>
      <c r="U149" s="34"/>
      <c r="V149" s="43"/>
      <c r="W149" s="157"/>
      <c r="Y149" s="53"/>
      <c r="Z149" s="53"/>
    </row>
    <row r="150" spans="2:26" x14ac:dyDescent="0.25">
      <c r="B150" s="31"/>
      <c r="C150" s="221"/>
      <c r="D150" s="31"/>
      <c r="E150" s="32"/>
      <c r="F150" s="28"/>
      <c r="L150" s="33"/>
      <c r="M150" s="42"/>
      <c r="N150" s="42"/>
      <c r="O150" s="87"/>
      <c r="P150" s="42"/>
      <c r="Q150" s="113"/>
      <c r="R150" s="28"/>
      <c r="S150" s="43"/>
      <c r="T150" s="28"/>
      <c r="U150" s="43"/>
      <c r="Y150" s="53"/>
      <c r="Z150" s="53"/>
    </row>
    <row r="151" spans="2:26" x14ac:dyDescent="0.25">
      <c r="B151" s="31"/>
      <c r="C151" s="221"/>
      <c r="D151" s="31"/>
      <c r="E151" s="32"/>
      <c r="F151" s="28"/>
      <c r="L151" s="33"/>
      <c r="M151" s="42"/>
      <c r="N151" s="42"/>
      <c r="O151" s="87"/>
      <c r="R151" s="28"/>
      <c r="T151" s="28"/>
      <c r="V151" s="34"/>
      <c r="W151" s="188"/>
      <c r="Y151" s="53"/>
      <c r="Z151" s="53"/>
    </row>
    <row r="152" spans="2:26" x14ac:dyDescent="0.25">
      <c r="B152" s="31"/>
      <c r="C152" s="221"/>
      <c r="D152" s="31"/>
      <c r="E152" s="32"/>
      <c r="F152" s="28"/>
      <c r="L152" s="33"/>
      <c r="M152" s="42"/>
      <c r="N152" s="42"/>
      <c r="O152" s="87"/>
      <c r="P152" s="42"/>
      <c r="Q152" s="113"/>
      <c r="R152" s="28"/>
      <c r="S152" s="34"/>
      <c r="T152" s="28"/>
      <c r="U152" s="34"/>
      <c r="V152" s="34"/>
      <c r="W152" s="188"/>
      <c r="Y152" s="53"/>
      <c r="Z152" s="53"/>
    </row>
    <row r="153" spans="2:26" x14ac:dyDescent="0.25">
      <c r="B153" s="31"/>
      <c r="C153" s="221"/>
      <c r="D153" s="31"/>
      <c r="E153" s="32"/>
      <c r="F153" s="28"/>
      <c r="L153" s="33"/>
      <c r="M153" s="42"/>
      <c r="N153" s="42"/>
      <c r="O153" s="87"/>
      <c r="P153" s="42"/>
      <c r="Q153" s="113"/>
      <c r="R153" s="28"/>
      <c r="S153" s="34"/>
      <c r="T153" s="28"/>
      <c r="U153" s="34"/>
      <c r="V153" s="36"/>
      <c r="W153" s="118"/>
      <c r="Y153" s="53"/>
      <c r="Z153" s="53"/>
    </row>
    <row r="154" spans="2:26" x14ac:dyDescent="0.25">
      <c r="B154" s="31"/>
      <c r="C154" s="221"/>
      <c r="D154" s="31"/>
      <c r="E154" s="32"/>
      <c r="F154" s="28"/>
      <c r="L154" s="33"/>
      <c r="M154" s="42"/>
      <c r="N154" s="42"/>
      <c r="O154" s="87"/>
      <c r="P154" s="42"/>
      <c r="Q154" s="113"/>
      <c r="R154" s="28"/>
      <c r="S154" s="36"/>
      <c r="T154" s="28"/>
      <c r="U154" s="36"/>
      <c r="V154" s="34"/>
      <c r="W154" s="188"/>
      <c r="Y154" s="53"/>
      <c r="Z154" s="53"/>
    </row>
    <row r="155" spans="2:26" x14ac:dyDescent="0.25">
      <c r="B155" s="31"/>
      <c r="C155" s="221"/>
      <c r="D155" s="31"/>
      <c r="E155" s="32"/>
      <c r="F155" s="28"/>
      <c r="L155" s="33"/>
      <c r="M155" s="42"/>
      <c r="N155" s="42"/>
      <c r="O155" s="87"/>
      <c r="P155" s="42"/>
      <c r="Q155" s="113"/>
      <c r="R155" s="28"/>
      <c r="S155" s="34"/>
      <c r="T155" s="28"/>
      <c r="U155" s="34"/>
      <c r="V155" s="43"/>
      <c r="W155" s="157"/>
      <c r="Y155" s="53"/>
      <c r="Z155" s="53"/>
    </row>
    <row r="156" spans="2:26" x14ac:dyDescent="0.25">
      <c r="B156" s="31"/>
      <c r="C156" s="221"/>
      <c r="D156" s="31"/>
      <c r="E156" s="32"/>
      <c r="F156" s="28"/>
      <c r="L156" s="33"/>
      <c r="M156" s="42"/>
      <c r="N156" s="42"/>
      <c r="O156" s="87"/>
      <c r="P156" s="42"/>
      <c r="Q156" s="113"/>
      <c r="R156" s="28"/>
      <c r="S156" s="43"/>
      <c r="T156" s="28"/>
      <c r="U156" s="43"/>
      <c r="V156" s="43"/>
      <c r="W156" s="157"/>
      <c r="Y156" s="53"/>
      <c r="Z156" s="53"/>
    </row>
    <row r="157" spans="2:26" x14ac:dyDescent="0.25">
      <c r="B157" s="31"/>
      <c r="C157" s="221"/>
      <c r="D157" s="31"/>
      <c r="E157" s="32"/>
      <c r="F157" s="28"/>
      <c r="L157" s="33"/>
      <c r="M157" s="42"/>
      <c r="N157" s="42"/>
      <c r="O157" s="87"/>
      <c r="P157" s="42"/>
      <c r="Q157" s="113"/>
      <c r="R157" s="28"/>
      <c r="S157" s="43"/>
      <c r="T157" s="28"/>
      <c r="U157" s="43"/>
      <c r="V157" s="34"/>
      <c r="W157" s="188"/>
      <c r="Y157" s="53"/>
      <c r="Z157" s="53"/>
    </row>
    <row r="158" spans="2:26" x14ac:dyDescent="0.25">
      <c r="B158" s="16"/>
      <c r="C158" s="100"/>
      <c r="F158" s="28"/>
      <c r="L158" s="33"/>
      <c r="M158" s="42"/>
      <c r="N158" s="42"/>
      <c r="O158" s="87"/>
      <c r="P158" s="42"/>
      <c r="Q158" s="113"/>
      <c r="R158" s="28"/>
      <c r="S158" s="34"/>
      <c r="T158" s="28"/>
      <c r="U158" s="34"/>
      <c r="V158" s="34"/>
      <c r="W158" s="188"/>
      <c r="Y158" s="53"/>
      <c r="Z158" s="53"/>
    </row>
    <row r="159" spans="2:26" x14ac:dyDescent="0.25">
      <c r="B159" s="31"/>
      <c r="C159" s="221"/>
      <c r="D159" s="31"/>
      <c r="E159" s="32"/>
      <c r="F159" s="28"/>
      <c r="L159" s="33"/>
      <c r="O159" s="87"/>
      <c r="P159" s="42"/>
      <c r="Q159" s="113"/>
      <c r="R159" s="28"/>
      <c r="S159" s="34"/>
      <c r="T159" s="28"/>
      <c r="U159" s="34"/>
      <c r="V159" s="44"/>
      <c r="W159" s="187"/>
      <c r="Y159" s="53"/>
      <c r="Z159" s="53"/>
    </row>
    <row r="160" spans="2:26" x14ac:dyDescent="0.25">
      <c r="B160" s="31"/>
      <c r="C160" s="221"/>
      <c r="D160" s="31"/>
      <c r="E160" s="32"/>
      <c r="F160" s="28"/>
      <c r="L160" s="33"/>
      <c r="M160" s="42"/>
      <c r="N160" s="42"/>
      <c r="O160" s="87"/>
      <c r="P160" s="42"/>
      <c r="Q160" s="113"/>
      <c r="R160" s="28"/>
      <c r="S160" s="44"/>
      <c r="T160" s="28"/>
      <c r="U160" s="44"/>
      <c r="Y160" s="53"/>
      <c r="Z160" s="53"/>
    </row>
    <row r="161" spans="2:26" x14ac:dyDescent="0.25">
      <c r="B161" s="31"/>
      <c r="C161" s="221"/>
      <c r="D161" s="31"/>
      <c r="E161" s="32"/>
      <c r="F161" s="28"/>
      <c r="L161" s="33"/>
      <c r="M161" s="42"/>
      <c r="N161" s="42"/>
      <c r="O161" s="87"/>
      <c r="R161" s="28"/>
      <c r="T161" s="28"/>
      <c r="V161" s="44"/>
      <c r="W161" s="187"/>
      <c r="Y161" s="53"/>
      <c r="Z161" s="53"/>
    </row>
    <row r="162" spans="2:26" x14ac:dyDescent="0.25">
      <c r="B162" s="31"/>
      <c r="C162" s="221"/>
      <c r="D162" s="31"/>
      <c r="E162" s="32"/>
      <c r="F162" s="28"/>
      <c r="L162" s="33"/>
      <c r="M162" s="42"/>
      <c r="N162" s="42"/>
      <c r="O162" s="87"/>
      <c r="P162" s="42"/>
      <c r="Q162" s="113"/>
      <c r="R162" s="28"/>
      <c r="S162" s="44"/>
      <c r="T162" s="28"/>
      <c r="U162" s="44"/>
      <c r="V162" s="34"/>
      <c r="W162" s="188"/>
      <c r="Y162" s="53"/>
      <c r="Z162" s="53"/>
    </row>
    <row r="163" spans="2:26" x14ac:dyDescent="0.25">
      <c r="B163" s="31"/>
      <c r="C163" s="221"/>
      <c r="D163" s="31"/>
      <c r="E163" s="32"/>
      <c r="F163" s="28"/>
      <c r="L163" s="33"/>
      <c r="M163" s="42"/>
      <c r="N163" s="42"/>
      <c r="O163" s="87"/>
      <c r="P163" s="42"/>
      <c r="Q163" s="113"/>
      <c r="R163" s="28"/>
      <c r="S163" s="34"/>
      <c r="T163" s="28"/>
      <c r="U163" s="34"/>
      <c r="V163" s="34"/>
      <c r="W163" s="188"/>
      <c r="Y163" s="53"/>
      <c r="Z163" s="53"/>
    </row>
    <row r="164" spans="2:26" x14ac:dyDescent="0.25">
      <c r="B164" s="31"/>
      <c r="C164" s="221"/>
      <c r="D164" s="31"/>
      <c r="E164" s="32"/>
      <c r="F164" s="28"/>
      <c r="L164" s="33"/>
      <c r="M164" s="42"/>
      <c r="N164" s="42"/>
      <c r="O164" s="87"/>
      <c r="P164" s="42"/>
      <c r="Q164" s="113"/>
      <c r="R164" s="28"/>
      <c r="S164" s="34"/>
      <c r="T164" s="28"/>
      <c r="U164" s="34"/>
      <c r="V164" s="43"/>
      <c r="W164" s="157"/>
      <c r="Y164" s="53"/>
      <c r="Z164" s="53"/>
    </row>
    <row r="165" spans="2:26" x14ac:dyDescent="0.25">
      <c r="B165" s="33"/>
      <c r="C165" s="89"/>
      <c r="F165" s="28"/>
      <c r="L165" s="33"/>
      <c r="M165" s="42"/>
      <c r="N165" s="42"/>
      <c r="O165" s="87"/>
      <c r="P165" s="42"/>
      <c r="Q165" s="113"/>
      <c r="R165" s="28"/>
      <c r="S165" s="43"/>
      <c r="T165" s="28"/>
      <c r="U165" s="43"/>
      <c r="V165" s="43"/>
      <c r="W165" s="157"/>
      <c r="Y165" s="53"/>
      <c r="Z165" s="53"/>
    </row>
    <row r="166" spans="2:26" x14ac:dyDescent="0.25">
      <c r="B166" s="31"/>
      <c r="C166" s="221"/>
      <c r="D166" s="31"/>
      <c r="E166" s="32"/>
      <c r="F166" s="28"/>
      <c r="L166" s="33"/>
      <c r="O166" s="87"/>
      <c r="P166" s="42"/>
      <c r="Q166" s="113"/>
      <c r="R166" s="28"/>
      <c r="S166" s="43"/>
      <c r="T166" s="28"/>
      <c r="U166" s="43"/>
      <c r="V166" s="44"/>
      <c r="W166" s="187"/>
      <c r="Y166" s="53"/>
      <c r="Z166" s="53"/>
    </row>
    <row r="167" spans="2:26" x14ac:dyDescent="0.25">
      <c r="B167" s="31"/>
      <c r="C167" s="221"/>
      <c r="D167" s="31"/>
      <c r="E167" s="32"/>
      <c r="F167" s="28"/>
      <c r="L167" s="33"/>
      <c r="M167" s="42"/>
      <c r="N167" s="42"/>
      <c r="O167" s="87"/>
      <c r="P167" s="42"/>
      <c r="Q167" s="113"/>
      <c r="R167" s="28"/>
      <c r="S167" s="44"/>
      <c r="T167" s="28"/>
      <c r="U167" s="44"/>
      <c r="Y167" s="53"/>
      <c r="Z167" s="53"/>
    </row>
    <row r="168" spans="2:26" x14ac:dyDescent="0.25">
      <c r="B168" s="33"/>
      <c r="C168" s="89"/>
      <c r="F168" s="28"/>
      <c r="L168" s="33"/>
      <c r="M168" s="42"/>
      <c r="N168" s="42"/>
      <c r="O168" s="87"/>
      <c r="R168" s="28"/>
      <c r="T168" s="28"/>
      <c r="V168" s="43"/>
      <c r="W168" s="157"/>
      <c r="Y168" s="53"/>
      <c r="Z168" s="53"/>
    </row>
    <row r="169" spans="2:26" x14ac:dyDescent="0.25">
      <c r="B169" s="33"/>
      <c r="C169" s="89"/>
      <c r="F169" s="28"/>
      <c r="L169" s="33"/>
      <c r="O169" s="87"/>
      <c r="P169" s="42"/>
      <c r="Q169" s="113"/>
      <c r="R169" s="28"/>
      <c r="S169" s="43"/>
      <c r="T169" s="28"/>
      <c r="U169" s="43"/>
      <c r="V169" s="34"/>
      <c r="W169" s="188"/>
      <c r="Y169" s="53"/>
      <c r="Z169" s="53"/>
    </row>
    <row r="170" spans="2:26" x14ac:dyDescent="0.25">
      <c r="B170" s="31"/>
      <c r="C170" s="221"/>
      <c r="D170" s="31"/>
      <c r="E170" s="32"/>
      <c r="F170" s="28"/>
      <c r="L170" s="33"/>
      <c r="O170" s="87"/>
      <c r="P170" s="42"/>
      <c r="Q170" s="113"/>
      <c r="R170" s="28"/>
      <c r="S170" s="34"/>
      <c r="T170" s="28"/>
      <c r="U170" s="34"/>
      <c r="Y170" s="53"/>
      <c r="Z170" s="53"/>
    </row>
    <row r="171" spans="2:26" x14ac:dyDescent="0.25">
      <c r="B171" s="31"/>
      <c r="C171" s="221"/>
      <c r="D171" s="31"/>
      <c r="E171" s="32"/>
      <c r="F171" s="28"/>
      <c r="L171" s="33"/>
      <c r="M171" s="42"/>
      <c r="N171" s="42"/>
      <c r="O171" s="87"/>
      <c r="R171" s="28"/>
      <c r="T171" s="28"/>
      <c r="Y171" s="53"/>
      <c r="Z171" s="53"/>
    </row>
    <row r="172" spans="2:26" x14ac:dyDescent="0.25">
      <c r="B172" s="31"/>
      <c r="C172" s="221"/>
      <c r="D172" s="31"/>
      <c r="E172" s="32"/>
      <c r="F172" s="28"/>
      <c r="L172" s="33"/>
      <c r="M172" s="42"/>
      <c r="N172" s="42"/>
      <c r="O172" s="87"/>
      <c r="R172" s="28"/>
      <c r="T172" s="28"/>
      <c r="V172" s="34"/>
      <c r="W172" s="188"/>
      <c r="Y172" s="53"/>
      <c r="Z172" s="53"/>
    </row>
    <row r="173" spans="2:26" x14ac:dyDescent="0.25">
      <c r="B173" s="31"/>
      <c r="C173" s="221"/>
      <c r="D173" s="31"/>
      <c r="E173" s="32"/>
      <c r="F173" s="28"/>
      <c r="L173" s="33"/>
      <c r="M173" s="42"/>
      <c r="N173" s="42"/>
      <c r="O173" s="87"/>
      <c r="P173" s="42"/>
      <c r="Q173" s="113"/>
      <c r="R173" s="28"/>
      <c r="S173" s="34"/>
      <c r="T173" s="28"/>
      <c r="U173" s="34"/>
      <c r="V173" s="34"/>
      <c r="W173" s="188"/>
      <c r="Y173" s="53"/>
      <c r="Z173" s="53"/>
    </row>
    <row r="174" spans="2:26" x14ac:dyDescent="0.25">
      <c r="B174" s="31"/>
      <c r="C174" s="221"/>
      <c r="D174" s="31"/>
      <c r="E174" s="32"/>
      <c r="F174" s="28"/>
      <c r="L174" s="33"/>
      <c r="M174" s="42"/>
      <c r="N174" s="42"/>
      <c r="O174" s="87"/>
      <c r="P174" s="42"/>
      <c r="Q174" s="113"/>
      <c r="R174" s="28"/>
      <c r="S174" s="34"/>
      <c r="T174" s="28"/>
      <c r="U174" s="34"/>
      <c r="V174" s="34"/>
      <c r="W174" s="188"/>
      <c r="Y174" s="53"/>
      <c r="Z174" s="53"/>
    </row>
    <row r="175" spans="2:26" x14ac:dyDescent="0.25">
      <c r="B175" s="31"/>
      <c r="C175" s="221"/>
      <c r="D175" s="31"/>
      <c r="E175" s="32"/>
      <c r="F175" s="28"/>
      <c r="L175" s="33"/>
      <c r="M175" s="42"/>
      <c r="N175" s="42"/>
      <c r="O175" s="87"/>
      <c r="P175" s="42"/>
      <c r="Q175" s="113"/>
      <c r="R175" s="28"/>
      <c r="S175" s="34"/>
      <c r="T175" s="28"/>
      <c r="U175" s="34"/>
      <c r="V175" s="44"/>
      <c r="W175" s="187"/>
      <c r="Y175" s="53"/>
      <c r="Z175" s="53"/>
    </row>
    <row r="176" spans="2:26" x14ac:dyDescent="0.25">
      <c r="B176" s="33"/>
      <c r="C176" s="89"/>
      <c r="F176" s="28"/>
      <c r="L176" s="33"/>
      <c r="M176" s="42"/>
      <c r="N176" s="42"/>
      <c r="O176" s="87"/>
      <c r="P176" s="42"/>
      <c r="Q176" s="113"/>
      <c r="R176" s="28"/>
      <c r="S176" s="44"/>
      <c r="T176" s="28"/>
      <c r="U176" s="44"/>
      <c r="V176" s="34"/>
      <c r="W176" s="188"/>
      <c r="Y176" s="53"/>
      <c r="Z176" s="53"/>
    </row>
    <row r="177" spans="2:26" x14ac:dyDescent="0.25">
      <c r="B177" s="33"/>
      <c r="C177" s="89"/>
      <c r="F177" s="28"/>
      <c r="L177" s="33"/>
      <c r="O177" s="87"/>
      <c r="P177" s="42"/>
      <c r="Q177" s="113"/>
      <c r="R177" s="28"/>
      <c r="S177" s="34"/>
      <c r="T177" s="28"/>
      <c r="U177" s="34"/>
      <c r="V177" s="34"/>
      <c r="W177" s="188"/>
      <c r="Y177" s="53"/>
      <c r="Z177" s="53"/>
    </row>
    <row r="178" spans="2:26" x14ac:dyDescent="0.25">
      <c r="B178" s="31"/>
      <c r="C178" s="221"/>
      <c r="D178" s="31"/>
      <c r="E178" s="32"/>
      <c r="F178" s="28"/>
      <c r="L178" s="33"/>
      <c r="O178" s="87"/>
      <c r="P178" s="42"/>
      <c r="Q178" s="113"/>
      <c r="R178" s="28"/>
      <c r="S178" s="34"/>
      <c r="T178" s="28"/>
      <c r="U178" s="34"/>
      <c r="Y178" s="53"/>
      <c r="Z178" s="53"/>
    </row>
    <row r="179" spans="2:26" x14ac:dyDescent="0.25">
      <c r="B179" s="31"/>
      <c r="C179" s="221"/>
      <c r="D179" s="31"/>
      <c r="E179" s="32"/>
      <c r="F179" s="28"/>
      <c r="L179" s="33"/>
      <c r="M179" s="42"/>
      <c r="N179" s="42"/>
      <c r="O179" s="87"/>
      <c r="R179" s="28"/>
      <c r="T179" s="28"/>
      <c r="Y179" s="53"/>
      <c r="Z179" s="53"/>
    </row>
    <row r="180" spans="2:26" x14ac:dyDescent="0.25">
      <c r="B180" s="16"/>
      <c r="C180" s="100"/>
      <c r="F180" s="28"/>
      <c r="L180" s="33"/>
      <c r="M180" s="42"/>
      <c r="N180" s="42"/>
      <c r="O180" s="87"/>
      <c r="R180" s="28"/>
      <c r="T180" s="28"/>
      <c r="V180" s="44"/>
      <c r="W180" s="187"/>
      <c r="Y180" s="53"/>
      <c r="Z180" s="53"/>
    </row>
    <row r="181" spans="2:26" x14ac:dyDescent="0.25">
      <c r="B181" s="31"/>
      <c r="C181" s="221"/>
      <c r="D181" s="31"/>
      <c r="E181" s="32"/>
      <c r="F181" s="28"/>
      <c r="L181" s="33"/>
      <c r="O181" s="87"/>
      <c r="P181" s="42"/>
      <c r="Q181" s="113"/>
      <c r="R181" s="28"/>
      <c r="S181" s="44"/>
      <c r="T181" s="28"/>
      <c r="U181" s="44"/>
      <c r="V181" s="43"/>
      <c r="W181" s="157"/>
      <c r="Y181" s="53"/>
      <c r="Z181" s="53"/>
    </row>
    <row r="182" spans="2:26" x14ac:dyDescent="0.25">
      <c r="B182" s="31"/>
      <c r="C182" s="221"/>
      <c r="D182" s="31"/>
      <c r="E182" s="32"/>
      <c r="F182" s="28"/>
      <c r="L182" s="33"/>
      <c r="M182" s="42"/>
      <c r="N182" s="42"/>
      <c r="O182" s="87"/>
      <c r="P182" s="42"/>
      <c r="Q182" s="113"/>
      <c r="R182" s="28"/>
      <c r="S182" s="43"/>
      <c r="T182" s="28"/>
      <c r="U182" s="43"/>
      <c r="Y182" s="53"/>
      <c r="Z182" s="53"/>
    </row>
    <row r="183" spans="2:26" x14ac:dyDescent="0.25">
      <c r="B183" s="31"/>
      <c r="C183" s="221"/>
      <c r="D183" s="31"/>
      <c r="E183" s="32"/>
      <c r="F183" s="28"/>
      <c r="L183" s="33"/>
      <c r="M183" s="42"/>
      <c r="N183" s="42"/>
      <c r="O183" s="87"/>
      <c r="R183" s="28"/>
      <c r="T183" s="28"/>
      <c r="V183" s="34"/>
      <c r="W183" s="188"/>
      <c r="Y183" s="53"/>
      <c r="Z183" s="53"/>
    </row>
    <row r="184" spans="2:26" x14ac:dyDescent="0.25">
      <c r="B184" s="31"/>
      <c r="C184" s="221"/>
      <c r="D184" s="31"/>
      <c r="E184" s="32"/>
      <c r="F184" s="28"/>
      <c r="L184" s="33"/>
      <c r="M184" s="42"/>
      <c r="N184" s="42"/>
      <c r="O184" s="87"/>
      <c r="P184" s="42"/>
      <c r="Q184" s="113"/>
      <c r="R184" s="28"/>
      <c r="S184" s="34"/>
      <c r="T184" s="28"/>
      <c r="U184" s="34"/>
      <c r="V184" s="44"/>
      <c r="W184" s="187"/>
      <c r="Y184" s="53"/>
      <c r="Z184" s="53"/>
    </row>
    <row r="185" spans="2:26" x14ac:dyDescent="0.25">
      <c r="B185" s="31"/>
      <c r="C185" s="221"/>
      <c r="D185" s="31"/>
      <c r="E185" s="32"/>
      <c r="F185" s="28"/>
      <c r="L185" s="33"/>
      <c r="M185" s="42"/>
      <c r="N185" s="42"/>
      <c r="O185" s="87"/>
      <c r="P185" s="42"/>
      <c r="Q185" s="113"/>
      <c r="R185" s="28"/>
      <c r="S185" s="44"/>
      <c r="T185" s="28"/>
      <c r="U185" s="44"/>
      <c r="V185" s="44"/>
      <c r="W185" s="187"/>
      <c r="Y185" s="53"/>
      <c r="Z185" s="53"/>
    </row>
    <row r="186" spans="2:26" x14ac:dyDescent="0.25">
      <c r="B186" s="31"/>
      <c r="C186" s="221"/>
      <c r="D186" s="31"/>
      <c r="E186" s="32"/>
      <c r="F186" s="28"/>
      <c r="L186" s="33"/>
      <c r="M186" s="42"/>
      <c r="N186" s="42"/>
      <c r="O186" s="87"/>
      <c r="P186" s="42"/>
      <c r="Q186" s="113"/>
      <c r="R186" s="28"/>
      <c r="S186" s="44"/>
      <c r="T186" s="28"/>
      <c r="U186" s="44"/>
      <c r="V186" s="43"/>
      <c r="W186" s="157"/>
      <c r="Y186" s="53"/>
      <c r="Z186" s="53"/>
    </row>
    <row r="187" spans="2:26" x14ac:dyDescent="0.25">
      <c r="B187" s="31"/>
      <c r="C187" s="221"/>
      <c r="D187" s="31"/>
      <c r="E187" s="32"/>
      <c r="F187" s="28"/>
      <c r="L187" s="33"/>
      <c r="M187" s="42"/>
      <c r="N187" s="42"/>
      <c r="O187" s="87"/>
      <c r="P187" s="42"/>
      <c r="Q187" s="113"/>
      <c r="R187" s="28"/>
      <c r="S187" s="43"/>
      <c r="T187" s="28"/>
      <c r="U187" s="43"/>
      <c r="V187" s="44"/>
      <c r="W187" s="187"/>
      <c r="Y187" s="53"/>
      <c r="Z187" s="53"/>
    </row>
    <row r="188" spans="2:26" x14ac:dyDescent="0.25">
      <c r="B188" s="33"/>
      <c r="C188" s="89"/>
      <c r="F188" s="28"/>
      <c r="L188" s="33"/>
      <c r="M188" s="42"/>
      <c r="N188" s="42"/>
      <c r="O188" s="87"/>
      <c r="P188" s="42"/>
      <c r="Q188" s="113"/>
      <c r="R188" s="28"/>
      <c r="S188" s="44"/>
      <c r="T188" s="28"/>
      <c r="U188" s="44"/>
      <c r="V188" s="44"/>
      <c r="W188" s="187"/>
      <c r="Y188" s="53"/>
      <c r="Z188" s="53"/>
    </row>
    <row r="189" spans="2:26" x14ac:dyDescent="0.25">
      <c r="B189" s="31"/>
      <c r="C189" s="221"/>
      <c r="D189" s="31"/>
      <c r="E189" s="32"/>
      <c r="F189" s="28"/>
      <c r="L189" s="33"/>
      <c r="O189" s="87"/>
      <c r="P189" s="42"/>
      <c r="Q189" s="113"/>
      <c r="R189" s="28"/>
      <c r="S189" s="44"/>
      <c r="T189" s="28"/>
      <c r="U189" s="44"/>
      <c r="V189" s="34"/>
      <c r="W189" s="188"/>
      <c r="Y189" s="53"/>
      <c r="Z189" s="53"/>
    </row>
    <row r="190" spans="2:26" x14ac:dyDescent="0.25">
      <c r="B190" s="33"/>
      <c r="C190" s="89"/>
      <c r="F190" s="28"/>
      <c r="L190" s="33"/>
      <c r="M190" s="42"/>
      <c r="N190" s="42"/>
      <c r="O190" s="87"/>
      <c r="P190" s="42"/>
      <c r="Q190" s="113"/>
      <c r="R190" s="28"/>
      <c r="S190" s="34"/>
      <c r="T190" s="28"/>
      <c r="U190" s="34"/>
      <c r="Y190" s="53"/>
      <c r="Z190" s="53"/>
    </row>
    <row r="191" spans="2:26" x14ac:dyDescent="0.25">
      <c r="B191" s="31"/>
      <c r="C191" s="221"/>
      <c r="D191" s="31"/>
      <c r="E191" s="32"/>
      <c r="F191" s="28"/>
      <c r="L191" s="33"/>
      <c r="O191" s="87"/>
      <c r="R191" s="28"/>
      <c r="T191" s="28"/>
      <c r="V191" s="43"/>
      <c r="W191" s="157"/>
      <c r="Y191" s="53"/>
      <c r="Z191" s="53"/>
    </row>
    <row r="192" spans="2:26" x14ac:dyDescent="0.25">
      <c r="B192" s="33"/>
      <c r="C192" s="89"/>
      <c r="F192" s="28"/>
      <c r="L192" s="33"/>
      <c r="M192" s="42"/>
      <c r="N192" s="42"/>
      <c r="O192" s="87"/>
      <c r="P192" s="42"/>
      <c r="Q192" s="113"/>
      <c r="R192" s="28"/>
      <c r="S192" s="43"/>
      <c r="T192" s="28"/>
      <c r="U192" s="43"/>
      <c r="Y192" s="53"/>
      <c r="Z192" s="53"/>
    </row>
    <row r="193" spans="2:26" x14ac:dyDescent="0.25">
      <c r="B193" s="31"/>
      <c r="C193" s="221"/>
      <c r="D193" s="31"/>
      <c r="E193" s="32"/>
      <c r="F193" s="28"/>
      <c r="L193" s="33"/>
      <c r="O193" s="87"/>
      <c r="R193" s="28"/>
      <c r="T193" s="28"/>
      <c r="V193" s="34"/>
      <c r="W193" s="188"/>
      <c r="Y193" s="53"/>
      <c r="Z193" s="53"/>
    </row>
    <row r="194" spans="2:26" x14ac:dyDescent="0.25">
      <c r="B194" s="31"/>
      <c r="C194" s="221"/>
      <c r="D194" s="31"/>
      <c r="E194" s="32"/>
      <c r="F194" s="28"/>
      <c r="L194" s="33"/>
      <c r="M194" s="42"/>
      <c r="N194" s="42"/>
      <c r="O194" s="87"/>
      <c r="P194" s="42"/>
      <c r="Q194" s="113"/>
      <c r="R194" s="28"/>
      <c r="S194" s="34"/>
      <c r="T194" s="28"/>
      <c r="U194" s="34"/>
      <c r="Y194" s="53"/>
      <c r="Z194" s="53"/>
    </row>
    <row r="195" spans="2:26" x14ac:dyDescent="0.25">
      <c r="B195" s="31"/>
      <c r="C195" s="221"/>
      <c r="D195" s="31"/>
      <c r="E195" s="32"/>
      <c r="F195" s="28"/>
      <c r="L195" s="33"/>
      <c r="M195" s="42"/>
      <c r="N195" s="42"/>
      <c r="O195" s="87"/>
      <c r="R195" s="28"/>
      <c r="T195" s="28"/>
      <c r="V195" s="43"/>
      <c r="W195" s="157"/>
      <c r="Y195" s="53"/>
      <c r="Z195" s="53"/>
    </row>
    <row r="196" spans="2:26" x14ac:dyDescent="0.25">
      <c r="B196" s="31"/>
      <c r="C196" s="221"/>
      <c r="D196" s="31"/>
      <c r="E196" s="32"/>
      <c r="F196" s="28"/>
      <c r="L196" s="33"/>
      <c r="M196" s="42"/>
      <c r="N196" s="42"/>
      <c r="O196" s="87"/>
      <c r="P196" s="42"/>
      <c r="Q196" s="113"/>
      <c r="R196" s="28"/>
      <c r="S196" s="43"/>
      <c r="T196" s="28"/>
      <c r="U196" s="43"/>
      <c r="V196" s="34"/>
      <c r="W196" s="188"/>
      <c r="Y196" s="53"/>
      <c r="Z196" s="53"/>
    </row>
    <row r="197" spans="2:26" x14ac:dyDescent="0.25">
      <c r="B197" s="31"/>
      <c r="C197" s="221"/>
      <c r="D197" s="31"/>
      <c r="E197" s="32"/>
      <c r="F197" s="28"/>
      <c r="L197" s="33"/>
      <c r="M197" s="42"/>
      <c r="N197" s="42"/>
      <c r="O197" s="87"/>
      <c r="P197" s="42"/>
      <c r="Q197" s="113"/>
      <c r="R197" s="28"/>
      <c r="S197" s="34"/>
      <c r="T197" s="28"/>
      <c r="U197" s="34"/>
      <c r="V197" s="43"/>
      <c r="W197" s="157"/>
      <c r="Y197" s="53"/>
      <c r="Z197" s="53"/>
    </row>
    <row r="198" spans="2:26" x14ac:dyDescent="0.25">
      <c r="B198" s="31"/>
      <c r="C198" s="221"/>
      <c r="D198" s="31"/>
      <c r="E198" s="32"/>
      <c r="F198" s="28"/>
      <c r="L198" s="33"/>
      <c r="M198" s="42"/>
      <c r="N198" s="42"/>
      <c r="O198" s="87"/>
      <c r="P198" s="42"/>
      <c r="Q198" s="113"/>
      <c r="R198" s="28"/>
      <c r="S198" s="43"/>
      <c r="T198" s="28"/>
      <c r="U198" s="43"/>
      <c r="V198" s="44"/>
      <c r="W198" s="187"/>
      <c r="Y198" s="53"/>
      <c r="Z198" s="53"/>
    </row>
    <row r="199" spans="2:26" x14ac:dyDescent="0.25">
      <c r="B199" s="31"/>
      <c r="C199" s="221"/>
      <c r="D199" s="31"/>
      <c r="E199" s="32"/>
      <c r="F199" s="28"/>
      <c r="L199" s="33"/>
      <c r="M199" s="42"/>
      <c r="N199" s="42"/>
      <c r="O199" s="87"/>
      <c r="P199" s="42"/>
      <c r="Q199" s="113"/>
      <c r="R199" s="28"/>
      <c r="S199" s="44"/>
      <c r="T199" s="28"/>
      <c r="U199" s="44"/>
      <c r="V199" s="44"/>
      <c r="W199" s="187"/>
      <c r="Y199" s="53"/>
      <c r="Z199" s="53"/>
    </row>
    <row r="200" spans="2:26" x14ac:dyDescent="0.25">
      <c r="B200" s="31"/>
      <c r="C200" s="221"/>
      <c r="D200" s="31"/>
      <c r="E200" s="32"/>
      <c r="F200" s="28"/>
      <c r="L200" s="33"/>
      <c r="M200" s="42"/>
      <c r="N200" s="42"/>
      <c r="O200" s="87"/>
      <c r="P200" s="42"/>
      <c r="Q200" s="113"/>
      <c r="R200" s="28"/>
      <c r="S200" s="44"/>
      <c r="T200" s="28"/>
      <c r="U200" s="44"/>
      <c r="V200" s="44"/>
      <c r="W200" s="187"/>
      <c r="Y200" s="53"/>
      <c r="Z200" s="53"/>
    </row>
    <row r="201" spans="2:26" x14ac:dyDescent="0.25">
      <c r="B201" s="31"/>
      <c r="C201" s="221"/>
      <c r="D201" s="31"/>
      <c r="E201" s="32"/>
      <c r="F201" s="28"/>
      <c r="L201" s="33"/>
      <c r="M201" s="42"/>
      <c r="N201" s="42"/>
      <c r="O201" s="87"/>
      <c r="P201" s="42"/>
      <c r="Q201" s="113"/>
      <c r="R201" s="28"/>
      <c r="S201" s="44"/>
      <c r="T201" s="28"/>
      <c r="U201" s="44"/>
      <c r="V201" s="44"/>
      <c r="W201" s="187"/>
      <c r="Y201" s="53"/>
      <c r="Z201" s="53"/>
    </row>
    <row r="202" spans="2:26" x14ac:dyDescent="0.25">
      <c r="B202" s="31"/>
      <c r="C202" s="221"/>
      <c r="D202" s="31"/>
      <c r="E202" s="32"/>
      <c r="F202" s="28"/>
      <c r="L202" s="33"/>
      <c r="M202" s="42"/>
      <c r="N202" s="42"/>
      <c r="O202" s="87"/>
      <c r="P202" s="42"/>
      <c r="Q202" s="113"/>
      <c r="R202" s="28"/>
      <c r="S202" s="44"/>
      <c r="T202" s="28"/>
      <c r="U202" s="44"/>
      <c r="V202" s="34"/>
      <c r="W202" s="188"/>
      <c r="Y202" s="53"/>
      <c r="Z202" s="53"/>
    </row>
    <row r="203" spans="2:26" x14ac:dyDescent="0.25">
      <c r="B203" s="31"/>
      <c r="C203" s="221"/>
      <c r="D203" s="31"/>
      <c r="E203" s="32"/>
      <c r="F203" s="28"/>
      <c r="L203" s="33"/>
      <c r="M203" s="42"/>
      <c r="N203" s="42"/>
      <c r="O203" s="87"/>
      <c r="P203" s="42"/>
      <c r="Q203" s="113"/>
      <c r="R203" s="28"/>
      <c r="S203" s="34"/>
      <c r="T203" s="28"/>
      <c r="U203" s="34"/>
      <c r="V203" s="43"/>
      <c r="W203" s="157"/>
      <c r="Y203" s="53"/>
      <c r="Z203" s="53"/>
    </row>
    <row r="204" spans="2:26" x14ac:dyDescent="0.25">
      <c r="B204" s="31"/>
      <c r="C204" s="221"/>
      <c r="D204" s="31"/>
      <c r="E204" s="32"/>
      <c r="F204" s="28"/>
      <c r="L204" s="33"/>
      <c r="M204" s="42"/>
      <c r="N204" s="42"/>
      <c r="O204" s="87"/>
      <c r="P204" s="42"/>
      <c r="Q204" s="113"/>
      <c r="R204" s="28"/>
      <c r="S204" s="43"/>
      <c r="T204" s="28"/>
      <c r="U204" s="43"/>
      <c r="V204" s="34"/>
      <c r="W204" s="188"/>
      <c r="Y204" s="53"/>
      <c r="Z204" s="53"/>
    </row>
    <row r="205" spans="2:26" x14ac:dyDescent="0.25">
      <c r="B205" s="31"/>
      <c r="C205" s="221"/>
      <c r="D205" s="31"/>
      <c r="E205" s="32"/>
      <c r="F205" s="28"/>
      <c r="L205" s="33"/>
      <c r="M205" s="42"/>
      <c r="N205" s="42"/>
      <c r="O205" s="87"/>
      <c r="P205" s="42"/>
      <c r="Q205" s="113"/>
      <c r="R205" s="28"/>
      <c r="S205" s="34"/>
      <c r="T205" s="28"/>
      <c r="U205" s="34"/>
      <c r="V205" s="34"/>
      <c r="W205" s="188"/>
      <c r="Y205" s="53"/>
      <c r="Z205" s="53"/>
    </row>
    <row r="206" spans="2:26" x14ac:dyDescent="0.25">
      <c r="B206" s="31"/>
      <c r="C206" s="221"/>
      <c r="D206" s="31"/>
      <c r="E206" s="32"/>
      <c r="F206" s="28"/>
      <c r="L206" s="33"/>
      <c r="M206" s="42"/>
      <c r="N206" s="42"/>
      <c r="O206" s="87"/>
      <c r="P206" s="42"/>
      <c r="Q206" s="113"/>
      <c r="R206" s="28"/>
      <c r="S206" s="34"/>
      <c r="T206" s="28"/>
      <c r="U206" s="34"/>
      <c r="V206" s="34"/>
      <c r="W206" s="188"/>
      <c r="Y206" s="53"/>
      <c r="Z206" s="53"/>
    </row>
    <row r="207" spans="2:26" x14ac:dyDescent="0.25">
      <c r="B207" s="31"/>
      <c r="C207" s="221"/>
      <c r="D207" s="31"/>
      <c r="E207" s="32"/>
      <c r="F207" s="28"/>
      <c r="L207" s="33"/>
      <c r="M207" s="42"/>
      <c r="N207" s="42"/>
      <c r="O207" s="87"/>
      <c r="P207" s="42"/>
      <c r="Q207" s="113"/>
      <c r="R207" s="28"/>
      <c r="S207" s="34"/>
      <c r="T207" s="28"/>
      <c r="U207" s="34"/>
      <c r="V207" s="34"/>
      <c r="W207" s="188"/>
      <c r="Y207" s="53"/>
      <c r="Z207" s="53"/>
    </row>
    <row r="208" spans="2:26" x14ac:dyDescent="0.25">
      <c r="B208" s="31"/>
      <c r="C208" s="221"/>
      <c r="D208" s="31"/>
      <c r="E208" s="32"/>
      <c r="F208" s="28"/>
      <c r="L208" s="33"/>
      <c r="M208" s="42"/>
      <c r="N208" s="42"/>
      <c r="O208" s="87"/>
      <c r="P208" s="42"/>
      <c r="Q208" s="113"/>
      <c r="R208" s="28"/>
      <c r="S208" s="34"/>
      <c r="T208" s="28"/>
      <c r="U208" s="34"/>
      <c r="V208" s="34"/>
      <c r="W208" s="188"/>
      <c r="Y208" s="53"/>
      <c r="Z208" s="53"/>
    </row>
    <row r="209" spans="1:26" x14ac:dyDescent="0.25">
      <c r="B209" s="33"/>
      <c r="C209" s="89"/>
      <c r="F209" s="28"/>
      <c r="L209" s="33"/>
      <c r="M209" s="42"/>
      <c r="N209" s="42"/>
      <c r="O209" s="87"/>
      <c r="P209" s="42"/>
      <c r="Q209" s="113"/>
      <c r="R209" s="28"/>
      <c r="S209" s="34"/>
      <c r="T209" s="28"/>
      <c r="U209" s="34"/>
      <c r="V209" s="43"/>
      <c r="W209" s="157"/>
      <c r="Y209" s="53"/>
      <c r="Z209" s="53"/>
    </row>
    <row r="210" spans="1:26" x14ac:dyDescent="0.25">
      <c r="B210" s="33"/>
      <c r="C210" s="89"/>
      <c r="F210" s="28"/>
      <c r="L210" s="33"/>
      <c r="O210" s="87"/>
      <c r="P210" s="42"/>
      <c r="Q210" s="113"/>
      <c r="R210" s="28"/>
      <c r="S210" s="43"/>
      <c r="T210" s="28"/>
      <c r="U210" s="43"/>
      <c r="V210" s="43"/>
      <c r="W210" s="157"/>
      <c r="Y210" s="53"/>
      <c r="Z210" s="53"/>
    </row>
    <row r="211" spans="1:26" x14ac:dyDescent="0.25">
      <c r="B211" s="31"/>
      <c r="C211" s="221"/>
      <c r="D211" s="31"/>
      <c r="E211" s="32"/>
      <c r="F211" s="28"/>
      <c r="L211" s="33"/>
      <c r="O211" s="87"/>
      <c r="P211" s="42"/>
      <c r="Q211" s="113"/>
      <c r="R211" s="28"/>
      <c r="S211" s="43"/>
      <c r="T211" s="28"/>
      <c r="U211" s="43"/>
      <c r="Y211" s="53"/>
      <c r="Z211" s="53"/>
    </row>
    <row r="212" spans="1:26" x14ac:dyDescent="0.25">
      <c r="B212" s="33"/>
      <c r="C212" s="89"/>
      <c r="F212" s="28"/>
      <c r="L212" s="33"/>
      <c r="M212" s="42"/>
      <c r="N212" s="42"/>
      <c r="O212" s="87"/>
      <c r="R212" s="28"/>
      <c r="T212" s="28"/>
      <c r="Y212" s="53"/>
      <c r="Z212" s="53"/>
    </row>
    <row r="213" spans="1:26" x14ac:dyDescent="0.25">
      <c r="B213" s="31"/>
      <c r="C213" s="221"/>
      <c r="D213" s="31"/>
      <c r="E213" s="32"/>
      <c r="F213" s="28"/>
      <c r="L213" s="33"/>
      <c r="O213" s="87"/>
      <c r="R213" s="28"/>
      <c r="T213" s="28"/>
      <c r="V213" s="34"/>
      <c r="W213" s="188"/>
      <c r="Y213" s="53"/>
      <c r="Z213" s="53"/>
    </row>
    <row r="214" spans="1:26" x14ac:dyDescent="0.25">
      <c r="B214" s="33"/>
      <c r="C214" s="89"/>
      <c r="F214" s="28"/>
      <c r="L214" s="33"/>
      <c r="M214" s="42"/>
      <c r="N214" s="42"/>
      <c r="O214" s="87"/>
      <c r="P214" s="42"/>
      <c r="Q214" s="113"/>
      <c r="R214" s="28"/>
      <c r="S214" s="34"/>
      <c r="T214" s="28"/>
      <c r="U214" s="34"/>
      <c r="Y214" s="53"/>
      <c r="Z214" s="53"/>
    </row>
    <row r="215" spans="1:26" x14ac:dyDescent="0.25">
      <c r="B215" s="31"/>
      <c r="C215" s="221"/>
      <c r="D215" s="31"/>
      <c r="E215" s="32"/>
      <c r="F215" s="28"/>
      <c r="L215" s="33"/>
      <c r="O215" s="87"/>
      <c r="R215" s="28"/>
      <c r="T215" s="28"/>
      <c r="V215" s="43"/>
      <c r="W215" s="157"/>
      <c r="Y215" s="53"/>
      <c r="Z215" s="53"/>
    </row>
    <row r="216" spans="1:26" x14ac:dyDescent="0.25">
      <c r="B216" s="31"/>
      <c r="C216" s="221"/>
      <c r="D216" s="31"/>
      <c r="E216" s="32"/>
      <c r="M216" s="42"/>
      <c r="N216" s="42"/>
      <c r="P216" s="42"/>
      <c r="Q216" s="113"/>
      <c r="R216" s="28"/>
      <c r="S216" s="43"/>
      <c r="T216" s="28"/>
      <c r="U216" s="43"/>
      <c r="Y216" s="53"/>
      <c r="Z216" s="53"/>
    </row>
    <row r="217" spans="1:26" s="48" customFormat="1" x14ac:dyDescent="0.25">
      <c r="A217" s="47" t="s">
        <v>71</v>
      </c>
      <c r="C217" s="89"/>
      <c r="E217" s="49"/>
      <c r="F217" s="50"/>
      <c r="H217" s="89"/>
      <c r="I217" s="89"/>
      <c r="J217" s="53"/>
      <c r="K217" s="89"/>
      <c r="M217" s="42"/>
      <c r="N217" s="42"/>
      <c r="O217" s="89"/>
      <c r="P217" s="6"/>
      <c r="Q217" s="117"/>
      <c r="R217" s="28"/>
      <c r="S217" s="4"/>
      <c r="T217" s="28"/>
      <c r="U217" s="4"/>
      <c r="V217" s="43"/>
      <c r="W217" s="157"/>
      <c r="X217" s="53"/>
      <c r="Y217" s="53"/>
      <c r="Z217" s="53"/>
    </row>
    <row r="218" spans="1:26" s="48" customFormat="1" x14ac:dyDescent="0.25">
      <c r="A218" s="51" t="s">
        <v>72</v>
      </c>
      <c r="C218" s="89"/>
      <c r="E218" s="49"/>
      <c r="F218" s="50"/>
      <c r="H218" s="89"/>
      <c r="I218" s="89"/>
      <c r="J218" s="53"/>
      <c r="K218" s="89"/>
      <c r="N218" s="33"/>
      <c r="O218" s="89"/>
      <c r="P218" s="42"/>
      <c r="Q218" s="113"/>
      <c r="R218" s="28"/>
      <c r="S218" s="43"/>
      <c r="T218" s="28"/>
      <c r="U218" s="43"/>
      <c r="V218" s="43"/>
      <c r="W218" s="157"/>
      <c r="X218" s="53"/>
      <c r="Y218" s="4"/>
    </row>
    <row r="219" spans="1:26" s="48" customFormat="1" x14ac:dyDescent="0.25">
      <c r="A219" s="51" t="s">
        <v>73</v>
      </c>
      <c r="C219" s="89"/>
      <c r="E219" s="49"/>
      <c r="F219" s="50"/>
      <c r="H219" s="89"/>
      <c r="I219" s="89"/>
      <c r="J219" s="53"/>
      <c r="K219" s="89"/>
      <c r="N219" s="33"/>
      <c r="O219" s="89"/>
      <c r="P219" s="42"/>
      <c r="Q219" s="113"/>
      <c r="R219" s="43"/>
      <c r="S219" s="43"/>
      <c r="T219" s="43"/>
      <c r="U219" s="43"/>
      <c r="V219" s="53"/>
      <c r="W219" s="89"/>
      <c r="X219" s="53"/>
      <c r="Y219" s="4"/>
    </row>
    <row r="220" spans="1:26" s="48" customFormat="1" x14ac:dyDescent="0.25">
      <c r="A220" s="51"/>
      <c r="C220" s="89"/>
      <c r="E220" s="49"/>
      <c r="F220" s="50"/>
      <c r="H220" s="89"/>
      <c r="I220" s="89"/>
      <c r="J220" s="53"/>
      <c r="K220" s="89"/>
      <c r="N220" s="33"/>
      <c r="O220" s="89"/>
      <c r="P220" s="53"/>
      <c r="Q220" s="89"/>
      <c r="R220" s="53"/>
      <c r="S220" s="183"/>
      <c r="T220" s="53"/>
      <c r="U220" s="53"/>
      <c r="V220" s="53"/>
      <c r="W220" s="89"/>
      <c r="X220" s="53"/>
      <c r="Y220" s="4"/>
    </row>
    <row r="221" spans="1:26" s="48" customFormat="1" x14ac:dyDescent="0.25">
      <c r="A221" s="52"/>
      <c r="C221" s="89"/>
      <c r="E221" s="49"/>
      <c r="F221" s="50"/>
      <c r="H221" s="89"/>
      <c r="I221" s="89"/>
      <c r="J221" s="53"/>
      <c r="K221" s="89"/>
      <c r="N221" s="33"/>
      <c r="O221" s="89"/>
      <c r="P221" s="53"/>
      <c r="Q221" s="89"/>
      <c r="R221" s="53"/>
      <c r="S221" s="183"/>
      <c r="T221" s="53"/>
      <c r="U221" s="53"/>
      <c r="V221" s="53"/>
      <c r="W221" s="89"/>
      <c r="X221" s="53"/>
      <c r="Y221" s="4"/>
    </row>
    <row r="222" spans="1:26" x14ac:dyDescent="0.25">
      <c r="M222" s="48"/>
      <c r="N222" s="33"/>
      <c r="P222" s="53"/>
      <c r="Q222" s="89"/>
      <c r="R222" s="53"/>
      <c r="S222" s="183"/>
      <c r="T222" s="53"/>
      <c r="U222" s="53"/>
      <c r="V222" s="53"/>
      <c r="W222" s="89"/>
    </row>
    <row r="223" spans="1:26" x14ac:dyDescent="0.25">
      <c r="A223" s="27" t="s">
        <v>74</v>
      </c>
      <c r="P223" s="53"/>
      <c r="Q223" s="89"/>
      <c r="R223" s="53"/>
      <c r="S223" s="183"/>
      <c r="T223" s="53"/>
      <c r="U223" s="53"/>
      <c r="V223" s="53"/>
      <c r="W223" s="89"/>
    </row>
    <row r="224" spans="1:26" x14ac:dyDescent="0.25">
      <c r="A224" s="53"/>
      <c r="P224" s="53"/>
      <c r="Q224" s="89"/>
      <c r="R224" s="53"/>
      <c r="S224" s="183"/>
      <c r="T224" s="53"/>
      <c r="U224" s="53"/>
    </row>
    <row r="225" spans="1:1" x14ac:dyDescent="0.25">
      <c r="A225" s="53"/>
    </row>
    <row r="226" spans="1:1" x14ac:dyDescent="0.25">
      <c r="A226" s="53"/>
    </row>
    <row r="227" spans="1:1" x14ac:dyDescent="0.25">
      <c r="A227" s="53"/>
    </row>
    <row r="228" spans="1:1" x14ac:dyDescent="0.25">
      <c r="A228" s="53"/>
    </row>
    <row r="229" spans="1:1" x14ac:dyDescent="0.25">
      <c r="A229" s="16"/>
    </row>
    <row r="230" spans="1:1" x14ac:dyDescent="0.25">
      <c r="A230" s="16"/>
    </row>
    <row r="231" spans="1:1" x14ac:dyDescent="0.25">
      <c r="A231" s="16"/>
    </row>
    <row r="261" spans="25:25" x14ac:dyDescent="0.25">
      <c r="Y261" s="53"/>
    </row>
    <row r="262" spans="25:25" x14ac:dyDescent="0.25">
      <c r="Y262" s="53"/>
    </row>
    <row r="263" spans="25:25" x14ac:dyDescent="0.25">
      <c r="Y263" s="53"/>
    </row>
    <row r="264" spans="25:25" x14ac:dyDescent="0.25">
      <c r="Y264" s="53"/>
    </row>
    <row r="265" spans="25:25" x14ac:dyDescent="0.25">
      <c r="Y265" s="53"/>
    </row>
  </sheetData>
  <autoFilter ref="B3:Z3" xr:uid="{A264F886-A9CD-BA41-B2A7-49D543009D0B}">
    <sortState xmlns:xlrd2="http://schemas.microsoft.com/office/spreadsheetml/2017/richdata2" ref="B4:Z83">
      <sortCondition ref="B3:B83"/>
    </sortState>
  </autoFilter>
  <phoneticPr fontId="3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2386-D858-2040-BD90-B304DF136362}">
  <dimension ref="A1:Y18"/>
  <sheetViews>
    <sheetView tabSelected="1" zoomScaleNormal="100" workbookViewId="0">
      <pane xSplit="2" ySplit="3" topLeftCell="D4" activePane="bottomRight" state="frozen"/>
      <selection pane="topRight" activeCell="C1" sqref="C1"/>
      <selection pane="bottomLeft" activeCell="A5" sqref="A5"/>
      <selection pane="bottomRight" activeCell="Q12" sqref="Q12"/>
    </sheetView>
  </sheetViews>
  <sheetFormatPr baseColWidth="10" defaultRowHeight="19" x14ac:dyDescent="0.25"/>
  <cols>
    <col min="1" max="1" width="4.83203125" style="4" customWidth="1"/>
    <col min="2" max="3" width="43.83203125" style="4" customWidth="1"/>
    <col min="4" max="4" width="44.6640625" style="4" customWidth="1"/>
    <col min="5" max="5" width="24.83203125" style="6" customWidth="1"/>
    <col min="6" max="7" width="15.83203125" style="183" customWidth="1"/>
    <col min="8" max="9" width="15.83203125" style="6" customWidth="1"/>
    <col min="10" max="11" width="37.83203125" style="183" customWidth="1"/>
    <col min="12" max="12" width="12.83203125" style="4" customWidth="1"/>
    <col min="13" max="14" width="12.83203125" style="6" customWidth="1"/>
    <col min="15" max="15" width="5" style="183" customWidth="1"/>
    <col min="16" max="17" width="24.83203125" style="6" customWidth="1"/>
    <col min="18" max="20" width="12.83203125" style="4" customWidth="1"/>
    <col min="21" max="21" width="20.83203125" style="183" customWidth="1"/>
    <col min="22" max="22" width="16.83203125" style="4" customWidth="1"/>
    <col min="23" max="23" width="4.83203125" style="4" customWidth="1"/>
    <col min="24" max="24" width="80" style="4" customWidth="1"/>
    <col min="25" max="25" width="43.33203125" style="4" customWidth="1"/>
    <col min="26" max="16384" width="10.83203125" style="4"/>
  </cols>
  <sheetData>
    <row r="1" spans="1:25" ht="21" x14ac:dyDescent="0.25">
      <c r="A1" s="63" t="s">
        <v>129</v>
      </c>
      <c r="B1" s="21" t="s">
        <v>656</v>
      </c>
      <c r="C1" s="21"/>
      <c r="D1" s="24"/>
      <c r="J1" s="21"/>
      <c r="K1" s="21"/>
      <c r="P1" s="224" t="s">
        <v>29</v>
      </c>
      <c r="Q1" s="224"/>
      <c r="R1" s="27"/>
      <c r="S1" s="27"/>
      <c r="T1" s="27"/>
      <c r="X1" s="26"/>
    </row>
    <row r="2" spans="1:25" s="9" customFormat="1" ht="40" x14ac:dyDescent="0.2">
      <c r="A2" s="5"/>
      <c r="B2" s="22" t="s">
        <v>19</v>
      </c>
      <c r="C2" s="22" t="s">
        <v>799</v>
      </c>
      <c r="D2" s="22" t="s">
        <v>14</v>
      </c>
      <c r="E2" s="22" t="s">
        <v>22</v>
      </c>
      <c r="F2" s="22" t="s">
        <v>15</v>
      </c>
      <c r="G2" s="22" t="s">
        <v>16</v>
      </c>
      <c r="H2" s="22" t="s">
        <v>595</v>
      </c>
      <c r="I2" s="22" t="s">
        <v>596</v>
      </c>
      <c r="J2" s="22" t="s">
        <v>597</v>
      </c>
      <c r="K2" s="22" t="s">
        <v>598</v>
      </c>
      <c r="L2" s="22" t="s">
        <v>544</v>
      </c>
      <c r="M2" s="22" t="s">
        <v>18</v>
      </c>
      <c r="N2" s="22" t="s">
        <v>66</v>
      </c>
      <c r="O2" s="183"/>
      <c r="P2" s="22" t="s">
        <v>424</v>
      </c>
      <c r="Q2" s="22" t="s">
        <v>599</v>
      </c>
      <c r="R2" s="22" t="s">
        <v>657</v>
      </c>
      <c r="S2" s="22" t="s">
        <v>658</v>
      </c>
      <c r="T2" s="22" t="s">
        <v>659</v>
      </c>
      <c r="U2" s="22" t="s">
        <v>660</v>
      </c>
      <c r="V2" s="22" t="s">
        <v>661</v>
      </c>
      <c r="W2" s="183"/>
      <c r="X2" s="22" t="s">
        <v>428</v>
      </c>
      <c r="Y2" s="22" t="s">
        <v>32</v>
      </c>
    </row>
    <row r="3" spans="1:25" s="5" customFormat="1" ht="20" x14ac:dyDescent="0.2">
      <c r="B3" s="17"/>
      <c r="C3" s="17"/>
      <c r="D3" s="17"/>
      <c r="E3" s="17"/>
      <c r="F3" s="183"/>
      <c r="G3" s="183"/>
      <c r="H3" s="17"/>
      <c r="I3" s="17"/>
      <c r="J3" s="183"/>
      <c r="K3" s="183"/>
      <c r="L3" s="17" t="s">
        <v>662</v>
      </c>
      <c r="M3" s="17"/>
      <c r="N3" s="17"/>
      <c r="O3" s="183"/>
      <c r="P3" s="17"/>
      <c r="Q3" s="17"/>
      <c r="R3" s="17" t="s">
        <v>20</v>
      </c>
      <c r="S3" s="17" t="s">
        <v>247</v>
      </c>
      <c r="T3" s="17" t="s">
        <v>663</v>
      </c>
      <c r="U3" s="17"/>
      <c r="V3" s="17" t="s">
        <v>197</v>
      </c>
      <c r="W3" s="183"/>
      <c r="X3" s="17"/>
      <c r="Y3" s="17"/>
    </row>
    <row r="4" spans="1:25" x14ac:dyDescent="0.25">
      <c r="B4" s="18"/>
      <c r="C4" s="18"/>
      <c r="D4" s="18"/>
      <c r="E4" s="46"/>
      <c r="F4" s="207"/>
      <c r="G4" s="207"/>
      <c r="H4" s="46"/>
      <c r="I4" s="46"/>
      <c r="J4" s="46"/>
      <c r="K4" s="46"/>
      <c r="L4" s="67"/>
      <c r="M4" s="46"/>
      <c r="N4" s="46"/>
      <c r="O4" s="208"/>
      <c r="P4" s="46"/>
      <c r="Q4" s="46"/>
      <c r="R4" s="67"/>
      <c r="S4" s="67"/>
      <c r="T4" s="67"/>
      <c r="U4" s="209"/>
      <c r="V4" s="96"/>
      <c r="W4" s="210"/>
      <c r="X4" s="18"/>
      <c r="Y4" s="18"/>
    </row>
    <row r="5" spans="1:25" ht="21" x14ac:dyDescent="0.25">
      <c r="B5" s="95" t="s">
        <v>268</v>
      </c>
      <c r="C5" s="18"/>
      <c r="D5" s="18"/>
      <c r="E5" s="46"/>
      <c r="F5" s="207"/>
      <c r="G5" s="207"/>
      <c r="H5" s="46"/>
      <c r="I5" s="46"/>
      <c r="J5" s="46"/>
      <c r="K5" s="46"/>
      <c r="L5" s="67"/>
      <c r="M5" s="46"/>
      <c r="N5" s="46"/>
      <c r="O5" s="208"/>
      <c r="P5" s="46"/>
      <c r="Q5" s="46"/>
      <c r="R5" s="67"/>
      <c r="S5" s="67"/>
      <c r="T5" s="67"/>
      <c r="U5" s="209"/>
      <c r="V5" s="96"/>
      <c r="W5" s="210"/>
      <c r="X5" s="18"/>
      <c r="Y5" s="18"/>
    </row>
    <row r="6" spans="1:25" x14ac:dyDescent="0.25">
      <c r="B6" s="18"/>
      <c r="C6" s="18"/>
      <c r="D6" s="18"/>
      <c r="E6" s="46"/>
      <c r="F6" s="207"/>
      <c r="G6" s="207"/>
      <c r="H6" s="46"/>
      <c r="I6" s="46"/>
      <c r="J6" s="46"/>
      <c r="K6" s="46"/>
      <c r="L6" s="67"/>
      <c r="M6" s="46"/>
      <c r="N6" s="46"/>
      <c r="O6" s="208"/>
      <c r="P6" s="46"/>
      <c r="Q6" s="46"/>
      <c r="R6" s="67"/>
      <c r="S6" s="67"/>
      <c r="T6" s="67"/>
      <c r="U6" s="209"/>
      <c r="V6" s="96"/>
      <c r="W6" s="210"/>
      <c r="X6" s="18"/>
      <c r="Y6" s="18"/>
    </row>
    <row r="7" spans="1:25" x14ac:dyDescent="0.25">
      <c r="B7" s="18"/>
      <c r="C7" s="18"/>
      <c r="D7" s="18"/>
      <c r="E7" s="46"/>
      <c r="F7" s="207"/>
      <c r="G7" s="207"/>
      <c r="H7" s="46"/>
      <c r="I7" s="46"/>
      <c r="J7" s="46"/>
      <c r="K7" s="46"/>
      <c r="L7" s="67"/>
      <c r="M7" s="46"/>
      <c r="N7" s="46"/>
      <c r="O7" s="208"/>
      <c r="P7" s="46"/>
      <c r="Q7" s="46"/>
      <c r="R7" s="67"/>
      <c r="S7" s="67"/>
      <c r="T7" s="96"/>
      <c r="U7" s="209"/>
      <c r="V7" s="96"/>
      <c r="W7" s="210"/>
      <c r="X7" s="18"/>
      <c r="Y7" s="18"/>
    </row>
    <row r="8" spans="1:25" x14ac:dyDescent="0.25">
      <c r="B8" s="18"/>
      <c r="C8" s="18"/>
      <c r="D8" s="18"/>
      <c r="E8" s="46"/>
      <c r="F8" s="207"/>
      <c r="G8" s="207"/>
      <c r="H8" s="46"/>
      <c r="I8" s="46"/>
      <c r="J8" s="46"/>
      <c r="K8" s="46"/>
      <c r="L8" s="67"/>
      <c r="M8" s="46"/>
      <c r="N8" s="46"/>
      <c r="O8" s="208"/>
      <c r="P8" s="46"/>
      <c r="Q8" s="46"/>
      <c r="R8" s="67"/>
      <c r="S8" s="67"/>
      <c r="T8" s="211"/>
      <c r="U8" s="131"/>
      <c r="V8" s="67"/>
      <c r="W8" s="210"/>
      <c r="X8" s="18"/>
      <c r="Y8" s="18"/>
    </row>
    <row r="9" spans="1:25" x14ac:dyDescent="0.25">
      <c r="E9" s="4"/>
      <c r="H9" s="4"/>
      <c r="I9" s="4"/>
      <c r="M9" s="4"/>
      <c r="N9" s="4"/>
      <c r="O9" s="4"/>
      <c r="P9" s="4"/>
      <c r="Q9" s="4"/>
      <c r="R9" s="212"/>
      <c r="S9" s="212"/>
      <c r="U9" s="4"/>
    </row>
    <row r="10" spans="1:25" x14ac:dyDescent="0.25">
      <c r="D10" s="31"/>
      <c r="E10" s="42"/>
      <c r="F10" s="6"/>
      <c r="G10" s="6"/>
      <c r="L10" s="183"/>
      <c r="M10" s="42"/>
      <c r="N10" s="42"/>
      <c r="R10" s="28"/>
      <c r="S10" s="28"/>
      <c r="T10" s="28"/>
      <c r="V10" s="34"/>
      <c r="W10" s="34"/>
    </row>
    <row r="11" spans="1:25" x14ac:dyDescent="0.25">
      <c r="A11" s="11" t="s">
        <v>308</v>
      </c>
      <c r="B11" s="14"/>
      <c r="C11" s="14"/>
      <c r="O11" s="6"/>
      <c r="P11" s="42"/>
      <c r="Q11" s="42"/>
      <c r="R11" s="6"/>
      <c r="S11" s="6"/>
      <c r="T11" s="183"/>
      <c r="U11" s="6"/>
    </row>
    <row r="12" spans="1:25" x14ac:dyDescent="0.25">
      <c r="B12" s="183"/>
      <c r="C12" s="183"/>
      <c r="D12" s="183"/>
      <c r="E12" s="183"/>
      <c r="H12" s="183"/>
      <c r="I12" s="183"/>
      <c r="L12" s="183"/>
      <c r="M12" s="183"/>
      <c r="N12" s="183"/>
      <c r="R12" s="183"/>
      <c r="S12" s="183"/>
      <c r="T12" s="183"/>
      <c r="V12" s="183"/>
      <c r="W12" s="183"/>
    </row>
    <row r="13" spans="1:25" s="183" customFormat="1" x14ac:dyDescent="0.25">
      <c r="A13" s="4"/>
      <c r="B13" s="10"/>
      <c r="C13" s="10"/>
      <c r="D13" s="4"/>
      <c r="E13" s="6"/>
      <c r="H13" s="6"/>
      <c r="I13" s="6"/>
      <c r="L13" s="4"/>
      <c r="M13" s="6"/>
      <c r="N13" s="6"/>
      <c r="P13" s="42"/>
      <c r="Q13" s="42"/>
      <c r="R13" s="4"/>
      <c r="S13" s="4"/>
      <c r="T13" s="4"/>
      <c r="V13" s="4"/>
      <c r="W13" s="4"/>
      <c r="X13" s="4"/>
      <c r="Y13" s="4"/>
    </row>
    <row r="14" spans="1:25" x14ac:dyDescent="0.25">
      <c r="A14" s="10"/>
      <c r="B14" s="183"/>
      <c r="C14" s="183"/>
      <c r="D14" s="183"/>
      <c r="E14" s="183"/>
      <c r="H14" s="183"/>
      <c r="I14" s="183"/>
      <c r="L14" s="183"/>
      <c r="M14" s="183"/>
      <c r="N14" s="183"/>
      <c r="P14" s="42"/>
      <c r="Q14" s="42"/>
      <c r="R14" s="183"/>
      <c r="S14" s="183"/>
      <c r="T14" s="183"/>
      <c r="V14" s="183"/>
      <c r="W14" s="183"/>
    </row>
    <row r="15" spans="1:25" s="183" customFormat="1" x14ac:dyDescent="0.25">
      <c r="A15" s="4"/>
      <c r="B15" s="7"/>
      <c r="C15" s="7"/>
      <c r="D15" s="42"/>
      <c r="E15" s="42"/>
      <c r="F15" s="42"/>
      <c r="L15" s="42"/>
      <c r="M15" s="29"/>
      <c r="N15" s="42"/>
      <c r="O15" s="42"/>
      <c r="P15" s="42"/>
      <c r="Q15" s="42"/>
      <c r="T15" s="42"/>
      <c r="U15" s="28"/>
      <c r="V15" s="28"/>
      <c r="W15" s="44"/>
      <c r="X15" s="4"/>
      <c r="Y15" s="4"/>
    </row>
    <row r="16" spans="1:25" x14ac:dyDescent="0.25">
      <c r="B16" s="7"/>
      <c r="C16" s="7"/>
      <c r="D16" s="42"/>
      <c r="E16" s="42"/>
      <c r="F16" s="42"/>
      <c r="H16" s="183"/>
      <c r="I16" s="183"/>
      <c r="L16" s="42"/>
      <c r="M16" s="29"/>
      <c r="N16" s="42"/>
      <c r="O16" s="42"/>
      <c r="P16" s="42"/>
      <c r="Q16" s="42"/>
      <c r="R16" s="183"/>
      <c r="S16" s="183"/>
      <c r="T16" s="42"/>
      <c r="U16" s="28"/>
      <c r="V16" s="28"/>
      <c r="W16" s="44"/>
    </row>
    <row r="17" spans="1:23" x14ac:dyDescent="0.25">
      <c r="D17" s="12"/>
      <c r="E17" s="37"/>
      <c r="F17" s="4"/>
      <c r="G17" s="4"/>
      <c r="H17" s="14"/>
      <c r="I17" s="14"/>
      <c r="L17" s="41"/>
      <c r="M17" s="38"/>
      <c r="N17" s="41"/>
      <c r="O17" s="38"/>
      <c r="P17" s="14"/>
      <c r="Q17" s="14"/>
      <c r="R17" s="38"/>
      <c r="S17" s="38"/>
      <c r="T17" s="13"/>
      <c r="U17" s="13"/>
      <c r="V17" s="13"/>
      <c r="W17" s="37"/>
    </row>
    <row r="18" spans="1:23" x14ac:dyDescent="0.25">
      <c r="A18" s="77"/>
      <c r="E18" s="4"/>
      <c r="F18" s="4"/>
      <c r="G18" s="4"/>
      <c r="H18" s="4"/>
      <c r="I18" s="4"/>
      <c r="M18" s="4"/>
      <c r="O18" s="14"/>
      <c r="U18" s="4"/>
      <c r="V18" s="183"/>
      <c r="W18" s="183"/>
    </row>
  </sheetData>
  <autoFilter ref="B3:Y3" xr:uid="{6D8CD986-3823-2645-84B2-284C80001638}">
    <sortState xmlns:xlrd2="http://schemas.microsoft.com/office/spreadsheetml/2017/richdata2" ref="B4:Y228">
      <sortCondition ref="Q3:Q228"/>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1170-A1E0-2741-9FD2-046F7103DF78}">
  <sheetPr codeName="Sheet8"/>
  <dimension ref="A1:AA110"/>
  <sheetViews>
    <sheetView zoomScaleNormal="100" workbookViewId="0">
      <pane xSplit="2" ySplit="3" topLeftCell="C4" activePane="bottomRight" state="frozen"/>
      <selection pane="topRight" activeCell="C1" sqref="C1"/>
      <selection pane="bottomLeft" activeCell="A4" sqref="A4"/>
      <selection pane="bottomRight" activeCell="I2" sqref="I2"/>
    </sheetView>
  </sheetViews>
  <sheetFormatPr baseColWidth="10" defaultRowHeight="16" x14ac:dyDescent="0.2"/>
  <cols>
    <col min="1" max="1" width="4.83203125" style="33" customWidth="1"/>
    <col min="2" max="2" width="12.83203125" style="57" customWidth="1"/>
    <col min="3" max="3" width="14.83203125" style="58" customWidth="1"/>
    <col min="4" max="4" width="20.5" style="58" customWidth="1"/>
    <col min="5" max="5" width="12.83203125" style="54" customWidth="1"/>
    <col min="6" max="6" width="12.83203125" style="55" customWidth="1"/>
    <col min="7" max="8" width="12.83203125" style="59" customWidth="1"/>
    <col min="9" max="9" width="12.83203125" style="56" customWidth="1"/>
    <col min="10" max="10" width="12.83203125" style="59" customWidth="1"/>
    <col min="11" max="11" width="12.83203125" style="57" customWidth="1"/>
    <col min="12" max="12" width="16.1640625" style="33" customWidth="1"/>
    <col min="13" max="13" width="16.1640625" style="183" customWidth="1"/>
    <col min="14" max="18" width="16.1640625" style="89" customWidth="1"/>
    <col min="19" max="20" width="14.83203125" style="33" customWidth="1"/>
    <col min="21" max="21" width="30.83203125" style="33" customWidth="1"/>
    <col min="22" max="22" width="20.83203125" style="89" customWidth="1"/>
    <col min="23" max="23" width="30.83203125" style="89" customWidth="1"/>
    <col min="24" max="24" width="20.83203125" style="89" customWidth="1"/>
    <col min="25" max="25" width="80.83203125" style="89" customWidth="1"/>
    <col min="26" max="26" width="69.33203125" style="57" customWidth="1"/>
    <col min="27" max="27" width="12.83203125" style="58" customWidth="1"/>
    <col min="28" max="16384" width="10.83203125" style="33"/>
  </cols>
  <sheetData>
    <row r="1" spans="1:27" s="4" customFormat="1" ht="21" x14ac:dyDescent="0.25">
      <c r="A1" s="63" t="s">
        <v>129</v>
      </c>
      <c r="B1" s="21" t="s">
        <v>132</v>
      </c>
      <c r="C1" s="21"/>
      <c r="D1" s="21"/>
      <c r="F1" s="56"/>
      <c r="G1" s="58"/>
      <c r="H1" s="58"/>
      <c r="I1" s="57"/>
      <c r="J1" s="58"/>
      <c r="K1" s="57"/>
      <c r="N1" s="115"/>
      <c r="O1" s="115"/>
      <c r="P1" s="115"/>
      <c r="Q1" s="115"/>
      <c r="R1" s="115"/>
      <c r="S1" s="115"/>
      <c r="T1" s="115"/>
      <c r="U1" s="33"/>
      <c r="V1" s="89"/>
      <c r="W1" s="89"/>
      <c r="X1" s="89"/>
      <c r="Y1" s="89"/>
      <c r="Z1" s="33"/>
      <c r="AA1" s="53"/>
    </row>
    <row r="2" spans="1:27" s="3" customFormat="1" ht="60" x14ac:dyDescent="0.2">
      <c r="B2" s="22" t="s">
        <v>54</v>
      </c>
      <c r="C2" s="22" t="s">
        <v>14</v>
      </c>
      <c r="D2" s="22" t="s">
        <v>801</v>
      </c>
      <c r="E2" s="22" t="s">
        <v>53</v>
      </c>
      <c r="F2" s="22" t="s">
        <v>447</v>
      </c>
      <c r="G2" s="22" t="s">
        <v>873</v>
      </c>
      <c r="H2" s="22" t="s">
        <v>873</v>
      </c>
      <c r="I2" s="22" t="s">
        <v>872</v>
      </c>
      <c r="J2" s="22" t="s">
        <v>872</v>
      </c>
      <c r="K2" s="22" t="s">
        <v>30</v>
      </c>
      <c r="L2" s="22" t="s">
        <v>448</v>
      </c>
      <c r="M2" s="22" t="s">
        <v>624</v>
      </c>
      <c r="N2" s="22" t="s">
        <v>608</v>
      </c>
      <c r="O2" s="22" t="s">
        <v>609</v>
      </c>
      <c r="P2" s="22" t="s">
        <v>458</v>
      </c>
      <c r="Q2" s="22" t="s">
        <v>457</v>
      </c>
      <c r="R2" s="22" t="s">
        <v>610</v>
      </c>
      <c r="S2" s="22" t="s">
        <v>446</v>
      </c>
      <c r="T2" s="22" t="s">
        <v>445</v>
      </c>
      <c r="U2" s="22" t="s">
        <v>432</v>
      </c>
      <c r="V2" s="22" t="s">
        <v>433</v>
      </c>
      <c r="W2" s="22" t="s">
        <v>434</v>
      </c>
      <c r="X2" s="22" t="s">
        <v>435</v>
      </c>
      <c r="Y2" s="22" t="s">
        <v>428</v>
      </c>
      <c r="Z2" s="22" t="s">
        <v>32</v>
      </c>
      <c r="AA2" s="22" t="s">
        <v>449</v>
      </c>
    </row>
    <row r="3" spans="1:27" s="3" customFormat="1" ht="20" x14ac:dyDescent="0.2">
      <c r="B3" s="17"/>
      <c r="C3" s="17"/>
      <c r="D3" s="17"/>
      <c r="E3" s="17"/>
      <c r="F3" s="17" t="s">
        <v>55</v>
      </c>
      <c r="G3" s="17" t="s">
        <v>58</v>
      </c>
      <c r="H3" s="17" t="s">
        <v>611</v>
      </c>
      <c r="I3" s="17" t="s">
        <v>58</v>
      </c>
      <c r="J3" s="17" t="s">
        <v>611</v>
      </c>
      <c r="K3" s="17" t="s">
        <v>56</v>
      </c>
      <c r="L3" s="17" t="s">
        <v>637</v>
      </c>
      <c r="M3" s="17"/>
      <c r="N3" s="17" t="s">
        <v>57</v>
      </c>
      <c r="O3" s="17" t="s">
        <v>57</v>
      </c>
      <c r="P3" s="17" t="s">
        <v>459</v>
      </c>
      <c r="Q3" s="17" t="s">
        <v>459</v>
      </c>
      <c r="R3" s="17"/>
      <c r="S3" s="17" t="s">
        <v>20</v>
      </c>
      <c r="T3" s="17" t="s">
        <v>20</v>
      </c>
      <c r="U3" s="18"/>
      <c r="V3" s="92"/>
      <c r="W3" s="92"/>
      <c r="X3" s="92"/>
      <c r="Y3" s="92"/>
      <c r="Z3" s="18"/>
      <c r="AA3" s="18"/>
    </row>
    <row r="4" spans="1:27" s="3" customFormat="1" ht="20" x14ac:dyDescent="0.2">
      <c r="B4" s="121" t="s">
        <v>327</v>
      </c>
      <c r="C4" s="46" t="s">
        <v>204</v>
      </c>
      <c r="D4" s="46" t="s">
        <v>529</v>
      </c>
      <c r="E4" s="67">
        <v>1</v>
      </c>
      <c r="F4" s="46" t="s">
        <v>127</v>
      </c>
      <c r="G4" s="122">
        <v>110</v>
      </c>
      <c r="H4" s="122">
        <f t="shared" ref="H4:H35" si="0">G4/1.62</f>
        <v>67.901234567901227</v>
      </c>
      <c r="I4" s="122">
        <v>110</v>
      </c>
      <c r="J4" s="122">
        <f t="shared" ref="J4:J35" si="1">I4/1.62</f>
        <v>67.901234567901227</v>
      </c>
      <c r="K4" s="120">
        <v>138</v>
      </c>
      <c r="L4" s="202" cm="1">
        <f t="array" ref="L4">_xlfn.XLOOKUP($K4,Inputs!C$6:C$23,Inputs!$D$6:D$23)*$I4</f>
        <v>47.69285714285715</v>
      </c>
      <c r="M4" s="201">
        <f t="shared" ref="M4:M35" si="2">IF((42.4*(J4)^(-0.6595))&gt;=3,3,(IF(42.4*(J4)^(-0.6595)&lt;=0.5,0.5,(42.4*(J4)^(-0.6595)))))</f>
        <v>2.6256844539679496</v>
      </c>
      <c r="N4" s="101"/>
      <c r="O4" s="101"/>
      <c r="P4" s="101"/>
      <c r="Q4" s="101"/>
      <c r="R4" s="101"/>
      <c r="S4" s="205">
        <f>_xlfn.XLOOKUP($K4,Inputs!$G$6:$G$23,Inputs!$J$6:$J$23)*$M4</f>
        <v>123.40716933649362</v>
      </c>
      <c r="T4" s="205">
        <f>_xlfn.XLOOKUP($K4,Inputs!$G$6:$G$23,Inputs!$K$6:$K$23)*$M4</f>
        <v>136.53559160633338</v>
      </c>
      <c r="U4" s="121" t="s">
        <v>208</v>
      </c>
      <c r="V4" s="93" t="s">
        <v>715</v>
      </c>
      <c r="W4" s="121" t="s">
        <v>440</v>
      </c>
      <c r="X4" s="93" t="s">
        <v>706</v>
      </c>
      <c r="Y4" s="93"/>
      <c r="Z4" s="18"/>
      <c r="AA4" s="67">
        <v>1</v>
      </c>
    </row>
    <row r="5" spans="1:27" s="3" customFormat="1" ht="20" x14ac:dyDescent="0.2">
      <c r="B5" s="121" t="s">
        <v>367</v>
      </c>
      <c r="C5" s="46" t="s">
        <v>204</v>
      </c>
      <c r="D5" s="46" t="s">
        <v>529</v>
      </c>
      <c r="E5" s="67">
        <v>1</v>
      </c>
      <c r="F5" s="46" t="s">
        <v>127</v>
      </c>
      <c r="G5" s="122">
        <v>120</v>
      </c>
      <c r="H5" s="122">
        <f t="shared" si="0"/>
        <v>74.074074074074076</v>
      </c>
      <c r="I5" s="122">
        <v>120</v>
      </c>
      <c r="J5" s="122">
        <f t="shared" si="1"/>
        <v>74.074074074074076</v>
      </c>
      <c r="K5" s="120">
        <v>230</v>
      </c>
      <c r="L5" s="202" cm="1">
        <f t="array" ref="L5">_xlfn.XLOOKUP($K5,Inputs!C$6:C$23,Inputs!$D$6:D$23)*$I5</f>
        <v>57.599999999999994</v>
      </c>
      <c r="M5" s="201">
        <f t="shared" si="2"/>
        <v>2.479253739246511</v>
      </c>
      <c r="N5" s="101"/>
      <c r="O5" s="101"/>
      <c r="P5" s="101"/>
      <c r="Q5" s="101"/>
      <c r="R5" s="101"/>
      <c r="S5" s="205">
        <f>_xlfn.XLOOKUP($K5,Inputs!$G$6:$G$23,Inputs!$J$6:$J$23)*$M5</f>
        <v>332.22000105903248</v>
      </c>
      <c r="T5" s="205">
        <f>_xlfn.XLOOKUP($K5,Inputs!$G$6:$G$23,Inputs!$K$6:$K$23)*$M5</f>
        <v>359.49179219074409</v>
      </c>
      <c r="U5" s="121" t="s">
        <v>208</v>
      </c>
      <c r="V5" s="93" t="s">
        <v>715</v>
      </c>
      <c r="W5" s="121" t="s">
        <v>392</v>
      </c>
      <c r="X5" s="93" t="s">
        <v>711</v>
      </c>
      <c r="Y5" s="93"/>
      <c r="Z5" s="18" t="s">
        <v>545</v>
      </c>
      <c r="AA5" s="67">
        <v>2</v>
      </c>
    </row>
    <row r="6" spans="1:27" s="81" customFormat="1" ht="20" x14ac:dyDescent="0.2">
      <c r="B6" s="121" t="s">
        <v>345</v>
      </c>
      <c r="C6" s="46" t="s">
        <v>204</v>
      </c>
      <c r="D6" s="46" t="s">
        <v>529</v>
      </c>
      <c r="E6" s="67">
        <v>1</v>
      </c>
      <c r="F6" s="46" t="s">
        <v>127</v>
      </c>
      <c r="G6" s="122">
        <v>10</v>
      </c>
      <c r="H6" s="122">
        <f t="shared" si="0"/>
        <v>6.1728395061728394</v>
      </c>
      <c r="I6" s="122">
        <v>10</v>
      </c>
      <c r="J6" s="122">
        <f t="shared" si="1"/>
        <v>6.1728395061728394</v>
      </c>
      <c r="K6" s="120">
        <v>230</v>
      </c>
      <c r="L6" s="202" cm="1">
        <f t="array" ref="L6">_xlfn.XLOOKUP($K6,Inputs!C$6:C$23,Inputs!$D$6:D$23)*$I6</f>
        <v>4.8</v>
      </c>
      <c r="M6" s="201">
        <f t="shared" si="2"/>
        <v>3</v>
      </c>
      <c r="N6" s="101"/>
      <c r="O6" s="101"/>
      <c r="P6" s="101"/>
      <c r="Q6" s="101"/>
      <c r="R6" s="101"/>
      <c r="S6" s="228">
        <v>150</v>
      </c>
      <c r="T6" s="228">
        <v>150</v>
      </c>
      <c r="U6" s="121" t="s">
        <v>442</v>
      </c>
      <c r="V6" s="93" t="s">
        <v>697</v>
      </c>
      <c r="W6" s="121" t="s">
        <v>546</v>
      </c>
      <c r="X6" s="93" t="s">
        <v>487</v>
      </c>
      <c r="Y6" s="147" t="s">
        <v>824</v>
      </c>
      <c r="Z6" s="18" t="s">
        <v>825</v>
      </c>
      <c r="AA6" s="67">
        <v>3</v>
      </c>
    </row>
    <row r="7" spans="1:27" s="81" customFormat="1" ht="20" x14ac:dyDescent="0.2">
      <c r="B7" s="121" t="s">
        <v>341</v>
      </c>
      <c r="C7" s="46" t="s">
        <v>204</v>
      </c>
      <c r="D7" s="46" t="s">
        <v>529</v>
      </c>
      <c r="E7" s="67">
        <v>1</v>
      </c>
      <c r="F7" s="46" t="s">
        <v>127</v>
      </c>
      <c r="G7" s="122">
        <v>140</v>
      </c>
      <c r="H7" s="122">
        <f t="shared" si="0"/>
        <v>86.419753086419746</v>
      </c>
      <c r="I7" s="122">
        <v>140</v>
      </c>
      <c r="J7" s="122">
        <f t="shared" si="1"/>
        <v>86.419753086419746</v>
      </c>
      <c r="K7" s="120">
        <v>230</v>
      </c>
      <c r="L7" s="202" cm="1">
        <f t="array" ref="L7">_xlfn.XLOOKUP($K7,Inputs!C$6:C$23,Inputs!$D$6:D$23)*$I7</f>
        <v>67.2</v>
      </c>
      <c r="M7" s="201">
        <f t="shared" si="2"/>
        <v>2.2395954120969481</v>
      </c>
      <c r="N7" s="101"/>
      <c r="O7" s="101"/>
      <c r="P7" s="101"/>
      <c r="Q7" s="101"/>
      <c r="R7" s="101"/>
      <c r="S7" s="205">
        <f>_xlfn.XLOOKUP($K7,Inputs!$G$6:$G$23,Inputs!$J$6:$J$23)*$M7</f>
        <v>300.10578522099104</v>
      </c>
      <c r="T7" s="205">
        <f>_xlfn.XLOOKUP($K7,Inputs!$G$6:$G$23,Inputs!$K$6:$K$23)*$M7</f>
        <v>324.7413347540575</v>
      </c>
      <c r="U7" s="121" t="s">
        <v>442</v>
      </c>
      <c r="V7" s="93" t="s">
        <v>697</v>
      </c>
      <c r="W7" s="121" t="s">
        <v>348</v>
      </c>
      <c r="X7" s="93" t="s">
        <v>716</v>
      </c>
      <c r="Y7" s="93"/>
      <c r="Z7" s="18"/>
      <c r="AA7" s="67">
        <v>4</v>
      </c>
    </row>
    <row r="8" spans="1:27" s="81" customFormat="1" ht="20" x14ac:dyDescent="0.2">
      <c r="B8" s="121" t="s">
        <v>387</v>
      </c>
      <c r="C8" s="46" t="s">
        <v>204</v>
      </c>
      <c r="D8" s="46" t="s">
        <v>529</v>
      </c>
      <c r="E8" s="67">
        <v>1</v>
      </c>
      <c r="F8" s="46" t="s">
        <v>127</v>
      </c>
      <c r="G8" s="122">
        <v>150</v>
      </c>
      <c r="H8" s="122">
        <f t="shared" si="0"/>
        <v>92.592592592592581</v>
      </c>
      <c r="I8" s="122">
        <v>150</v>
      </c>
      <c r="J8" s="122">
        <f t="shared" si="1"/>
        <v>92.592592592592581</v>
      </c>
      <c r="K8" s="120">
        <v>230</v>
      </c>
      <c r="L8" s="202" cm="1">
        <f t="array" ref="L8">_xlfn.XLOOKUP($K8,Inputs!C$6:C$23,Inputs!$D$6:D$23)*$I8</f>
        <v>72</v>
      </c>
      <c r="M8" s="201">
        <f t="shared" si="2"/>
        <v>2.1399756087919681</v>
      </c>
      <c r="N8" s="101"/>
      <c r="O8" s="101"/>
      <c r="P8" s="101"/>
      <c r="Q8" s="101"/>
      <c r="R8" s="101"/>
      <c r="S8" s="205">
        <f>_xlfn.XLOOKUP($K8,Inputs!$G$6:$G$23,Inputs!$J$6:$J$23)*$M8</f>
        <v>286.75673157812372</v>
      </c>
      <c r="T8" s="205">
        <f>_xlfn.XLOOKUP($K8,Inputs!$G$6:$G$23,Inputs!$K$6:$K$23)*$M8</f>
        <v>310.29646327483539</v>
      </c>
      <c r="U8" s="121" t="s">
        <v>436</v>
      </c>
      <c r="V8" s="93" t="s">
        <v>709</v>
      </c>
      <c r="W8" s="121" t="s">
        <v>89</v>
      </c>
      <c r="X8" s="93" t="s">
        <v>707</v>
      </c>
      <c r="Y8" s="93"/>
      <c r="Z8" s="18"/>
      <c r="AA8" s="67">
        <v>5</v>
      </c>
    </row>
    <row r="9" spans="1:27" s="81" customFormat="1" ht="20" x14ac:dyDescent="0.2">
      <c r="B9" s="121" t="s">
        <v>365</v>
      </c>
      <c r="C9" s="46" t="s">
        <v>204</v>
      </c>
      <c r="D9" s="46" t="s">
        <v>529</v>
      </c>
      <c r="E9" s="67">
        <v>1</v>
      </c>
      <c r="F9" s="46" t="s">
        <v>127</v>
      </c>
      <c r="G9" s="122">
        <v>65</v>
      </c>
      <c r="H9" s="122">
        <f t="shared" si="0"/>
        <v>40.123456790123456</v>
      </c>
      <c r="I9" s="122">
        <v>65</v>
      </c>
      <c r="J9" s="122">
        <f t="shared" si="1"/>
        <v>40.123456790123456</v>
      </c>
      <c r="K9" s="120">
        <v>138</v>
      </c>
      <c r="L9" s="202" cm="1">
        <f t="array" ref="L9">_xlfn.XLOOKUP($K9,Inputs!C$6:C$23,Inputs!$D$6:D$23)*$I9</f>
        <v>28.18214285714286</v>
      </c>
      <c r="M9" s="201">
        <f t="shared" si="2"/>
        <v>3</v>
      </c>
      <c r="N9" s="101"/>
      <c r="O9" s="101"/>
      <c r="P9" s="101"/>
      <c r="Q9" s="101"/>
      <c r="R9" s="101"/>
      <c r="S9" s="205">
        <f>_xlfn.XLOOKUP($K9,Inputs!$G$6:$G$23,Inputs!$J$6:$J$23)*$M9</f>
        <v>141</v>
      </c>
      <c r="T9" s="205">
        <f>_xlfn.XLOOKUP($K9,Inputs!$G$6:$G$23,Inputs!$K$6:$K$23)*$M9</f>
        <v>156</v>
      </c>
      <c r="U9" s="121" t="s">
        <v>439</v>
      </c>
      <c r="V9" s="93" t="s">
        <v>736</v>
      </c>
      <c r="W9" s="121" t="s">
        <v>361</v>
      </c>
      <c r="X9" s="93" t="s">
        <v>740</v>
      </c>
      <c r="Y9" s="93"/>
      <c r="Z9" s="18"/>
      <c r="AA9" s="67">
        <v>6</v>
      </c>
    </row>
    <row r="10" spans="1:27" s="81" customFormat="1" ht="20" x14ac:dyDescent="0.2">
      <c r="B10" s="121" t="s">
        <v>310</v>
      </c>
      <c r="C10" s="46" t="s">
        <v>204</v>
      </c>
      <c r="D10" s="46" t="s">
        <v>529</v>
      </c>
      <c r="E10" s="67">
        <v>1</v>
      </c>
      <c r="F10" s="46" t="s">
        <v>127</v>
      </c>
      <c r="G10" s="122">
        <v>180</v>
      </c>
      <c r="H10" s="122">
        <f t="shared" si="0"/>
        <v>111.1111111111111</v>
      </c>
      <c r="I10" s="122">
        <v>180</v>
      </c>
      <c r="J10" s="122">
        <f t="shared" si="1"/>
        <v>111.1111111111111</v>
      </c>
      <c r="K10" s="120">
        <v>230</v>
      </c>
      <c r="L10" s="202" cm="1">
        <f t="array" ref="L10">_xlfn.XLOOKUP($K10,Inputs!C$6:C$23,Inputs!$D$6:D$23)*$I10</f>
        <v>86.399999999999991</v>
      </c>
      <c r="M10" s="201">
        <f t="shared" si="2"/>
        <v>1.8975306149195212</v>
      </c>
      <c r="N10" s="101"/>
      <c r="O10" s="101"/>
      <c r="P10" s="101"/>
      <c r="Q10" s="101"/>
      <c r="R10" s="101"/>
      <c r="S10" s="205">
        <f>_xlfn.XLOOKUP($K10,Inputs!$G$6:$G$23,Inputs!$J$6:$J$23)*$M10</f>
        <v>254.26910239921585</v>
      </c>
      <c r="T10" s="205">
        <f>_xlfn.XLOOKUP($K10,Inputs!$G$6:$G$23,Inputs!$K$6:$K$23)*$M10</f>
        <v>275.14193916333056</v>
      </c>
      <c r="U10" s="121" t="s">
        <v>437</v>
      </c>
      <c r="V10" s="93" t="s">
        <v>733</v>
      </c>
      <c r="W10" s="121" t="s">
        <v>439</v>
      </c>
      <c r="X10" s="93" t="s">
        <v>736</v>
      </c>
      <c r="Y10" s="93"/>
      <c r="Z10" s="18"/>
      <c r="AA10" s="67">
        <v>7</v>
      </c>
    </row>
    <row r="11" spans="1:27" s="81" customFormat="1" ht="20" x14ac:dyDescent="0.2">
      <c r="B11" s="121" t="s">
        <v>321</v>
      </c>
      <c r="C11" s="46" t="s">
        <v>204</v>
      </c>
      <c r="D11" s="46" t="s">
        <v>529</v>
      </c>
      <c r="E11" s="67">
        <v>1</v>
      </c>
      <c r="F11" s="46" t="s">
        <v>127</v>
      </c>
      <c r="G11" s="122">
        <v>130</v>
      </c>
      <c r="H11" s="122">
        <f t="shared" si="0"/>
        <v>80.246913580246911</v>
      </c>
      <c r="I11" s="122">
        <v>130</v>
      </c>
      <c r="J11" s="122">
        <f t="shared" si="1"/>
        <v>80.246913580246911</v>
      </c>
      <c r="K11" s="120">
        <v>138</v>
      </c>
      <c r="L11" s="202" cm="1">
        <f t="array" ref="L11">_xlfn.XLOOKUP($K11,Inputs!C$6:C$23,Inputs!$D$6:D$23)*$I11</f>
        <v>56.364285714285721</v>
      </c>
      <c r="M11" s="201">
        <f t="shared" si="2"/>
        <v>2.3517728255357628</v>
      </c>
      <c r="N11" s="101"/>
      <c r="O11" s="101"/>
      <c r="P11" s="101"/>
      <c r="Q11" s="101"/>
      <c r="R11" s="101"/>
      <c r="S11" s="205">
        <f>_xlfn.XLOOKUP($K11,Inputs!$G$6:$G$23,Inputs!$J$6:$J$23)*$M11</f>
        <v>110.53332280018085</v>
      </c>
      <c r="T11" s="205">
        <f>_xlfn.XLOOKUP($K11,Inputs!$G$6:$G$23,Inputs!$K$6:$K$23)*$M11</f>
        <v>122.29218692785966</v>
      </c>
      <c r="U11" s="121" t="s">
        <v>438</v>
      </c>
      <c r="V11" s="93" t="s">
        <v>741</v>
      </c>
      <c r="W11" s="121" t="s">
        <v>439</v>
      </c>
      <c r="X11" s="93" t="s">
        <v>736</v>
      </c>
      <c r="Y11" s="93"/>
      <c r="Z11" s="18"/>
      <c r="AA11" s="67">
        <v>8</v>
      </c>
    </row>
    <row r="12" spans="1:27" s="81" customFormat="1" ht="20" x14ac:dyDescent="0.2">
      <c r="B12" s="121" t="s">
        <v>388</v>
      </c>
      <c r="C12" s="46" t="s">
        <v>204</v>
      </c>
      <c r="D12" s="46" t="s">
        <v>529</v>
      </c>
      <c r="E12" s="67">
        <v>1</v>
      </c>
      <c r="F12" s="46" t="s">
        <v>127</v>
      </c>
      <c r="G12" s="122">
        <v>5</v>
      </c>
      <c r="H12" s="122">
        <f t="shared" si="0"/>
        <v>3.0864197530864197</v>
      </c>
      <c r="I12" s="122">
        <v>5</v>
      </c>
      <c r="J12" s="122">
        <f t="shared" si="1"/>
        <v>3.0864197530864197</v>
      </c>
      <c r="K12" s="120">
        <v>138</v>
      </c>
      <c r="L12" s="202" cm="1">
        <f t="array" ref="L12">_xlfn.XLOOKUP($K12,Inputs!C$6:C$23,Inputs!$D$6:D$23)*$I12</f>
        <v>2.1678571428571431</v>
      </c>
      <c r="M12" s="201">
        <f t="shared" si="2"/>
        <v>3</v>
      </c>
      <c r="N12" s="101"/>
      <c r="O12" s="101"/>
      <c r="P12" s="101"/>
      <c r="Q12" s="101"/>
      <c r="R12" s="101"/>
      <c r="S12" s="205">
        <f>_xlfn.XLOOKUP($K12,Inputs!$G$6:$G$23,Inputs!$J$6:$J$23)*$M12</f>
        <v>141</v>
      </c>
      <c r="T12" s="205">
        <f>_xlfn.XLOOKUP($K12,Inputs!$G$6:$G$23,Inputs!$K$6:$K$23)*$M12</f>
        <v>156</v>
      </c>
      <c r="U12" s="121" t="s">
        <v>436</v>
      </c>
      <c r="V12" s="93" t="s">
        <v>709</v>
      </c>
      <c r="W12" s="121" t="s">
        <v>336</v>
      </c>
      <c r="X12" s="93" t="s">
        <v>731</v>
      </c>
      <c r="Y12" s="93"/>
      <c r="Z12" s="18"/>
      <c r="AA12" s="67">
        <v>9</v>
      </c>
    </row>
    <row r="13" spans="1:27" s="81" customFormat="1" ht="20" x14ac:dyDescent="0.2">
      <c r="B13" s="121" t="s">
        <v>366</v>
      </c>
      <c r="C13" s="46" t="s">
        <v>204</v>
      </c>
      <c r="D13" s="46" t="s">
        <v>529</v>
      </c>
      <c r="E13" s="67">
        <v>1</v>
      </c>
      <c r="F13" s="46" t="s">
        <v>127</v>
      </c>
      <c r="G13" s="122">
        <v>65</v>
      </c>
      <c r="H13" s="122">
        <f t="shared" si="0"/>
        <v>40.123456790123456</v>
      </c>
      <c r="I13" s="122">
        <v>65</v>
      </c>
      <c r="J13" s="122">
        <f t="shared" si="1"/>
        <v>40.123456790123456</v>
      </c>
      <c r="K13" s="120">
        <v>138</v>
      </c>
      <c r="L13" s="202" cm="1">
        <f t="array" ref="L13">_xlfn.XLOOKUP($K13,Inputs!C$6:C$23,Inputs!$D$6:D$23)*$I13</f>
        <v>28.18214285714286</v>
      </c>
      <c r="M13" s="201">
        <f t="shared" si="2"/>
        <v>3</v>
      </c>
      <c r="N13" s="101"/>
      <c r="O13" s="101"/>
      <c r="P13" s="101"/>
      <c r="Q13" s="101"/>
      <c r="R13" s="101"/>
      <c r="S13" s="205">
        <f>_xlfn.XLOOKUP($K13,Inputs!$G$6:$G$23,Inputs!$J$6:$J$23)*$M13</f>
        <v>141</v>
      </c>
      <c r="T13" s="205">
        <f>_xlfn.XLOOKUP($K13,Inputs!$G$6:$G$23,Inputs!$K$6:$K$23)*$M13</f>
        <v>156</v>
      </c>
      <c r="U13" s="121" t="s">
        <v>439</v>
      </c>
      <c r="V13" s="93" t="s">
        <v>736</v>
      </c>
      <c r="W13" s="121" t="s">
        <v>361</v>
      </c>
      <c r="X13" s="93" t="s">
        <v>740</v>
      </c>
      <c r="Y13" s="93"/>
      <c r="Z13" s="18"/>
      <c r="AA13" s="67">
        <v>10</v>
      </c>
    </row>
    <row r="14" spans="1:27" s="81" customFormat="1" ht="20" x14ac:dyDescent="0.2">
      <c r="B14" s="121" t="s">
        <v>337</v>
      </c>
      <c r="C14" s="46" t="s">
        <v>204</v>
      </c>
      <c r="D14" s="46" t="s">
        <v>529</v>
      </c>
      <c r="E14" s="67">
        <v>1</v>
      </c>
      <c r="F14" s="46" t="s">
        <v>127</v>
      </c>
      <c r="G14" s="122">
        <v>180</v>
      </c>
      <c r="H14" s="122">
        <f t="shared" si="0"/>
        <v>111.1111111111111</v>
      </c>
      <c r="I14" s="122">
        <v>180</v>
      </c>
      <c r="J14" s="122">
        <f t="shared" si="1"/>
        <v>111.1111111111111</v>
      </c>
      <c r="K14" s="120">
        <v>230</v>
      </c>
      <c r="L14" s="202" cm="1">
        <f t="array" ref="L14">_xlfn.XLOOKUP($K14,Inputs!C$6:C$23,Inputs!$D$6:D$23)*$I14</f>
        <v>86.399999999999991</v>
      </c>
      <c r="M14" s="201">
        <f t="shared" si="2"/>
        <v>1.8975306149195212</v>
      </c>
      <c r="N14" s="101"/>
      <c r="O14" s="101"/>
      <c r="P14" s="101"/>
      <c r="Q14" s="101"/>
      <c r="R14" s="101"/>
      <c r="S14" s="205">
        <f>_xlfn.XLOOKUP($K14,Inputs!$G$6:$G$23,Inputs!$J$6:$J$23)*$M14</f>
        <v>254.26910239921585</v>
      </c>
      <c r="T14" s="205">
        <f>_xlfn.XLOOKUP($K14,Inputs!$G$6:$G$23,Inputs!$K$6:$K$23)*$M14</f>
        <v>275.14193916333056</v>
      </c>
      <c r="U14" s="121" t="s">
        <v>437</v>
      </c>
      <c r="V14" s="93" t="s">
        <v>733</v>
      </c>
      <c r="W14" s="121" t="s">
        <v>439</v>
      </c>
      <c r="X14" s="93" t="s">
        <v>736</v>
      </c>
      <c r="Y14" s="93"/>
      <c r="Z14" s="18"/>
      <c r="AA14" s="67">
        <v>11</v>
      </c>
    </row>
    <row r="15" spans="1:27" s="81" customFormat="1" ht="20" x14ac:dyDescent="0.2">
      <c r="B15" s="121" t="s">
        <v>309</v>
      </c>
      <c r="C15" s="46" t="s">
        <v>204</v>
      </c>
      <c r="D15" s="46" t="s">
        <v>529</v>
      </c>
      <c r="E15" s="67">
        <v>1</v>
      </c>
      <c r="F15" s="46" t="s">
        <v>127</v>
      </c>
      <c r="G15" s="122">
        <v>210</v>
      </c>
      <c r="H15" s="122">
        <f t="shared" si="0"/>
        <v>129.62962962962962</v>
      </c>
      <c r="I15" s="122">
        <v>210</v>
      </c>
      <c r="J15" s="122">
        <f t="shared" si="1"/>
        <v>129.62962962962962</v>
      </c>
      <c r="K15" s="120">
        <v>230</v>
      </c>
      <c r="L15" s="202" cm="1">
        <f t="array" ref="L15">_xlfn.XLOOKUP($K15,Inputs!C$6:C$23,Inputs!$D$6:D$23)*$I15</f>
        <v>100.8</v>
      </c>
      <c r="M15" s="201">
        <f t="shared" si="2"/>
        <v>1.7141048502678946</v>
      </c>
      <c r="N15" s="101"/>
      <c r="O15" s="101"/>
      <c r="P15" s="101"/>
      <c r="Q15" s="101"/>
      <c r="R15" s="101"/>
      <c r="S15" s="205">
        <f>_xlfn.XLOOKUP($K15,Inputs!$G$6:$G$23,Inputs!$J$6:$J$23)*$M15</f>
        <v>229.69004993589789</v>
      </c>
      <c r="T15" s="205">
        <f>_xlfn.XLOOKUP($K15,Inputs!$G$6:$G$23,Inputs!$K$6:$K$23)*$M15</f>
        <v>248.54520328884473</v>
      </c>
      <c r="U15" s="121" t="s">
        <v>559</v>
      </c>
      <c r="V15" s="93" t="s">
        <v>702</v>
      </c>
      <c r="W15" s="121" t="s">
        <v>442</v>
      </c>
      <c r="X15" s="93" t="s">
        <v>697</v>
      </c>
      <c r="Y15" s="93"/>
      <c r="Z15" s="18"/>
      <c r="AA15" s="67">
        <v>12</v>
      </c>
    </row>
    <row r="16" spans="1:27" s="81" customFormat="1" ht="20" x14ac:dyDescent="0.2">
      <c r="B16" s="121" t="s">
        <v>359</v>
      </c>
      <c r="C16" s="46" t="s">
        <v>204</v>
      </c>
      <c r="D16" s="46" t="s">
        <v>529</v>
      </c>
      <c r="E16" s="67">
        <v>1</v>
      </c>
      <c r="F16" s="46" t="s">
        <v>127</v>
      </c>
      <c r="G16" s="122">
        <v>55</v>
      </c>
      <c r="H16" s="122">
        <f t="shared" si="0"/>
        <v>33.950617283950614</v>
      </c>
      <c r="I16" s="122">
        <v>55</v>
      </c>
      <c r="J16" s="122">
        <f t="shared" si="1"/>
        <v>33.950617283950614</v>
      </c>
      <c r="K16" s="120">
        <v>138</v>
      </c>
      <c r="L16" s="202" cm="1">
        <f t="array" ref="L16">_xlfn.XLOOKUP($K16,Inputs!C$6:C$23,Inputs!$D$6:D$23)*$I16</f>
        <v>23.846428571428575</v>
      </c>
      <c r="M16" s="201">
        <f t="shared" si="2"/>
        <v>3</v>
      </c>
      <c r="N16" s="101"/>
      <c r="O16" s="101"/>
      <c r="P16" s="101"/>
      <c r="Q16" s="101"/>
      <c r="R16" s="101"/>
      <c r="S16" s="205">
        <f>_xlfn.XLOOKUP($K16,Inputs!$G$6:$G$23,Inputs!$J$6:$J$23)*$M16</f>
        <v>141</v>
      </c>
      <c r="T16" s="205">
        <f>_xlfn.XLOOKUP($K16,Inputs!$G$6:$G$23,Inputs!$K$6:$K$23)*$M16</f>
        <v>156</v>
      </c>
      <c r="U16" s="121" t="s">
        <v>439</v>
      </c>
      <c r="V16" s="93" t="s">
        <v>736</v>
      </c>
      <c r="W16" s="121" t="s">
        <v>360</v>
      </c>
      <c r="X16" s="93" t="s">
        <v>746</v>
      </c>
      <c r="Y16" s="93"/>
      <c r="Z16" s="18"/>
      <c r="AA16" s="67">
        <v>13</v>
      </c>
    </row>
    <row r="17" spans="2:27" s="81" customFormat="1" ht="20" x14ac:dyDescent="0.2">
      <c r="B17" s="121" t="s">
        <v>340</v>
      </c>
      <c r="C17" s="46" t="s">
        <v>204</v>
      </c>
      <c r="D17" s="46" t="s">
        <v>529</v>
      </c>
      <c r="E17" s="67">
        <v>1</v>
      </c>
      <c r="F17" s="46" t="s">
        <v>127</v>
      </c>
      <c r="G17" s="122">
        <v>95</v>
      </c>
      <c r="H17" s="122">
        <f t="shared" si="0"/>
        <v>58.641975308641975</v>
      </c>
      <c r="I17" s="122">
        <v>95</v>
      </c>
      <c r="J17" s="122">
        <f t="shared" si="1"/>
        <v>58.641975308641975</v>
      </c>
      <c r="K17" s="120">
        <v>138</v>
      </c>
      <c r="L17" s="202" cm="1">
        <f t="array" ref="L17">_xlfn.XLOOKUP($K17,Inputs!C$6:C$23,Inputs!$D$6:D$23)*$I17</f>
        <v>41.189285714285717</v>
      </c>
      <c r="M17" s="201">
        <f t="shared" si="2"/>
        <v>2.8922264332537342</v>
      </c>
      <c r="N17" s="101"/>
      <c r="O17" s="101"/>
      <c r="P17" s="101"/>
      <c r="Q17" s="101"/>
      <c r="R17" s="101"/>
      <c r="S17" s="205">
        <f>_xlfn.XLOOKUP($K17,Inputs!$G$6:$G$23,Inputs!$J$6:$J$23)*$M17</f>
        <v>135.9346423629255</v>
      </c>
      <c r="T17" s="205">
        <f>_xlfn.XLOOKUP($K17,Inputs!$G$6:$G$23,Inputs!$K$6:$K$23)*$M17</f>
        <v>150.39577452919417</v>
      </c>
      <c r="U17" s="121" t="s">
        <v>350</v>
      </c>
      <c r="V17" s="93" t="s">
        <v>712</v>
      </c>
      <c r="W17" s="121" t="s">
        <v>442</v>
      </c>
      <c r="X17" s="93" t="s">
        <v>697</v>
      </c>
      <c r="Y17" s="93"/>
      <c r="Z17" s="18"/>
      <c r="AA17" s="67">
        <v>14</v>
      </c>
    </row>
    <row r="18" spans="2:27" s="81" customFormat="1" ht="20" x14ac:dyDescent="0.2">
      <c r="B18" s="121" t="s">
        <v>328</v>
      </c>
      <c r="C18" s="46" t="s">
        <v>204</v>
      </c>
      <c r="D18" s="46" t="s">
        <v>529</v>
      </c>
      <c r="E18" s="67">
        <v>1</v>
      </c>
      <c r="F18" s="46" t="s">
        <v>127</v>
      </c>
      <c r="G18" s="122">
        <v>130</v>
      </c>
      <c r="H18" s="122">
        <f t="shared" si="0"/>
        <v>80.246913580246911</v>
      </c>
      <c r="I18" s="122">
        <v>130</v>
      </c>
      <c r="J18" s="122">
        <f t="shared" si="1"/>
        <v>80.246913580246911</v>
      </c>
      <c r="K18" s="120">
        <v>138</v>
      </c>
      <c r="L18" s="202" cm="1">
        <f t="array" ref="L18">_xlfn.XLOOKUP($K18,Inputs!C$6:C$23,Inputs!$D$6:D$23)*$I18</f>
        <v>56.364285714285721</v>
      </c>
      <c r="M18" s="201">
        <f t="shared" si="2"/>
        <v>2.3517728255357628</v>
      </c>
      <c r="N18" s="101"/>
      <c r="O18" s="101"/>
      <c r="P18" s="101"/>
      <c r="Q18" s="101"/>
      <c r="R18" s="101"/>
      <c r="S18" s="205">
        <f>_xlfn.XLOOKUP($K18,Inputs!$G$6:$G$23,Inputs!$J$6:$J$23)*$M18</f>
        <v>110.53332280018085</v>
      </c>
      <c r="T18" s="205">
        <f>_xlfn.XLOOKUP($K18,Inputs!$G$6:$G$23,Inputs!$K$6:$K$23)*$M18</f>
        <v>122.29218692785966</v>
      </c>
      <c r="U18" s="121" t="s">
        <v>442</v>
      </c>
      <c r="V18" s="93" t="s">
        <v>697</v>
      </c>
      <c r="W18" s="121" t="s">
        <v>443</v>
      </c>
      <c r="X18" s="93" t="s">
        <v>717</v>
      </c>
      <c r="Y18" s="93"/>
      <c r="Z18" s="18"/>
      <c r="AA18" s="67">
        <v>15</v>
      </c>
    </row>
    <row r="19" spans="2:27" s="81" customFormat="1" ht="20" x14ac:dyDescent="0.2">
      <c r="B19" s="121" t="s">
        <v>329</v>
      </c>
      <c r="C19" s="46" t="s">
        <v>204</v>
      </c>
      <c r="D19" s="46" t="s">
        <v>529</v>
      </c>
      <c r="E19" s="67">
        <v>1</v>
      </c>
      <c r="F19" s="46" t="s">
        <v>127</v>
      </c>
      <c r="G19" s="122">
        <v>210</v>
      </c>
      <c r="H19" s="122">
        <f t="shared" si="0"/>
        <v>129.62962962962962</v>
      </c>
      <c r="I19" s="122">
        <v>210</v>
      </c>
      <c r="J19" s="122">
        <f t="shared" si="1"/>
        <v>129.62962962962962</v>
      </c>
      <c r="K19" s="120">
        <v>230</v>
      </c>
      <c r="L19" s="202" cm="1">
        <f t="array" ref="L19">_xlfn.XLOOKUP($K19,Inputs!C$6:C$23,Inputs!$D$6:D$23)*$I19</f>
        <v>100.8</v>
      </c>
      <c r="M19" s="201">
        <f t="shared" si="2"/>
        <v>1.7141048502678946</v>
      </c>
      <c r="N19" s="101"/>
      <c r="O19" s="101"/>
      <c r="P19" s="101"/>
      <c r="Q19" s="101"/>
      <c r="R19" s="101"/>
      <c r="S19" s="205">
        <f>_xlfn.XLOOKUP($K19,Inputs!$G$6:$G$23,Inputs!$J$6:$J$23)*$M19</f>
        <v>229.69004993589789</v>
      </c>
      <c r="T19" s="205">
        <f>_xlfn.XLOOKUP($K19,Inputs!$G$6:$G$23,Inputs!$K$6:$K$23)*$M19</f>
        <v>248.54520328884473</v>
      </c>
      <c r="U19" s="121" t="s">
        <v>559</v>
      </c>
      <c r="V19" s="93" t="s">
        <v>702</v>
      </c>
      <c r="W19" s="121" t="s">
        <v>442</v>
      </c>
      <c r="X19" s="93" t="s">
        <v>697</v>
      </c>
      <c r="Y19" s="93"/>
      <c r="Z19" s="18"/>
      <c r="AA19" s="67">
        <v>16</v>
      </c>
    </row>
    <row r="20" spans="2:27" s="119" customFormat="1" ht="20" x14ac:dyDescent="0.2">
      <c r="B20" s="121" t="s">
        <v>362</v>
      </c>
      <c r="C20" s="46" t="s">
        <v>204</v>
      </c>
      <c r="D20" s="46" t="s">
        <v>529</v>
      </c>
      <c r="E20" s="67">
        <v>1</v>
      </c>
      <c r="F20" s="46" t="s">
        <v>127</v>
      </c>
      <c r="G20" s="122">
        <v>65</v>
      </c>
      <c r="H20" s="122">
        <f t="shared" si="0"/>
        <v>40.123456790123456</v>
      </c>
      <c r="I20" s="122">
        <v>65</v>
      </c>
      <c r="J20" s="122">
        <f t="shared" si="1"/>
        <v>40.123456790123456</v>
      </c>
      <c r="K20" s="120">
        <v>138</v>
      </c>
      <c r="L20" s="202" cm="1">
        <f t="array" ref="L20">_xlfn.XLOOKUP($K20,Inputs!C$6:C$23,Inputs!$D$6:D$23)*$I20</f>
        <v>28.18214285714286</v>
      </c>
      <c r="M20" s="201">
        <f t="shared" si="2"/>
        <v>3</v>
      </c>
      <c r="N20" s="101"/>
      <c r="O20" s="101"/>
      <c r="P20" s="101"/>
      <c r="Q20" s="101"/>
      <c r="R20" s="101"/>
      <c r="S20" s="205">
        <f>_xlfn.XLOOKUP($K20,Inputs!$G$6:$G$23,Inputs!$J$6:$J$23)*$M20</f>
        <v>141</v>
      </c>
      <c r="T20" s="205">
        <f>_xlfn.XLOOKUP($K20,Inputs!$G$6:$G$23,Inputs!$K$6:$K$23)*$M20</f>
        <v>156</v>
      </c>
      <c r="U20" s="121" t="s">
        <v>439</v>
      </c>
      <c r="V20" s="93" t="s">
        <v>736</v>
      </c>
      <c r="W20" s="121" t="s">
        <v>364</v>
      </c>
      <c r="X20" s="93" t="s">
        <v>745</v>
      </c>
      <c r="Y20" s="93"/>
      <c r="Z20" s="18"/>
      <c r="AA20" s="67">
        <v>17</v>
      </c>
    </row>
    <row r="21" spans="2:27" s="119" customFormat="1" ht="20" x14ac:dyDescent="0.2">
      <c r="B21" s="121" t="s">
        <v>369</v>
      </c>
      <c r="C21" s="46" t="s">
        <v>204</v>
      </c>
      <c r="D21" s="46" t="s">
        <v>529</v>
      </c>
      <c r="E21" s="67">
        <v>1</v>
      </c>
      <c r="F21" s="46" t="s">
        <v>127</v>
      </c>
      <c r="G21" s="122">
        <v>15</v>
      </c>
      <c r="H21" s="122">
        <f t="shared" si="0"/>
        <v>9.2592592592592595</v>
      </c>
      <c r="I21" s="122">
        <v>15</v>
      </c>
      <c r="J21" s="122">
        <f t="shared" si="1"/>
        <v>9.2592592592592595</v>
      </c>
      <c r="K21" s="120">
        <v>138</v>
      </c>
      <c r="L21" s="202" cm="1">
        <f t="array" ref="L21">_xlfn.XLOOKUP($K21,Inputs!C$6:C$23,Inputs!$D$6:D$23)*$I21</f>
        <v>6.503571428571429</v>
      </c>
      <c r="M21" s="201">
        <f t="shared" si="2"/>
        <v>3</v>
      </c>
      <c r="N21" s="101"/>
      <c r="O21" s="101"/>
      <c r="P21" s="101"/>
      <c r="Q21" s="101"/>
      <c r="R21" s="101"/>
      <c r="S21" s="205">
        <f>_xlfn.XLOOKUP($K21,Inputs!$G$6:$G$23,Inputs!$J$6:$J$23)*$M21</f>
        <v>141</v>
      </c>
      <c r="T21" s="205">
        <f>_xlfn.XLOOKUP($K21,Inputs!$G$6:$G$23,Inputs!$K$6:$K$23)*$M21</f>
        <v>156</v>
      </c>
      <c r="U21" s="121" t="s">
        <v>440</v>
      </c>
      <c r="V21" s="93" t="s">
        <v>706</v>
      </c>
      <c r="W21" s="121" t="s">
        <v>389</v>
      </c>
      <c r="X21" s="93" t="s">
        <v>743</v>
      </c>
      <c r="Y21" s="93"/>
      <c r="Z21" s="18"/>
      <c r="AA21" s="67">
        <v>18</v>
      </c>
    </row>
    <row r="22" spans="2:27" s="119" customFormat="1" ht="20" x14ac:dyDescent="0.2">
      <c r="B22" s="158" t="s">
        <v>550</v>
      </c>
      <c r="C22" s="46" t="s">
        <v>77</v>
      </c>
      <c r="D22" s="46" t="s">
        <v>529</v>
      </c>
      <c r="E22" s="67">
        <v>1</v>
      </c>
      <c r="F22" s="46" t="s">
        <v>127</v>
      </c>
      <c r="G22" s="122">
        <v>30</v>
      </c>
      <c r="H22" s="122">
        <f t="shared" si="0"/>
        <v>18.518518518518519</v>
      </c>
      <c r="I22" s="122">
        <v>30</v>
      </c>
      <c r="J22" s="122">
        <f t="shared" si="1"/>
        <v>18.518518518518519</v>
      </c>
      <c r="K22" s="159">
        <v>230</v>
      </c>
      <c r="L22" s="202" cm="1">
        <f t="array" ref="L22">_xlfn.XLOOKUP($K22,Inputs!C$6:C$23,Inputs!$D$6:D$23)*$I22</f>
        <v>14.399999999999999</v>
      </c>
      <c r="M22" s="201">
        <f t="shared" si="2"/>
        <v>3</v>
      </c>
      <c r="N22" s="101"/>
      <c r="O22" s="101"/>
      <c r="P22" s="101"/>
      <c r="Q22" s="101"/>
      <c r="R22" s="101"/>
      <c r="S22" s="205">
        <f>_xlfn.XLOOKUP($K22,Inputs!$G$6:$G$23,Inputs!$J$6:$J$23)*$M22</f>
        <v>402</v>
      </c>
      <c r="T22" s="205">
        <f>_xlfn.XLOOKUP($K22,Inputs!$G$6:$G$23,Inputs!$K$6:$K$23)*$M22</f>
        <v>435</v>
      </c>
      <c r="U22" s="19" t="s">
        <v>128</v>
      </c>
      <c r="V22" s="93" t="s">
        <v>708</v>
      </c>
      <c r="W22" s="19" t="s">
        <v>806</v>
      </c>
      <c r="X22" s="93" t="s">
        <v>549</v>
      </c>
      <c r="Y22" s="93"/>
      <c r="Z22" s="92" t="s">
        <v>871</v>
      </c>
      <c r="AA22" s="67">
        <v>73</v>
      </c>
    </row>
    <row r="23" spans="2:27" s="119" customFormat="1" ht="20" x14ac:dyDescent="0.2">
      <c r="B23" s="121" t="s">
        <v>380</v>
      </c>
      <c r="C23" s="46" t="s">
        <v>204</v>
      </c>
      <c r="D23" s="46" t="s">
        <v>529</v>
      </c>
      <c r="E23" s="67">
        <v>1</v>
      </c>
      <c r="F23" s="46" t="s">
        <v>127</v>
      </c>
      <c r="G23" s="122">
        <v>170</v>
      </c>
      <c r="H23" s="122">
        <f t="shared" si="0"/>
        <v>104.93827160493827</v>
      </c>
      <c r="I23" s="122">
        <v>170</v>
      </c>
      <c r="J23" s="122">
        <f t="shared" si="1"/>
        <v>104.93827160493827</v>
      </c>
      <c r="K23" s="120">
        <v>230</v>
      </c>
      <c r="L23" s="202" cm="1">
        <f t="array" ref="L23">_xlfn.XLOOKUP($K23,Inputs!C$6:C$23,Inputs!$D$6:D$23)*$I23</f>
        <v>81.599999999999994</v>
      </c>
      <c r="M23" s="201">
        <f t="shared" si="2"/>
        <v>1.9704251633621157</v>
      </c>
      <c r="N23" s="101"/>
      <c r="O23" s="101"/>
      <c r="P23" s="101"/>
      <c r="Q23" s="101"/>
      <c r="R23" s="101"/>
      <c r="S23" s="205">
        <f>_xlfn.XLOOKUP($K23,Inputs!$G$6:$G$23,Inputs!$J$6:$J$23)*$M23</f>
        <v>264.03697189052349</v>
      </c>
      <c r="T23" s="205">
        <f>_xlfn.XLOOKUP($K23,Inputs!$G$6:$G$23,Inputs!$K$6:$K$23)*$M23</f>
        <v>285.71164868750679</v>
      </c>
      <c r="U23" s="121" t="s">
        <v>436</v>
      </c>
      <c r="V23" s="93" t="s">
        <v>709</v>
      </c>
      <c r="W23" s="121" t="s">
        <v>88</v>
      </c>
      <c r="X23" s="93" t="s">
        <v>729</v>
      </c>
      <c r="Y23" s="93"/>
      <c r="Z23" s="18"/>
      <c r="AA23" s="67">
        <v>19</v>
      </c>
    </row>
    <row r="24" spans="2:27" s="119" customFormat="1" ht="20" x14ac:dyDescent="0.2">
      <c r="B24" s="121" t="s">
        <v>318</v>
      </c>
      <c r="C24" s="46" t="s">
        <v>204</v>
      </c>
      <c r="D24" s="46" t="s">
        <v>529</v>
      </c>
      <c r="E24" s="67">
        <v>1</v>
      </c>
      <c r="F24" s="46" t="s">
        <v>127</v>
      </c>
      <c r="G24" s="122">
        <v>90</v>
      </c>
      <c r="H24" s="122">
        <f t="shared" si="0"/>
        <v>55.55555555555555</v>
      </c>
      <c r="I24" s="122">
        <v>90</v>
      </c>
      <c r="J24" s="122">
        <f t="shared" si="1"/>
        <v>55.55555555555555</v>
      </c>
      <c r="K24" s="120">
        <v>230</v>
      </c>
      <c r="L24" s="202" cm="1">
        <f t="array" ref="L24">_xlfn.XLOOKUP($K24,Inputs!C$6:C$23,Inputs!$D$6:D$23)*$I24</f>
        <v>43.199999999999996</v>
      </c>
      <c r="M24" s="201">
        <f t="shared" si="2"/>
        <v>2.9972162166153491</v>
      </c>
      <c r="N24" s="101"/>
      <c r="O24" s="101"/>
      <c r="P24" s="101"/>
      <c r="Q24" s="101"/>
      <c r="R24" s="101"/>
      <c r="S24" s="205">
        <f>_xlfn.XLOOKUP($K24,Inputs!$G$6:$G$23,Inputs!$J$6:$J$23)*$M24</f>
        <v>401.62697302645677</v>
      </c>
      <c r="T24" s="205">
        <f>_xlfn.XLOOKUP($K24,Inputs!$G$6:$G$23,Inputs!$K$6:$K$23)*$M24</f>
        <v>434.59635140922563</v>
      </c>
      <c r="U24" s="121" t="s">
        <v>439</v>
      </c>
      <c r="V24" s="93" t="s">
        <v>736</v>
      </c>
      <c r="W24" s="121" t="s">
        <v>346</v>
      </c>
      <c r="X24" s="93" t="s">
        <v>738</v>
      </c>
      <c r="Y24" s="93"/>
      <c r="Z24" s="18"/>
      <c r="AA24" s="67">
        <v>20</v>
      </c>
    </row>
    <row r="25" spans="2:27" s="119" customFormat="1" ht="20" x14ac:dyDescent="0.2">
      <c r="B25" s="121" t="s">
        <v>376</v>
      </c>
      <c r="C25" s="46" t="s">
        <v>204</v>
      </c>
      <c r="D25" s="46" t="s">
        <v>529</v>
      </c>
      <c r="E25" s="67">
        <v>1</v>
      </c>
      <c r="F25" s="46" t="s">
        <v>127</v>
      </c>
      <c r="G25" s="122">
        <v>200</v>
      </c>
      <c r="H25" s="122">
        <f t="shared" si="0"/>
        <v>123.45679012345678</v>
      </c>
      <c r="I25" s="122">
        <v>200</v>
      </c>
      <c r="J25" s="122">
        <f t="shared" si="1"/>
        <v>123.45679012345678</v>
      </c>
      <c r="K25" s="120">
        <v>138</v>
      </c>
      <c r="L25" s="202" cm="1">
        <f t="array" ref="L25">_xlfn.XLOOKUP($K25,Inputs!C$6:C$23,Inputs!$D$6:D$23)*$I25</f>
        <v>86.714285714285722</v>
      </c>
      <c r="M25" s="201">
        <f t="shared" si="2"/>
        <v>1.7701567543182388</v>
      </c>
      <c r="N25" s="101"/>
      <c r="O25" s="101"/>
      <c r="P25" s="101"/>
      <c r="Q25" s="101"/>
      <c r="R25" s="101"/>
      <c r="S25" s="205">
        <f>_xlfn.XLOOKUP($K25,Inputs!$G$6:$G$23,Inputs!$J$6:$J$23)*$M25</f>
        <v>83.197367452957224</v>
      </c>
      <c r="T25" s="205">
        <f>_xlfn.XLOOKUP($K25,Inputs!$G$6:$G$23,Inputs!$K$6:$K$23)*$M25</f>
        <v>92.04815122454842</v>
      </c>
      <c r="U25" s="121" t="s">
        <v>83</v>
      </c>
      <c r="V25" s="93" t="s">
        <v>724</v>
      </c>
      <c r="W25" s="121" t="s">
        <v>377</v>
      </c>
      <c r="X25" s="93" t="s">
        <v>726</v>
      </c>
      <c r="Y25" s="93"/>
      <c r="Z25" s="18"/>
      <c r="AA25" s="67">
        <v>21</v>
      </c>
    </row>
    <row r="26" spans="2:27" s="119" customFormat="1" ht="20" x14ac:dyDescent="0.2">
      <c r="B26" s="121" t="s">
        <v>398</v>
      </c>
      <c r="C26" s="46" t="s">
        <v>204</v>
      </c>
      <c r="D26" s="46" t="s">
        <v>529</v>
      </c>
      <c r="E26" s="67">
        <v>1</v>
      </c>
      <c r="F26" s="46" t="s">
        <v>127</v>
      </c>
      <c r="G26" s="122">
        <v>20</v>
      </c>
      <c r="H26" s="122">
        <f t="shared" si="0"/>
        <v>12.345679012345679</v>
      </c>
      <c r="I26" s="122">
        <v>20</v>
      </c>
      <c r="J26" s="122">
        <f t="shared" si="1"/>
        <v>12.345679012345679</v>
      </c>
      <c r="K26" s="120">
        <v>138</v>
      </c>
      <c r="L26" s="202" cm="1">
        <f t="array" ref="L26">_xlfn.XLOOKUP($K26,Inputs!C$6:C$23,Inputs!$D$6:D$23)*$I26</f>
        <v>8.6714285714285726</v>
      </c>
      <c r="M26" s="201">
        <f t="shared" si="2"/>
        <v>3</v>
      </c>
      <c r="N26" s="101"/>
      <c r="O26" s="101"/>
      <c r="P26" s="101"/>
      <c r="Q26" s="101"/>
      <c r="R26" s="101"/>
      <c r="S26" s="205">
        <f>_xlfn.XLOOKUP($K26,Inputs!$G$6:$G$23,Inputs!$J$6:$J$23)*$M26</f>
        <v>141</v>
      </c>
      <c r="T26" s="205">
        <f>_xlfn.XLOOKUP($K26,Inputs!$G$6:$G$23,Inputs!$K$6:$K$23)*$M26</f>
        <v>156</v>
      </c>
      <c r="U26" s="121" t="s">
        <v>83</v>
      </c>
      <c r="V26" s="93" t="s">
        <v>724</v>
      </c>
      <c r="W26" s="121" t="s">
        <v>371</v>
      </c>
      <c r="X26" s="93" t="s">
        <v>703</v>
      </c>
      <c r="Y26" s="93"/>
      <c r="Z26" s="18"/>
      <c r="AA26" s="67">
        <v>22</v>
      </c>
    </row>
    <row r="27" spans="2:27" s="119" customFormat="1" ht="20" x14ac:dyDescent="0.2">
      <c r="B27" s="121" t="s">
        <v>322</v>
      </c>
      <c r="C27" s="46" t="s">
        <v>204</v>
      </c>
      <c r="D27" s="46" t="s">
        <v>529</v>
      </c>
      <c r="E27" s="67">
        <v>1</v>
      </c>
      <c r="F27" s="46" t="s">
        <v>127</v>
      </c>
      <c r="G27" s="122">
        <v>60</v>
      </c>
      <c r="H27" s="122">
        <f t="shared" si="0"/>
        <v>37.037037037037038</v>
      </c>
      <c r="I27" s="122">
        <v>160</v>
      </c>
      <c r="J27" s="122">
        <f t="shared" si="1"/>
        <v>98.76543209876543</v>
      </c>
      <c r="K27" s="120">
        <v>138</v>
      </c>
      <c r="L27" s="202" cm="1">
        <f t="array" ref="L27">_xlfn.XLOOKUP($K27,Inputs!C$6:C$23,Inputs!$D$6:D$23)*$I27</f>
        <v>69.371428571428581</v>
      </c>
      <c r="M27" s="201">
        <f t="shared" si="2"/>
        <v>2.0508026980145795</v>
      </c>
      <c r="N27" s="101"/>
      <c r="O27" s="101"/>
      <c r="P27" s="101"/>
      <c r="Q27" s="101"/>
      <c r="R27" s="101"/>
      <c r="S27" s="205">
        <f>_xlfn.XLOOKUP($K27,Inputs!$G$6:$G$23,Inputs!$J$6:$J$23)*$M27</f>
        <v>96.387726806685237</v>
      </c>
      <c r="T27" s="205">
        <f>_xlfn.XLOOKUP($K27,Inputs!$G$6:$G$23,Inputs!$K$6:$K$23)*$M27</f>
        <v>106.64174029675813</v>
      </c>
      <c r="U27" s="121" t="s">
        <v>564</v>
      </c>
      <c r="V27" s="93" t="s">
        <v>734</v>
      </c>
      <c r="W27" s="121" t="s">
        <v>83</v>
      </c>
      <c r="X27" s="93" t="s">
        <v>724</v>
      </c>
      <c r="Y27" s="93"/>
      <c r="Z27" s="18"/>
      <c r="AA27" s="67">
        <v>23</v>
      </c>
    </row>
    <row r="28" spans="2:27" s="119" customFormat="1" ht="20" x14ac:dyDescent="0.2">
      <c r="B28" s="121" t="s">
        <v>322</v>
      </c>
      <c r="C28" s="46" t="s">
        <v>204</v>
      </c>
      <c r="D28" s="46" t="s">
        <v>529</v>
      </c>
      <c r="E28" s="67">
        <v>1</v>
      </c>
      <c r="F28" s="46" t="s">
        <v>127</v>
      </c>
      <c r="G28" s="122">
        <v>100</v>
      </c>
      <c r="H28" s="122">
        <f t="shared" si="0"/>
        <v>61.728395061728392</v>
      </c>
      <c r="I28" s="122">
        <v>160</v>
      </c>
      <c r="J28" s="122">
        <f t="shared" si="1"/>
        <v>98.76543209876543</v>
      </c>
      <c r="K28" s="120">
        <v>138</v>
      </c>
      <c r="L28" s="202" cm="1">
        <f t="array" ref="L28">_xlfn.XLOOKUP($K28,Inputs!C$6:C$23,Inputs!$D$6:D$23)*$I28</f>
        <v>69.371428571428581</v>
      </c>
      <c r="M28" s="201">
        <f t="shared" si="2"/>
        <v>2.0508026980145795</v>
      </c>
      <c r="N28" s="101"/>
      <c r="O28" s="101"/>
      <c r="P28" s="101"/>
      <c r="Q28" s="101"/>
      <c r="R28" s="101"/>
      <c r="S28" s="205">
        <f>_xlfn.XLOOKUP($K28,Inputs!$G$6:$G$23,Inputs!$J$6:$J$23)*$M28</f>
        <v>96.387726806685237</v>
      </c>
      <c r="T28" s="205">
        <f>_xlfn.XLOOKUP($K28,Inputs!$G$6:$G$23,Inputs!$K$6:$K$23)*$M28</f>
        <v>106.64174029675813</v>
      </c>
      <c r="U28" s="121" t="s">
        <v>440</v>
      </c>
      <c r="V28" s="93" t="s">
        <v>706</v>
      </c>
      <c r="W28" s="121" t="s">
        <v>564</v>
      </c>
      <c r="X28" s="93" t="s">
        <v>734</v>
      </c>
      <c r="Y28" s="93"/>
      <c r="Z28" s="18"/>
      <c r="AA28" s="67">
        <v>23</v>
      </c>
    </row>
    <row r="29" spans="2:27" s="119" customFormat="1" ht="20" x14ac:dyDescent="0.2">
      <c r="B29" s="121" t="s">
        <v>374</v>
      </c>
      <c r="C29" s="46" t="s">
        <v>204</v>
      </c>
      <c r="D29" s="46" t="s">
        <v>529</v>
      </c>
      <c r="E29" s="67">
        <v>1</v>
      </c>
      <c r="F29" s="46" t="s">
        <v>127</v>
      </c>
      <c r="G29" s="122">
        <v>110</v>
      </c>
      <c r="H29" s="122">
        <f t="shared" si="0"/>
        <v>67.901234567901227</v>
      </c>
      <c r="I29" s="122">
        <v>110</v>
      </c>
      <c r="J29" s="122">
        <f t="shared" si="1"/>
        <v>67.901234567901227</v>
      </c>
      <c r="K29" s="120">
        <v>138</v>
      </c>
      <c r="L29" s="202" cm="1">
        <f t="array" ref="L29">_xlfn.XLOOKUP($K29,Inputs!C$6:C$23,Inputs!$D$6:D$23)*$I29</f>
        <v>47.69285714285715</v>
      </c>
      <c r="M29" s="201">
        <f t="shared" si="2"/>
        <v>2.6256844539679496</v>
      </c>
      <c r="N29" s="101"/>
      <c r="O29" s="101"/>
      <c r="P29" s="101"/>
      <c r="Q29" s="101"/>
      <c r="R29" s="101"/>
      <c r="S29" s="205">
        <f>_xlfn.XLOOKUP($K29,Inputs!$G$6:$G$23,Inputs!$J$6:$J$23)*$M29</f>
        <v>123.40716933649362</v>
      </c>
      <c r="T29" s="205">
        <f>_xlfn.XLOOKUP($K29,Inputs!$G$6:$G$23,Inputs!$K$6:$K$23)*$M29</f>
        <v>136.53559160633338</v>
      </c>
      <c r="U29" s="121" t="s">
        <v>83</v>
      </c>
      <c r="V29" s="93" t="s">
        <v>724</v>
      </c>
      <c r="W29" s="121" t="s">
        <v>437</v>
      </c>
      <c r="X29" s="93" t="s">
        <v>733</v>
      </c>
      <c r="Y29" s="93"/>
      <c r="Z29" s="18"/>
      <c r="AA29" s="67">
        <v>24</v>
      </c>
    </row>
    <row r="30" spans="2:27" s="119" customFormat="1" ht="20" x14ac:dyDescent="0.2">
      <c r="B30" s="121" t="s">
        <v>312</v>
      </c>
      <c r="C30" s="46" t="s">
        <v>204</v>
      </c>
      <c r="D30" s="46" t="s">
        <v>529</v>
      </c>
      <c r="E30" s="67">
        <v>1</v>
      </c>
      <c r="F30" s="46" t="s">
        <v>127</v>
      </c>
      <c r="G30" s="122">
        <v>140</v>
      </c>
      <c r="H30" s="122">
        <f t="shared" si="0"/>
        <v>86.419753086419746</v>
      </c>
      <c r="I30" s="122">
        <v>140</v>
      </c>
      <c r="J30" s="122">
        <f t="shared" si="1"/>
        <v>86.419753086419746</v>
      </c>
      <c r="K30" s="120">
        <v>230</v>
      </c>
      <c r="L30" s="202" cm="1">
        <f t="array" ref="L30">_xlfn.XLOOKUP($K30,Inputs!C$6:C$23,Inputs!$D$6:D$23)*$I30</f>
        <v>67.2</v>
      </c>
      <c r="M30" s="201">
        <f t="shared" si="2"/>
        <v>2.2395954120969481</v>
      </c>
      <c r="N30" s="101"/>
      <c r="O30" s="101"/>
      <c r="P30" s="101"/>
      <c r="Q30" s="101"/>
      <c r="R30" s="101"/>
      <c r="S30" s="205">
        <f>_xlfn.XLOOKUP($K30,Inputs!$G$6:$G$23,Inputs!$J$6:$J$23)*$M30</f>
        <v>300.10578522099104</v>
      </c>
      <c r="T30" s="205">
        <f>_xlfn.XLOOKUP($K30,Inputs!$G$6:$G$23,Inputs!$K$6:$K$23)*$M30</f>
        <v>324.7413347540575</v>
      </c>
      <c r="U30" s="121" t="s">
        <v>97</v>
      </c>
      <c r="V30" s="93" t="s">
        <v>705</v>
      </c>
      <c r="W30" s="121" t="s">
        <v>83</v>
      </c>
      <c r="X30" s="93" t="s">
        <v>724</v>
      </c>
      <c r="Y30" s="93"/>
      <c r="Z30" s="18"/>
      <c r="AA30" s="67">
        <v>25</v>
      </c>
    </row>
    <row r="31" spans="2:27" s="119" customFormat="1" ht="20" x14ac:dyDescent="0.2">
      <c r="B31" s="121" t="s">
        <v>319</v>
      </c>
      <c r="C31" s="46" t="s">
        <v>204</v>
      </c>
      <c r="D31" s="46" t="s">
        <v>529</v>
      </c>
      <c r="E31" s="67">
        <v>1</v>
      </c>
      <c r="F31" s="46" t="s">
        <v>127</v>
      </c>
      <c r="G31" s="122">
        <v>130</v>
      </c>
      <c r="H31" s="122">
        <f t="shared" si="0"/>
        <v>80.246913580246911</v>
      </c>
      <c r="I31" s="122">
        <v>130</v>
      </c>
      <c r="J31" s="122">
        <f t="shared" si="1"/>
        <v>80.246913580246911</v>
      </c>
      <c r="K31" s="120">
        <v>138</v>
      </c>
      <c r="L31" s="202" cm="1">
        <f t="array" ref="L31">_xlfn.XLOOKUP($K31,Inputs!C$6:C$23,Inputs!$D$6:D$23)*$I31</f>
        <v>56.364285714285721</v>
      </c>
      <c r="M31" s="201">
        <f t="shared" si="2"/>
        <v>2.3517728255357628</v>
      </c>
      <c r="N31" s="101"/>
      <c r="O31" s="101"/>
      <c r="P31" s="101"/>
      <c r="Q31" s="101"/>
      <c r="R31" s="101"/>
      <c r="S31" s="205">
        <f>_xlfn.XLOOKUP($K31,Inputs!$G$6:$G$23,Inputs!$J$6:$J$23)*$M31</f>
        <v>110.53332280018085</v>
      </c>
      <c r="T31" s="205">
        <f>_xlfn.XLOOKUP($K31,Inputs!$G$6:$G$23,Inputs!$K$6:$K$23)*$M31</f>
        <v>122.29218692785966</v>
      </c>
      <c r="U31" s="121" t="s">
        <v>347</v>
      </c>
      <c r="V31" s="93" t="s">
        <v>710</v>
      </c>
      <c r="W31" s="121" t="s">
        <v>438</v>
      </c>
      <c r="X31" s="93" t="s">
        <v>741</v>
      </c>
      <c r="Y31" s="93"/>
      <c r="Z31" s="18"/>
      <c r="AA31" s="67">
        <v>26</v>
      </c>
    </row>
    <row r="32" spans="2:27" s="119" customFormat="1" ht="20" x14ac:dyDescent="0.2">
      <c r="B32" s="121" t="s">
        <v>320</v>
      </c>
      <c r="C32" s="46" t="s">
        <v>204</v>
      </c>
      <c r="D32" s="46" t="s">
        <v>529</v>
      </c>
      <c r="E32" s="67">
        <v>1</v>
      </c>
      <c r="F32" s="46" t="s">
        <v>127</v>
      </c>
      <c r="G32" s="122">
        <v>90</v>
      </c>
      <c r="H32" s="122">
        <f t="shared" si="0"/>
        <v>55.55555555555555</v>
      </c>
      <c r="I32" s="122">
        <v>90</v>
      </c>
      <c r="J32" s="122">
        <f t="shared" si="1"/>
        <v>55.55555555555555</v>
      </c>
      <c r="K32" s="120">
        <v>230</v>
      </c>
      <c r="L32" s="202" cm="1">
        <f t="array" ref="L32">_xlfn.XLOOKUP($K32,Inputs!C$6:C$23,Inputs!$D$6:D$23)*$I32</f>
        <v>43.199999999999996</v>
      </c>
      <c r="M32" s="201">
        <f t="shared" si="2"/>
        <v>2.9972162166153491</v>
      </c>
      <c r="N32" s="101"/>
      <c r="O32" s="101"/>
      <c r="P32" s="101"/>
      <c r="Q32" s="101"/>
      <c r="R32" s="101"/>
      <c r="S32" s="205">
        <f>_xlfn.XLOOKUP($K32,Inputs!$G$6:$G$23,Inputs!$J$6:$J$23)*$M32</f>
        <v>401.62697302645677</v>
      </c>
      <c r="T32" s="205">
        <f>_xlfn.XLOOKUP($K32,Inputs!$G$6:$G$23,Inputs!$K$6:$K$23)*$M32</f>
        <v>434.59635140922563</v>
      </c>
      <c r="U32" s="121" t="s">
        <v>439</v>
      </c>
      <c r="V32" s="93" t="s">
        <v>736</v>
      </c>
      <c r="W32" s="121" t="s">
        <v>346</v>
      </c>
      <c r="X32" s="93" t="s">
        <v>738</v>
      </c>
      <c r="Y32" s="93"/>
      <c r="Z32" s="18"/>
      <c r="AA32" s="67">
        <v>27</v>
      </c>
    </row>
    <row r="33" spans="2:27" s="119" customFormat="1" ht="20" x14ac:dyDescent="0.2">
      <c r="B33" s="121" t="s">
        <v>311</v>
      </c>
      <c r="C33" s="46" t="s">
        <v>204</v>
      </c>
      <c r="D33" s="46" t="s">
        <v>529</v>
      </c>
      <c r="E33" s="67">
        <v>1</v>
      </c>
      <c r="F33" s="46" t="s">
        <v>127</v>
      </c>
      <c r="G33" s="122">
        <v>250</v>
      </c>
      <c r="H33" s="122">
        <f t="shared" si="0"/>
        <v>154.32098765432099</v>
      </c>
      <c r="I33" s="122">
        <v>250</v>
      </c>
      <c r="J33" s="122">
        <f t="shared" si="1"/>
        <v>154.32098765432099</v>
      </c>
      <c r="K33" s="120">
        <v>230</v>
      </c>
      <c r="L33" s="202" cm="1">
        <f t="array" ref="L33">_xlfn.XLOOKUP($K33,Inputs!C$6:C$23,Inputs!$D$6:D$23)*$I33</f>
        <v>120</v>
      </c>
      <c r="M33" s="201">
        <f t="shared" si="2"/>
        <v>1.5279163314403856</v>
      </c>
      <c r="N33" s="101"/>
      <c r="O33" s="101"/>
      <c r="P33" s="101"/>
      <c r="Q33" s="101"/>
      <c r="R33" s="101"/>
      <c r="S33" s="205">
        <f>_xlfn.XLOOKUP($K33,Inputs!$G$6:$G$23,Inputs!$J$6:$J$23)*$M33</f>
        <v>204.74078841301167</v>
      </c>
      <c r="T33" s="205">
        <f>_xlfn.XLOOKUP($K33,Inputs!$G$6:$G$23,Inputs!$K$6:$K$23)*$M33</f>
        <v>221.54786805885593</v>
      </c>
      <c r="U33" s="121" t="s">
        <v>347</v>
      </c>
      <c r="V33" s="93" t="s">
        <v>710</v>
      </c>
      <c r="W33" s="121" t="s">
        <v>437</v>
      </c>
      <c r="X33" s="93" t="s">
        <v>733</v>
      </c>
      <c r="Y33" s="93"/>
      <c r="Z33" s="18"/>
      <c r="AA33" s="67">
        <v>28</v>
      </c>
    </row>
    <row r="34" spans="2:27" s="119" customFormat="1" ht="20" x14ac:dyDescent="0.2">
      <c r="B34" s="121" t="s">
        <v>313</v>
      </c>
      <c r="C34" s="46" t="s">
        <v>204</v>
      </c>
      <c r="D34" s="46" t="s">
        <v>529</v>
      </c>
      <c r="E34" s="67">
        <v>1</v>
      </c>
      <c r="F34" s="46" t="s">
        <v>127</v>
      </c>
      <c r="G34" s="122">
        <v>210</v>
      </c>
      <c r="H34" s="122">
        <f t="shared" si="0"/>
        <v>129.62962962962962</v>
      </c>
      <c r="I34" s="122">
        <v>210</v>
      </c>
      <c r="J34" s="122">
        <f t="shared" si="1"/>
        <v>129.62962962962962</v>
      </c>
      <c r="K34" s="120">
        <v>230</v>
      </c>
      <c r="L34" s="202" cm="1">
        <f t="array" ref="L34">_xlfn.XLOOKUP($K34,Inputs!C$6:C$23,Inputs!$D$6:D$23)*$I34</f>
        <v>100.8</v>
      </c>
      <c r="M34" s="201">
        <f t="shared" si="2"/>
        <v>1.7141048502678946</v>
      </c>
      <c r="N34" s="101"/>
      <c r="O34" s="101"/>
      <c r="P34" s="101"/>
      <c r="Q34" s="101"/>
      <c r="R34" s="101"/>
      <c r="S34" s="205">
        <f>_xlfn.XLOOKUP($K34,Inputs!$G$6:$G$23,Inputs!$J$6:$J$23)*$M34</f>
        <v>229.69004993589789</v>
      </c>
      <c r="T34" s="205">
        <f>_xlfn.XLOOKUP($K34,Inputs!$G$6:$G$23,Inputs!$K$6:$K$23)*$M34</f>
        <v>248.54520328884473</v>
      </c>
      <c r="U34" s="121" t="s">
        <v>83</v>
      </c>
      <c r="V34" s="93" t="s">
        <v>724</v>
      </c>
      <c r="W34" s="121" t="s">
        <v>436</v>
      </c>
      <c r="X34" s="93" t="s">
        <v>709</v>
      </c>
      <c r="Y34" s="93"/>
      <c r="Z34" s="18"/>
      <c r="AA34" s="67">
        <v>29</v>
      </c>
    </row>
    <row r="35" spans="2:27" s="119" customFormat="1" ht="20" x14ac:dyDescent="0.2">
      <c r="B35" s="121" t="s">
        <v>381</v>
      </c>
      <c r="C35" s="46" t="s">
        <v>204</v>
      </c>
      <c r="D35" s="46" t="s">
        <v>529</v>
      </c>
      <c r="E35" s="67">
        <v>1</v>
      </c>
      <c r="F35" s="46" t="s">
        <v>127</v>
      </c>
      <c r="G35" s="122">
        <v>70</v>
      </c>
      <c r="H35" s="122">
        <f t="shared" si="0"/>
        <v>43.209876543209873</v>
      </c>
      <c r="I35" s="122">
        <v>70</v>
      </c>
      <c r="J35" s="122">
        <f t="shared" si="1"/>
        <v>43.209876543209873</v>
      </c>
      <c r="K35" s="120">
        <v>138</v>
      </c>
      <c r="L35" s="202" cm="1">
        <f t="array" ref="L35">_xlfn.XLOOKUP($K35,Inputs!C$6:C$23,Inputs!$D$6:D$23)*$I35</f>
        <v>30.35</v>
      </c>
      <c r="M35" s="201">
        <f t="shared" si="2"/>
        <v>3</v>
      </c>
      <c r="N35" s="101"/>
      <c r="O35" s="101"/>
      <c r="P35" s="101"/>
      <c r="Q35" s="101"/>
      <c r="R35" s="101"/>
      <c r="S35" s="205">
        <f>_xlfn.XLOOKUP($K35,Inputs!$G$6:$G$23,Inputs!$J$6:$J$23)*$M35</f>
        <v>141</v>
      </c>
      <c r="T35" s="205">
        <f>_xlfn.XLOOKUP($K35,Inputs!$G$6:$G$23,Inputs!$K$6:$K$23)*$M35</f>
        <v>156</v>
      </c>
      <c r="U35" s="121" t="s">
        <v>377</v>
      </c>
      <c r="V35" s="93" t="s">
        <v>726</v>
      </c>
      <c r="W35" s="121" t="s">
        <v>93</v>
      </c>
      <c r="X35" s="93" t="s">
        <v>728</v>
      </c>
      <c r="Y35" s="93"/>
      <c r="Z35" s="18"/>
      <c r="AA35" s="67">
        <v>30</v>
      </c>
    </row>
    <row r="36" spans="2:27" s="119" customFormat="1" ht="20" x14ac:dyDescent="0.2">
      <c r="B36" s="121" t="s">
        <v>314</v>
      </c>
      <c r="C36" s="46" t="s">
        <v>204</v>
      </c>
      <c r="D36" s="46" t="s">
        <v>529</v>
      </c>
      <c r="E36" s="67">
        <v>1</v>
      </c>
      <c r="F36" s="46" t="s">
        <v>127</v>
      </c>
      <c r="G36" s="122">
        <v>160</v>
      </c>
      <c r="H36" s="122">
        <f t="shared" ref="H36:H67" si="3">G36/1.62</f>
        <v>98.76543209876543</v>
      </c>
      <c r="I36" s="122">
        <v>160</v>
      </c>
      <c r="J36" s="122">
        <f t="shared" ref="J36:J67" si="4">I36/1.62</f>
        <v>98.76543209876543</v>
      </c>
      <c r="K36" s="120">
        <v>230</v>
      </c>
      <c r="L36" s="202" cm="1">
        <f t="array" ref="L36">_xlfn.XLOOKUP($K36,Inputs!C$6:C$23,Inputs!$D$6:D$23)*$I36</f>
        <v>76.8</v>
      </c>
      <c r="M36" s="201">
        <f t="shared" ref="M36:M67" si="5">IF((42.4*(J36)^(-0.6595))&gt;=3,3,(IF(42.4*(J36)^(-0.6595)&lt;=0.5,0.5,(42.4*(J36)^(-0.6595)))))</f>
        <v>2.0508026980145795</v>
      </c>
      <c r="N36" s="101"/>
      <c r="O36" s="101"/>
      <c r="P36" s="101"/>
      <c r="Q36" s="101"/>
      <c r="R36" s="101"/>
      <c r="S36" s="205">
        <f>_xlfn.XLOOKUP($K36,Inputs!$G$6:$G$23,Inputs!$J$6:$J$23)*$M36</f>
        <v>274.80756153395367</v>
      </c>
      <c r="T36" s="205">
        <f>_xlfn.XLOOKUP($K36,Inputs!$G$6:$G$23,Inputs!$K$6:$K$23)*$M36</f>
        <v>297.36639121211402</v>
      </c>
      <c r="U36" s="121" t="s">
        <v>439</v>
      </c>
      <c r="V36" s="93" t="s">
        <v>736</v>
      </c>
      <c r="W36" s="121" t="s">
        <v>338</v>
      </c>
      <c r="X36" s="93" t="s">
        <v>725</v>
      </c>
      <c r="Y36" s="93"/>
      <c r="Z36" s="18"/>
      <c r="AA36" s="67">
        <v>31</v>
      </c>
    </row>
    <row r="37" spans="2:27" s="119" customFormat="1" ht="20" x14ac:dyDescent="0.2">
      <c r="B37" s="121" t="s">
        <v>339</v>
      </c>
      <c r="C37" s="46" t="s">
        <v>204</v>
      </c>
      <c r="D37" s="46" t="s">
        <v>529</v>
      </c>
      <c r="E37" s="67">
        <v>1</v>
      </c>
      <c r="F37" s="46" t="s">
        <v>127</v>
      </c>
      <c r="G37" s="122">
        <v>70</v>
      </c>
      <c r="H37" s="122">
        <f t="shared" si="3"/>
        <v>43.209876543209873</v>
      </c>
      <c r="I37" s="122">
        <v>70</v>
      </c>
      <c r="J37" s="122">
        <f t="shared" si="4"/>
        <v>43.209876543209873</v>
      </c>
      <c r="K37" s="120">
        <v>230</v>
      </c>
      <c r="L37" s="202" cm="1">
        <f t="array" ref="L37">_xlfn.XLOOKUP($K37,Inputs!C$6:C$23,Inputs!$D$6:D$23)*$I37</f>
        <v>33.6</v>
      </c>
      <c r="M37" s="201">
        <f t="shared" si="5"/>
        <v>3</v>
      </c>
      <c r="N37" s="101"/>
      <c r="O37" s="101"/>
      <c r="P37" s="101"/>
      <c r="Q37" s="101"/>
      <c r="R37" s="101"/>
      <c r="S37" s="205">
        <f>_xlfn.XLOOKUP($K37,Inputs!$G$6:$G$23,Inputs!$J$6:$J$23)*$M37</f>
        <v>402</v>
      </c>
      <c r="T37" s="205">
        <f>_xlfn.XLOOKUP($K37,Inputs!$G$6:$G$23,Inputs!$K$6:$K$23)*$M37</f>
        <v>435</v>
      </c>
      <c r="U37" s="121" t="s">
        <v>346</v>
      </c>
      <c r="V37" s="93" t="s">
        <v>738</v>
      </c>
      <c r="W37" s="121" t="s">
        <v>338</v>
      </c>
      <c r="X37" s="93" t="s">
        <v>725</v>
      </c>
      <c r="Y37" s="93"/>
      <c r="Z37" s="18"/>
      <c r="AA37" s="67">
        <v>32</v>
      </c>
    </row>
    <row r="38" spans="2:27" s="119" customFormat="1" ht="20" x14ac:dyDescent="0.2">
      <c r="B38" s="121" t="s">
        <v>351</v>
      </c>
      <c r="C38" s="46" t="s">
        <v>204</v>
      </c>
      <c r="D38" s="46" t="s">
        <v>529</v>
      </c>
      <c r="E38" s="67">
        <v>1</v>
      </c>
      <c r="F38" s="46" t="s">
        <v>127</v>
      </c>
      <c r="G38" s="122">
        <v>350</v>
      </c>
      <c r="H38" s="122">
        <f t="shared" si="3"/>
        <v>216.04938271604937</v>
      </c>
      <c r="I38" s="122">
        <v>350</v>
      </c>
      <c r="J38" s="122">
        <f t="shared" si="4"/>
        <v>216.04938271604937</v>
      </c>
      <c r="K38" s="120">
        <v>230</v>
      </c>
      <c r="L38" s="202" cm="1">
        <f t="array" ref="L38">_xlfn.XLOOKUP($K38,Inputs!C$6:C$23,Inputs!$D$6:D$23)*$I38</f>
        <v>168</v>
      </c>
      <c r="M38" s="201">
        <f t="shared" si="5"/>
        <v>1.2238498344399089</v>
      </c>
      <c r="N38" s="101"/>
      <c r="O38" s="101"/>
      <c r="P38" s="101"/>
      <c r="Q38" s="101"/>
      <c r="R38" s="101"/>
      <c r="S38" s="205">
        <f>_xlfn.XLOOKUP($K38,Inputs!$G$6:$G$23,Inputs!$J$6:$J$23)*$M38</f>
        <v>163.99587781494779</v>
      </c>
      <c r="T38" s="205">
        <f>_xlfn.XLOOKUP($K38,Inputs!$G$6:$G$23,Inputs!$K$6:$K$23)*$M38</f>
        <v>177.45822599378678</v>
      </c>
      <c r="U38" s="121" t="s">
        <v>352</v>
      </c>
      <c r="V38" s="93" t="s">
        <v>739</v>
      </c>
      <c r="W38" s="121" t="s">
        <v>80</v>
      </c>
      <c r="X38" s="93" t="s">
        <v>727</v>
      </c>
      <c r="Y38" s="93"/>
      <c r="Z38" s="18"/>
      <c r="AA38" s="67">
        <v>33</v>
      </c>
    </row>
    <row r="39" spans="2:27" s="119" customFormat="1" ht="20" x14ac:dyDescent="0.2">
      <c r="B39" s="121" t="s">
        <v>373</v>
      </c>
      <c r="C39" s="46" t="s">
        <v>204</v>
      </c>
      <c r="D39" s="93" t="s">
        <v>504</v>
      </c>
      <c r="E39" s="67">
        <v>1</v>
      </c>
      <c r="F39" s="46" t="s">
        <v>127</v>
      </c>
      <c r="G39" s="122">
        <v>800</v>
      </c>
      <c r="H39" s="122">
        <f t="shared" si="3"/>
        <v>493.82716049382714</v>
      </c>
      <c r="I39" s="122">
        <v>800</v>
      </c>
      <c r="J39" s="122">
        <f t="shared" si="4"/>
        <v>493.82716049382714</v>
      </c>
      <c r="K39" s="120">
        <v>115</v>
      </c>
      <c r="L39" s="202" cm="1">
        <f t="array" ref="L39">_xlfn.XLOOKUP($K39,Inputs!C$6:C$23,Inputs!$D$6:D$23)*$I39</f>
        <v>333.71428571428572</v>
      </c>
      <c r="M39" s="201">
        <f t="shared" si="5"/>
        <v>0.7095012456344596</v>
      </c>
      <c r="N39" s="101"/>
      <c r="O39" s="101"/>
      <c r="P39" s="101"/>
      <c r="Q39" s="101"/>
      <c r="R39" s="101"/>
      <c r="S39" s="205">
        <f>_xlfn.XLOOKUP($K39,Inputs!$G$6:$G$23,Inputs!$J$6:$J$23)*$M39</f>
        <v>23.283260480187913</v>
      </c>
      <c r="T39" s="205">
        <f>_xlfn.XLOOKUP($K39,Inputs!$G$6:$G$23,Inputs!$K$6:$K$23)*$M39</f>
        <v>25.637032714523848</v>
      </c>
      <c r="U39" s="121" t="s">
        <v>80</v>
      </c>
      <c r="V39" s="93" t="s">
        <v>727</v>
      </c>
      <c r="W39" s="121" t="s">
        <v>343</v>
      </c>
      <c r="X39" s="93" t="s">
        <v>704</v>
      </c>
      <c r="Y39" s="93"/>
      <c r="Z39" s="18"/>
      <c r="AA39" s="67">
        <v>34</v>
      </c>
    </row>
    <row r="40" spans="2:27" s="119" customFormat="1" ht="20" x14ac:dyDescent="0.2">
      <c r="B40" s="121" t="s">
        <v>355</v>
      </c>
      <c r="C40" s="46" t="s">
        <v>204</v>
      </c>
      <c r="D40" s="46" t="s">
        <v>529</v>
      </c>
      <c r="E40" s="67">
        <v>1</v>
      </c>
      <c r="F40" s="46" t="s">
        <v>127</v>
      </c>
      <c r="G40" s="122">
        <v>70</v>
      </c>
      <c r="H40" s="122">
        <f t="shared" si="3"/>
        <v>43.209876543209873</v>
      </c>
      <c r="I40" s="122">
        <v>70</v>
      </c>
      <c r="J40" s="122">
        <f t="shared" si="4"/>
        <v>43.209876543209873</v>
      </c>
      <c r="K40" s="120">
        <v>230</v>
      </c>
      <c r="L40" s="202" cm="1">
        <f t="array" ref="L40">_xlfn.XLOOKUP($K40,Inputs!C$6:C$23,Inputs!$D$6:D$23)*$I40</f>
        <v>33.6</v>
      </c>
      <c r="M40" s="201">
        <f t="shared" si="5"/>
        <v>3</v>
      </c>
      <c r="N40" s="101"/>
      <c r="O40" s="101"/>
      <c r="P40" s="101"/>
      <c r="Q40" s="101"/>
      <c r="R40" s="101"/>
      <c r="S40" s="205">
        <f>_xlfn.XLOOKUP($K40,Inputs!$G$6:$G$23,Inputs!$J$6:$J$23)*$M40</f>
        <v>402</v>
      </c>
      <c r="T40" s="205">
        <f>_xlfn.XLOOKUP($K40,Inputs!$G$6:$G$23,Inputs!$K$6:$K$23)*$M40</f>
        <v>435</v>
      </c>
      <c r="U40" s="121" t="s">
        <v>128</v>
      </c>
      <c r="V40" s="93" t="s">
        <v>708</v>
      </c>
      <c r="W40" s="121" t="s">
        <v>348</v>
      </c>
      <c r="X40" s="93" t="s">
        <v>716</v>
      </c>
      <c r="Y40" s="93"/>
      <c r="Z40" s="18"/>
      <c r="AA40" s="67">
        <v>35</v>
      </c>
    </row>
    <row r="41" spans="2:27" s="119" customFormat="1" ht="20" x14ac:dyDescent="0.2">
      <c r="B41" s="121" t="s">
        <v>384</v>
      </c>
      <c r="C41" s="46" t="s">
        <v>204</v>
      </c>
      <c r="D41" s="46" t="s">
        <v>529</v>
      </c>
      <c r="E41" s="67">
        <v>1</v>
      </c>
      <c r="F41" s="46" t="s">
        <v>127</v>
      </c>
      <c r="G41" s="122">
        <v>190</v>
      </c>
      <c r="H41" s="122">
        <f t="shared" si="3"/>
        <v>117.28395061728395</v>
      </c>
      <c r="I41" s="122">
        <v>190</v>
      </c>
      <c r="J41" s="122">
        <f t="shared" si="4"/>
        <v>117.28395061728395</v>
      </c>
      <c r="K41" s="120">
        <v>138</v>
      </c>
      <c r="L41" s="202" cm="1">
        <f t="array" ref="L41">_xlfn.XLOOKUP($K41,Inputs!C$6:C$23,Inputs!$D$6:D$23)*$I41</f>
        <v>82.378571428571433</v>
      </c>
      <c r="M41" s="201">
        <f t="shared" si="5"/>
        <v>1.8310618272898442</v>
      </c>
      <c r="N41" s="101"/>
      <c r="O41" s="101"/>
      <c r="P41" s="101"/>
      <c r="Q41" s="101"/>
      <c r="R41" s="101"/>
      <c r="S41" s="205">
        <f>_xlfn.XLOOKUP($K41,Inputs!$G$6:$G$23,Inputs!$J$6:$J$23)*$M41</f>
        <v>86.059905882622672</v>
      </c>
      <c r="T41" s="205">
        <f>_xlfn.XLOOKUP($K41,Inputs!$G$6:$G$23,Inputs!$K$6:$K$23)*$M41</f>
        <v>95.215215019071906</v>
      </c>
      <c r="U41" s="121" t="s">
        <v>377</v>
      </c>
      <c r="V41" s="93" t="s">
        <v>726</v>
      </c>
      <c r="W41" s="121" t="s">
        <v>89</v>
      </c>
      <c r="X41" s="93" t="s">
        <v>707</v>
      </c>
      <c r="Y41" s="93"/>
      <c r="Z41" s="18"/>
      <c r="AA41" s="67">
        <v>36</v>
      </c>
    </row>
    <row r="42" spans="2:27" s="119" customFormat="1" ht="20" x14ac:dyDescent="0.2">
      <c r="B42" s="121" t="s">
        <v>390</v>
      </c>
      <c r="C42" s="46" t="s">
        <v>204</v>
      </c>
      <c r="D42" s="46" t="s">
        <v>529</v>
      </c>
      <c r="E42" s="67">
        <v>1</v>
      </c>
      <c r="F42" s="46" t="s">
        <v>127</v>
      </c>
      <c r="G42" s="122">
        <v>5</v>
      </c>
      <c r="H42" s="122">
        <f t="shared" si="3"/>
        <v>3.0864197530864197</v>
      </c>
      <c r="I42" s="122">
        <v>5</v>
      </c>
      <c r="J42" s="122">
        <f t="shared" si="4"/>
        <v>3.0864197530864197</v>
      </c>
      <c r="K42" s="120">
        <v>138</v>
      </c>
      <c r="L42" s="202" cm="1">
        <f t="array" ref="L42">_xlfn.XLOOKUP($K42,Inputs!C$6:C$23,Inputs!$D$6:D$23)*$I42</f>
        <v>2.1678571428571431</v>
      </c>
      <c r="M42" s="201">
        <f t="shared" si="5"/>
        <v>3</v>
      </c>
      <c r="N42" s="101"/>
      <c r="O42" s="101"/>
      <c r="P42" s="101"/>
      <c r="Q42" s="101"/>
      <c r="R42" s="101"/>
      <c r="S42" s="205">
        <f>_xlfn.XLOOKUP($K42,Inputs!$G$6:$G$23,Inputs!$J$6:$J$23)*$M42</f>
        <v>141</v>
      </c>
      <c r="T42" s="205">
        <f>_xlfn.XLOOKUP($K42,Inputs!$G$6:$G$23,Inputs!$K$6:$K$23)*$M42</f>
        <v>156</v>
      </c>
      <c r="U42" s="121" t="s">
        <v>346</v>
      </c>
      <c r="V42" s="93" t="s">
        <v>738</v>
      </c>
      <c r="W42" s="121" t="s">
        <v>81</v>
      </c>
      <c r="X42" s="93" t="s">
        <v>730</v>
      </c>
      <c r="Y42" s="93"/>
      <c r="Z42" s="18"/>
      <c r="AA42" s="67">
        <v>37</v>
      </c>
    </row>
    <row r="43" spans="2:27" s="119" customFormat="1" ht="20" x14ac:dyDescent="0.2">
      <c r="B43" s="121" t="s">
        <v>382</v>
      </c>
      <c r="C43" s="46" t="s">
        <v>204</v>
      </c>
      <c r="D43" s="46" t="s">
        <v>529</v>
      </c>
      <c r="E43" s="67">
        <v>1</v>
      </c>
      <c r="F43" s="46" t="s">
        <v>127</v>
      </c>
      <c r="G43" s="122">
        <v>70</v>
      </c>
      <c r="H43" s="122">
        <f t="shared" si="3"/>
        <v>43.209876543209873</v>
      </c>
      <c r="I43" s="122">
        <v>70</v>
      </c>
      <c r="J43" s="122">
        <f t="shared" si="4"/>
        <v>43.209876543209873</v>
      </c>
      <c r="K43" s="120">
        <v>138</v>
      </c>
      <c r="L43" s="202" cm="1">
        <f t="array" ref="L43">_xlfn.XLOOKUP($K43,Inputs!C$6:C$23,Inputs!$D$6:D$23)*$I43</f>
        <v>30.35</v>
      </c>
      <c r="M43" s="201">
        <f t="shared" si="5"/>
        <v>3</v>
      </c>
      <c r="N43" s="101"/>
      <c r="O43" s="101"/>
      <c r="P43" s="101"/>
      <c r="Q43" s="101"/>
      <c r="R43" s="101"/>
      <c r="S43" s="205">
        <f>_xlfn.XLOOKUP($K43,Inputs!$G$6:$G$23,Inputs!$J$6:$J$23)*$M43</f>
        <v>141</v>
      </c>
      <c r="T43" s="205">
        <f>_xlfn.XLOOKUP($K43,Inputs!$G$6:$G$23,Inputs!$K$6:$K$23)*$M43</f>
        <v>156</v>
      </c>
      <c r="U43" s="121" t="s">
        <v>336</v>
      </c>
      <c r="V43" s="93" t="s">
        <v>731</v>
      </c>
      <c r="W43" s="121" t="s">
        <v>93</v>
      </c>
      <c r="X43" s="93" t="s">
        <v>728</v>
      </c>
      <c r="Y43" s="93"/>
      <c r="Z43" s="18"/>
      <c r="AA43" s="67">
        <v>38</v>
      </c>
    </row>
    <row r="44" spans="2:27" s="119" customFormat="1" ht="20" x14ac:dyDescent="0.2">
      <c r="B44" s="121" t="s">
        <v>383</v>
      </c>
      <c r="C44" s="46" t="s">
        <v>204</v>
      </c>
      <c r="D44" s="46" t="s">
        <v>529</v>
      </c>
      <c r="E44" s="67">
        <v>1</v>
      </c>
      <c r="F44" s="46" t="s">
        <v>127</v>
      </c>
      <c r="G44" s="122">
        <v>140</v>
      </c>
      <c r="H44" s="122">
        <f t="shared" si="3"/>
        <v>86.419753086419746</v>
      </c>
      <c r="I44" s="122">
        <v>140</v>
      </c>
      <c r="J44" s="122">
        <f t="shared" si="4"/>
        <v>86.419753086419746</v>
      </c>
      <c r="K44" s="120">
        <v>138</v>
      </c>
      <c r="L44" s="202" cm="1">
        <f t="array" ref="L44">_xlfn.XLOOKUP($K44,Inputs!C$6:C$23,Inputs!$D$6:D$23)*$I44</f>
        <v>60.7</v>
      </c>
      <c r="M44" s="201">
        <f t="shared" si="5"/>
        <v>2.2395954120969481</v>
      </c>
      <c r="N44" s="101"/>
      <c r="O44" s="101"/>
      <c r="P44" s="101"/>
      <c r="Q44" s="101"/>
      <c r="R44" s="101"/>
      <c r="S44" s="205">
        <f>_xlfn.XLOOKUP($K44,Inputs!$G$6:$G$23,Inputs!$J$6:$J$23)*$M44</f>
        <v>105.26098436855656</v>
      </c>
      <c r="T44" s="205">
        <f>_xlfn.XLOOKUP($K44,Inputs!$G$6:$G$23,Inputs!$K$6:$K$23)*$M44</f>
        <v>116.4589614290413</v>
      </c>
      <c r="U44" s="121" t="s">
        <v>336</v>
      </c>
      <c r="V44" s="93" t="s">
        <v>731</v>
      </c>
      <c r="W44" s="121" t="s">
        <v>89</v>
      </c>
      <c r="X44" s="93" t="s">
        <v>707</v>
      </c>
      <c r="Y44" s="93"/>
      <c r="Z44" s="18"/>
      <c r="AA44" s="67">
        <v>39</v>
      </c>
    </row>
    <row r="45" spans="2:27" s="119" customFormat="1" ht="20" x14ac:dyDescent="0.2">
      <c r="B45" s="121" t="s">
        <v>397</v>
      </c>
      <c r="C45" s="46" t="s">
        <v>204</v>
      </c>
      <c r="D45" s="46" t="s">
        <v>529</v>
      </c>
      <c r="E45" s="67">
        <v>1</v>
      </c>
      <c r="F45" s="46" t="s">
        <v>127</v>
      </c>
      <c r="G45" s="122">
        <v>170</v>
      </c>
      <c r="H45" s="122">
        <f t="shared" si="3"/>
        <v>104.93827160493827</v>
      </c>
      <c r="I45" s="122">
        <v>170</v>
      </c>
      <c r="J45" s="122">
        <f t="shared" si="4"/>
        <v>104.93827160493827</v>
      </c>
      <c r="K45" s="120">
        <v>230</v>
      </c>
      <c r="L45" s="202" cm="1">
        <f t="array" ref="L45">_xlfn.XLOOKUP($K45,Inputs!C$6:C$23,Inputs!$D$6:D$23)*$I45</f>
        <v>81.599999999999994</v>
      </c>
      <c r="M45" s="201">
        <f t="shared" si="5"/>
        <v>1.9704251633621157</v>
      </c>
      <c r="N45" s="101"/>
      <c r="O45" s="101"/>
      <c r="P45" s="101"/>
      <c r="Q45" s="101"/>
      <c r="R45" s="101"/>
      <c r="S45" s="205">
        <f>_xlfn.XLOOKUP($K45,Inputs!$G$6:$G$23,Inputs!$J$6:$J$23)*$M45</f>
        <v>264.03697189052349</v>
      </c>
      <c r="T45" s="205">
        <f>_xlfn.XLOOKUP($K45,Inputs!$G$6:$G$23,Inputs!$K$6:$K$23)*$M45</f>
        <v>285.71164868750679</v>
      </c>
      <c r="U45" s="121" t="s">
        <v>336</v>
      </c>
      <c r="V45" s="93" t="s">
        <v>731</v>
      </c>
      <c r="W45" s="121" t="s">
        <v>88</v>
      </c>
      <c r="X45" s="93" t="s">
        <v>729</v>
      </c>
      <c r="Y45" s="93"/>
      <c r="Z45" s="18"/>
      <c r="AA45" s="67">
        <v>40</v>
      </c>
    </row>
    <row r="46" spans="2:27" s="119" customFormat="1" ht="20" x14ac:dyDescent="0.2">
      <c r="B46" s="121" t="s">
        <v>568</v>
      </c>
      <c r="C46" s="46" t="s">
        <v>204</v>
      </c>
      <c r="D46" s="46" t="s">
        <v>529</v>
      </c>
      <c r="E46" s="67">
        <v>1</v>
      </c>
      <c r="F46" s="46" t="s">
        <v>127</v>
      </c>
      <c r="G46" s="122">
        <v>95</v>
      </c>
      <c r="H46" s="122">
        <f t="shared" si="3"/>
        <v>58.641975308641975</v>
      </c>
      <c r="I46" s="122">
        <v>95</v>
      </c>
      <c r="J46" s="122">
        <f t="shared" si="4"/>
        <v>58.641975308641975</v>
      </c>
      <c r="K46" s="120">
        <v>138</v>
      </c>
      <c r="L46" s="202" cm="1">
        <f t="array" ref="L46">_xlfn.XLOOKUP($K46,Inputs!C$6:C$23,Inputs!$D$6:D$23)*$I46</f>
        <v>41.189285714285717</v>
      </c>
      <c r="M46" s="201">
        <f t="shared" si="5"/>
        <v>2.8922264332537342</v>
      </c>
      <c r="N46" s="101"/>
      <c r="O46" s="101"/>
      <c r="P46" s="101"/>
      <c r="Q46" s="101"/>
      <c r="R46" s="101"/>
      <c r="S46" s="205">
        <f>_xlfn.XLOOKUP($K46,Inputs!$G$6:$G$23,Inputs!$J$6:$J$23)*$M46</f>
        <v>135.9346423629255</v>
      </c>
      <c r="T46" s="205">
        <f>_xlfn.XLOOKUP($K46,Inputs!$G$6:$G$23,Inputs!$K$6:$K$23)*$M46</f>
        <v>150.39577452919417</v>
      </c>
      <c r="U46" s="121" t="s">
        <v>440</v>
      </c>
      <c r="V46" s="93" t="s">
        <v>706</v>
      </c>
      <c r="W46" s="121" t="s">
        <v>569</v>
      </c>
      <c r="X46" s="93" t="s">
        <v>737</v>
      </c>
      <c r="Y46" s="93"/>
      <c r="Z46" s="18"/>
      <c r="AA46" s="67">
        <v>56</v>
      </c>
    </row>
    <row r="47" spans="2:27" s="119" customFormat="1" ht="20" x14ac:dyDescent="0.2">
      <c r="B47" s="121" t="s">
        <v>323</v>
      </c>
      <c r="C47" s="46" t="s">
        <v>204</v>
      </c>
      <c r="D47" s="46" t="s">
        <v>529</v>
      </c>
      <c r="E47" s="67">
        <v>1</v>
      </c>
      <c r="F47" s="46" t="s">
        <v>127</v>
      </c>
      <c r="G47" s="122">
        <v>160</v>
      </c>
      <c r="H47" s="122">
        <f t="shared" si="3"/>
        <v>98.76543209876543</v>
      </c>
      <c r="I47" s="122">
        <v>160</v>
      </c>
      <c r="J47" s="122">
        <f t="shared" si="4"/>
        <v>98.76543209876543</v>
      </c>
      <c r="K47" s="120">
        <v>138</v>
      </c>
      <c r="L47" s="202" cm="1">
        <f t="array" ref="L47">_xlfn.XLOOKUP($K47,Inputs!C$6:C$23,Inputs!$D$6:D$23)*$I47</f>
        <v>69.371428571428581</v>
      </c>
      <c r="M47" s="201">
        <f t="shared" si="5"/>
        <v>2.0508026980145795</v>
      </c>
      <c r="N47" s="101"/>
      <c r="O47" s="101"/>
      <c r="P47" s="101"/>
      <c r="Q47" s="101"/>
      <c r="R47" s="101"/>
      <c r="S47" s="205">
        <f>_xlfn.XLOOKUP($K47,Inputs!$G$6:$G$23,Inputs!$J$6:$J$23)*$M47</f>
        <v>96.387726806685237</v>
      </c>
      <c r="T47" s="205">
        <f>_xlfn.XLOOKUP($K47,Inputs!$G$6:$G$23,Inputs!$K$6:$K$23)*$M47</f>
        <v>106.64174029675813</v>
      </c>
      <c r="U47" s="121" t="s">
        <v>440</v>
      </c>
      <c r="V47" s="93" t="s">
        <v>706</v>
      </c>
      <c r="W47" s="121" t="s">
        <v>371</v>
      </c>
      <c r="X47" s="93" t="s">
        <v>703</v>
      </c>
      <c r="Y47" s="93"/>
      <c r="Z47" s="18"/>
      <c r="AA47" s="67">
        <v>41</v>
      </c>
    </row>
    <row r="48" spans="2:27" s="119" customFormat="1" ht="20" x14ac:dyDescent="0.2">
      <c r="B48" s="121" t="s">
        <v>324</v>
      </c>
      <c r="C48" s="46" t="s">
        <v>204</v>
      </c>
      <c r="D48" s="46" t="s">
        <v>529</v>
      </c>
      <c r="E48" s="67">
        <v>1</v>
      </c>
      <c r="F48" s="46" t="s">
        <v>127</v>
      </c>
      <c r="G48" s="122">
        <v>190</v>
      </c>
      <c r="H48" s="122">
        <f t="shared" si="3"/>
        <v>117.28395061728395</v>
      </c>
      <c r="I48" s="122">
        <v>190</v>
      </c>
      <c r="J48" s="122">
        <f t="shared" si="4"/>
        <v>117.28395061728395</v>
      </c>
      <c r="K48" s="120">
        <v>138</v>
      </c>
      <c r="L48" s="202" cm="1">
        <f t="array" ref="L48">_xlfn.XLOOKUP($K48,Inputs!C$6:C$23,Inputs!$D$6:D$23)*$I48</f>
        <v>82.378571428571433</v>
      </c>
      <c r="M48" s="201">
        <f t="shared" si="5"/>
        <v>1.8310618272898442</v>
      </c>
      <c r="N48" s="101"/>
      <c r="O48" s="101"/>
      <c r="P48" s="101"/>
      <c r="Q48" s="101"/>
      <c r="R48" s="101"/>
      <c r="S48" s="205">
        <f>_xlfn.XLOOKUP($K48,Inputs!$G$6:$G$23,Inputs!$J$6:$J$23)*$M48</f>
        <v>86.059905882622672</v>
      </c>
      <c r="T48" s="205">
        <f>_xlfn.XLOOKUP($K48,Inputs!$G$6:$G$23,Inputs!$K$6:$K$23)*$M48</f>
        <v>95.215215019071906</v>
      </c>
      <c r="U48" s="121" t="s">
        <v>97</v>
      </c>
      <c r="V48" s="93" t="s">
        <v>705</v>
      </c>
      <c r="W48" s="121" t="s">
        <v>440</v>
      </c>
      <c r="X48" s="93" t="s">
        <v>706</v>
      </c>
      <c r="Y48" s="93"/>
      <c r="Z48" s="18"/>
      <c r="AA48" s="67">
        <v>42</v>
      </c>
    </row>
    <row r="49" spans="2:27" s="119" customFormat="1" ht="20" x14ac:dyDescent="0.2">
      <c r="B49" s="121" t="s">
        <v>330</v>
      </c>
      <c r="C49" s="46" t="s">
        <v>204</v>
      </c>
      <c r="D49" s="46" t="s">
        <v>529</v>
      </c>
      <c r="E49" s="67">
        <v>1</v>
      </c>
      <c r="F49" s="46" t="s">
        <v>127</v>
      </c>
      <c r="G49" s="122">
        <v>70</v>
      </c>
      <c r="H49" s="122">
        <f t="shared" si="3"/>
        <v>43.209876543209873</v>
      </c>
      <c r="I49" s="122">
        <v>70</v>
      </c>
      <c r="J49" s="122">
        <f t="shared" si="4"/>
        <v>43.209876543209873</v>
      </c>
      <c r="K49" s="120">
        <v>230</v>
      </c>
      <c r="L49" s="202" cm="1">
        <f t="array" ref="L49">_xlfn.XLOOKUP($K49,Inputs!C$6:C$23,Inputs!$D$6:D$23)*$I49</f>
        <v>33.6</v>
      </c>
      <c r="M49" s="201">
        <f t="shared" si="5"/>
        <v>3</v>
      </c>
      <c r="N49" s="101"/>
      <c r="O49" s="101"/>
      <c r="P49" s="101"/>
      <c r="Q49" s="101"/>
      <c r="R49" s="101"/>
      <c r="S49" s="205">
        <f>_xlfn.XLOOKUP($K49,Inputs!$G$6:$G$23,Inputs!$J$6:$J$23)*$M49</f>
        <v>402</v>
      </c>
      <c r="T49" s="205">
        <f>_xlfn.XLOOKUP($K49,Inputs!$G$6:$G$23,Inputs!$K$6:$K$23)*$M49</f>
        <v>435</v>
      </c>
      <c r="U49" s="121" t="s">
        <v>370</v>
      </c>
      <c r="V49" s="93" t="s">
        <v>732</v>
      </c>
      <c r="W49" s="121" t="s">
        <v>208</v>
      </c>
      <c r="X49" s="93" t="s">
        <v>715</v>
      </c>
      <c r="Y49" s="93"/>
      <c r="Z49" s="18"/>
      <c r="AA49" s="67">
        <v>43</v>
      </c>
    </row>
    <row r="50" spans="2:27" s="119" customFormat="1" ht="20" x14ac:dyDescent="0.2">
      <c r="B50" s="121" t="s">
        <v>331</v>
      </c>
      <c r="C50" s="46" t="s">
        <v>204</v>
      </c>
      <c r="D50" s="46" t="s">
        <v>529</v>
      </c>
      <c r="E50" s="67">
        <v>1</v>
      </c>
      <c r="F50" s="46" t="s">
        <v>127</v>
      </c>
      <c r="G50" s="122">
        <v>140</v>
      </c>
      <c r="H50" s="122">
        <f t="shared" si="3"/>
        <v>86.419753086419746</v>
      </c>
      <c r="I50" s="122">
        <v>140</v>
      </c>
      <c r="J50" s="122">
        <f t="shared" si="4"/>
        <v>86.419753086419746</v>
      </c>
      <c r="K50" s="120">
        <v>230</v>
      </c>
      <c r="L50" s="202" cm="1">
        <f t="array" ref="L50">_xlfn.XLOOKUP($K50,Inputs!C$6:C$23,Inputs!$D$6:D$23)*$I50</f>
        <v>67.2</v>
      </c>
      <c r="M50" s="201">
        <f t="shared" si="5"/>
        <v>2.2395954120969481</v>
      </c>
      <c r="N50" s="101"/>
      <c r="O50" s="101"/>
      <c r="P50" s="101"/>
      <c r="Q50" s="101"/>
      <c r="R50" s="101"/>
      <c r="S50" s="205">
        <f>_xlfn.XLOOKUP($K50,Inputs!$G$6:$G$23,Inputs!$J$6:$J$23)*$M50</f>
        <v>300.10578522099104</v>
      </c>
      <c r="T50" s="205">
        <f>_xlfn.XLOOKUP($K50,Inputs!$G$6:$G$23,Inputs!$K$6:$K$23)*$M50</f>
        <v>324.7413347540575</v>
      </c>
      <c r="U50" s="121" t="s">
        <v>370</v>
      </c>
      <c r="V50" s="93" t="s">
        <v>732</v>
      </c>
      <c r="W50" s="121" t="s">
        <v>347</v>
      </c>
      <c r="X50" s="93" t="s">
        <v>710</v>
      </c>
      <c r="Y50" s="93"/>
      <c r="Z50" s="18"/>
      <c r="AA50" s="67">
        <v>44</v>
      </c>
    </row>
    <row r="51" spans="2:27" s="119" customFormat="1" ht="20" x14ac:dyDescent="0.2">
      <c r="B51" s="121" t="s">
        <v>354</v>
      </c>
      <c r="C51" s="46" t="s">
        <v>204</v>
      </c>
      <c r="D51" s="46" t="s">
        <v>529</v>
      </c>
      <c r="E51" s="67">
        <v>1</v>
      </c>
      <c r="F51" s="46" t="s">
        <v>127</v>
      </c>
      <c r="G51" s="122">
        <v>45</v>
      </c>
      <c r="H51" s="122">
        <f t="shared" si="3"/>
        <v>27.777777777777775</v>
      </c>
      <c r="I51" s="122">
        <v>45</v>
      </c>
      <c r="J51" s="122">
        <f t="shared" si="4"/>
        <v>27.777777777777775</v>
      </c>
      <c r="K51" s="120">
        <v>230</v>
      </c>
      <c r="L51" s="202" cm="1">
        <f t="array" ref="L51">_xlfn.XLOOKUP($K51,Inputs!C$6:C$23,Inputs!$D$6:D$23)*$I51</f>
        <v>21.599999999999998</v>
      </c>
      <c r="M51" s="201">
        <f t="shared" si="5"/>
        <v>3</v>
      </c>
      <c r="N51" s="101"/>
      <c r="O51" s="101"/>
      <c r="P51" s="101"/>
      <c r="Q51" s="101"/>
      <c r="R51" s="101"/>
      <c r="S51" s="205">
        <f>_xlfn.XLOOKUP($K51,Inputs!$G$6:$G$23,Inputs!$J$6:$J$23)*$M51</f>
        <v>402</v>
      </c>
      <c r="T51" s="205">
        <f>_xlfn.XLOOKUP($K51,Inputs!$G$6:$G$23,Inputs!$K$6:$K$23)*$M51</f>
        <v>435</v>
      </c>
      <c r="U51" s="121" t="s">
        <v>443</v>
      </c>
      <c r="V51" s="93" t="s">
        <v>717</v>
      </c>
      <c r="W51" s="121" t="s">
        <v>348</v>
      </c>
      <c r="X51" s="93" t="s">
        <v>716</v>
      </c>
      <c r="Y51" s="93"/>
      <c r="Z51" s="18"/>
      <c r="AA51" s="67">
        <v>45</v>
      </c>
    </row>
    <row r="52" spans="2:27" s="119" customFormat="1" ht="20" x14ac:dyDescent="0.2">
      <c r="B52" s="121" t="s">
        <v>391</v>
      </c>
      <c r="C52" s="46" t="s">
        <v>204</v>
      </c>
      <c r="D52" s="46" t="s">
        <v>529</v>
      </c>
      <c r="E52" s="67">
        <v>1</v>
      </c>
      <c r="F52" s="46" t="s">
        <v>127</v>
      </c>
      <c r="G52" s="122">
        <v>140</v>
      </c>
      <c r="H52" s="122">
        <f t="shared" si="3"/>
        <v>86.419753086419746</v>
      </c>
      <c r="I52" s="122">
        <v>140</v>
      </c>
      <c r="J52" s="122">
        <f t="shared" si="4"/>
        <v>86.419753086419746</v>
      </c>
      <c r="K52" s="120">
        <v>230</v>
      </c>
      <c r="L52" s="202" cm="1">
        <f t="array" ref="L52">_xlfn.XLOOKUP($K52,Inputs!C$6:C$23,Inputs!$D$6:D$23)*$I52</f>
        <v>67.2</v>
      </c>
      <c r="M52" s="201">
        <f t="shared" si="5"/>
        <v>2.2395954120969481</v>
      </c>
      <c r="N52" s="101"/>
      <c r="O52" s="101"/>
      <c r="P52" s="101"/>
      <c r="Q52" s="101"/>
      <c r="R52" s="101"/>
      <c r="S52" s="205">
        <f>_xlfn.XLOOKUP($K52,Inputs!$G$6:$G$23,Inputs!$J$6:$J$23)*$M52</f>
        <v>300.10578522099104</v>
      </c>
      <c r="T52" s="205">
        <f>_xlfn.XLOOKUP($K52,Inputs!$G$6:$G$23,Inputs!$K$6:$K$23)*$M52</f>
        <v>324.7413347540575</v>
      </c>
      <c r="U52" s="121" t="s">
        <v>370</v>
      </c>
      <c r="V52" s="93" t="s">
        <v>732</v>
      </c>
      <c r="W52" s="121" t="s">
        <v>440</v>
      </c>
      <c r="X52" s="93" t="s">
        <v>706</v>
      </c>
      <c r="Y52" s="93"/>
      <c r="Z52" s="18"/>
      <c r="AA52" s="67">
        <v>46</v>
      </c>
    </row>
    <row r="53" spans="2:27" s="119" customFormat="1" ht="20" x14ac:dyDescent="0.2">
      <c r="B53" s="121" t="s">
        <v>567</v>
      </c>
      <c r="C53" s="46" t="s">
        <v>204</v>
      </c>
      <c r="D53" s="46" t="s">
        <v>529</v>
      </c>
      <c r="E53" s="67">
        <v>1</v>
      </c>
      <c r="F53" s="46" t="s">
        <v>127</v>
      </c>
      <c r="G53" s="122">
        <v>190</v>
      </c>
      <c r="H53" s="122">
        <f t="shared" si="3"/>
        <v>117.28395061728395</v>
      </c>
      <c r="I53" s="122">
        <v>190</v>
      </c>
      <c r="J53" s="122">
        <f t="shared" si="4"/>
        <v>117.28395061728395</v>
      </c>
      <c r="K53" s="120">
        <v>230</v>
      </c>
      <c r="L53" s="202" cm="1">
        <f t="array" ref="L53">_xlfn.XLOOKUP($K53,Inputs!C$6:C$23,Inputs!$D$6:D$23)*$I53</f>
        <v>91.2</v>
      </c>
      <c r="M53" s="201">
        <f t="shared" si="5"/>
        <v>1.8310618272898442</v>
      </c>
      <c r="N53" s="101"/>
      <c r="O53" s="101"/>
      <c r="P53" s="101"/>
      <c r="Q53" s="101"/>
      <c r="R53" s="101"/>
      <c r="S53" s="205">
        <f>_xlfn.XLOOKUP($K53,Inputs!$G$6:$G$23,Inputs!$J$6:$J$23)*$M53</f>
        <v>245.36228485683912</v>
      </c>
      <c r="T53" s="205">
        <f>_xlfn.XLOOKUP($K53,Inputs!$G$6:$G$23,Inputs!$K$6:$K$23)*$M53</f>
        <v>265.50396495702739</v>
      </c>
      <c r="U53" s="121" t="s">
        <v>97</v>
      </c>
      <c r="V53" s="93" t="s">
        <v>705</v>
      </c>
      <c r="W53" s="121" t="s">
        <v>440</v>
      </c>
      <c r="X53" s="93" t="s">
        <v>706</v>
      </c>
      <c r="Y53" s="93"/>
      <c r="Z53" s="18"/>
      <c r="AA53" s="67">
        <v>42.5</v>
      </c>
    </row>
    <row r="54" spans="2:27" s="119" customFormat="1" ht="20" x14ac:dyDescent="0.2">
      <c r="B54" s="121" t="s">
        <v>332</v>
      </c>
      <c r="C54" s="46" t="s">
        <v>204</v>
      </c>
      <c r="D54" s="46" t="s">
        <v>529</v>
      </c>
      <c r="E54" s="67">
        <v>1</v>
      </c>
      <c r="F54" s="46" t="s">
        <v>127</v>
      </c>
      <c r="G54" s="122">
        <v>150</v>
      </c>
      <c r="H54" s="122">
        <f t="shared" si="3"/>
        <v>92.592592592592581</v>
      </c>
      <c r="I54" s="122">
        <v>150</v>
      </c>
      <c r="J54" s="122">
        <f t="shared" si="4"/>
        <v>92.592592592592581</v>
      </c>
      <c r="K54" s="120">
        <v>230</v>
      </c>
      <c r="L54" s="202" cm="1">
        <f t="array" ref="L54">_xlfn.XLOOKUP($K54,Inputs!C$6:C$23,Inputs!$D$6:D$23)*$I54</f>
        <v>72</v>
      </c>
      <c r="M54" s="201">
        <f t="shared" si="5"/>
        <v>2.1399756087919681</v>
      </c>
      <c r="N54" s="101"/>
      <c r="O54" s="101"/>
      <c r="P54" s="101"/>
      <c r="Q54" s="101"/>
      <c r="R54" s="101"/>
      <c r="S54" s="205">
        <f>_xlfn.XLOOKUP($K54,Inputs!$G$6:$G$23,Inputs!$J$6:$J$23)*$M54</f>
        <v>286.75673157812372</v>
      </c>
      <c r="T54" s="205">
        <f>_xlfn.XLOOKUP($K54,Inputs!$G$6:$G$23,Inputs!$K$6:$K$23)*$M54</f>
        <v>310.29646327483539</v>
      </c>
      <c r="U54" s="121" t="s">
        <v>443</v>
      </c>
      <c r="V54" s="93" t="s">
        <v>717</v>
      </c>
      <c r="W54" s="121" t="s">
        <v>347</v>
      </c>
      <c r="X54" s="93" t="s">
        <v>710</v>
      </c>
      <c r="Y54" s="93"/>
      <c r="Z54" s="18"/>
      <c r="AA54" s="67">
        <v>47</v>
      </c>
    </row>
    <row r="55" spans="2:27" s="119" customFormat="1" ht="20" x14ac:dyDescent="0.2">
      <c r="B55" s="121" t="s">
        <v>315</v>
      </c>
      <c r="C55" s="46" t="s">
        <v>204</v>
      </c>
      <c r="D55" s="46" t="s">
        <v>529</v>
      </c>
      <c r="E55" s="67">
        <v>1</v>
      </c>
      <c r="F55" s="46" t="s">
        <v>127</v>
      </c>
      <c r="G55" s="122">
        <v>120</v>
      </c>
      <c r="H55" s="122">
        <f t="shared" si="3"/>
        <v>74.074074074074076</v>
      </c>
      <c r="I55" s="122">
        <v>120</v>
      </c>
      <c r="J55" s="122">
        <f t="shared" si="4"/>
        <v>74.074074074074076</v>
      </c>
      <c r="K55" s="120">
        <v>230</v>
      </c>
      <c r="L55" s="202" cm="1">
        <f t="array" ref="L55">_xlfn.XLOOKUP($K55,Inputs!C$6:C$23,Inputs!$D$6:D$23)*$I55</f>
        <v>57.599999999999994</v>
      </c>
      <c r="M55" s="201">
        <f t="shared" si="5"/>
        <v>2.479253739246511</v>
      </c>
      <c r="N55" s="101"/>
      <c r="O55" s="101"/>
      <c r="P55" s="101"/>
      <c r="Q55" s="101"/>
      <c r="R55" s="101"/>
      <c r="S55" s="205">
        <f>_xlfn.XLOOKUP($K55,Inputs!$G$6:$G$23,Inputs!$J$6:$J$23)*$M55</f>
        <v>332.22000105903248</v>
      </c>
      <c r="T55" s="205">
        <f>_xlfn.XLOOKUP($K55,Inputs!$G$6:$G$23,Inputs!$K$6:$K$23)*$M55</f>
        <v>359.49179219074409</v>
      </c>
      <c r="U55" s="121" t="s">
        <v>338</v>
      </c>
      <c r="V55" s="93" t="s">
        <v>725</v>
      </c>
      <c r="W55" s="121" t="s">
        <v>803</v>
      </c>
      <c r="X55" s="93" t="s">
        <v>466</v>
      </c>
      <c r="Y55" s="93"/>
      <c r="Z55" s="18"/>
      <c r="AA55" s="67">
        <v>48</v>
      </c>
    </row>
    <row r="56" spans="2:27" s="119" customFormat="1" ht="20" x14ac:dyDescent="0.2">
      <c r="B56" s="121" t="s">
        <v>363</v>
      </c>
      <c r="C56" s="46" t="s">
        <v>204</v>
      </c>
      <c r="D56" s="46" t="s">
        <v>529</v>
      </c>
      <c r="E56" s="67">
        <v>1</v>
      </c>
      <c r="F56" s="46" t="s">
        <v>127</v>
      </c>
      <c r="G56" s="122">
        <v>10</v>
      </c>
      <c r="H56" s="122">
        <f t="shared" si="3"/>
        <v>6.1728395061728394</v>
      </c>
      <c r="I56" s="122">
        <v>10</v>
      </c>
      <c r="J56" s="122">
        <f t="shared" si="4"/>
        <v>6.1728395061728394</v>
      </c>
      <c r="K56" s="120">
        <v>138</v>
      </c>
      <c r="L56" s="202" cm="1">
        <f t="array" ref="L56">_xlfn.XLOOKUP($K56,Inputs!C$6:C$23,Inputs!$D$6:D$23)*$I56</f>
        <v>4.3357142857142863</v>
      </c>
      <c r="M56" s="201">
        <f t="shared" si="5"/>
        <v>3</v>
      </c>
      <c r="N56" s="101"/>
      <c r="O56" s="101"/>
      <c r="P56" s="101"/>
      <c r="Q56" s="101"/>
      <c r="R56" s="101"/>
      <c r="S56" s="205">
        <f>_xlfn.XLOOKUP($K56,Inputs!$G$6:$G$23,Inputs!$J$6:$J$23)*$M56</f>
        <v>141</v>
      </c>
      <c r="T56" s="205">
        <f>_xlfn.XLOOKUP($K56,Inputs!$G$6:$G$23,Inputs!$K$6:$K$23)*$M56</f>
        <v>156</v>
      </c>
      <c r="U56" s="121" t="s">
        <v>361</v>
      </c>
      <c r="V56" s="93" t="s">
        <v>740</v>
      </c>
      <c r="W56" s="121" t="s">
        <v>364</v>
      </c>
      <c r="X56" s="93" t="s">
        <v>745</v>
      </c>
      <c r="Y56" s="93"/>
      <c r="Z56" s="18"/>
      <c r="AA56" s="67">
        <v>49</v>
      </c>
    </row>
    <row r="57" spans="2:27" s="119" customFormat="1" ht="20" x14ac:dyDescent="0.2">
      <c r="B57" s="121" t="s">
        <v>368</v>
      </c>
      <c r="C57" s="46" t="s">
        <v>204</v>
      </c>
      <c r="D57" s="46" t="s">
        <v>529</v>
      </c>
      <c r="E57" s="67">
        <v>1</v>
      </c>
      <c r="F57" s="46" t="s">
        <v>127</v>
      </c>
      <c r="G57" s="122">
        <v>50</v>
      </c>
      <c r="H57" s="122">
        <f t="shared" si="3"/>
        <v>30.864197530864196</v>
      </c>
      <c r="I57" s="122">
        <v>50</v>
      </c>
      <c r="J57" s="122">
        <f t="shared" si="4"/>
        <v>30.864197530864196</v>
      </c>
      <c r="K57" s="120">
        <v>138</v>
      </c>
      <c r="L57" s="202" cm="1">
        <f t="array" ref="L57">_xlfn.XLOOKUP($K57,Inputs!C$6:C$23,Inputs!$D$6:D$23)*$I57</f>
        <v>21.678571428571431</v>
      </c>
      <c r="M57" s="201">
        <f t="shared" si="5"/>
        <v>3</v>
      </c>
      <c r="N57" s="101"/>
      <c r="O57" s="101"/>
      <c r="P57" s="101"/>
      <c r="Q57" s="101"/>
      <c r="R57" s="101"/>
      <c r="S57" s="205">
        <f>_xlfn.XLOOKUP($K57,Inputs!$G$6:$G$23,Inputs!$J$6:$J$23)*$M57</f>
        <v>141</v>
      </c>
      <c r="T57" s="205">
        <f>_xlfn.XLOOKUP($K57,Inputs!$G$6:$G$23,Inputs!$K$6:$K$23)*$M57</f>
        <v>156</v>
      </c>
      <c r="U57" s="121" t="s">
        <v>440</v>
      </c>
      <c r="V57" s="93" t="s">
        <v>706</v>
      </c>
      <c r="W57" s="121" t="s">
        <v>372</v>
      </c>
      <c r="X57" s="93" t="s">
        <v>744</v>
      </c>
      <c r="Y57" s="93"/>
      <c r="Z57" s="18"/>
      <c r="AA57" s="67">
        <v>50</v>
      </c>
    </row>
    <row r="58" spans="2:27" s="119" customFormat="1" ht="20" x14ac:dyDescent="0.2">
      <c r="B58" s="121" t="s">
        <v>375</v>
      </c>
      <c r="C58" s="46" t="s">
        <v>204</v>
      </c>
      <c r="D58" s="46" t="s">
        <v>529</v>
      </c>
      <c r="E58" s="67">
        <v>1</v>
      </c>
      <c r="F58" s="46" t="s">
        <v>127</v>
      </c>
      <c r="G58" s="122">
        <v>90</v>
      </c>
      <c r="H58" s="122">
        <f t="shared" si="3"/>
        <v>55.55555555555555</v>
      </c>
      <c r="I58" s="122">
        <v>90</v>
      </c>
      <c r="J58" s="122">
        <f t="shared" si="4"/>
        <v>55.55555555555555</v>
      </c>
      <c r="K58" s="120">
        <v>138</v>
      </c>
      <c r="L58" s="202" cm="1">
        <f t="array" ref="L58">_xlfn.XLOOKUP($K58,Inputs!C$6:C$23,Inputs!$D$6:D$23)*$I58</f>
        <v>39.021428571428572</v>
      </c>
      <c r="M58" s="201">
        <f t="shared" si="5"/>
        <v>2.9972162166153491</v>
      </c>
      <c r="N58" s="101"/>
      <c r="O58" s="101"/>
      <c r="P58" s="101"/>
      <c r="Q58" s="101"/>
      <c r="R58" s="101"/>
      <c r="S58" s="205">
        <f>_xlfn.XLOOKUP($K58,Inputs!$G$6:$G$23,Inputs!$J$6:$J$23)*$M58</f>
        <v>140.86916218092142</v>
      </c>
      <c r="T58" s="205">
        <f>_xlfn.XLOOKUP($K58,Inputs!$G$6:$G$23,Inputs!$K$6:$K$23)*$M58</f>
        <v>155.85524326399815</v>
      </c>
      <c r="U58" s="121" t="s">
        <v>437</v>
      </c>
      <c r="V58" s="93" t="s">
        <v>733</v>
      </c>
      <c r="W58" s="121" t="s">
        <v>371</v>
      </c>
      <c r="X58" s="93" t="s">
        <v>703</v>
      </c>
      <c r="Y58" s="93"/>
      <c r="Z58" s="18"/>
      <c r="AA58" s="67">
        <v>51</v>
      </c>
    </row>
    <row r="59" spans="2:27" s="119" customFormat="1" ht="20" x14ac:dyDescent="0.2">
      <c r="B59" s="121" t="s">
        <v>378</v>
      </c>
      <c r="C59" s="46" t="s">
        <v>204</v>
      </c>
      <c r="D59" s="46" t="s">
        <v>529</v>
      </c>
      <c r="E59" s="67">
        <v>1</v>
      </c>
      <c r="F59" s="46" t="s">
        <v>127</v>
      </c>
      <c r="G59" s="122">
        <v>140</v>
      </c>
      <c r="H59" s="122">
        <f t="shared" si="3"/>
        <v>86.419753086419746</v>
      </c>
      <c r="I59" s="122">
        <v>140</v>
      </c>
      <c r="J59" s="122">
        <f t="shared" si="4"/>
        <v>86.419753086419746</v>
      </c>
      <c r="K59" s="120">
        <v>138</v>
      </c>
      <c r="L59" s="202" cm="1">
        <f t="array" ref="L59">_xlfn.XLOOKUP($K59,Inputs!C$6:C$23,Inputs!$D$6:D$23)*$I59</f>
        <v>60.7</v>
      </c>
      <c r="M59" s="201">
        <f t="shared" si="5"/>
        <v>2.2395954120969481</v>
      </c>
      <c r="N59" s="101"/>
      <c r="O59" s="101"/>
      <c r="P59" s="101"/>
      <c r="Q59" s="101"/>
      <c r="R59" s="101"/>
      <c r="S59" s="205">
        <f>_xlfn.XLOOKUP($K59,Inputs!$G$6:$G$23,Inputs!$J$6:$J$23)*$M59</f>
        <v>105.26098436855656</v>
      </c>
      <c r="T59" s="205">
        <f>_xlfn.XLOOKUP($K59,Inputs!$G$6:$G$23,Inputs!$K$6:$K$23)*$M59</f>
        <v>116.4589614290413</v>
      </c>
      <c r="U59" s="121" t="s">
        <v>437</v>
      </c>
      <c r="V59" s="93" t="s">
        <v>733</v>
      </c>
      <c r="W59" s="121" t="s">
        <v>336</v>
      </c>
      <c r="X59" s="93" t="s">
        <v>731</v>
      </c>
      <c r="Y59" s="93"/>
      <c r="Z59" s="18"/>
      <c r="AA59" s="67">
        <v>52</v>
      </c>
    </row>
    <row r="60" spans="2:27" s="119" customFormat="1" ht="20" x14ac:dyDescent="0.2">
      <c r="B60" s="121" t="s">
        <v>358</v>
      </c>
      <c r="C60" s="46" t="s">
        <v>204</v>
      </c>
      <c r="D60" s="46" t="s">
        <v>529</v>
      </c>
      <c r="E60" s="67">
        <v>1</v>
      </c>
      <c r="F60" s="46" t="s">
        <v>127</v>
      </c>
      <c r="G60" s="122">
        <v>110</v>
      </c>
      <c r="H60" s="122">
        <f t="shared" si="3"/>
        <v>67.901234567901227</v>
      </c>
      <c r="I60" s="122">
        <v>110</v>
      </c>
      <c r="J60" s="122">
        <f t="shared" si="4"/>
        <v>67.901234567901227</v>
      </c>
      <c r="K60" s="120">
        <v>138</v>
      </c>
      <c r="L60" s="202" cm="1">
        <f t="array" ref="L60">_xlfn.XLOOKUP($K60,Inputs!C$6:C$23,Inputs!$D$6:D$23)*$I60</f>
        <v>47.69285714285715</v>
      </c>
      <c r="M60" s="201">
        <f t="shared" si="5"/>
        <v>2.6256844539679496</v>
      </c>
      <c r="N60" s="101"/>
      <c r="O60" s="101"/>
      <c r="P60" s="101"/>
      <c r="Q60" s="101"/>
      <c r="R60" s="101"/>
      <c r="S60" s="205">
        <f>_xlfn.XLOOKUP($K60,Inputs!$G$6:$G$23,Inputs!$J$6:$J$23)*$M60</f>
        <v>123.40716933649362</v>
      </c>
      <c r="T60" s="205">
        <f>_xlfn.XLOOKUP($K60,Inputs!$G$6:$G$23,Inputs!$K$6:$K$23)*$M60</f>
        <v>136.53559160633338</v>
      </c>
      <c r="U60" s="121" t="s">
        <v>438</v>
      </c>
      <c r="V60" s="93" t="s">
        <v>741</v>
      </c>
      <c r="W60" s="121" t="s">
        <v>437</v>
      </c>
      <c r="X60" s="93" t="s">
        <v>733</v>
      </c>
      <c r="Y60" s="93"/>
      <c r="Z60" s="18"/>
      <c r="AA60" s="67">
        <v>53</v>
      </c>
    </row>
    <row r="61" spans="2:27" s="119" customFormat="1" ht="20" x14ac:dyDescent="0.2">
      <c r="B61" s="121" t="s">
        <v>379</v>
      </c>
      <c r="C61" s="46" t="s">
        <v>204</v>
      </c>
      <c r="D61" s="46" t="s">
        <v>529</v>
      </c>
      <c r="E61" s="67">
        <v>1</v>
      </c>
      <c r="F61" s="46" t="s">
        <v>127</v>
      </c>
      <c r="G61" s="122">
        <v>140</v>
      </c>
      <c r="H61" s="122">
        <f t="shared" si="3"/>
        <v>86.419753086419746</v>
      </c>
      <c r="I61" s="122">
        <v>140</v>
      </c>
      <c r="J61" s="122">
        <f t="shared" si="4"/>
        <v>86.419753086419746</v>
      </c>
      <c r="K61" s="120">
        <v>138</v>
      </c>
      <c r="L61" s="202" cm="1">
        <f t="array" ref="L61">_xlfn.XLOOKUP($K61,Inputs!C$6:C$23,Inputs!$D$6:D$23)*$I61</f>
        <v>60.7</v>
      </c>
      <c r="M61" s="201">
        <f t="shared" si="5"/>
        <v>2.2395954120969481</v>
      </c>
      <c r="N61" s="101"/>
      <c r="O61" s="101"/>
      <c r="P61" s="101"/>
      <c r="Q61" s="101"/>
      <c r="R61" s="101"/>
      <c r="S61" s="205">
        <f>_xlfn.XLOOKUP($K61,Inputs!$G$6:$G$23,Inputs!$J$6:$J$23)*$M61</f>
        <v>105.26098436855656</v>
      </c>
      <c r="T61" s="205">
        <f>_xlfn.XLOOKUP($K61,Inputs!$G$6:$G$23,Inputs!$K$6:$K$23)*$M61</f>
        <v>116.4589614290413</v>
      </c>
      <c r="U61" s="121" t="s">
        <v>437</v>
      </c>
      <c r="V61" s="93" t="s">
        <v>733</v>
      </c>
      <c r="W61" s="121" t="s">
        <v>336</v>
      </c>
      <c r="X61" s="93" t="s">
        <v>731</v>
      </c>
      <c r="Y61" s="93"/>
      <c r="Z61" s="18"/>
      <c r="AA61" s="67">
        <v>54</v>
      </c>
    </row>
    <row r="62" spans="2:27" s="119" customFormat="1" ht="20" x14ac:dyDescent="0.2">
      <c r="B62" s="121" t="s">
        <v>395</v>
      </c>
      <c r="C62" s="46" t="s">
        <v>204</v>
      </c>
      <c r="D62" s="46" t="s">
        <v>529</v>
      </c>
      <c r="E62" s="67">
        <v>1</v>
      </c>
      <c r="F62" s="46" t="s">
        <v>127</v>
      </c>
      <c r="G62" s="122">
        <v>12</v>
      </c>
      <c r="H62" s="122">
        <f t="shared" si="3"/>
        <v>7.4074074074074066</v>
      </c>
      <c r="I62" s="122">
        <v>12</v>
      </c>
      <c r="J62" s="122">
        <f t="shared" si="4"/>
        <v>7.4074074074074066</v>
      </c>
      <c r="K62" s="120">
        <v>138</v>
      </c>
      <c r="L62" s="202" cm="1">
        <f t="array" ref="L62">_xlfn.XLOOKUP($K62,Inputs!C$6:C$23,Inputs!$D$6:D$23)*$I62</f>
        <v>5.2028571428571428</v>
      </c>
      <c r="M62" s="201">
        <f t="shared" si="5"/>
        <v>3</v>
      </c>
      <c r="N62" s="101"/>
      <c r="O62" s="101"/>
      <c r="P62" s="101"/>
      <c r="Q62" s="101"/>
      <c r="R62" s="101"/>
      <c r="S62" s="205">
        <f>_xlfn.XLOOKUP($K62,Inputs!$G$6:$G$23,Inputs!$J$6:$J$23)*$M62</f>
        <v>141</v>
      </c>
      <c r="T62" s="205">
        <f>_xlfn.XLOOKUP($K62,Inputs!$G$6:$G$23,Inputs!$K$6:$K$23)*$M62</f>
        <v>156</v>
      </c>
      <c r="U62" s="121" t="s">
        <v>396</v>
      </c>
      <c r="V62" s="93" t="s">
        <v>723</v>
      </c>
      <c r="W62" s="121" t="s">
        <v>437</v>
      </c>
      <c r="X62" s="93" t="s">
        <v>733</v>
      </c>
      <c r="Y62" s="93"/>
      <c r="Z62" s="18"/>
      <c r="AA62" s="67">
        <v>55</v>
      </c>
    </row>
    <row r="63" spans="2:27" s="119" customFormat="1" ht="20" x14ac:dyDescent="0.2">
      <c r="B63" s="121" t="s">
        <v>342</v>
      </c>
      <c r="C63" s="46" t="s">
        <v>204</v>
      </c>
      <c r="D63" s="46" t="s">
        <v>529</v>
      </c>
      <c r="E63" s="67">
        <v>1</v>
      </c>
      <c r="F63" s="46" t="s">
        <v>127</v>
      </c>
      <c r="G63" s="122">
        <v>65</v>
      </c>
      <c r="H63" s="122">
        <f t="shared" si="3"/>
        <v>40.123456790123456</v>
      </c>
      <c r="I63" s="122">
        <v>65</v>
      </c>
      <c r="J63" s="122">
        <f t="shared" si="4"/>
        <v>40.123456790123456</v>
      </c>
      <c r="K63" s="120">
        <v>138</v>
      </c>
      <c r="L63" s="202" cm="1">
        <f t="array" ref="L63">_xlfn.XLOOKUP($K63,Inputs!C$6:C$23,Inputs!$D$6:D$23)*$I63</f>
        <v>28.18214285714286</v>
      </c>
      <c r="M63" s="201">
        <f t="shared" si="5"/>
        <v>3</v>
      </c>
      <c r="N63" s="101"/>
      <c r="O63" s="101"/>
      <c r="P63" s="101"/>
      <c r="Q63" s="101"/>
      <c r="R63" s="101"/>
      <c r="S63" s="205">
        <f>_xlfn.XLOOKUP($K63,Inputs!$G$6:$G$23,Inputs!$J$6:$J$23)*$M63</f>
        <v>141</v>
      </c>
      <c r="T63" s="205">
        <f>_xlfn.XLOOKUP($K63,Inputs!$G$6:$G$23,Inputs!$K$6:$K$23)*$M63</f>
        <v>156</v>
      </c>
      <c r="U63" s="121" t="s">
        <v>440</v>
      </c>
      <c r="V63" s="93" t="s">
        <v>706</v>
      </c>
      <c r="W63" s="121" t="s">
        <v>559</v>
      </c>
      <c r="X63" s="93" t="s">
        <v>702</v>
      </c>
      <c r="Y63" s="93"/>
      <c r="Z63" s="18"/>
      <c r="AA63" s="67">
        <v>56</v>
      </c>
    </row>
    <row r="64" spans="2:27" s="119" customFormat="1" ht="20" x14ac:dyDescent="0.2">
      <c r="B64" s="121" t="s">
        <v>394</v>
      </c>
      <c r="C64" s="46" t="s">
        <v>204</v>
      </c>
      <c r="D64" s="46" t="s">
        <v>529</v>
      </c>
      <c r="E64" s="67">
        <v>1</v>
      </c>
      <c r="F64" s="46" t="s">
        <v>127</v>
      </c>
      <c r="G64" s="122">
        <v>20</v>
      </c>
      <c r="H64" s="122">
        <f t="shared" si="3"/>
        <v>12.345679012345679</v>
      </c>
      <c r="I64" s="122">
        <v>20</v>
      </c>
      <c r="J64" s="122">
        <f t="shared" si="4"/>
        <v>12.345679012345679</v>
      </c>
      <c r="K64" s="120">
        <v>230</v>
      </c>
      <c r="L64" s="202" cm="1">
        <f t="array" ref="L64">_xlfn.XLOOKUP($K64,Inputs!C$6:C$23,Inputs!$D$6:D$23)*$I64</f>
        <v>9.6</v>
      </c>
      <c r="M64" s="201">
        <f t="shared" si="5"/>
        <v>3</v>
      </c>
      <c r="N64" s="101"/>
      <c r="O64" s="101"/>
      <c r="P64" s="101"/>
      <c r="Q64" s="101"/>
      <c r="R64" s="101"/>
      <c r="S64" s="205">
        <f>_xlfn.XLOOKUP($K64,Inputs!$G$6:$G$23,Inputs!$J$6:$J$23)*$M64</f>
        <v>402</v>
      </c>
      <c r="T64" s="205">
        <f>_xlfn.XLOOKUP($K64,Inputs!$G$6:$G$23,Inputs!$K$6:$K$23)*$M64</f>
        <v>435</v>
      </c>
      <c r="U64" s="121" t="s">
        <v>392</v>
      </c>
      <c r="V64" s="93" t="s">
        <v>711</v>
      </c>
      <c r="W64" s="121" t="s">
        <v>97</v>
      </c>
      <c r="X64" s="93" t="s">
        <v>705</v>
      </c>
      <c r="Y64" s="93"/>
      <c r="Z64" s="18" t="s">
        <v>545</v>
      </c>
      <c r="AA64" s="67">
        <v>57</v>
      </c>
    </row>
    <row r="65" spans="2:27" s="119" customFormat="1" ht="20" x14ac:dyDescent="0.2">
      <c r="B65" s="121" t="s">
        <v>317</v>
      </c>
      <c r="C65" s="46" t="s">
        <v>204</v>
      </c>
      <c r="D65" s="46" t="s">
        <v>529</v>
      </c>
      <c r="E65" s="67">
        <v>1</v>
      </c>
      <c r="F65" s="46" t="s">
        <v>127</v>
      </c>
      <c r="G65" s="122">
        <v>70</v>
      </c>
      <c r="H65" s="122">
        <f t="shared" si="3"/>
        <v>43.209876543209873</v>
      </c>
      <c r="I65" s="122">
        <v>70</v>
      </c>
      <c r="J65" s="122">
        <f t="shared" si="4"/>
        <v>43.209876543209873</v>
      </c>
      <c r="K65" s="120">
        <v>230</v>
      </c>
      <c r="L65" s="202" cm="1">
        <f t="array" ref="L65">_xlfn.XLOOKUP($K65,Inputs!C$6:C$23,Inputs!$D$6:D$23)*$I65</f>
        <v>33.6</v>
      </c>
      <c r="M65" s="201">
        <f t="shared" si="5"/>
        <v>3</v>
      </c>
      <c r="N65" s="101"/>
      <c r="O65" s="101"/>
      <c r="P65" s="101"/>
      <c r="Q65" s="101"/>
      <c r="R65" s="101"/>
      <c r="S65" s="205">
        <f>_xlfn.XLOOKUP($K65,Inputs!$G$6:$G$23,Inputs!$J$6:$J$23)*$M65</f>
        <v>402</v>
      </c>
      <c r="T65" s="205">
        <f>_xlfn.XLOOKUP($K65,Inputs!$G$6:$G$23,Inputs!$K$6:$K$23)*$M65</f>
        <v>435</v>
      </c>
      <c r="U65" s="121" t="s">
        <v>444</v>
      </c>
      <c r="V65" s="93" t="s">
        <v>742</v>
      </c>
      <c r="W65" s="121" t="s">
        <v>807</v>
      </c>
      <c r="X65" s="93" t="s">
        <v>468</v>
      </c>
      <c r="Y65" s="93"/>
      <c r="Z65" s="18"/>
      <c r="AA65" s="67">
        <v>58</v>
      </c>
    </row>
    <row r="66" spans="2:27" s="119" customFormat="1" ht="20" x14ac:dyDescent="0.2">
      <c r="B66" s="121" t="s">
        <v>325</v>
      </c>
      <c r="C66" s="46" t="s">
        <v>204</v>
      </c>
      <c r="D66" s="46" t="s">
        <v>529</v>
      </c>
      <c r="E66" s="67">
        <v>1</v>
      </c>
      <c r="F66" s="46" t="s">
        <v>127</v>
      </c>
      <c r="G66" s="122">
        <v>30</v>
      </c>
      <c r="H66" s="122">
        <f t="shared" si="3"/>
        <v>18.518518518518519</v>
      </c>
      <c r="I66" s="122">
        <v>30</v>
      </c>
      <c r="J66" s="122">
        <f t="shared" si="4"/>
        <v>18.518518518518519</v>
      </c>
      <c r="K66" s="120">
        <v>138</v>
      </c>
      <c r="L66" s="202" cm="1">
        <f t="array" ref="L66">_xlfn.XLOOKUP($K66,Inputs!C$6:C$23,Inputs!$D$6:D$23)*$I66</f>
        <v>13.007142857142858</v>
      </c>
      <c r="M66" s="201">
        <f t="shared" si="5"/>
        <v>3</v>
      </c>
      <c r="N66" s="101"/>
      <c r="O66" s="101"/>
      <c r="P66" s="101"/>
      <c r="Q66" s="101"/>
      <c r="R66" s="101"/>
      <c r="S66" s="205">
        <f>_xlfn.XLOOKUP($K66,Inputs!$G$6:$G$23,Inputs!$J$6:$J$23)*$M66</f>
        <v>141</v>
      </c>
      <c r="T66" s="205">
        <f>_xlfn.XLOOKUP($K66,Inputs!$G$6:$G$23,Inputs!$K$6:$K$23)*$M66</f>
        <v>156</v>
      </c>
      <c r="U66" s="121" t="s">
        <v>559</v>
      </c>
      <c r="V66" s="93" t="s">
        <v>702</v>
      </c>
      <c r="W66" s="121" t="s">
        <v>347</v>
      </c>
      <c r="X66" s="93" t="s">
        <v>710</v>
      </c>
      <c r="Y66" s="93"/>
      <c r="Z66" s="18"/>
      <c r="AA66" s="67">
        <v>59</v>
      </c>
    </row>
    <row r="67" spans="2:27" s="119" customFormat="1" ht="20" x14ac:dyDescent="0.2">
      <c r="B67" s="121" t="s">
        <v>385</v>
      </c>
      <c r="C67" s="46" t="s">
        <v>204</v>
      </c>
      <c r="D67" s="46" t="s">
        <v>529</v>
      </c>
      <c r="E67" s="67">
        <v>1</v>
      </c>
      <c r="F67" s="46" t="s">
        <v>127</v>
      </c>
      <c r="G67" s="122">
        <v>10</v>
      </c>
      <c r="H67" s="122">
        <f t="shared" si="3"/>
        <v>6.1728395061728394</v>
      </c>
      <c r="I67" s="122">
        <v>10</v>
      </c>
      <c r="J67" s="122">
        <f t="shared" si="4"/>
        <v>6.1728395061728394</v>
      </c>
      <c r="K67" s="120">
        <v>230</v>
      </c>
      <c r="L67" s="202" cm="1">
        <f t="array" ref="L67">_xlfn.XLOOKUP($K67,Inputs!C$6:C$23,Inputs!$D$6:D$23)*$I67</f>
        <v>4.8</v>
      </c>
      <c r="M67" s="201">
        <f t="shared" si="5"/>
        <v>3</v>
      </c>
      <c r="N67" s="101"/>
      <c r="O67" s="101"/>
      <c r="P67" s="101"/>
      <c r="Q67" s="101"/>
      <c r="R67" s="101"/>
      <c r="S67" s="205">
        <f>_xlfn.XLOOKUP($K67,Inputs!$G$6:$G$23,Inputs!$J$6:$J$23)*$M67</f>
        <v>402</v>
      </c>
      <c r="T67" s="205">
        <f>_xlfn.XLOOKUP($K67,Inputs!$G$6:$G$23,Inputs!$K$6:$K$23)*$M67</f>
        <v>435</v>
      </c>
      <c r="U67" s="121" t="s">
        <v>559</v>
      </c>
      <c r="V67" s="93" t="s">
        <v>702</v>
      </c>
      <c r="W67" s="121" t="s">
        <v>347</v>
      </c>
      <c r="X67" s="93" t="s">
        <v>710</v>
      </c>
      <c r="Y67" s="93"/>
      <c r="Z67" s="18"/>
      <c r="AA67" s="67">
        <v>60</v>
      </c>
    </row>
    <row r="68" spans="2:27" s="119" customFormat="1" ht="20" x14ac:dyDescent="0.2">
      <c r="B68" s="121" t="s">
        <v>333</v>
      </c>
      <c r="C68" s="46" t="s">
        <v>204</v>
      </c>
      <c r="D68" s="46" t="s">
        <v>529</v>
      </c>
      <c r="E68" s="67">
        <v>1</v>
      </c>
      <c r="F68" s="46" t="s">
        <v>127</v>
      </c>
      <c r="G68" s="122">
        <v>45</v>
      </c>
      <c r="H68" s="122">
        <f t="shared" ref="H68:H81" si="6">G68/1.62</f>
        <v>27.777777777777775</v>
      </c>
      <c r="I68" s="122">
        <v>45</v>
      </c>
      <c r="J68" s="122">
        <f t="shared" ref="J68:J81" si="7">I68/1.62</f>
        <v>27.777777777777775</v>
      </c>
      <c r="K68" s="120">
        <v>138</v>
      </c>
      <c r="L68" s="202" cm="1">
        <f t="array" ref="L68">_xlfn.XLOOKUP($K68,Inputs!C$6:C$23,Inputs!$D$6:D$23)*$I68</f>
        <v>19.510714285714286</v>
      </c>
      <c r="M68" s="201">
        <f t="shared" ref="M68:M81" si="8">IF((42.4*(J68)^(-0.6595))&gt;=3,3,(IF(42.4*(J68)^(-0.6595)&lt;=0.5,0.5,(42.4*(J68)^(-0.6595)))))</f>
        <v>3</v>
      </c>
      <c r="N68" s="101"/>
      <c r="O68" s="101"/>
      <c r="P68" s="101"/>
      <c r="Q68" s="101"/>
      <c r="R68" s="101"/>
      <c r="S68" s="205">
        <f>_xlfn.XLOOKUP($K68,Inputs!$G$6:$G$23,Inputs!$J$6:$J$23)*$M68</f>
        <v>141</v>
      </c>
      <c r="T68" s="205">
        <f>_xlfn.XLOOKUP($K68,Inputs!$G$6:$G$23,Inputs!$K$6:$K$23)*$M68</f>
        <v>156</v>
      </c>
      <c r="U68" s="121" t="s">
        <v>559</v>
      </c>
      <c r="V68" s="93" t="s">
        <v>702</v>
      </c>
      <c r="W68" s="121" t="s">
        <v>389</v>
      </c>
      <c r="X68" s="93" t="s">
        <v>743</v>
      </c>
      <c r="Y68" s="93"/>
      <c r="Z68" s="18"/>
      <c r="AA68" s="67">
        <v>61</v>
      </c>
    </row>
    <row r="69" spans="2:27" s="119" customFormat="1" ht="20" x14ac:dyDescent="0.2">
      <c r="B69" s="121" t="s">
        <v>316</v>
      </c>
      <c r="C69" s="46" t="s">
        <v>204</v>
      </c>
      <c r="D69" s="46" t="s">
        <v>529</v>
      </c>
      <c r="E69" s="67">
        <v>1</v>
      </c>
      <c r="F69" s="46" t="s">
        <v>127</v>
      </c>
      <c r="G69" s="122">
        <v>130</v>
      </c>
      <c r="H69" s="122">
        <f t="shared" si="6"/>
        <v>80.246913580246911</v>
      </c>
      <c r="I69" s="122">
        <v>130</v>
      </c>
      <c r="J69" s="122">
        <f t="shared" si="7"/>
        <v>80.246913580246911</v>
      </c>
      <c r="K69" s="120">
        <v>230</v>
      </c>
      <c r="L69" s="202" cm="1">
        <f t="array" ref="L69">_xlfn.XLOOKUP($K69,Inputs!C$6:C$23,Inputs!$D$6:D$23)*$I69</f>
        <v>62.4</v>
      </c>
      <c r="M69" s="201">
        <f t="shared" si="8"/>
        <v>2.3517728255357628</v>
      </c>
      <c r="N69" s="101"/>
      <c r="O69" s="101"/>
      <c r="P69" s="101"/>
      <c r="Q69" s="101"/>
      <c r="R69" s="101"/>
      <c r="S69" s="205">
        <f>_xlfn.XLOOKUP($K69,Inputs!$G$6:$G$23,Inputs!$J$6:$J$23)*$M69</f>
        <v>315.13755862179221</v>
      </c>
      <c r="T69" s="205">
        <f>_xlfn.XLOOKUP($K69,Inputs!$G$6:$G$23,Inputs!$K$6:$K$23)*$M69</f>
        <v>341.00705970268564</v>
      </c>
      <c r="U69" s="121" t="s">
        <v>442</v>
      </c>
      <c r="V69" s="93" t="s">
        <v>697</v>
      </c>
      <c r="W69" s="121" t="s">
        <v>802</v>
      </c>
      <c r="X69" s="93" t="s">
        <v>465</v>
      </c>
      <c r="Y69" s="93"/>
      <c r="Z69" s="18"/>
      <c r="AA69" s="67">
        <v>62</v>
      </c>
    </row>
    <row r="70" spans="2:27" s="119" customFormat="1" ht="20" x14ac:dyDescent="0.2">
      <c r="B70" s="121" t="s">
        <v>571</v>
      </c>
      <c r="C70" s="46" t="s">
        <v>204</v>
      </c>
      <c r="D70" s="46" t="s">
        <v>529</v>
      </c>
      <c r="E70" s="67">
        <v>1</v>
      </c>
      <c r="F70" s="46" t="s">
        <v>127</v>
      </c>
      <c r="G70" s="122">
        <v>30</v>
      </c>
      <c r="H70" s="122">
        <f t="shared" si="6"/>
        <v>18.518518518518519</v>
      </c>
      <c r="I70" s="122">
        <v>95</v>
      </c>
      <c r="J70" s="122">
        <f t="shared" si="7"/>
        <v>58.641975308641975</v>
      </c>
      <c r="K70" s="120">
        <v>138</v>
      </c>
      <c r="L70" s="202" cm="1">
        <f t="array" ref="L70">_xlfn.XLOOKUP($K70,Inputs!C$6:C$23,Inputs!$D$6:D$23)*$I70</f>
        <v>41.189285714285717</v>
      </c>
      <c r="M70" s="201">
        <f t="shared" si="8"/>
        <v>2.8922264332537342</v>
      </c>
      <c r="N70" s="101"/>
      <c r="O70" s="101"/>
      <c r="P70" s="101"/>
      <c r="Q70" s="101"/>
      <c r="R70" s="101"/>
      <c r="S70" s="205">
        <f>_xlfn.XLOOKUP($K70,Inputs!$G$6:$G$23,Inputs!$J$6:$J$23)*$M70</f>
        <v>135.9346423629255</v>
      </c>
      <c r="T70" s="205">
        <f>_xlfn.XLOOKUP($K70,Inputs!$G$6:$G$23,Inputs!$K$6:$K$23)*$M70</f>
        <v>150.39577452919417</v>
      </c>
      <c r="U70" s="121" t="s">
        <v>569</v>
      </c>
      <c r="V70" s="93" t="s">
        <v>737</v>
      </c>
      <c r="W70" s="121" t="s">
        <v>102</v>
      </c>
      <c r="X70" s="93" t="s">
        <v>747</v>
      </c>
      <c r="Y70" s="93"/>
      <c r="Z70" s="18"/>
      <c r="AA70" s="67">
        <v>56</v>
      </c>
    </row>
    <row r="71" spans="2:27" s="119" customFormat="1" ht="20" x14ac:dyDescent="0.2">
      <c r="B71" s="121" t="s">
        <v>571</v>
      </c>
      <c r="C71" s="46" t="s">
        <v>204</v>
      </c>
      <c r="D71" s="46" t="s">
        <v>529</v>
      </c>
      <c r="E71" s="67">
        <v>1</v>
      </c>
      <c r="F71" s="46" t="s">
        <v>127</v>
      </c>
      <c r="G71" s="122">
        <v>65</v>
      </c>
      <c r="H71" s="122">
        <f t="shared" si="6"/>
        <v>40.123456790123456</v>
      </c>
      <c r="I71" s="122">
        <v>95</v>
      </c>
      <c r="J71" s="122">
        <f t="shared" si="7"/>
        <v>58.641975308641975</v>
      </c>
      <c r="K71" s="120">
        <v>138</v>
      </c>
      <c r="L71" s="202" cm="1">
        <f t="array" ref="L71">_xlfn.XLOOKUP($K71,Inputs!C$6:C$23,Inputs!$D$6:D$23)*$I71</f>
        <v>41.189285714285717</v>
      </c>
      <c r="M71" s="201">
        <f t="shared" si="8"/>
        <v>2.8922264332537342</v>
      </c>
      <c r="N71" s="101"/>
      <c r="O71" s="101"/>
      <c r="P71" s="101"/>
      <c r="Q71" s="101"/>
      <c r="R71" s="101"/>
      <c r="S71" s="205">
        <f>_xlfn.XLOOKUP($K71,Inputs!$G$6:$G$23,Inputs!$J$6:$J$23)*$M71</f>
        <v>135.9346423629255</v>
      </c>
      <c r="T71" s="205">
        <f>_xlfn.XLOOKUP($K71,Inputs!$G$6:$G$23,Inputs!$K$6:$K$23)*$M71</f>
        <v>150.39577452919417</v>
      </c>
      <c r="U71" s="121" t="s">
        <v>102</v>
      </c>
      <c r="V71" s="93" t="s">
        <v>747</v>
      </c>
      <c r="W71" s="121" t="s">
        <v>97</v>
      </c>
      <c r="X71" s="93" t="s">
        <v>705</v>
      </c>
      <c r="Y71" s="93"/>
      <c r="Z71" s="18"/>
      <c r="AA71" s="67">
        <v>56</v>
      </c>
    </row>
    <row r="72" spans="2:27" s="119" customFormat="1" ht="20" x14ac:dyDescent="0.2">
      <c r="B72" s="121" t="s">
        <v>335</v>
      </c>
      <c r="C72" s="46" t="s">
        <v>204</v>
      </c>
      <c r="D72" s="46" t="s">
        <v>529</v>
      </c>
      <c r="E72" s="67">
        <v>1</v>
      </c>
      <c r="F72" s="46" t="s">
        <v>127</v>
      </c>
      <c r="G72" s="122">
        <v>170</v>
      </c>
      <c r="H72" s="122">
        <f t="shared" si="6"/>
        <v>104.93827160493827</v>
      </c>
      <c r="I72" s="122">
        <v>170</v>
      </c>
      <c r="J72" s="122">
        <f t="shared" si="7"/>
        <v>104.93827160493827</v>
      </c>
      <c r="K72" s="120">
        <v>230</v>
      </c>
      <c r="L72" s="202" cm="1">
        <f t="array" ref="L72">_xlfn.XLOOKUP($K72,Inputs!C$6:C$23,Inputs!$D$6:D$23)*$I72</f>
        <v>81.599999999999994</v>
      </c>
      <c r="M72" s="201">
        <f t="shared" si="8"/>
        <v>1.9704251633621157</v>
      </c>
      <c r="N72" s="101"/>
      <c r="O72" s="101"/>
      <c r="P72" s="101"/>
      <c r="Q72" s="101"/>
      <c r="R72" s="101"/>
      <c r="S72" s="205">
        <f>_xlfn.XLOOKUP($K72,Inputs!$G$6:$G$23,Inputs!$J$6:$J$23)*$M72</f>
        <v>264.03697189052349</v>
      </c>
      <c r="T72" s="205">
        <f>_xlfn.XLOOKUP($K72,Inputs!$G$6:$G$23,Inputs!$K$6:$K$23)*$M72</f>
        <v>285.71164868750679</v>
      </c>
      <c r="U72" s="121" t="s">
        <v>97</v>
      </c>
      <c r="V72" s="93" t="s">
        <v>705</v>
      </c>
      <c r="W72" s="121" t="s">
        <v>805</v>
      </c>
      <c r="X72" s="93" t="s">
        <v>496</v>
      </c>
      <c r="Y72" s="93"/>
      <c r="Z72" s="18"/>
      <c r="AA72" s="67">
        <v>63</v>
      </c>
    </row>
    <row r="73" spans="2:27" s="119" customFormat="1" ht="20" x14ac:dyDescent="0.2">
      <c r="B73" s="121" t="s">
        <v>334</v>
      </c>
      <c r="C73" s="46" t="s">
        <v>204</v>
      </c>
      <c r="D73" s="46" t="s">
        <v>529</v>
      </c>
      <c r="E73" s="67">
        <v>1</v>
      </c>
      <c r="F73" s="46" t="s">
        <v>127</v>
      </c>
      <c r="G73" s="122">
        <v>120</v>
      </c>
      <c r="H73" s="122">
        <f t="shared" si="6"/>
        <v>74.074074074074076</v>
      </c>
      <c r="I73" s="122">
        <v>120</v>
      </c>
      <c r="J73" s="122">
        <f t="shared" si="7"/>
        <v>74.074074074074076</v>
      </c>
      <c r="K73" s="120">
        <v>230</v>
      </c>
      <c r="L73" s="202" cm="1">
        <f t="array" ref="L73">_xlfn.XLOOKUP($K73,Inputs!C$6:C$23,Inputs!$D$6:D$23)*$I73</f>
        <v>57.599999999999994</v>
      </c>
      <c r="M73" s="201">
        <f t="shared" si="8"/>
        <v>2.479253739246511</v>
      </c>
      <c r="N73" s="101"/>
      <c r="O73" s="101"/>
      <c r="P73" s="101"/>
      <c r="Q73" s="101"/>
      <c r="R73" s="101"/>
      <c r="S73" s="205">
        <f>_xlfn.XLOOKUP($K73,Inputs!$G$6:$G$23,Inputs!$J$6:$J$23)*$M73</f>
        <v>332.22000105903248</v>
      </c>
      <c r="T73" s="205">
        <f>_xlfn.XLOOKUP($K73,Inputs!$G$6:$G$23,Inputs!$K$6:$K$23)*$M73</f>
        <v>359.49179219074409</v>
      </c>
      <c r="U73" s="121" t="s">
        <v>443</v>
      </c>
      <c r="V73" s="93" t="s">
        <v>717</v>
      </c>
      <c r="W73" s="121" t="s">
        <v>87</v>
      </c>
      <c r="X73" s="93" t="s">
        <v>735</v>
      </c>
      <c r="Y73" s="93"/>
      <c r="Z73" s="18"/>
      <c r="AA73" s="67">
        <v>64</v>
      </c>
    </row>
    <row r="74" spans="2:27" s="119" customFormat="1" ht="20" x14ac:dyDescent="0.2">
      <c r="B74" s="121" t="s">
        <v>353</v>
      </c>
      <c r="C74" s="46" t="s">
        <v>204</v>
      </c>
      <c r="D74" s="46" t="s">
        <v>529</v>
      </c>
      <c r="E74" s="67">
        <v>1</v>
      </c>
      <c r="F74" s="46" t="s">
        <v>127</v>
      </c>
      <c r="G74" s="122">
        <v>12</v>
      </c>
      <c r="H74" s="122">
        <f t="shared" si="6"/>
        <v>7.4074074074074066</v>
      </c>
      <c r="I74" s="122">
        <v>12</v>
      </c>
      <c r="J74" s="122">
        <f t="shared" si="7"/>
        <v>7.4074074074074066</v>
      </c>
      <c r="K74" s="120">
        <v>230</v>
      </c>
      <c r="L74" s="202" cm="1">
        <f t="array" ref="L74">_xlfn.XLOOKUP($K74,Inputs!C$6:C$23,Inputs!$D$6:D$23)*$I74</f>
        <v>5.76</v>
      </c>
      <c r="M74" s="201">
        <f t="shared" si="8"/>
        <v>3</v>
      </c>
      <c r="N74" s="101"/>
      <c r="O74" s="101"/>
      <c r="P74" s="101"/>
      <c r="Q74" s="101"/>
      <c r="R74" s="101"/>
      <c r="S74" s="205">
        <f>_xlfn.XLOOKUP($K74,Inputs!$G$6:$G$23,Inputs!$J$6:$J$23)*$M74</f>
        <v>402</v>
      </c>
      <c r="T74" s="205">
        <f>_xlfn.XLOOKUP($K74,Inputs!$G$6:$G$23,Inputs!$K$6:$K$23)*$M74</f>
        <v>435</v>
      </c>
      <c r="U74" s="121" t="s">
        <v>442</v>
      </c>
      <c r="V74" s="93" t="s">
        <v>697</v>
      </c>
      <c r="W74" s="121" t="s">
        <v>87</v>
      </c>
      <c r="X74" s="93" t="s">
        <v>735</v>
      </c>
      <c r="Y74" s="93"/>
      <c r="Z74" s="18"/>
      <c r="AA74" s="67">
        <v>65</v>
      </c>
    </row>
    <row r="75" spans="2:27" s="119" customFormat="1" ht="20" x14ac:dyDescent="0.2">
      <c r="B75" s="121" t="s">
        <v>344</v>
      </c>
      <c r="C75" s="46" t="s">
        <v>204</v>
      </c>
      <c r="D75" s="46" t="s">
        <v>529</v>
      </c>
      <c r="E75" s="67">
        <v>1</v>
      </c>
      <c r="F75" s="46" t="s">
        <v>127</v>
      </c>
      <c r="G75" s="122">
        <v>30</v>
      </c>
      <c r="H75" s="122">
        <f t="shared" si="6"/>
        <v>18.518518518518519</v>
      </c>
      <c r="I75" s="122">
        <v>30</v>
      </c>
      <c r="J75" s="122">
        <f t="shared" si="7"/>
        <v>18.518518518518519</v>
      </c>
      <c r="K75" s="120">
        <v>138</v>
      </c>
      <c r="L75" s="202" cm="1">
        <f t="array" ref="L75">_xlfn.XLOOKUP($K75,Inputs!C$6:C$23,Inputs!$D$6:D$23)*$I75</f>
        <v>13.007142857142858</v>
      </c>
      <c r="M75" s="201">
        <f t="shared" si="8"/>
        <v>3</v>
      </c>
      <c r="N75" s="101"/>
      <c r="O75" s="101"/>
      <c r="P75" s="101"/>
      <c r="Q75" s="101"/>
      <c r="R75" s="101"/>
      <c r="S75" s="205">
        <f>_xlfn.XLOOKUP($K75,Inputs!$G$6:$G$23,Inputs!$J$6:$J$23)*$M75</f>
        <v>141</v>
      </c>
      <c r="T75" s="205">
        <f>_xlfn.XLOOKUP($K75,Inputs!$G$6:$G$23,Inputs!$K$6:$K$23)*$M75</f>
        <v>156</v>
      </c>
      <c r="U75" s="121" t="s">
        <v>97</v>
      </c>
      <c r="V75" s="93" t="s">
        <v>705</v>
      </c>
      <c r="W75" s="121" t="s">
        <v>386</v>
      </c>
      <c r="X75" s="93" t="s">
        <v>714</v>
      </c>
      <c r="Y75" s="93"/>
      <c r="Z75" s="18"/>
      <c r="AA75" s="67">
        <v>66</v>
      </c>
    </row>
    <row r="76" spans="2:27" s="119" customFormat="1" ht="20" x14ac:dyDescent="0.2">
      <c r="B76" s="121" t="s">
        <v>393</v>
      </c>
      <c r="C76" s="46" t="s">
        <v>204</v>
      </c>
      <c r="D76" s="93" t="s">
        <v>504</v>
      </c>
      <c r="E76" s="67">
        <v>1</v>
      </c>
      <c r="F76" s="46" t="s">
        <v>127</v>
      </c>
      <c r="G76" s="122">
        <v>120</v>
      </c>
      <c r="H76" s="122">
        <f t="shared" si="6"/>
        <v>74.074074074074076</v>
      </c>
      <c r="I76" s="122">
        <v>240</v>
      </c>
      <c r="J76" s="122">
        <f t="shared" si="7"/>
        <v>148.14814814814815</v>
      </c>
      <c r="K76" s="120">
        <v>115</v>
      </c>
      <c r="L76" s="202" cm="1">
        <f t="array" ref="L76">_xlfn.XLOOKUP($K76,Inputs!C$6:C$23,Inputs!$D$6:D$23)*$I76</f>
        <v>100.11428571428571</v>
      </c>
      <c r="M76" s="201">
        <f t="shared" si="8"/>
        <v>1.5696097753289673</v>
      </c>
      <c r="N76" s="101"/>
      <c r="O76" s="101"/>
      <c r="P76" s="101"/>
      <c r="Q76" s="101"/>
      <c r="R76" s="101"/>
      <c r="S76" s="205">
        <f>_xlfn.XLOOKUP($K76,Inputs!$G$6:$G$23,Inputs!$J$6:$J$23)*$M76</f>
        <v>51.508906398822816</v>
      </c>
      <c r="T76" s="205">
        <f>_xlfn.XLOOKUP($K76,Inputs!$G$6:$G$23,Inputs!$K$6:$K$23)*$M76</f>
        <v>56.716090925479762</v>
      </c>
      <c r="U76" s="121" t="s">
        <v>80</v>
      </c>
      <c r="V76" s="93" t="s">
        <v>727</v>
      </c>
      <c r="W76" s="133" t="s">
        <v>804</v>
      </c>
      <c r="X76" s="93" t="s">
        <v>467</v>
      </c>
      <c r="Y76" s="93"/>
      <c r="Z76" s="18"/>
      <c r="AA76" s="67">
        <v>67</v>
      </c>
    </row>
    <row r="77" spans="2:27" s="119" customFormat="1" ht="20" x14ac:dyDescent="0.2">
      <c r="B77" s="121" t="s">
        <v>393</v>
      </c>
      <c r="C77" s="46" t="s">
        <v>204</v>
      </c>
      <c r="D77" s="93" t="s">
        <v>504</v>
      </c>
      <c r="E77" s="67">
        <v>1</v>
      </c>
      <c r="F77" s="46" t="s">
        <v>127</v>
      </c>
      <c r="G77" s="122">
        <v>120</v>
      </c>
      <c r="H77" s="122">
        <f t="shared" si="6"/>
        <v>74.074074074074076</v>
      </c>
      <c r="I77" s="122">
        <v>240</v>
      </c>
      <c r="J77" s="122">
        <f t="shared" si="7"/>
        <v>148.14814814814815</v>
      </c>
      <c r="K77" s="120">
        <v>115</v>
      </c>
      <c r="L77" s="202" cm="1">
        <f t="array" ref="L77">_xlfn.XLOOKUP($K77,Inputs!C$6:C$23,Inputs!$D$6:D$23)*$I77</f>
        <v>100.11428571428571</v>
      </c>
      <c r="M77" s="201">
        <f t="shared" si="8"/>
        <v>1.5696097753289673</v>
      </c>
      <c r="N77" s="101"/>
      <c r="O77" s="101"/>
      <c r="P77" s="101"/>
      <c r="Q77" s="101"/>
      <c r="R77" s="101"/>
      <c r="S77" s="205">
        <f>_xlfn.XLOOKUP($K77,Inputs!$G$6:$G$23,Inputs!$J$6:$J$23)*$M77</f>
        <v>51.508906398822816</v>
      </c>
      <c r="T77" s="205">
        <f>_xlfn.XLOOKUP($K77,Inputs!$G$6:$G$23,Inputs!$K$6:$K$23)*$M77</f>
        <v>56.716090925479762</v>
      </c>
      <c r="U77" s="121" t="s">
        <v>80</v>
      </c>
      <c r="V77" s="93" t="s">
        <v>727</v>
      </c>
      <c r="W77" s="133" t="s">
        <v>804</v>
      </c>
      <c r="X77" s="93" t="s">
        <v>467</v>
      </c>
      <c r="Y77" s="93"/>
      <c r="Z77" s="18"/>
      <c r="AA77" s="67">
        <v>68</v>
      </c>
    </row>
    <row r="78" spans="2:27" s="119" customFormat="1" ht="20" x14ac:dyDescent="0.2">
      <c r="B78" s="121" t="s">
        <v>349</v>
      </c>
      <c r="C78" s="46" t="s">
        <v>204</v>
      </c>
      <c r="D78" s="46" t="s">
        <v>529</v>
      </c>
      <c r="E78" s="67">
        <v>1</v>
      </c>
      <c r="F78" s="46" t="s">
        <v>127</v>
      </c>
      <c r="G78" s="122">
        <v>110</v>
      </c>
      <c r="H78" s="122">
        <f t="shared" si="6"/>
        <v>67.901234567901227</v>
      </c>
      <c r="I78" s="122">
        <v>110</v>
      </c>
      <c r="J78" s="122">
        <f t="shared" si="7"/>
        <v>67.901234567901227</v>
      </c>
      <c r="K78" s="120">
        <v>138</v>
      </c>
      <c r="L78" s="202" cm="1">
        <f t="array" ref="L78">_xlfn.XLOOKUP($K78,Inputs!C$6:C$23,Inputs!$D$6:D$23)*$I78</f>
        <v>47.69285714285715</v>
      </c>
      <c r="M78" s="201">
        <f t="shared" si="8"/>
        <v>2.6256844539679496</v>
      </c>
      <c r="N78" s="101"/>
      <c r="O78" s="101"/>
      <c r="P78" s="101"/>
      <c r="Q78" s="101"/>
      <c r="R78" s="101"/>
      <c r="S78" s="205">
        <f>_xlfn.XLOOKUP($K78,Inputs!$G$6:$G$23,Inputs!$J$6:$J$23)*$M78</f>
        <v>123.40716933649362</v>
      </c>
      <c r="T78" s="205">
        <f>_xlfn.XLOOKUP($K78,Inputs!$G$6:$G$23,Inputs!$K$6:$K$23)*$M78</f>
        <v>136.53559160633338</v>
      </c>
      <c r="U78" s="121" t="s">
        <v>559</v>
      </c>
      <c r="V78" s="93" t="s">
        <v>702</v>
      </c>
      <c r="W78" s="121" t="s">
        <v>350</v>
      </c>
      <c r="X78" s="93" t="s">
        <v>712</v>
      </c>
      <c r="Y78" s="93"/>
      <c r="Z78" s="18"/>
      <c r="AA78" s="67">
        <v>69</v>
      </c>
    </row>
    <row r="79" spans="2:27" s="119" customFormat="1" ht="20" x14ac:dyDescent="0.2">
      <c r="B79" s="121" t="s">
        <v>326</v>
      </c>
      <c r="C79" s="46" t="s">
        <v>204</v>
      </c>
      <c r="D79" s="46" t="s">
        <v>529</v>
      </c>
      <c r="E79" s="67">
        <v>1</v>
      </c>
      <c r="F79" s="46" t="s">
        <v>127</v>
      </c>
      <c r="G79" s="122">
        <v>210</v>
      </c>
      <c r="H79" s="122">
        <f t="shared" si="6"/>
        <v>129.62962962962962</v>
      </c>
      <c r="I79" s="122">
        <v>210</v>
      </c>
      <c r="J79" s="122">
        <f t="shared" si="7"/>
        <v>129.62962962962962</v>
      </c>
      <c r="K79" s="120">
        <v>138</v>
      </c>
      <c r="L79" s="202" cm="1">
        <f t="array" ref="L79">_xlfn.XLOOKUP($K79,Inputs!C$6:C$23,Inputs!$D$6:D$23)*$I79</f>
        <v>91.050000000000011</v>
      </c>
      <c r="M79" s="201">
        <f t="shared" si="8"/>
        <v>1.7141048502678946</v>
      </c>
      <c r="N79" s="101"/>
      <c r="O79" s="101"/>
      <c r="P79" s="101"/>
      <c r="Q79" s="101"/>
      <c r="R79" s="101"/>
      <c r="S79" s="205">
        <f>_xlfn.XLOOKUP($K79,Inputs!$G$6:$G$23,Inputs!$J$6:$J$23)*$M79</f>
        <v>80.562927962591047</v>
      </c>
      <c r="T79" s="205">
        <f>_xlfn.XLOOKUP($K79,Inputs!$G$6:$G$23,Inputs!$K$6:$K$23)*$M79</f>
        <v>89.133452213930525</v>
      </c>
      <c r="U79" s="121" t="s">
        <v>444</v>
      </c>
      <c r="V79" s="93" t="s">
        <v>742</v>
      </c>
      <c r="W79" s="121" t="s">
        <v>438</v>
      </c>
      <c r="X79" s="93" t="s">
        <v>741</v>
      </c>
      <c r="Y79" s="93"/>
      <c r="Z79" s="18"/>
      <c r="AA79" s="67">
        <v>70</v>
      </c>
    </row>
    <row r="80" spans="2:27" s="119" customFormat="1" ht="20" x14ac:dyDescent="0.2">
      <c r="B80" s="121" t="s">
        <v>356</v>
      </c>
      <c r="C80" s="46" t="s">
        <v>204</v>
      </c>
      <c r="D80" s="46" t="s">
        <v>529</v>
      </c>
      <c r="E80" s="67">
        <v>1</v>
      </c>
      <c r="F80" s="46" t="s">
        <v>127</v>
      </c>
      <c r="G80" s="122">
        <v>130</v>
      </c>
      <c r="H80" s="122">
        <f t="shared" si="6"/>
        <v>80.246913580246911</v>
      </c>
      <c r="I80" s="122">
        <v>130</v>
      </c>
      <c r="J80" s="122">
        <f t="shared" si="7"/>
        <v>80.246913580246911</v>
      </c>
      <c r="K80" s="120">
        <v>138</v>
      </c>
      <c r="L80" s="202" cm="1">
        <f t="array" ref="L80">_xlfn.XLOOKUP($K80,Inputs!C$6:C$23,Inputs!$D$6:D$23)*$I80</f>
        <v>56.364285714285721</v>
      </c>
      <c r="M80" s="201">
        <f t="shared" si="8"/>
        <v>2.3517728255357628</v>
      </c>
      <c r="N80" s="101"/>
      <c r="O80" s="101"/>
      <c r="P80" s="101"/>
      <c r="Q80" s="101"/>
      <c r="R80" s="101"/>
      <c r="S80" s="205">
        <f>_xlfn.XLOOKUP($K80,Inputs!$G$6:$G$23,Inputs!$J$6:$J$23)*$M80</f>
        <v>110.53332280018085</v>
      </c>
      <c r="T80" s="205">
        <f>_xlfn.XLOOKUP($K80,Inputs!$G$6:$G$23,Inputs!$K$6:$K$23)*$M80</f>
        <v>122.29218692785966</v>
      </c>
      <c r="U80" s="121" t="s">
        <v>443</v>
      </c>
      <c r="V80" s="93" t="s">
        <v>717</v>
      </c>
      <c r="W80" s="121" t="s">
        <v>444</v>
      </c>
      <c r="X80" s="93" t="s">
        <v>742</v>
      </c>
      <c r="Y80" s="93"/>
      <c r="Z80" s="18"/>
      <c r="AA80" s="67">
        <v>71</v>
      </c>
    </row>
    <row r="81" spans="1:27" s="119" customFormat="1" ht="20" x14ac:dyDescent="0.2">
      <c r="B81" s="121" t="s">
        <v>357</v>
      </c>
      <c r="C81" s="46" t="s">
        <v>204</v>
      </c>
      <c r="D81" s="46" t="s">
        <v>529</v>
      </c>
      <c r="E81" s="67">
        <v>1</v>
      </c>
      <c r="F81" s="46" t="s">
        <v>127</v>
      </c>
      <c r="G81" s="122">
        <v>90</v>
      </c>
      <c r="H81" s="122">
        <f t="shared" si="6"/>
        <v>55.55555555555555</v>
      </c>
      <c r="I81" s="122">
        <v>90</v>
      </c>
      <c r="J81" s="122">
        <f t="shared" si="7"/>
        <v>55.55555555555555</v>
      </c>
      <c r="K81" s="120">
        <v>138</v>
      </c>
      <c r="L81" s="202" cm="1">
        <f t="array" ref="L81">_xlfn.XLOOKUP($K81,Inputs!C$6:C$23,Inputs!$D$6:D$23)*$I81</f>
        <v>39.021428571428572</v>
      </c>
      <c r="M81" s="201">
        <f t="shared" si="8"/>
        <v>2.9972162166153491</v>
      </c>
      <c r="N81" s="101"/>
      <c r="O81" s="101"/>
      <c r="P81" s="101"/>
      <c r="Q81" s="101"/>
      <c r="R81" s="101"/>
      <c r="S81" s="205">
        <f>_xlfn.XLOOKUP($K81,Inputs!$G$6:$G$23,Inputs!$J$6:$J$23)*$M81</f>
        <v>140.86916218092142</v>
      </c>
      <c r="T81" s="205">
        <f>_xlfn.XLOOKUP($K81,Inputs!$G$6:$G$23,Inputs!$K$6:$K$23)*$M81</f>
        <v>155.85524326399815</v>
      </c>
      <c r="U81" s="121" t="s">
        <v>128</v>
      </c>
      <c r="V81" s="93" t="s">
        <v>708</v>
      </c>
      <c r="W81" s="121" t="s">
        <v>444</v>
      </c>
      <c r="X81" s="93" t="s">
        <v>742</v>
      </c>
      <c r="Y81" s="93"/>
      <c r="Z81" s="18"/>
      <c r="AA81" s="67">
        <v>72</v>
      </c>
    </row>
    <row r="82" spans="1:27" x14ac:dyDescent="0.2">
      <c r="B82" s="58"/>
      <c r="F82" s="58"/>
      <c r="I82" s="59"/>
      <c r="K82" s="58"/>
      <c r="Z82" s="58"/>
    </row>
    <row r="83" spans="1:27" s="183" customFormat="1" ht="19" x14ac:dyDescent="0.2">
      <c r="A83" s="227" t="s">
        <v>460</v>
      </c>
    </row>
    <row r="84" spans="1:27" s="183" customFormat="1" ht="19" x14ac:dyDescent="0.25">
      <c r="A84" s="4" t="s">
        <v>810</v>
      </c>
    </row>
    <row r="85" spans="1:27" s="183" customFormat="1" ht="19" x14ac:dyDescent="0.25">
      <c r="A85" s="4" t="s">
        <v>811</v>
      </c>
    </row>
    <row r="86" spans="1:27" s="183" customFormat="1" ht="19" x14ac:dyDescent="0.25">
      <c r="A86" s="4" t="s">
        <v>812</v>
      </c>
      <c r="L86" s="28"/>
      <c r="M86" s="28"/>
      <c r="R86" s="34"/>
      <c r="S86" s="28"/>
      <c r="T86" s="34"/>
      <c r="U86" s="28"/>
      <c r="V86" s="34"/>
      <c r="W86" s="34"/>
      <c r="X86" s="4"/>
    </row>
    <row r="87" spans="1:27" s="183" customFormat="1" ht="19" x14ac:dyDescent="0.25">
      <c r="A87" s="4" t="s">
        <v>813</v>
      </c>
      <c r="L87" s="28"/>
      <c r="M87" s="28"/>
      <c r="R87" s="34"/>
      <c r="S87" s="28"/>
      <c r="T87" s="34"/>
      <c r="U87" s="28"/>
      <c r="V87" s="34"/>
      <c r="W87" s="34"/>
      <c r="X87" s="4"/>
    </row>
    <row r="88" spans="1:27" s="183" customFormat="1" ht="19" x14ac:dyDescent="0.25">
      <c r="A88" s="4" t="s">
        <v>814</v>
      </c>
    </row>
    <row r="89" spans="1:27" s="183" customFormat="1" ht="19" x14ac:dyDescent="0.25">
      <c r="A89" s="4" t="s">
        <v>815</v>
      </c>
    </row>
    <row r="90" spans="1:27" s="183" customFormat="1" ht="19" x14ac:dyDescent="0.25">
      <c r="A90" s="4" t="s">
        <v>816</v>
      </c>
    </row>
    <row r="91" spans="1:27" s="183" customFormat="1" ht="19" x14ac:dyDescent="0.25">
      <c r="A91" s="4" t="s">
        <v>817</v>
      </c>
    </row>
    <row r="92" spans="1:27" s="183" customFormat="1" ht="19" x14ac:dyDescent="0.25">
      <c r="A92" s="4" t="s">
        <v>461</v>
      </c>
    </row>
    <row r="93" spans="1:27" s="183" customFormat="1" ht="19" x14ac:dyDescent="0.25">
      <c r="A93" s="4" t="s">
        <v>462</v>
      </c>
    </row>
    <row r="94" spans="1:27" s="183" customFormat="1" ht="19" x14ac:dyDescent="0.25">
      <c r="A94" s="4" t="s">
        <v>818</v>
      </c>
    </row>
    <row r="95" spans="1:27" s="183" customFormat="1" ht="19" x14ac:dyDescent="0.25">
      <c r="A95" s="4" t="s">
        <v>463</v>
      </c>
    </row>
    <row r="96" spans="1:27" s="183" customFormat="1" ht="19" x14ac:dyDescent="0.25">
      <c r="A96" s="4" t="s">
        <v>819</v>
      </c>
    </row>
    <row r="97" spans="1:22" s="183" customFormat="1" x14ac:dyDescent="0.2">
      <c r="B97" s="58"/>
      <c r="C97" s="58"/>
      <c r="D97" s="58"/>
      <c r="E97" s="58"/>
      <c r="F97" s="58"/>
      <c r="G97" s="58"/>
      <c r="H97" s="58"/>
      <c r="I97" s="58"/>
      <c r="J97" s="58"/>
      <c r="K97" s="58"/>
      <c r="N97" s="89"/>
      <c r="O97" s="89"/>
      <c r="P97" s="89"/>
      <c r="Q97" s="89"/>
      <c r="R97" s="89"/>
    </row>
    <row r="98" spans="1:22" s="183" customFormat="1" ht="19" x14ac:dyDescent="0.2">
      <c r="A98" s="68" t="s">
        <v>409</v>
      </c>
      <c r="B98" s="58"/>
      <c r="C98" s="55"/>
      <c r="D98" s="55"/>
      <c r="E98" s="58"/>
      <c r="F98" s="59"/>
      <c r="G98" s="58"/>
      <c r="H98" s="58"/>
      <c r="I98" s="58"/>
      <c r="J98" s="58"/>
      <c r="K98" s="58"/>
      <c r="L98" s="58"/>
      <c r="M98" s="58"/>
      <c r="N98" s="222"/>
      <c r="O98" s="222"/>
      <c r="P98" s="222"/>
      <c r="Q98" s="222"/>
      <c r="R98" s="222"/>
      <c r="S98" s="58"/>
      <c r="T98" s="58"/>
    </row>
    <row r="99" spans="1:22" s="183" customFormat="1" ht="19" x14ac:dyDescent="0.25">
      <c r="A99" s="4" t="s">
        <v>636</v>
      </c>
      <c r="B99" s="58"/>
      <c r="C99" s="58"/>
      <c r="D99" s="58"/>
      <c r="E99" s="58"/>
      <c r="F99" s="58"/>
      <c r="G99" s="58"/>
      <c r="H99" s="58"/>
      <c r="I99" s="58"/>
      <c r="J99" s="58"/>
      <c r="K99" s="58"/>
      <c r="M99" s="58"/>
      <c r="N99" s="89"/>
      <c r="O99" s="89"/>
      <c r="P99" s="89"/>
      <c r="Q99" s="89"/>
      <c r="R99" s="89"/>
      <c r="S99" s="58"/>
    </row>
    <row r="100" spans="1:22" s="183" customFormat="1" x14ac:dyDescent="0.2">
      <c r="B100" s="58"/>
      <c r="C100" s="58"/>
      <c r="D100" s="58"/>
      <c r="E100" s="55"/>
      <c r="F100" s="58"/>
      <c r="G100" s="59"/>
      <c r="H100" s="59"/>
      <c r="I100" s="59"/>
      <c r="J100" s="59"/>
      <c r="K100" s="58"/>
      <c r="L100" s="58"/>
      <c r="M100" s="58"/>
      <c r="N100" s="222"/>
      <c r="O100" s="222"/>
      <c r="P100" s="222"/>
      <c r="Q100" s="222"/>
      <c r="R100" s="222"/>
      <c r="S100" s="58"/>
      <c r="T100" s="58"/>
      <c r="U100" s="58"/>
      <c r="V100" s="58"/>
    </row>
    <row r="101" spans="1:22" s="183" customFormat="1" x14ac:dyDescent="0.2">
      <c r="B101" s="58"/>
      <c r="C101" s="58"/>
      <c r="D101" s="58"/>
      <c r="E101" s="55"/>
      <c r="F101" s="58"/>
      <c r="G101" s="59"/>
      <c r="H101" s="59"/>
      <c r="I101" s="59"/>
      <c r="J101" s="59"/>
      <c r="K101" s="58"/>
      <c r="L101" s="58"/>
      <c r="M101" s="58"/>
      <c r="N101" s="222"/>
      <c r="O101" s="222"/>
      <c r="P101" s="222"/>
      <c r="Q101" s="222"/>
      <c r="R101" s="222"/>
      <c r="S101" s="58"/>
      <c r="T101" s="58"/>
      <c r="U101" s="58"/>
      <c r="V101" s="58"/>
    </row>
    <row r="102" spans="1:22" s="183" customFormat="1" x14ac:dyDescent="0.2">
      <c r="B102" s="58"/>
      <c r="C102" s="58"/>
      <c r="D102" s="58"/>
      <c r="E102" s="55"/>
      <c r="F102" s="58"/>
      <c r="G102" s="59"/>
      <c r="H102" s="59"/>
      <c r="I102" s="59"/>
      <c r="J102" s="59"/>
      <c r="K102" s="58"/>
      <c r="L102" s="58"/>
      <c r="M102" s="58"/>
      <c r="N102" s="222"/>
      <c r="O102" s="222"/>
      <c r="P102" s="222"/>
      <c r="Q102" s="222"/>
      <c r="R102" s="222"/>
      <c r="S102" s="58"/>
      <c r="T102" s="58"/>
      <c r="U102" s="58"/>
      <c r="V102" s="58"/>
    </row>
    <row r="103" spans="1:22" s="183" customFormat="1" x14ac:dyDescent="0.2">
      <c r="B103" s="58"/>
      <c r="C103" s="58"/>
      <c r="D103" s="58"/>
      <c r="E103" s="55"/>
      <c r="F103" s="58"/>
      <c r="G103" s="59"/>
      <c r="H103" s="59"/>
      <c r="I103" s="59"/>
      <c r="J103" s="59"/>
      <c r="K103" s="58"/>
      <c r="L103" s="58"/>
      <c r="M103" s="58"/>
      <c r="N103" s="222"/>
      <c r="O103" s="222"/>
      <c r="P103" s="222"/>
      <c r="Q103" s="222"/>
      <c r="R103" s="222"/>
      <c r="S103" s="58"/>
      <c r="T103" s="58"/>
      <c r="U103" s="58"/>
      <c r="V103" s="58"/>
    </row>
    <row r="104" spans="1:22" s="183" customFormat="1" x14ac:dyDescent="0.2">
      <c r="B104" s="58"/>
      <c r="C104" s="58"/>
      <c r="D104" s="58"/>
      <c r="E104" s="55"/>
      <c r="F104" s="58"/>
      <c r="G104" s="59"/>
      <c r="H104" s="59"/>
      <c r="I104" s="59"/>
      <c r="J104" s="59"/>
      <c r="K104" s="58"/>
      <c r="L104" s="58"/>
      <c r="M104" s="58"/>
      <c r="N104" s="222"/>
      <c r="O104" s="222"/>
      <c r="P104" s="222"/>
      <c r="Q104" s="222"/>
      <c r="R104" s="222"/>
      <c r="S104" s="58"/>
      <c r="T104" s="58"/>
      <c r="U104" s="58"/>
      <c r="V104" s="58"/>
    </row>
    <row r="105" spans="1:22" s="183" customFormat="1" x14ac:dyDescent="0.2">
      <c r="B105" s="58"/>
      <c r="C105" s="58"/>
      <c r="D105" s="58"/>
      <c r="E105" s="55"/>
      <c r="F105" s="58"/>
      <c r="G105" s="59"/>
      <c r="H105" s="59"/>
      <c r="I105" s="59"/>
      <c r="J105" s="59"/>
      <c r="K105" s="58"/>
      <c r="L105" s="58"/>
      <c r="M105" s="58"/>
      <c r="N105" s="222"/>
      <c r="O105" s="222"/>
      <c r="P105" s="222"/>
      <c r="Q105" s="222"/>
      <c r="R105" s="222"/>
      <c r="S105" s="58"/>
      <c r="T105" s="58"/>
      <c r="U105" s="58"/>
      <c r="V105" s="58"/>
    </row>
    <row r="106" spans="1:22" s="183" customFormat="1" x14ac:dyDescent="0.2">
      <c r="B106" s="58"/>
      <c r="C106" s="58"/>
      <c r="D106" s="58"/>
      <c r="E106" s="55"/>
      <c r="F106" s="58"/>
      <c r="G106" s="59"/>
      <c r="H106" s="59"/>
      <c r="I106" s="59"/>
      <c r="J106" s="59"/>
      <c r="K106" s="58"/>
      <c r="L106" s="58"/>
      <c r="M106" s="58"/>
      <c r="N106" s="222"/>
      <c r="O106" s="222"/>
      <c r="P106" s="222"/>
      <c r="Q106" s="222"/>
      <c r="R106" s="222"/>
      <c r="S106" s="58"/>
      <c r="T106" s="58"/>
      <c r="U106" s="58"/>
      <c r="V106" s="58"/>
    </row>
    <row r="107" spans="1:22" s="183" customFormat="1" x14ac:dyDescent="0.2">
      <c r="B107" s="58"/>
      <c r="C107" s="58"/>
      <c r="D107" s="58"/>
      <c r="E107" s="55"/>
      <c r="F107" s="58"/>
      <c r="G107" s="59"/>
      <c r="H107" s="59"/>
      <c r="I107" s="59"/>
      <c r="J107" s="59"/>
      <c r="K107" s="58"/>
      <c r="L107" s="58"/>
      <c r="M107" s="58"/>
      <c r="N107" s="222"/>
      <c r="O107" s="222"/>
      <c r="P107" s="222"/>
      <c r="Q107" s="222"/>
      <c r="R107" s="222"/>
      <c r="S107" s="58"/>
      <c r="T107" s="58"/>
      <c r="U107" s="58"/>
      <c r="V107" s="58"/>
    </row>
    <row r="108" spans="1:22" s="183" customFormat="1" x14ac:dyDescent="0.2">
      <c r="B108" s="58"/>
      <c r="C108" s="58"/>
      <c r="D108" s="58"/>
      <c r="E108" s="55"/>
      <c r="F108" s="58"/>
      <c r="G108" s="59"/>
      <c r="H108" s="59"/>
      <c r="I108" s="59"/>
      <c r="J108" s="59"/>
      <c r="K108" s="58"/>
      <c r="L108" s="58"/>
      <c r="M108" s="58"/>
      <c r="N108" s="222"/>
      <c r="O108" s="222"/>
      <c r="P108" s="222"/>
      <c r="Q108" s="222"/>
      <c r="R108" s="222"/>
      <c r="S108" s="58"/>
      <c r="T108" s="58"/>
      <c r="U108" s="58"/>
      <c r="V108" s="58"/>
    </row>
    <row r="109" spans="1:22" s="183" customFormat="1" x14ac:dyDescent="0.2">
      <c r="B109" s="58"/>
      <c r="C109" s="58"/>
      <c r="D109" s="58"/>
      <c r="E109" s="55"/>
      <c r="F109" s="58"/>
      <c r="G109" s="59"/>
      <c r="H109" s="59"/>
      <c r="I109" s="59"/>
      <c r="J109" s="59"/>
      <c r="K109" s="58"/>
      <c r="L109" s="58"/>
      <c r="M109" s="58"/>
      <c r="N109" s="222"/>
      <c r="O109" s="222"/>
      <c r="P109" s="222"/>
      <c r="Q109" s="222"/>
      <c r="R109" s="222"/>
      <c r="S109" s="58"/>
      <c r="T109" s="58"/>
      <c r="U109" s="58"/>
      <c r="V109" s="58"/>
    </row>
    <row r="110" spans="1:22" s="183" customFormat="1" x14ac:dyDescent="0.2">
      <c r="B110" s="58"/>
      <c r="C110" s="58"/>
      <c r="D110" s="58"/>
      <c r="E110" s="55"/>
      <c r="F110" s="58"/>
      <c r="G110" s="59"/>
      <c r="H110" s="59"/>
      <c r="I110" s="59"/>
      <c r="J110" s="59"/>
      <c r="K110" s="58"/>
      <c r="L110" s="58"/>
      <c r="M110" s="58"/>
      <c r="N110" s="222"/>
      <c r="O110" s="222"/>
      <c r="P110" s="222"/>
      <c r="Q110" s="222"/>
      <c r="R110" s="222"/>
      <c r="S110" s="58"/>
      <c r="T110" s="58"/>
      <c r="U110" s="58"/>
      <c r="V110" s="58"/>
    </row>
  </sheetData>
  <autoFilter ref="B3:AA3" xr:uid="{4A21D6FC-C2B8-984E-AB53-1A17DA899725}">
    <sortState xmlns:xlrd2="http://schemas.microsoft.com/office/spreadsheetml/2017/richdata2" ref="B4:AA81">
      <sortCondition ref="B3:B81"/>
    </sortState>
  </autoFilter>
  <dataConsolidate/>
  <phoneticPr fontId="33"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420FF-D4E4-2142-BF48-898D1D346F53}">
  <dimension ref="A1:V215"/>
  <sheetViews>
    <sheetView workbookViewId="0">
      <pane ySplit="3" topLeftCell="A4" activePane="bottomLeft" state="frozen"/>
      <selection pane="bottomLeft" activeCell="H14" sqref="H14"/>
    </sheetView>
  </sheetViews>
  <sheetFormatPr baseColWidth="10" defaultRowHeight="16" x14ac:dyDescent="0.2"/>
  <cols>
    <col min="1" max="1" width="4.83203125" style="53" customWidth="1"/>
    <col min="2" max="2" width="30.83203125" style="53" customWidth="1"/>
    <col min="3" max="3" width="20.83203125" style="89" customWidth="1"/>
    <col min="4" max="4" width="25.6640625" style="58" customWidth="1"/>
    <col min="5" max="6" width="20.6640625" style="58" customWidth="1"/>
    <col min="7" max="7" width="18.83203125" style="58" customWidth="1"/>
    <col min="8" max="9" width="60.83203125" style="53" customWidth="1"/>
    <col min="10" max="16384" width="10.83203125" style="53"/>
  </cols>
  <sheetData>
    <row r="1" spans="1:9" s="4" customFormat="1" ht="21" x14ac:dyDescent="0.25">
      <c r="A1" s="63" t="s">
        <v>129</v>
      </c>
      <c r="B1" s="95" t="s">
        <v>450</v>
      </c>
      <c r="C1" s="53"/>
      <c r="D1" s="95"/>
      <c r="E1" s="95"/>
      <c r="F1" s="95"/>
      <c r="H1" s="53"/>
    </row>
    <row r="2" spans="1:9" s="3" customFormat="1" ht="20" x14ac:dyDescent="0.2">
      <c r="B2" s="22" t="s">
        <v>451</v>
      </c>
      <c r="C2" s="22" t="s">
        <v>452</v>
      </c>
      <c r="D2" s="22" t="s">
        <v>14</v>
      </c>
      <c r="E2" s="22" t="s">
        <v>15</v>
      </c>
      <c r="F2" s="22" t="s">
        <v>16</v>
      </c>
      <c r="G2" s="22" t="s">
        <v>801</v>
      </c>
      <c r="H2" s="22" t="s">
        <v>428</v>
      </c>
      <c r="I2" s="22" t="s">
        <v>32</v>
      </c>
    </row>
    <row r="3" spans="1:9" s="3" customFormat="1" ht="19" x14ac:dyDescent="0.2">
      <c r="B3" s="18"/>
      <c r="C3" s="92"/>
      <c r="D3" s="17"/>
      <c r="E3" s="17"/>
      <c r="F3" s="17"/>
      <c r="G3" s="17"/>
      <c r="H3" s="18"/>
      <c r="I3" s="18"/>
    </row>
    <row r="4" spans="1:9" s="3" customFormat="1" ht="20" x14ac:dyDescent="0.2">
      <c r="B4" s="121" t="s">
        <v>208</v>
      </c>
      <c r="C4" s="93" t="s">
        <v>715</v>
      </c>
      <c r="D4" s="46" t="s">
        <v>204</v>
      </c>
      <c r="E4" s="223">
        <v>49.611311146802798</v>
      </c>
      <c r="F4" s="223">
        <v>-105.961705067685</v>
      </c>
      <c r="G4" s="46" t="s">
        <v>718</v>
      </c>
      <c r="H4" s="18"/>
      <c r="I4" s="18"/>
    </row>
    <row r="5" spans="1:9" s="3" customFormat="1" ht="20" x14ac:dyDescent="0.2">
      <c r="B5" s="121" t="s">
        <v>336</v>
      </c>
      <c r="C5" s="93" t="s">
        <v>731</v>
      </c>
      <c r="D5" s="46" t="s">
        <v>204</v>
      </c>
      <c r="E5" s="223">
        <v>52.758239707090901</v>
      </c>
      <c r="F5" s="223">
        <v>-108.28028446714499</v>
      </c>
      <c r="G5" s="46" t="s">
        <v>718</v>
      </c>
      <c r="H5" s="18"/>
      <c r="I5" s="18"/>
    </row>
    <row r="6" spans="1:9" s="3" customFormat="1" ht="20" x14ac:dyDescent="0.2">
      <c r="B6" s="121" t="s">
        <v>439</v>
      </c>
      <c r="C6" s="93" t="s">
        <v>736</v>
      </c>
      <c r="D6" s="46" t="s">
        <v>204</v>
      </c>
      <c r="E6" s="223">
        <v>52.911017853316601</v>
      </c>
      <c r="F6" s="223">
        <v>-104.844212398048</v>
      </c>
      <c r="G6" s="46" t="s">
        <v>718</v>
      </c>
      <c r="H6" s="18"/>
      <c r="I6" s="18"/>
    </row>
    <row r="7" spans="1:9" s="3" customFormat="1" ht="20" x14ac:dyDescent="0.2">
      <c r="B7" s="121" t="s">
        <v>389</v>
      </c>
      <c r="C7" s="93" t="s">
        <v>743</v>
      </c>
      <c r="D7" s="46" t="s">
        <v>204</v>
      </c>
      <c r="E7" s="223">
        <v>50.393647368006697</v>
      </c>
      <c r="F7" s="223">
        <v>-105.155662727571</v>
      </c>
      <c r="G7" s="46" t="s">
        <v>718</v>
      </c>
      <c r="H7" s="18"/>
      <c r="I7" s="18"/>
    </row>
    <row r="8" spans="1:9" s="3" customFormat="1" ht="20" x14ac:dyDescent="0.2">
      <c r="B8" s="121" t="s">
        <v>386</v>
      </c>
      <c r="C8" s="93" t="s">
        <v>714</v>
      </c>
      <c r="D8" s="46" t="s">
        <v>204</v>
      </c>
      <c r="E8" s="223">
        <v>49.918913505968803</v>
      </c>
      <c r="F8" s="223">
        <v>-108.11727858752801</v>
      </c>
      <c r="G8" s="46" t="s">
        <v>718</v>
      </c>
      <c r="H8" s="18"/>
      <c r="I8" s="18"/>
    </row>
    <row r="9" spans="1:9" s="3" customFormat="1" ht="20" x14ac:dyDescent="0.2">
      <c r="B9" s="121" t="s">
        <v>442</v>
      </c>
      <c r="C9" s="93" t="s">
        <v>697</v>
      </c>
      <c r="D9" s="46" t="s">
        <v>204</v>
      </c>
      <c r="E9" s="223">
        <v>49.0961</v>
      </c>
      <c r="F9" s="223">
        <v>-103.0305</v>
      </c>
      <c r="G9" s="46" t="s">
        <v>718</v>
      </c>
      <c r="H9" s="18"/>
      <c r="I9" s="18"/>
    </row>
    <row r="10" spans="1:9" s="3" customFormat="1" ht="20" x14ac:dyDescent="0.2">
      <c r="B10" s="121" t="s">
        <v>436</v>
      </c>
      <c r="C10" s="93" t="s">
        <v>709</v>
      </c>
      <c r="D10" s="46" t="s">
        <v>204</v>
      </c>
      <c r="E10" s="223">
        <v>52.702232564160099</v>
      </c>
      <c r="F10" s="223">
        <v>-108.172682948952</v>
      </c>
      <c r="G10" s="46" t="s">
        <v>718</v>
      </c>
      <c r="H10" s="18"/>
      <c r="I10" s="18"/>
    </row>
    <row r="11" spans="1:9" s="3" customFormat="1" ht="20" x14ac:dyDescent="0.2">
      <c r="B11" s="121" t="s">
        <v>569</v>
      </c>
      <c r="C11" s="93" t="s">
        <v>737</v>
      </c>
      <c r="D11" s="46" t="s">
        <v>204</v>
      </c>
      <c r="E11" s="223">
        <v>50.458463040266302</v>
      </c>
      <c r="F11" s="223">
        <v>-106.655264859666</v>
      </c>
      <c r="G11" s="46" t="s">
        <v>718</v>
      </c>
      <c r="H11" s="18"/>
      <c r="I11" s="18"/>
    </row>
    <row r="12" spans="1:9" s="3" customFormat="1" ht="20" x14ac:dyDescent="0.2">
      <c r="B12" s="121" t="s">
        <v>346</v>
      </c>
      <c r="C12" s="93" t="s">
        <v>738</v>
      </c>
      <c r="D12" s="46" t="s">
        <v>204</v>
      </c>
      <c r="E12" s="223">
        <v>53.287724732256898</v>
      </c>
      <c r="F12" s="223">
        <v>-104.03768200058001</v>
      </c>
      <c r="G12" s="46" t="s">
        <v>718</v>
      </c>
      <c r="H12" s="18"/>
      <c r="I12" s="18"/>
    </row>
    <row r="13" spans="1:9" s="3" customFormat="1" ht="20" x14ac:dyDescent="0.2">
      <c r="B13" s="121" t="s">
        <v>347</v>
      </c>
      <c r="C13" s="93" t="s">
        <v>710</v>
      </c>
      <c r="D13" s="46" t="s">
        <v>204</v>
      </c>
      <c r="E13" s="223">
        <v>50.519458472518302</v>
      </c>
      <c r="F13" s="223">
        <v>-104.756746788698</v>
      </c>
      <c r="G13" s="46" t="s">
        <v>718</v>
      </c>
      <c r="H13" s="18"/>
      <c r="I13" s="18"/>
    </row>
    <row r="14" spans="1:9" s="3" customFormat="1" ht="20" x14ac:dyDescent="0.2">
      <c r="B14" s="121" t="s">
        <v>396</v>
      </c>
      <c r="C14" s="93" t="s">
        <v>723</v>
      </c>
      <c r="D14" s="46" t="s">
        <v>204</v>
      </c>
      <c r="E14" s="223">
        <v>52.092700000000001</v>
      </c>
      <c r="F14" s="223">
        <v>-106.8533</v>
      </c>
      <c r="G14" s="46" t="s">
        <v>718</v>
      </c>
      <c r="H14" s="18"/>
      <c r="I14" s="18"/>
    </row>
    <row r="15" spans="1:9" s="3" customFormat="1" ht="20" x14ac:dyDescent="0.2">
      <c r="B15" s="121" t="s">
        <v>83</v>
      </c>
      <c r="C15" s="93" t="s">
        <v>724</v>
      </c>
      <c r="D15" s="46" t="s">
        <v>204</v>
      </c>
      <c r="E15" s="223">
        <v>51.274768600000002</v>
      </c>
      <c r="F15" s="223">
        <v>-106.873648</v>
      </c>
      <c r="G15" s="46" t="s">
        <v>718</v>
      </c>
      <c r="H15" s="18"/>
      <c r="I15" s="18"/>
    </row>
    <row r="16" spans="1:9" s="3" customFormat="1" ht="20" x14ac:dyDescent="0.2">
      <c r="B16" s="121" t="s">
        <v>338</v>
      </c>
      <c r="C16" s="93" t="s">
        <v>725</v>
      </c>
      <c r="D16" s="46" t="s">
        <v>204</v>
      </c>
      <c r="E16" s="223">
        <v>53.688980200000003</v>
      </c>
      <c r="F16" s="223">
        <v>-103.3475186</v>
      </c>
      <c r="G16" s="46" t="s">
        <v>718</v>
      </c>
      <c r="H16" s="18"/>
      <c r="I16" s="18"/>
    </row>
    <row r="17" spans="1:15" s="3" customFormat="1" ht="20" x14ac:dyDescent="0.2">
      <c r="B17" s="121" t="s">
        <v>377</v>
      </c>
      <c r="C17" s="93" t="s">
        <v>726</v>
      </c>
      <c r="D17" s="46" t="s">
        <v>204</v>
      </c>
      <c r="E17" s="223">
        <v>51.872999999999998</v>
      </c>
      <c r="F17" s="223">
        <v>-109.0399</v>
      </c>
      <c r="G17" s="46" t="s">
        <v>718</v>
      </c>
      <c r="H17" s="18"/>
      <c r="I17" s="18"/>
    </row>
    <row r="18" spans="1:15" ht="20" x14ac:dyDescent="0.2">
      <c r="A18" s="3"/>
      <c r="B18" s="121" t="s">
        <v>371</v>
      </c>
      <c r="C18" s="93" t="s">
        <v>703</v>
      </c>
      <c r="D18" s="46" t="s">
        <v>204</v>
      </c>
      <c r="E18" s="223">
        <v>51.417187670909698</v>
      </c>
      <c r="F18" s="223">
        <v>-106.625851132241</v>
      </c>
      <c r="G18" s="46" t="s">
        <v>718</v>
      </c>
      <c r="H18" s="18"/>
      <c r="I18" s="18"/>
    </row>
    <row r="19" spans="1:15" s="183" customFormat="1" ht="20" x14ac:dyDescent="0.2">
      <c r="A19" s="3"/>
      <c r="B19" s="121" t="s">
        <v>546</v>
      </c>
      <c r="C19" s="93" t="s">
        <v>487</v>
      </c>
      <c r="D19" s="46" t="s">
        <v>809</v>
      </c>
      <c r="E19" s="223">
        <v>48.999340699999998</v>
      </c>
      <c r="F19" s="223">
        <v>-103.0244027</v>
      </c>
      <c r="G19" s="46" t="s">
        <v>718</v>
      </c>
      <c r="H19" s="18"/>
      <c r="I19" s="18"/>
    </row>
    <row r="20" spans="1:15" s="183" customFormat="1" ht="20" x14ac:dyDescent="0.2">
      <c r="A20" s="3"/>
      <c r="B20" s="121" t="s">
        <v>802</v>
      </c>
      <c r="C20" s="93" t="s">
        <v>465</v>
      </c>
      <c r="D20" s="46" t="s">
        <v>695</v>
      </c>
      <c r="E20" s="223">
        <v>49.495283000000001</v>
      </c>
      <c r="F20" s="223">
        <v>-101.393102</v>
      </c>
      <c r="G20" s="46" t="s">
        <v>718</v>
      </c>
      <c r="H20" s="18"/>
      <c r="I20" s="18"/>
    </row>
    <row r="21" spans="1:15" s="183" customFormat="1" ht="20" x14ac:dyDescent="0.2">
      <c r="A21" s="3"/>
      <c r="B21" s="121" t="s">
        <v>803</v>
      </c>
      <c r="C21" s="93" t="s">
        <v>466</v>
      </c>
      <c r="D21" s="46" t="s">
        <v>695</v>
      </c>
      <c r="E21" s="223">
        <v>53.722667595762601</v>
      </c>
      <c r="F21" s="223">
        <v>-101.76956512251699</v>
      </c>
      <c r="G21" s="46" t="s">
        <v>718</v>
      </c>
      <c r="H21" s="18"/>
      <c r="I21" s="18"/>
    </row>
    <row r="22" spans="1:15" s="183" customFormat="1" ht="20" x14ac:dyDescent="0.2">
      <c r="A22" s="3"/>
      <c r="B22" s="133" t="s">
        <v>804</v>
      </c>
      <c r="C22" s="93" t="s">
        <v>467</v>
      </c>
      <c r="D22" s="46" t="s">
        <v>695</v>
      </c>
      <c r="E22" s="223">
        <v>54.794728543283199</v>
      </c>
      <c r="F22" s="223">
        <v>-101.885936768498</v>
      </c>
      <c r="G22" s="93" t="s">
        <v>504</v>
      </c>
      <c r="H22" s="18"/>
      <c r="I22" s="18"/>
    </row>
    <row r="23" spans="1:15" s="183" customFormat="1" ht="20" x14ac:dyDescent="0.2">
      <c r="A23" s="3"/>
      <c r="B23" s="121" t="s">
        <v>805</v>
      </c>
      <c r="C23" s="93" t="s">
        <v>496</v>
      </c>
      <c r="D23" s="46" t="s">
        <v>808</v>
      </c>
      <c r="E23" s="223">
        <v>50.589379500421202</v>
      </c>
      <c r="F23" s="223">
        <v>-110.003956399665</v>
      </c>
      <c r="G23" s="46" t="s">
        <v>718</v>
      </c>
      <c r="H23" s="18"/>
      <c r="I23" s="18"/>
    </row>
    <row r="24" spans="1:15" s="183" customFormat="1" ht="20" x14ac:dyDescent="0.2">
      <c r="A24" s="3"/>
      <c r="B24" s="19" t="s">
        <v>806</v>
      </c>
      <c r="C24" s="93" t="s">
        <v>549</v>
      </c>
      <c r="D24" s="46" t="s">
        <v>695</v>
      </c>
      <c r="E24" s="223">
        <v>50.544463130550298</v>
      </c>
      <c r="F24" s="223">
        <v>-101.474715411651</v>
      </c>
      <c r="G24" s="46" t="s">
        <v>718</v>
      </c>
      <c r="H24" s="18"/>
      <c r="I24" s="18"/>
    </row>
    <row r="25" spans="1:15" s="183" customFormat="1" ht="20" x14ac:dyDescent="0.2">
      <c r="A25" s="3"/>
      <c r="B25" s="121" t="s">
        <v>807</v>
      </c>
      <c r="C25" s="93" t="s">
        <v>468</v>
      </c>
      <c r="D25" s="46" t="s">
        <v>695</v>
      </c>
      <c r="E25" s="223">
        <v>51.2025306964088</v>
      </c>
      <c r="F25" s="223">
        <v>-101.53893622688901</v>
      </c>
      <c r="G25" s="46" t="s">
        <v>718</v>
      </c>
      <c r="H25" s="18"/>
      <c r="I25" s="18"/>
    </row>
    <row r="26" spans="1:15" s="4" customFormat="1" ht="20" x14ac:dyDescent="0.25">
      <c r="A26" s="3"/>
      <c r="B26" s="121" t="s">
        <v>80</v>
      </c>
      <c r="C26" s="93" t="s">
        <v>727</v>
      </c>
      <c r="D26" s="46" t="s">
        <v>204</v>
      </c>
      <c r="E26" s="223">
        <v>55.528408900000002</v>
      </c>
      <c r="F26" s="223">
        <v>-102.3561468</v>
      </c>
      <c r="G26" s="93" t="s">
        <v>504</v>
      </c>
      <c r="H26" s="18"/>
      <c r="I26" s="18"/>
      <c r="J26" s="53"/>
      <c r="K26" s="53"/>
      <c r="L26" s="53"/>
      <c r="M26" s="53"/>
      <c r="N26" s="53"/>
      <c r="O26" s="53"/>
    </row>
    <row r="27" spans="1:15" ht="20" x14ac:dyDescent="0.2">
      <c r="A27" s="3"/>
      <c r="B27" s="121" t="s">
        <v>348</v>
      </c>
      <c r="C27" s="93" t="s">
        <v>716</v>
      </c>
      <c r="D27" s="46" t="s">
        <v>204</v>
      </c>
      <c r="E27" s="223">
        <v>50.044552317283603</v>
      </c>
      <c r="F27" s="223">
        <v>-102.42204134201501</v>
      </c>
      <c r="G27" s="46" t="s">
        <v>718</v>
      </c>
      <c r="H27" s="18"/>
      <c r="I27" s="18"/>
    </row>
    <row r="28" spans="1:15" ht="20" x14ac:dyDescent="0.2">
      <c r="A28" s="3"/>
      <c r="B28" s="121" t="s">
        <v>352</v>
      </c>
      <c r="C28" s="93" t="s">
        <v>739</v>
      </c>
      <c r="D28" s="46" t="s">
        <v>204</v>
      </c>
      <c r="E28" s="223">
        <v>57.224408470931799</v>
      </c>
      <c r="F28" s="223">
        <v>-105.645027948739</v>
      </c>
      <c r="G28" s="46" t="s">
        <v>718</v>
      </c>
      <c r="H28" s="18"/>
      <c r="I28" s="18"/>
    </row>
    <row r="29" spans="1:15" ht="20" x14ac:dyDescent="0.2">
      <c r="A29" s="3"/>
      <c r="B29" s="121" t="s">
        <v>93</v>
      </c>
      <c r="C29" s="93" t="s">
        <v>728</v>
      </c>
      <c r="D29" s="46" t="s">
        <v>204</v>
      </c>
      <c r="E29" s="223">
        <v>52.198799999999999</v>
      </c>
      <c r="F29" s="223">
        <v>-108.4509</v>
      </c>
      <c r="G29" s="46" t="s">
        <v>718</v>
      </c>
      <c r="H29" s="18"/>
      <c r="I29" s="18"/>
    </row>
    <row r="30" spans="1:15" ht="20" x14ac:dyDescent="0.2">
      <c r="A30" s="3"/>
      <c r="B30" s="121" t="s">
        <v>89</v>
      </c>
      <c r="C30" s="93" t="s">
        <v>707</v>
      </c>
      <c r="D30" s="46" t="s">
        <v>204</v>
      </c>
      <c r="E30" s="223">
        <v>53.247034810948598</v>
      </c>
      <c r="F30" s="223">
        <v>-109.974347142364</v>
      </c>
      <c r="G30" s="46" t="s">
        <v>718</v>
      </c>
      <c r="H30" s="18"/>
      <c r="I30" s="18"/>
    </row>
    <row r="31" spans="1:15" ht="20" x14ac:dyDescent="0.2">
      <c r="A31" s="3"/>
      <c r="B31" s="121" t="s">
        <v>372</v>
      </c>
      <c r="C31" s="93" t="s">
        <v>744</v>
      </c>
      <c r="D31" s="46" t="s">
        <v>204</v>
      </c>
      <c r="E31" s="223">
        <v>50.646923337078498</v>
      </c>
      <c r="F31" s="223">
        <v>-104.86713739842401</v>
      </c>
      <c r="G31" s="46" t="s">
        <v>718</v>
      </c>
      <c r="H31" s="18"/>
      <c r="I31" s="18"/>
    </row>
    <row r="32" spans="1:15" ht="20" x14ac:dyDescent="0.2">
      <c r="A32" s="3"/>
      <c r="B32" s="121" t="s">
        <v>88</v>
      </c>
      <c r="C32" s="93" t="s">
        <v>729</v>
      </c>
      <c r="D32" s="46" t="s">
        <v>204</v>
      </c>
      <c r="E32" s="223">
        <v>54.088439999999999</v>
      </c>
      <c r="F32" s="223">
        <v>-108.437515</v>
      </c>
      <c r="G32" s="46" t="s">
        <v>718</v>
      </c>
      <c r="H32" s="18"/>
      <c r="I32" s="18"/>
    </row>
    <row r="33" spans="1:10" ht="20" x14ac:dyDescent="0.2">
      <c r="A33" s="3"/>
      <c r="B33" s="121" t="s">
        <v>102</v>
      </c>
      <c r="C33" s="93" t="s">
        <v>747</v>
      </c>
      <c r="D33" s="46" t="s">
        <v>204</v>
      </c>
      <c r="E33" s="223">
        <v>50.399054999999997</v>
      </c>
      <c r="F33" s="223">
        <v>-107.223077</v>
      </c>
      <c r="G33" s="46" t="s">
        <v>718</v>
      </c>
      <c r="H33" s="18"/>
      <c r="I33" s="18"/>
    </row>
    <row r="34" spans="1:10" ht="20" x14ac:dyDescent="0.2">
      <c r="A34" s="3"/>
      <c r="B34" s="121" t="s">
        <v>81</v>
      </c>
      <c r="C34" s="93" t="s">
        <v>730</v>
      </c>
      <c r="D34" s="46" t="s">
        <v>204</v>
      </c>
      <c r="E34" s="223">
        <v>53.320952599999998</v>
      </c>
      <c r="F34" s="223">
        <v>-104.0430781</v>
      </c>
      <c r="G34" s="46" t="s">
        <v>718</v>
      </c>
      <c r="H34" s="18"/>
      <c r="I34" s="18"/>
    </row>
    <row r="35" spans="1:10" ht="20" x14ac:dyDescent="0.2">
      <c r="A35" s="3"/>
      <c r="B35" s="121" t="s">
        <v>440</v>
      </c>
      <c r="C35" s="93" t="s">
        <v>706</v>
      </c>
      <c r="D35" s="46" t="s">
        <v>204</v>
      </c>
      <c r="E35" s="223">
        <v>50.378345722977699</v>
      </c>
      <c r="F35" s="223">
        <v>-105.391333597574</v>
      </c>
      <c r="G35" s="46" t="s">
        <v>718</v>
      </c>
      <c r="H35" s="18"/>
      <c r="I35" s="18"/>
    </row>
    <row r="36" spans="1:10" ht="20" x14ac:dyDescent="0.2">
      <c r="A36" s="3"/>
      <c r="B36" s="121" t="s">
        <v>443</v>
      </c>
      <c r="C36" s="93" t="s">
        <v>717</v>
      </c>
      <c r="D36" s="46" t="s">
        <v>204</v>
      </c>
      <c r="E36" s="223">
        <v>50.158979922526598</v>
      </c>
      <c r="F36" s="223">
        <v>-102.94764537133899</v>
      </c>
      <c r="G36" s="46" t="s">
        <v>718</v>
      </c>
      <c r="H36" s="18"/>
      <c r="I36" s="18"/>
    </row>
    <row r="37" spans="1:10" ht="20" x14ac:dyDescent="0.2">
      <c r="A37" s="3"/>
      <c r="B37" s="121" t="s">
        <v>370</v>
      </c>
      <c r="C37" s="93" t="s">
        <v>732</v>
      </c>
      <c r="D37" s="46" t="s">
        <v>204</v>
      </c>
      <c r="E37" s="223">
        <v>49.057899999999997</v>
      </c>
      <c r="F37" s="223">
        <v>-105.4851</v>
      </c>
      <c r="G37" s="46" t="s">
        <v>718</v>
      </c>
      <c r="H37" s="18"/>
      <c r="I37" s="18"/>
    </row>
    <row r="38" spans="1:10" ht="20" x14ac:dyDescent="0.2">
      <c r="A38" s="3"/>
      <c r="B38" s="121" t="s">
        <v>361</v>
      </c>
      <c r="C38" s="93" t="s">
        <v>740</v>
      </c>
      <c r="D38" s="46" t="s">
        <v>204</v>
      </c>
      <c r="E38" s="223">
        <v>53.154991281391503</v>
      </c>
      <c r="F38" s="223">
        <v>-105.735622086297</v>
      </c>
      <c r="G38" s="46" t="s">
        <v>718</v>
      </c>
      <c r="H38" s="18"/>
      <c r="I38" s="18"/>
    </row>
    <row r="39" spans="1:10" ht="20" x14ac:dyDescent="0.2">
      <c r="A39" s="3"/>
      <c r="B39" s="121" t="s">
        <v>437</v>
      </c>
      <c r="C39" s="93" t="s">
        <v>733</v>
      </c>
      <c r="D39" s="46" t="s">
        <v>204</v>
      </c>
      <c r="E39" s="223">
        <v>52.0944</v>
      </c>
      <c r="F39" s="223">
        <v>-106.705</v>
      </c>
      <c r="G39" s="46" t="s">
        <v>718</v>
      </c>
      <c r="H39" s="18"/>
      <c r="I39" s="18"/>
    </row>
    <row r="40" spans="1:10" ht="20" x14ac:dyDescent="0.2">
      <c r="A40" s="3"/>
      <c r="B40" s="121" t="s">
        <v>559</v>
      </c>
      <c r="C40" s="93" t="s">
        <v>702</v>
      </c>
      <c r="D40" s="46" t="s">
        <v>204</v>
      </c>
      <c r="E40" s="223">
        <v>50.431098510795799</v>
      </c>
      <c r="F40" s="223">
        <v>-104.5494266881</v>
      </c>
      <c r="G40" s="46" t="s">
        <v>718</v>
      </c>
      <c r="H40" s="18"/>
      <c r="I40" s="18"/>
    </row>
    <row r="41" spans="1:10" ht="20" x14ac:dyDescent="0.2">
      <c r="A41" s="3"/>
      <c r="B41" s="121" t="s">
        <v>564</v>
      </c>
      <c r="C41" s="93" t="s">
        <v>734</v>
      </c>
      <c r="D41" s="46" t="s">
        <v>204</v>
      </c>
      <c r="E41" s="223">
        <v>50.892871999999997</v>
      </c>
      <c r="F41" s="223">
        <v>-106.881422</v>
      </c>
      <c r="G41" s="46" t="s">
        <v>718</v>
      </c>
      <c r="H41" s="18"/>
      <c r="I41" s="18"/>
    </row>
    <row r="42" spans="1:10" ht="20" x14ac:dyDescent="0.2">
      <c r="A42" s="3"/>
      <c r="B42" s="121" t="s">
        <v>392</v>
      </c>
      <c r="C42" s="93" t="s">
        <v>711</v>
      </c>
      <c r="D42" s="46" t="s">
        <v>204</v>
      </c>
      <c r="E42" s="223">
        <v>50.3425346370394</v>
      </c>
      <c r="F42" s="223">
        <v>-107.401577436051</v>
      </c>
      <c r="G42" s="46" t="s">
        <v>718</v>
      </c>
      <c r="H42" s="18"/>
      <c r="I42" s="18"/>
      <c r="J42" s="28"/>
    </row>
    <row r="43" spans="1:10" ht="20" x14ac:dyDescent="0.2">
      <c r="A43" s="3"/>
      <c r="B43" s="121" t="s">
        <v>364</v>
      </c>
      <c r="C43" s="93" t="s">
        <v>745</v>
      </c>
      <c r="D43" s="46" t="s">
        <v>204</v>
      </c>
      <c r="E43" s="223">
        <v>53.065357943006802</v>
      </c>
      <c r="F43" s="223">
        <v>-105.73248824370199</v>
      </c>
      <c r="G43" s="46" t="s">
        <v>718</v>
      </c>
      <c r="H43" s="18"/>
      <c r="I43" s="18"/>
    </row>
    <row r="44" spans="1:10" ht="20" x14ac:dyDescent="0.2">
      <c r="A44" s="3"/>
      <c r="B44" s="121" t="s">
        <v>87</v>
      </c>
      <c r="C44" s="93" t="s">
        <v>735</v>
      </c>
      <c r="D44" s="46" t="s">
        <v>204</v>
      </c>
      <c r="E44" s="223">
        <v>49.075099999999999</v>
      </c>
      <c r="F44" s="223">
        <v>-102.86409999999999</v>
      </c>
      <c r="G44" s="46" t="s">
        <v>718</v>
      </c>
      <c r="H44" s="18"/>
      <c r="I44" s="18"/>
    </row>
    <row r="45" spans="1:10" ht="20" x14ac:dyDescent="0.2">
      <c r="A45" s="3"/>
      <c r="B45" s="121" t="s">
        <v>97</v>
      </c>
      <c r="C45" s="93" t="s">
        <v>705</v>
      </c>
      <c r="D45" s="46" t="s">
        <v>204</v>
      </c>
      <c r="E45" s="223">
        <v>50.298269273821901</v>
      </c>
      <c r="F45" s="223">
        <v>-107.926207656183</v>
      </c>
      <c r="G45" s="46" t="s">
        <v>718</v>
      </c>
      <c r="H45" s="18"/>
      <c r="I45" s="18"/>
    </row>
    <row r="46" spans="1:10" ht="20" x14ac:dyDescent="0.2">
      <c r="A46" s="3"/>
      <c r="B46" s="121" t="s">
        <v>128</v>
      </c>
      <c r="C46" s="93" t="s">
        <v>708</v>
      </c>
      <c r="D46" s="46" t="s">
        <v>204</v>
      </c>
      <c r="E46" s="223">
        <v>50.596095896919003</v>
      </c>
      <c r="F46" s="223">
        <v>-101.855381193182</v>
      </c>
      <c r="G46" s="46" t="s">
        <v>718</v>
      </c>
      <c r="H46" s="18"/>
      <c r="I46" s="18"/>
    </row>
    <row r="47" spans="1:10" ht="20" x14ac:dyDescent="0.2">
      <c r="A47" s="3"/>
      <c r="B47" s="121" t="s">
        <v>360</v>
      </c>
      <c r="C47" s="93" t="s">
        <v>746</v>
      </c>
      <c r="D47" s="46" t="s">
        <v>204</v>
      </c>
      <c r="E47" s="223">
        <v>52.878664086101701</v>
      </c>
      <c r="F47" s="223">
        <v>-104.037315169933</v>
      </c>
      <c r="G47" s="46" t="s">
        <v>718</v>
      </c>
      <c r="H47" s="18"/>
      <c r="I47" s="18"/>
    </row>
    <row r="48" spans="1:10" ht="20" x14ac:dyDescent="0.2">
      <c r="A48" s="3"/>
      <c r="B48" s="121" t="s">
        <v>343</v>
      </c>
      <c r="C48" s="93" t="s">
        <v>704</v>
      </c>
      <c r="D48" s="46" t="s">
        <v>204</v>
      </c>
      <c r="E48" s="223">
        <v>59.569022881129101</v>
      </c>
      <c r="F48" s="223">
        <v>-108.60966136755999</v>
      </c>
      <c r="G48" s="93" t="s">
        <v>504</v>
      </c>
      <c r="H48" s="18"/>
      <c r="I48" s="18"/>
    </row>
    <row r="49" spans="1:22" ht="20" x14ac:dyDescent="0.2">
      <c r="A49" s="3"/>
      <c r="B49" s="121" t="s">
        <v>350</v>
      </c>
      <c r="C49" s="93" t="s">
        <v>712</v>
      </c>
      <c r="D49" s="46" t="s">
        <v>204</v>
      </c>
      <c r="E49" s="223">
        <v>49.643354693581998</v>
      </c>
      <c r="F49" s="223">
        <v>-103.90169097441</v>
      </c>
      <c r="G49" s="46" t="s">
        <v>718</v>
      </c>
      <c r="H49" s="18"/>
      <c r="I49" s="18"/>
    </row>
    <row r="50" spans="1:22" s="58" customFormat="1" ht="20" x14ac:dyDescent="0.2">
      <c r="A50" s="53"/>
      <c r="B50" s="121" t="s">
        <v>438</v>
      </c>
      <c r="C50" s="93" t="s">
        <v>741</v>
      </c>
      <c r="D50" s="46" t="s">
        <v>204</v>
      </c>
      <c r="E50" s="223">
        <v>51.878729333116802</v>
      </c>
      <c r="F50" s="223">
        <v>-105.31231073571099</v>
      </c>
      <c r="G50" s="46" t="s">
        <v>718</v>
      </c>
      <c r="H50" s="18"/>
      <c r="I50" s="18"/>
      <c r="J50" s="53"/>
      <c r="K50" s="53"/>
      <c r="L50" s="53"/>
      <c r="M50" s="53"/>
      <c r="N50" s="53"/>
      <c r="O50" s="53"/>
    </row>
    <row r="51" spans="1:22" s="58" customFormat="1" ht="20" x14ac:dyDescent="0.2">
      <c r="A51" s="53"/>
      <c r="B51" s="121" t="s">
        <v>444</v>
      </c>
      <c r="C51" s="93" t="s">
        <v>742</v>
      </c>
      <c r="D51" s="46" t="s">
        <v>204</v>
      </c>
      <c r="E51" s="223">
        <v>51.1867307608372</v>
      </c>
      <c r="F51" s="223">
        <v>-102.452696909018</v>
      </c>
      <c r="G51" s="46" t="s">
        <v>718</v>
      </c>
      <c r="H51" s="18"/>
      <c r="I51" s="18"/>
      <c r="J51" s="53"/>
      <c r="K51" s="53"/>
      <c r="L51" s="53"/>
      <c r="M51" s="53"/>
      <c r="N51" s="53"/>
      <c r="O51" s="53"/>
    </row>
    <row r="52" spans="1:22" s="58" customFormat="1" x14ac:dyDescent="0.2">
      <c r="A52" s="53"/>
      <c r="B52" s="53"/>
      <c r="C52" s="89"/>
      <c r="H52" s="53"/>
      <c r="I52" s="53"/>
      <c r="J52" s="53"/>
      <c r="K52" s="53"/>
      <c r="L52" s="53"/>
      <c r="M52" s="53"/>
      <c r="N52" s="53"/>
      <c r="O52" s="53"/>
    </row>
    <row r="53" spans="1:22" s="183" customFormat="1" ht="19" x14ac:dyDescent="0.2">
      <c r="A53" s="227" t="s">
        <v>460</v>
      </c>
    </row>
    <row r="54" spans="1:22" s="183" customFormat="1" ht="19" x14ac:dyDescent="0.25">
      <c r="A54" s="4" t="s">
        <v>810</v>
      </c>
    </row>
    <row r="55" spans="1:22" s="183" customFormat="1" ht="19" x14ac:dyDescent="0.25">
      <c r="A55" s="4" t="s">
        <v>811</v>
      </c>
    </row>
    <row r="56" spans="1:22" s="183" customFormat="1" ht="19" x14ac:dyDescent="0.25">
      <c r="A56" s="4" t="s">
        <v>812</v>
      </c>
      <c r="J56" s="28"/>
      <c r="O56" s="34"/>
      <c r="P56" s="28"/>
      <c r="Q56" s="28"/>
      <c r="R56" s="34"/>
      <c r="S56" s="28"/>
      <c r="T56" s="34"/>
      <c r="U56" s="34"/>
      <c r="V56" s="4"/>
    </row>
    <row r="57" spans="1:22" s="183" customFormat="1" ht="19" x14ac:dyDescent="0.25">
      <c r="A57" s="4" t="s">
        <v>813</v>
      </c>
      <c r="J57" s="28"/>
      <c r="O57" s="34"/>
      <c r="P57" s="28"/>
      <c r="Q57" s="28"/>
      <c r="R57" s="34"/>
      <c r="S57" s="28"/>
      <c r="T57" s="34"/>
      <c r="U57" s="34"/>
      <c r="V57" s="4"/>
    </row>
    <row r="58" spans="1:22" s="183" customFormat="1" ht="19" x14ac:dyDescent="0.25">
      <c r="A58" s="4" t="s">
        <v>814</v>
      </c>
    </row>
    <row r="59" spans="1:22" s="183" customFormat="1" ht="19" x14ac:dyDescent="0.25">
      <c r="A59" s="4" t="s">
        <v>815</v>
      </c>
    </row>
    <row r="60" spans="1:22" s="183" customFormat="1" ht="19" x14ac:dyDescent="0.25">
      <c r="A60" s="4" t="s">
        <v>816</v>
      </c>
    </row>
    <row r="61" spans="1:22" s="183" customFormat="1" ht="19" x14ac:dyDescent="0.25">
      <c r="A61" s="4" t="s">
        <v>817</v>
      </c>
    </row>
    <row r="62" spans="1:22" s="183" customFormat="1" ht="19" x14ac:dyDescent="0.25">
      <c r="A62" s="4" t="s">
        <v>461</v>
      </c>
    </row>
    <row r="63" spans="1:22" s="183" customFormat="1" ht="19" x14ac:dyDescent="0.25">
      <c r="A63" s="4" t="s">
        <v>462</v>
      </c>
    </row>
    <row r="64" spans="1:22" s="183" customFormat="1" ht="19" x14ac:dyDescent="0.25">
      <c r="A64" s="4" t="s">
        <v>818</v>
      </c>
    </row>
    <row r="65" spans="1:15" s="183" customFormat="1" ht="19" x14ac:dyDescent="0.25">
      <c r="A65" s="4" t="s">
        <v>463</v>
      </c>
    </row>
    <row r="66" spans="1:15" s="183" customFormat="1" ht="19" x14ac:dyDescent="0.25">
      <c r="A66" s="4" t="s">
        <v>819</v>
      </c>
    </row>
    <row r="67" spans="1:15" s="183" customFormat="1" ht="19" x14ac:dyDescent="0.25">
      <c r="A67" s="4"/>
    </row>
    <row r="68" spans="1:15" s="58" customFormat="1" x14ac:dyDescent="0.2">
      <c r="A68" s="53"/>
      <c r="B68" s="53"/>
      <c r="C68" s="89"/>
      <c r="H68" s="53"/>
      <c r="I68" s="53"/>
      <c r="J68" s="53"/>
      <c r="K68" s="53"/>
      <c r="L68" s="53"/>
      <c r="M68" s="53"/>
      <c r="N68" s="53"/>
      <c r="O68" s="53"/>
    </row>
    <row r="69" spans="1:15" s="58" customFormat="1" x14ac:dyDescent="0.2">
      <c r="A69" s="53"/>
      <c r="B69" s="53"/>
      <c r="C69" s="89"/>
      <c r="H69" s="53"/>
      <c r="I69" s="53"/>
      <c r="J69" s="53"/>
      <c r="K69" s="53"/>
      <c r="L69" s="53"/>
      <c r="M69" s="53"/>
      <c r="N69" s="53"/>
      <c r="O69" s="53"/>
    </row>
    <row r="70" spans="1:15" s="58" customFormat="1" x14ac:dyDescent="0.2">
      <c r="A70" s="53"/>
      <c r="B70" s="53"/>
      <c r="C70" s="89"/>
      <c r="H70" s="53"/>
      <c r="I70" s="53"/>
      <c r="J70" s="53"/>
      <c r="K70" s="53"/>
      <c r="L70" s="53"/>
      <c r="M70" s="53"/>
      <c r="N70" s="53"/>
      <c r="O70" s="53"/>
    </row>
    <row r="71" spans="1:15" s="58" customFormat="1" x14ac:dyDescent="0.2">
      <c r="A71" s="53"/>
      <c r="B71" s="53"/>
      <c r="C71" s="89"/>
      <c r="H71" s="53"/>
      <c r="I71" s="53"/>
      <c r="J71" s="53"/>
      <c r="K71" s="53"/>
      <c r="L71" s="53"/>
      <c r="M71" s="53"/>
      <c r="N71" s="53"/>
      <c r="O71" s="53"/>
    </row>
    <row r="72" spans="1:15" s="58" customFormat="1" x14ac:dyDescent="0.2">
      <c r="A72" s="53"/>
      <c r="B72" s="53"/>
      <c r="C72" s="89"/>
      <c r="H72" s="53"/>
      <c r="I72" s="53"/>
      <c r="J72" s="53"/>
      <c r="K72" s="53"/>
      <c r="L72" s="53"/>
      <c r="M72" s="53"/>
      <c r="N72" s="53"/>
      <c r="O72" s="53"/>
    </row>
    <row r="73" spans="1:15" s="58" customFormat="1" x14ac:dyDescent="0.2">
      <c r="A73" s="53"/>
      <c r="B73" s="53"/>
      <c r="C73" s="89"/>
      <c r="H73" s="53"/>
      <c r="I73" s="53"/>
      <c r="J73" s="53"/>
      <c r="K73" s="53"/>
      <c r="L73" s="53"/>
      <c r="M73" s="53"/>
      <c r="N73" s="53"/>
      <c r="O73" s="53"/>
    </row>
    <row r="74" spans="1:15" s="58" customFormat="1" x14ac:dyDescent="0.2">
      <c r="A74" s="53"/>
      <c r="B74" s="53"/>
      <c r="C74" s="89"/>
      <c r="H74" s="53"/>
      <c r="I74" s="53"/>
      <c r="J74" s="53"/>
      <c r="K74" s="53"/>
      <c r="L74" s="53"/>
      <c r="M74" s="53"/>
      <c r="N74" s="53"/>
      <c r="O74" s="53"/>
    </row>
    <row r="75" spans="1:15" s="58" customFormat="1" x14ac:dyDescent="0.2">
      <c r="A75" s="53"/>
      <c r="B75" s="53"/>
      <c r="C75" s="89"/>
      <c r="H75" s="53"/>
      <c r="I75" s="53"/>
      <c r="J75" s="53"/>
      <c r="K75" s="53"/>
      <c r="L75" s="53"/>
      <c r="M75" s="53"/>
      <c r="N75" s="53"/>
      <c r="O75" s="53"/>
    </row>
    <row r="76" spans="1:15" s="58" customFormat="1" x14ac:dyDescent="0.2">
      <c r="A76" s="53"/>
      <c r="B76" s="53"/>
      <c r="C76" s="89"/>
      <c r="H76" s="53"/>
      <c r="I76" s="53"/>
      <c r="J76" s="53"/>
      <c r="K76" s="53"/>
      <c r="L76" s="53"/>
      <c r="M76" s="53"/>
      <c r="N76" s="53"/>
      <c r="O76" s="53"/>
    </row>
    <row r="77" spans="1:15" s="58" customFormat="1" x14ac:dyDescent="0.2">
      <c r="A77" s="53"/>
      <c r="B77" s="53"/>
      <c r="C77" s="89"/>
      <c r="H77" s="53"/>
      <c r="I77" s="53"/>
      <c r="J77" s="53"/>
      <c r="K77" s="53"/>
      <c r="L77" s="53"/>
      <c r="M77" s="53"/>
      <c r="N77" s="53"/>
      <c r="O77" s="53"/>
    </row>
    <row r="78" spans="1:15" s="58" customFormat="1" x14ac:dyDescent="0.2">
      <c r="A78" s="53"/>
      <c r="B78" s="53"/>
      <c r="C78" s="89"/>
      <c r="H78" s="53"/>
      <c r="I78" s="53"/>
      <c r="J78" s="53"/>
      <c r="K78" s="53"/>
      <c r="L78" s="53"/>
      <c r="M78" s="53"/>
      <c r="N78" s="53"/>
      <c r="O78" s="53"/>
    </row>
    <row r="79" spans="1:15" s="58" customFormat="1" x14ac:dyDescent="0.2">
      <c r="A79" s="53"/>
      <c r="B79" s="53"/>
      <c r="C79" s="89"/>
      <c r="H79" s="53"/>
      <c r="I79" s="53"/>
      <c r="J79" s="53"/>
      <c r="K79" s="53"/>
      <c r="L79" s="53"/>
      <c r="M79" s="53"/>
      <c r="N79" s="53"/>
      <c r="O79" s="53"/>
    </row>
    <row r="80" spans="1:15" s="58" customFormat="1" x14ac:dyDescent="0.2">
      <c r="A80" s="53"/>
      <c r="B80" s="53"/>
      <c r="C80" s="89"/>
      <c r="H80" s="53"/>
      <c r="I80" s="53"/>
      <c r="J80" s="53"/>
      <c r="K80" s="53"/>
      <c r="L80" s="53"/>
      <c r="M80" s="53"/>
      <c r="N80" s="53"/>
      <c r="O80" s="53"/>
    </row>
    <row r="81" spans="1:15" s="58" customFormat="1" x14ac:dyDescent="0.2">
      <c r="A81" s="53"/>
      <c r="B81" s="53"/>
      <c r="C81" s="89"/>
      <c r="H81" s="53"/>
      <c r="I81" s="53"/>
      <c r="J81" s="53"/>
      <c r="K81" s="53"/>
      <c r="L81" s="53"/>
      <c r="M81" s="53"/>
      <c r="N81" s="53"/>
      <c r="O81" s="53"/>
    </row>
    <row r="82" spans="1:15" s="58" customFormat="1" x14ac:dyDescent="0.2">
      <c r="A82" s="53"/>
      <c r="B82" s="53"/>
      <c r="C82" s="89"/>
      <c r="H82" s="53"/>
      <c r="I82" s="53"/>
      <c r="J82" s="53"/>
      <c r="K82" s="53"/>
      <c r="L82" s="53"/>
      <c r="M82" s="53"/>
      <c r="N82" s="53"/>
      <c r="O82" s="53"/>
    </row>
    <row r="83" spans="1:15" s="58" customFormat="1" x14ac:dyDescent="0.2">
      <c r="A83" s="53"/>
      <c r="B83" s="53"/>
      <c r="C83" s="89"/>
      <c r="H83" s="53"/>
      <c r="I83" s="53"/>
      <c r="J83" s="53"/>
      <c r="K83" s="53"/>
      <c r="L83" s="53"/>
      <c r="M83" s="53"/>
      <c r="N83" s="53"/>
      <c r="O83" s="53"/>
    </row>
    <row r="84" spans="1:15" s="58" customFormat="1" x14ac:dyDescent="0.2">
      <c r="A84" s="53"/>
      <c r="B84" s="53"/>
      <c r="C84" s="89"/>
      <c r="H84" s="53"/>
      <c r="I84" s="53"/>
      <c r="J84" s="53"/>
      <c r="K84" s="53"/>
      <c r="L84" s="53"/>
      <c r="M84" s="53"/>
      <c r="N84" s="53"/>
      <c r="O84" s="53"/>
    </row>
    <row r="85" spans="1:15" s="58" customFormat="1" x14ac:dyDescent="0.2">
      <c r="A85" s="53"/>
      <c r="B85" s="53"/>
      <c r="C85" s="89"/>
      <c r="H85" s="53"/>
      <c r="I85" s="53"/>
      <c r="J85" s="53"/>
      <c r="K85" s="53"/>
      <c r="L85" s="53"/>
      <c r="M85" s="53"/>
      <c r="N85" s="53"/>
      <c r="O85" s="53"/>
    </row>
    <row r="86" spans="1:15" s="58" customFormat="1" x14ac:dyDescent="0.2">
      <c r="A86" s="53"/>
      <c r="B86" s="53"/>
      <c r="C86" s="89"/>
      <c r="H86" s="53"/>
      <c r="I86" s="53"/>
      <c r="J86" s="53"/>
      <c r="K86" s="53"/>
      <c r="L86" s="53"/>
      <c r="M86" s="53"/>
      <c r="N86" s="53"/>
      <c r="O86" s="53"/>
    </row>
    <row r="87" spans="1:15" s="58" customFormat="1" x14ac:dyDescent="0.2">
      <c r="A87" s="53"/>
      <c r="B87" s="53"/>
      <c r="C87" s="89"/>
      <c r="H87" s="53"/>
      <c r="I87" s="53"/>
      <c r="J87" s="53"/>
      <c r="K87" s="53"/>
      <c r="L87" s="53"/>
      <c r="M87" s="53"/>
      <c r="N87" s="53"/>
      <c r="O87" s="53"/>
    </row>
    <row r="88" spans="1:15" s="58" customFormat="1" x14ac:dyDescent="0.2">
      <c r="A88" s="53"/>
      <c r="B88" s="53"/>
      <c r="C88" s="89"/>
      <c r="H88" s="53"/>
      <c r="I88" s="53"/>
      <c r="J88" s="53"/>
      <c r="K88" s="53"/>
      <c r="L88" s="53"/>
      <c r="M88" s="53"/>
      <c r="N88" s="53"/>
      <c r="O88" s="53"/>
    </row>
    <row r="89" spans="1:15" s="58" customFormat="1" x14ac:dyDescent="0.2">
      <c r="A89" s="53"/>
      <c r="B89" s="53"/>
      <c r="C89" s="89"/>
      <c r="H89" s="53"/>
      <c r="I89" s="53"/>
      <c r="J89" s="53"/>
      <c r="K89" s="53"/>
      <c r="L89" s="53"/>
      <c r="M89" s="53"/>
      <c r="N89" s="53"/>
      <c r="O89" s="53"/>
    </row>
    <row r="90" spans="1:15" s="58" customFormat="1" x14ac:dyDescent="0.2">
      <c r="A90" s="53"/>
      <c r="B90" s="53"/>
      <c r="C90" s="89"/>
      <c r="H90" s="53"/>
      <c r="I90" s="53"/>
      <c r="J90" s="53"/>
      <c r="K90" s="53"/>
      <c r="L90" s="53"/>
      <c r="M90" s="53"/>
      <c r="N90" s="53"/>
      <c r="O90" s="53"/>
    </row>
    <row r="91" spans="1:15" s="58" customFormat="1" x14ac:dyDescent="0.2">
      <c r="A91" s="53"/>
      <c r="B91" s="53"/>
      <c r="C91" s="89"/>
      <c r="H91" s="53"/>
      <c r="I91" s="53"/>
      <c r="J91" s="53"/>
      <c r="K91" s="53"/>
      <c r="L91" s="53"/>
      <c r="M91" s="53"/>
      <c r="N91" s="53"/>
      <c r="O91" s="53"/>
    </row>
    <row r="92" spans="1:15" s="58" customFormat="1" x14ac:dyDescent="0.2">
      <c r="A92" s="53"/>
      <c r="B92" s="53"/>
      <c r="C92" s="89"/>
      <c r="H92" s="53"/>
      <c r="I92" s="53"/>
      <c r="J92" s="53"/>
      <c r="K92" s="53"/>
      <c r="L92" s="53"/>
      <c r="M92" s="53"/>
      <c r="N92" s="53"/>
      <c r="O92" s="53"/>
    </row>
    <row r="93" spans="1:15" s="58" customFormat="1" x14ac:dyDescent="0.2">
      <c r="A93" s="53"/>
      <c r="B93" s="53"/>
      <c r="C93" s="89"/>
      <c r="H93" s="53"/>
      <c r="I93" s="53"/>
      <c r="J93" s="53"/>
      <c r="K93" s="53"/>
      <c r="L93" s="53"/>
      <c r="M93" s="53"/>
      <c r="N93" s="53"/>
      <c r="O93" s="53"/>
    </row>
    <row r="94" spans="1:15" s="58" customFormat="1" x14ac:dyDescent="0.2">
      <c r="A94" s="53"/>
      <c r="B94" s="53"/>
      <c r="C94" s="89"/>
      <c r="H94" s="53"/>
      <c r="I94" s="53"/>
      <c r="J94" s="53"/>
      <c r="K94" s="53"/>
      <c r="L94" s="53"/>
      <c r="M94" s="53"/>
      <c r="N94" s="53"/>
      <c r="O94" s="53"/>
    </row>
    <row r="95" spans="1:15" s="58" customFormat="1" x14ac:dyDescent="0.2">
      <c r="A95" s="53"/>
      <c r="B95" s="53"/>
      <c r="C95" s="89"/>
      <c r="H95" s="53"/>
      <c r="I95" s="53"/>
      <c r="J95" s="53"/>
      <c r="K95" s="53"/>
      <c r="L95" s="53"/>
      <c r="M95" s="53"/>
      <c r="N95" s="53"/>
      <c r="O95" s="53"/>
    </row>
    <row r="96" spans="1:15" s="58" customFormat="1" x14ac:dyDescent="0.2">
      <c r="A96" s="53"/>
      <c r="B96" s="53"/>
      <c r="C96" s="89"/>
      <c r="H96" s="53"/>
      <c r="I96" s="53"/>
      <c r="J96" s="53"/>
      <c r="K96" s="53"/>
      <c r="L96" s="53"/>
      <c r="M96" s="53"/>
      <c r="N96" s="53"/>
      <c r="O96" s="53"/>
    </row>
    <row r="97" spans="1:15" s="58" customFormat="1" x14ac:dyDescent="0.2">
      <c r="A97" s="53"/>
      <c r="B97" s="53"/>
      <c r="C97" s="89"/>
      <c r="H97" s="53"/>
      <c r="I97" s="53"/>
      <c r="J97" s="53"/>
      <c r="K97" s="53"/>
      <c r="L97" s="53"/>
      <c r="M97" s="53"/>
      <c r="N97" s="53"/>
      <c r="O97" s="53"/>
    </row>
    <row r="98" spans="1:15" s="58" customFormat="1" x14ac:dyDescent="0.2">
      <c r="A98" s="53"/>
      <c r="B98" s="53"/>
      <c r="C98" s="89"/>
      <c r="H98" s="53"/>
      <c r="I98" s="53"/>
      <c r="J98" s="53"/>
      <c r="K98" s="53"/>
      <c r="L98" s="53"/>
      <c r="M98" s="53"/>
      <c r="N98" s="53"/>
      <c r="O98" s="53"/>
    </row>
    <row r="99" spans="1:15" s="58" customFormat="1" x14ac:dyDescent="0.2">
      <c r="A99" s="53"/>
      <c r="B99" s="53"/>
      <c r="C99" s="89"/>
      <c r="H99" s="53"/>
      <c r="I99" s="53"/>
      <c r="J99" s="53"/>
      <c r="K99" s="53"/>
      <c r="L99" s="53"/>
      <c r="M99" s="53"/>
      <c r="N99" s="53"/>
      <c r="O99" s="53"/>
    </row>
    <row r="100" spans="1:15" s="58" customFormat="1" x14ac:dyDescent="0.2">
      <c r="A100" s="53"/>
      <c r="B100" s="53"/>
      <c r="C100" s="89"/>
      <c r="H100" s="53"/>
      <c r="I100" s="53"/>
      <c r="J100" s="53"/>
      <c r="K100" s="53"/>
      <c r="L100" s="53"/>
      <c r="M100" s="53"/>
      <c r="N100" s="53"/>
      <c r="O100" s="53"/>
    </row>
    <row r="101" spans="1:15" s="58" customFormat="1" x14ac:dyDescent="0.2">
      <c r="A101" s="53"/>
      <c r="B101" s="53"/>
      <c r="C101" s="89"/>
      <c r="H101" s="53"/>
      <c r="I101" s="53"/>
      <c r="J101" s="53"/>
      <c r="K101" s="53"/>
      <c r="L101" s="53"/>
      <c r="M101" s="53"/>
      <c r="N101" s="53"/>
      <c r="O101" s="53"/>
    </row>
    <row r="102" spans="1:15" s="58" customFormat="1" x14ac:dyDescent="0.2">
      <c r="A102" s="53"/>
      <c r="B102" s="53"/>
      <c r="C102" s="89"/>
      <c r="H102" s="53"/>
      <c r="I102" s="53"/>
      <c r="J102" s="53"/>
      <c r="K102" s="53"/>
      <c r="L102" s="53"/>
      <c r="M102" s="53"/>
      <c r="N102" s="53"/>
      <c r="O102" s="53"/>
    </row>
    <row r="103" spans="1:15" s="58" customFormat="1" x14ac:dyDescent="0.2">
      <c r="A103" s="53"/>
      <c r="B103" s="53"/>
      <c r="C103" s="89"/>
      <c r="H103" s="53"/>
      <c r="I103" s="53"/>
      <c r="J103" s="53"/>
      <c r="K103" s="53"/>
      <c r="L103" s="53"/>
      <c r="M103" s="53"/>
      <c r="N103" s="53"/>
      <c r="O103" s="53"/>
    </row>
    <row r="104" spans="1:15" s="58" customFormat="1" x14ac:dyDescent="0.2">
      <c r="A104" s="53"/>
      <c r="B104" s="53"/>
      <c r="C104" s="89"/>
      <c r="H104" s="53"/>
      <c r="I104" s="53"/>
      <c r="J104" s="53"/>
      <c r="K104" s="53"/>
      <c r="L104" s="53"/>
      <c r="M104" s="53"/>
      <c r="N104" s="53"/>
      <c r="O104" s="53"/>
    </row>
    <row r="105" spans="1:15" s="58" customFormat="1" x14ac:dyDescent="0.2">
      <c r="A105" s="53"/>
      <c r="B105" s="53"/>
      <c r="C105" s="89"/>
      <c r="H105" s="53"/>
      <c r="I105" s="53"/>
      <c r="J105" s="53"/>
      <c r="K105" s="53"/>
      <c r="L105" s="53"/>
      <c r="M105" s="53"/>
      <c r="N105" s="53"/>
      <c r="O105" s="53"/>
    </row>
    <row r="106" spans="1:15" s="58" customFormat="1" x14ac:dyDescent="0.2">
      <c r="A106" s="53"/>
      <c r="B106" s="53"/>
      <c r="C106" s="89"/>
      <c r="H106" s="53"/>
      <c r="I106" s="53"/>
      <c r="J106" s="53"/>
      <c r="K106" s="53"/>
      <c r="L106" s="53"/>
      <c r="M106" s="53"/>
      <c r="N106" s="53"/>
      <c r="O106" s="53"/>
    </row>
    <row r="107" spans="1:15" s="58" customFormat="1" x14ac:dyDescent="0.2">
      <c r="A107" s="53"/>
      <c r="B107" s="53"/>
      <c r="C107" s="89"/>
      <c r="H107" s="53"/>
      <c r="I107" s="53"/>
      <c r="J107" s="53"/>
      <c r="K107" s="53"/>
      <c r="L107" s="53"/>
      <c r="M107" s="53"/>
      <c r="N107" s="53"/>
      <c r="O107" s="53"/>
    </row>
    <row r="108" spans="1:15" s="58" customFormat="1" x14ac:dyDescent="0.2">
      <c r="A108" s="53"/>
      <c r="B108" s="53"/>
      <c r="C108" s="89"/>
      <c r="H108" s="53"/>
      <c r="I108" s="53"/>
      <c r="J108" s="53"/>
      <c r="K108" s="53"/>
      <c r="L108" s="53"/>
      <c r="M108" s="53"/>
      <c r="N108" s="53"/>
      <c r="O108" s="53"/>
    </row>
    <row r="109" spans="1:15" s="58" customFormat="1" x14ac:dyDescent="0.2">
      <c r="A109" s="53"/>
      <c r="B109" s="53"/>
      <c r="C109" s="89"/>
      <c r="H109" s="53"/>
      <c r="I109" s="53"/>
      <c r="J109" s="53"/>
      <c r="K109" s="53"/>
      <c r="L109" s="53"/>
      <c r="M109" s="53"/>
      <c r="N109" s="53"/>
      <c r="O109" s="53"/>
    </row>
    <row r="110" spans="1:15" s="58" customFormat="1" x14ac:dyDescent="0.2">
      <c r="A110" s="53"/>
      <c r="B110" s="53"/>
      <c r="C110" s="89"/>
      <c r="H110" s="53"/>
      <c r="I110" s="53"/>
      <c r="J110" s="53"/>
      <c r="K110" s="53"/>
      <c r="L110" s="53"/>
      <c r="M110" s="53"/>
      <c r="N110" s="53"/>
      <c r="O110" s="53"/>
    </row>
    <row r="111" spans="1:15" s="58" customFormat="1" x14ac:dyDescent="0.2">
      <c r="A111" s="53"/>
      <c r="B111" s="53"/>
      <c r="C111" s="89"/>
      <c r="H111" s="53"/>
      <c r="I111" s="53"/>
      <c r="J111" s="53"/>
      <c r="K111" s="53"/>
      <c r="L111" s="53"/>
      <c r="M111" s="53"/>
      <c r="N111" s="53"/>
      <c r="O111" s="53"/>
    </row>
    <row r="112" spans="1:15" s="58" customFormat="1" x14ac:dyDescent="0.2">
      <c r="A112" s="53"/>
      <c r="B112" s="53"/>
      <c r="C112" s="89"/>
      <c r="H112" s="53"/>
      <c r="I112" s="53"/>
      <c r="J112" s="53"/>
      <c r="K112" s="53"/>
      <c r="L112" s="53"/>
      <c r="M112" s="53"/>
      <c r="N112" s="53"/>
      <c r="O112" s="53"/>
    </row>
    <row r="113" spans="1:15" s="58" customFormat="1" x14ac:dyDescent="0.2">
      <c r="A113" s="53"/>
      <c r="B113" s="53"/>
      <c r="C113" s="89"/>
      <c r="H113" s="53"/>
      <c r="I113" s="53"/>
      <c r="J113" s="53"/>
      <c r="K113" s="53"/>
      <c r="L113" s="53"/>
      <c r="M113" s="53"/>
      <c r="N113" s="53"/>
      <c r="O113" s="53"/>
    </row>
    <row r="114" spans="1:15" s="58" customFormat="1" x14ac:dyDescent="0.2">
      <c r="A114" s="53"/>
      <c r="B114" s="53"/>
      <c r="C114" s="89"/>
      <c r="H114" s="53"/>
      <c r="I114" s="53"/>
      <c r="J114" s="53"/>
      <c r="K114" s="53"/>
      <c r="L114" s="53"/>
      <c r="M114" s="53"/>
      <c r="N114" s="53"/>
      <c r="O114" s="53"/>
    </row>
    <row r="115" spans="1:15" s="58" customFormat="1" x14ac:dyDescent="0.2">
      <c r="A115" s="53"/>
      <c r="B115" s="53"/>
      <c r="C115" s="89"/>
      <c r="H115" s="53"/>
      <c r="I115" s="53"/>
      <c r="J115" s="53"/>
      <c r="K115" s="53"/>
      <c r="L115" s="53"/>
      <c r="M115" s="53"/>
      <c r="N115" s="53"/>
      <c r="O115" s="53"/>
    </row>
    <row r="116" spans="1:15" s="58" customFormat="1" x14ac:dyDescent="0.2">
      <c r="A116" s="53"/>
      <c r="B116" s="53"/>
      <c r="C116" s="89"/>
      <c r="H116" s="53"/>
      <c r="I116" s="53"/>
      <c r="J116" s="53"/>
      <c r="K116" s="53"/>
      <c r="L116" s="53"/>
      <c r="M116" s="53"/>
      <c r="N116" s="53"/>
      <c r="O116" s="53"/>
    </row>
    <row r="117" spans="1:15" s="58" customFormat="1" x14ac:dyDescent="0.2">
      <c r="A117" s="53"/>
      <c r="B117" s="53"/>
      <c r="C117" s="89"/>
      <c r="H117" s="53"/>
      <c r="I117" s="53"/>
      <c r="J117" s="53"/>
      <c r="K117" s="53"/>
      <c r="L117" s="53"/>
      <c r="M117" s="53"/>
      <c r="N117" s="53"/>
      <c r="O117" s="53"/>
    </row>
    <row r="118" spans="1:15" s="58" customFormat="1" x14ac:dyDescent="0.2">
      <c r="A118" s="53"/>
      <c r="B118" s="53"/>
      <c r="C118" s="89"/>
      <c r="H118" s="53"/>
      <c r="I118" s="53"/>
      <c r="J118" s="53"/>
      <c r="K118" s="53"/>
      <c r="L118" s="53"/>
      <c r="M118" s="53"/>
      <c r="N118" s="53"/>
      <c r="O118" s="53"/>
    </row>
    <row r="119" spans="1:15" s="58" customFormat="1" x14ac:dyDescent="0.2">
      <c r="A119" s="53"/>
      <c r="B119" s="53"/>
      <c r="C119" s="89"/>
      <c r="H119" s="53"/>
      <c r="I119" s="53"/>
      <c r="J119" s="53"/>
      <c r="K119" s="53"/>
      <c r="L119" s="53"/>
      <c r="M119" s="53"/>
      <c r="N119" s="53"/>
      <c r="O119" s="53"/>
    </row>
    <row r="120" spans="1:15" s="58" customFormat="1" x14ac:dyDescent="0.2">
      <c r="A120" s="53"/>
      <c r="B120" s="53"/>
      <c r="C120" s="89"/>
      <c r="H120" s="53"/>
      <c r="I120" s="53"/>
      <c r="J120" s="53"/>
      <c r="K120" s="53"/>
      <c r="L120" s="53"/>
      <c r="M120" s="53"/>
      <c r="N120" s="53"/>
      <c r="O120" s="53"/>
    </row>
    <row r="121" spans="1:15" s="58" customFormat="1" x14ac:dyDescent="0.2">
      <c r="A121" s="53"/>
      <c r="B121" s="53"/>
      <c r="C121" s="89"/>
      <c r="H121" s="53"/>
      <c r="I121" s="53"/>
      <c r="J121" s="53"/>
      <c r="K121" s="53"/>
      <c r="L121" s="53"/>
      <c r="M121" s="53"/>
      <c r="N121" s="53"/>
      <c r="O121" s="53"/>
    </row>
    <row r="122" spans="1:15" s="58" customFormat="1" x14ac:dyDescent="0.2">
      <c r="A122" s="53"/>
      <c r="B122" s="53"/>
      <c r="C122" s="89"/>
      <c r="H122" s="53"/>
      <c r="I122" s="53"/>
      <c r="J122" s="53"/>
      <c r="K122" s="53"/>
      <c r="L122" s="53"/>
      <c r="M122" s="53"/>
      <c r="N122" s="53"/>
      <c r="O122" s="53"/>
    </row>
    <row r="123" spans="1:15" s="58" customFormat="1" x14ac:dyDescent="0.2">
      <c r="A123" s="53"/>
      <c r="B123" s="53"/>
      <c r="C123" s="89"/>
      <c r="H123" s="53"/>
      <c r="I123" s="53"/>
      <c r="J123" s="53"/>
      <c r="K123" s="53"/>
      <c r="L123" s="53"/>
      <c r="M123" s="53"/>
      <c r="N123" s="53"/>
      <c r="O123" s="53"/>
    </row>
    <row r="124" spans="1:15" s="58" customFormat="1" x14ac:dyDescent="0.2">
      <c r="A124" s="53"/>
      <c r="B124" s="53"/>
      <c r="C124" s="89"/>
      <c r="H124" s="53"/>
      <c r="I124" s="53"/>
      <c r="J124" s="53"/>
      <c r="K124" s="53"/>
      <c r="L124" s="53"/>
      <c r="M124" s="53"/>
      <c r="N124" s="53"/>
      <c r="O124" s="53"/>
    </row>
    <row r="125" spans="1:15" s="58" customFormat="1" x14ac:dyDescent="0.2">
      <c r="A125" s="53"/>
      <c r="B125" s="53"/>
      <c r="C125" s="89"/>
      <c r="H125" s="53"/>
      <c r="I125" s="53"/>
      <c r="J125" s="53"/>
      <c r="K125" s="53"/>
      <c r="L125" s="53"/>
      <c r="M125" s="53"/>
      <c r="N125" s="53"/>
      <c r="O125" s="53"/>
    </row>
    <row r="126" spans="1:15" s="58" customFormat="1" x14ac:dyDescent="0.2">
      <c r="A126" s="53"/>
      <c r="B126" s="53"/>
      <c r="C126" s="89"/>
      <c r="H126" s="53"/>
      <c r="I126" s="53"/>
      <c r="J126" s="53"/>
      <c r="K126" s="53"/>
      <c r="L126" s="53"/>
      <c r="M126" s="53"/>
      <c r="N126" s="53"/>
      <c r="O126" s="53"/>
    </row>
    <row r="127" spans="1:15" s="58" customFormat="1" x14ac:dyDescent="0.2">
      <c r="A127" s="53"/>
      <c r="B127" s="53"/>
      <c r="C127" s="89"/>
      <c r="H127" s="53"/>
      <c r="I127" s="53"/>
      <c r="J127" s="53"/>
      <c r="K127" s="53"/>
      <c r="L127" s="53"/>
      <c r="M127" s="53"/>
      <c r="N127" s="53"/>
      <c r="O127" s="53"/>
    </row>
    <row r="128" spans="1:15" s="58" customFormat="1" x14ac:dyDescent="0.2">
      <c r="A128" s="53"/>
      <c r="B128" s="53"/>
      <c r="C128" s="89"/>
      <c r="H128" s="53"/>
      <c r="I128" s="53"/>
      <c r="J128" s="53"/>
      <c r="K128" s="53"/>
      <c r="L128" s="53"/>
      <c r="M128" s="53"/>
      <c r="N128" s="53"/>
      <c r="O128" s="53"/>
    </row>
    <row r="129" spans="1:15" s="58" customFormat="1" x14ac:dyDescent="0.2">
      <c r="A129" s="53"/>
      <c r="B129" s="53"/>
      <c r="C129" s="89"/>
      <c r="H129" s="53"/>
      <c r="I129" s="53"/>
      <c r="J129" s="53"/>
      <c r="K129" s="53"/>
      <c r="L129" s="53"/>
      <c r="M129" s="53"/>
      <c r="N129" s="53"/>
      <c r="O129" s="53"/>
    </row>
    <row r="130" spans="1:15" s="58" customFormat="1" x14ac:dyDescent="0.2">
      <c r="A130" s="53"/>
      <c r="B130" s="53"/>
      <c r="C130" s="89"/>
      <c r="H130" s="53"/>
      <c r="I130" s="53"/>
      <c r="J130" s="53"/>
      <c r="K130" s="53"/>
      <c r="L130" s="53"/>
      <c r="M130" s="53"/>
      <c r="N130" s="53"/>
      <c r="O130" s="53"/>
    </row>
    <row r="131" spans="1:15" s="58" customFormat="1" x14ac:dyDescent="0.2">
      <c r="A131" s="53"/>
      <c r="B131" s="53"/>
      <c r="C131" s="89"/>
      <c r="H131" s="53"/>
      <c r="I131" s="53"/>
      <c r="J131" s="53"/>
      <c r="K131" s="53"/>
      <c r="L131" s="53"/>
      <c r="M131" s="53"/>
      <c r="N131" s="53"/>
      <c r="O131" s="53"/>
    </row>
    <row r="132" spans="1:15" s="58" customFormat="1" x14ac:dyDescent="0.2">
      <c r="A132" s="53"/>
      <c r="B132" s="53"/>
      <c r="C132" s="89"/>
      <c r="H132" s="53"/>
      <c r="I132" s="53"/>
      <c r="J132" s="53"/>
      <c r="K132" s="53"/>
      <c r="L132" s="53"/>
      <c r="M132" s="53"/>
      <c r="N132" s="53"/>
      <c r="O132" s="53"/>
    </row>
    <row r="133" spans="1:15" s="58" customFormat="1" x14ac:dyDescent="0.2">
      <c r="A133" s="53"/>
      <c r="B133" s="53"/>
      <c r="C133" s="89"/>
      <c r="H133" s="53"/>
      <c r="I133" s="53"/>
      <c r="J133" s="53"/>
      <c r="K133" s="53"/>
      <c r="L133" s="53"/>
      <c r="M133" s="53"/>
      <c r="N133" s="53"/>
      <c r="O133" s="53"/>
    </row>
    <row r="134" spans="1:15" s="58" customFormat="1" x14ac:dyDescent="0.2">
      <c r="A134" s="53"/>
      <c r="B134" s="53"/>
      <c r="C134" s="89"/>
      <c r="H134" s="53"/>
      <c r="I134" s="53"/>
      <c r="J134" s="53"/>
      <c r="K134" s="53"/>
      <c r="L134" s="53"/>
      <c r="M134" s="53"/>
      <c r="N134" s="53"/>
      <c r="O134" s="53"/>
    </row>
    <row r="135" spans="1:15" s="58" customFormat="1" x14ac:dyDescent="0.2">
      <c r="A135" s="53"/>
      <c r="B135" s="53"/>
      <c r="C135" s="89"/>
      <c r="H135" s="53"/>
      <c r="I135" s="53"/>
      <c r="J135" s="53"/>
      <c r="K135" s="53"/>
      <c r="L135" s="53"/>
      <c r="M135" s="53"/>
      <c r="N135" s="53"/>
      <c r="O135" s="53"/>
    </row>
    <row r="136" spans="1:15" s="58" customFormat="1" x14ac:dyDescent="0.2">
      <c r="A136" s="53"/>
      <c r="B136" s="53"/>
      <c r="C136" s="89"/>
      <c r="H136" s="53"/>
      <c r="I136" s="53"/>
      <c r="J136" s="53"/>
      <c r="K136" s="53"/>
      <c r="L136" s="53"/>
      <c r="M136" s="53"/>
      <c r="N136" s="53"/>
      <c r="O136" s="53"/>
    </row>
    <row r="137" spans="1:15" s="58" customFormat="1" x14ac:dyDescent="0.2">
      <c r="A137" s="53"/>
      <c r="B137" s="53"/>
      <c r="C137" s="89"/>
      <c r="H137" s="53"/>
      <c r="I137" s="53"/>
      <c r="J137" s="53"/>
      <c r="K137" s="53"/>
      <c r="L137" s="53"/>
      <c r="M137" s="53"/>
      <c r="N137" s="53"/>
      <c r="O137" s="53"/>
    </row>
    <row r="138" spans="1:15" s="58" customFormat="1" x14ac:dyDescent="0.2">
      <c r="A138" s="53"/>
      <c r="B138" s="53"/>
      <c r="C138" s="89"/>
      <c r="H138" s="53"/>
      <c r="I138" s="53"/>
      <c r="J138" s="53"/>
      <c r="K138" s="53"/>
      <c r="L138" s="53"/>
      <c r="M138" s="53"/>
      <c r="N138" s="53"/>
      <c r="O138" s="53"/>
    </row>
    <row r="139" spans="1:15" s="58" customFormat="1" x14ac:dyDescent="0.2">
      <c r="A139" s="53"/>
      <c r="B139" s="53"/>
      <c r="C139" s="89"/>
      <c r="H139" s="53"/>
      <c r="I139" s="53"/>
      <c r="J139" s="53"/>
      <c r="K139" s="53"/>
      <c r="L139" s="53"/>
      <c r="M139" s="53"/>
      <c r="N139" s="53"/>
      <c r="O139" s="53"/>
    </row>
    <row r="140" spans="1:15" s="58" customFormat="1" x14ac:dyDescent="0.2">
      <c r="A140" s="53"/>
      <c r="B140" s="53"/>
      <c r="C140" s="89"/>
      <c r="H140" s="53"/>
      <c r="I140" s="53"/>
      <c r="J140" s="53"/>
      <c r="K140" s="53"/>
      <c r="L140" s="53"/>
      <c r="M140" s="53"/>
      <c r="N140" s="53"/>
      <c r="O140" s="53"/>
    </row>
    <row r="141" spans="1:15" s="58" customFormat="1" x14ac:dyDescent="0.2">
      <c r="A141" s="53"/>
      <c r="B141" s="53"/>
      <c r="C141" s="89"/>
      <c r="H141" s="53"/>
      <c r="I141" s="53"/>
      <c r="J141" s="53"/>
      <c r="K141" s="53"/>
      <c r="L141" s="53"/>
      <c r="M141" s="53"/>
      <c r="N141" s="53"/>
      <c r="O141" s="53"/>
    </row>
    <row r="142" spans="1:15" s="58" customFormat="1" x14ac:dyDescent="0.2">
      <c r="A142" s="53"/>
      <c r="B142" s="53"/>
      <c r="C142" s="89"/>
      <c r="H142" s="53"/>
      <c r="I142" s="53"/>
      <c r="J142" s="53"/>
      <c r="K142" s="53"/>
      <c r="L142" s="53"/>
      <c r="M142" s="53"/>
      <c r="N142" s="53"/>
      <c r="O142" s="53"/>
    </row>
    <row r="143" spans="1:15" s="58" customFormat="1" x14ac:dyDescent="0.2">
      <c r="A143" s="53"/>
      <c r="B143" s="53"/>
      <c r="C143" s="89"/>
      <c r="H143" s="53"/>
      <c r="I143" s="53"/>
      <c r="J143" s="53"/>
      <c r="K143" s="53"/>
      <c r="L143" s="53"/>
      <c r="M143" s="53"/>
      <c r="N143" s="53"/>
      <c r="O143" s="53"/>
    </row>
    <row r="144" spans="1:15" s="58" customFormat="1" x14ac:dyDescent="0.2">
      <c r="A144" s="53"/>
      <c r="B144" s="53"/>
      <c r="C144" s="89"/>
      <c r="H144" s="53"/>
      <c r="I144" s="53"/>
      <c r="J144" s="53"/>
      <c r="K144" s="53"/>
      <c r="L144" s="53"/>
      <c r="M144" s="53"/>
      <c r="N144" s="53"/>
      <c r="O144" s="53"/>
    </row>
    <row r="145" spans="1:15" s="58" customFormat="1" x14ac:dyDescent="0.2">
      <c r="A145" s="53"/>
      <c r="B145" s="53"/>
      <c r="C145" s="89"/>
      <c r="H145" s="53"/>
      <c r="I145" s="53"/>
      <c r="J145" s="53"/>
      <c r="K145" s="53"/>
      <c r="L145" s="53"/>
      <c r="M145" s="53"/>
      <c r="N145" s="53"/>
      <c r="O145" s="53"/>
    </row>
    <row r="146" spans="1:15" s="58" customFormat="1" x14ac:dyDescent="0.2">
      <c r="A146" s="53"/>
      <c r="B146" s="53"/>
      <c r="C146" s="89"/>
      <c r="H146" s="53"/>
      <c r="I146" s="53"/>
      <c r="J146" s="53"/>
      <c r="K146" s="53"/>
      <c r="L146" s="53"/>
      <c r="M146" s="53"/>
      <c r="N146" s="53"/>
      <c r="O146" s="53"/>
    </row>
    <row r="147" spans="1:15" s="58" customFormat="1" x14ac:dyDescent="0.2">
      <c r="A147" s="53"/>
      <c r="B147" s="53"/>
      <c r="C147" s="89"/>
      <c r="H147" s="53"/>
      <c r="I147" s="53"/>
      <c r="J147" s="53"/>
      <c r="K147" s="53"/>
      <c r="L147" s="53"/>
      <c r="M147" s="53"/>
      <c r="N147" s="53"/>
      <c r="O147" s="53"/>
    </row>
    <row r="148" spans="1:15" s="58" customFormat="1" x14ac:dyDescent="0.2">
      <c r="A148" s="53"/>
      <c r="B148" s="53"/>
      <c r="C148" s="89"/>
      <c r="H148" s="53"/>
      <c r="I148" s="53"/>
      <c r="J148" s="53"/>
      <c r="K148" s="53"/>
      <c r="L148" s="53"/>
      <c r="M148" s="53"/>
      <c r="N148" s="53"/>
      <c r="O148" s="53"/>
    </row>
    <row r="149" spans="1:15" s="58" customFormat="1" x14ac:dyDescent="0.2">
      <c r="A149" s="53"/>
      <c r="B149" s="53"/>
      <c r="C149" s="89"/>
      <c r="H149" s="53"/>
      <c r="I149" s="53"/>
      <c r="J149" s="53"/>
      <c r="K149" s="53"/>
      <c r="L149" s="53"/>
      <c r="M149" s="53"/>
      <c r="N149" s="53"/>
      <c r="O149" s="53"/>
    </row>
    <row r="150" spans="1:15" s="58" customFormat="1" x14ac:dyDescent="0.2">
      <c r="A150" s="53"/>
      <c r="B150" s="53"/>
      <c r="C150" s="89"/>
      <c r="H150" s="53"/>
      <c r="I150" s="53"/>
      <c r="J150" s="53"/>
      <c r="K150" s="53"/>
      <c r="L150" s="53"/>
      <c r="M150" s="53"/>
      <c r="N150" s="53"/>
      <c r="O150" s="53"/>
    </row>
    <row r="151" spans="1:15" s="58" customFormat="1" x14ac:dyDescent="0.2">
      <c r="A151" s="53"/>
      <c r="B151" s="53"/>
      <c r="C151" s="89"/>
      <c r="H151" s="53"/>
      <c r="I151" s="53"/>
      <c r="J151" s="53"/>
      <c r="K151" s="53"/>
      <c r="L151" s="53"/>
      <c r="M151" s="53"/>
      <c r="N151" s="53"/>
      <c r="O151" s="53"/>
    </row>
    <row r="152" spans="1:15" s="58" customFormat="1" x14ac:dyDescent="0.2">
      <c r="A152" s="53"/>
      <c r="B152" s="53"/>
      <c r="C152" s="89"/>
      <c r="H152" s="53"/>
      <c r="I152" s="53"/>
      <c r="J152" s="53"/>
      <c r="K152" s="53"/>
      <c r="L152" s="53"/>
      <c r="M152" s="53"/>
      <c r="N152" s="53"/>
      <c r="O152" s="53"/>
    </row>
    <row r="153" spans="1:15" s="58" customFormat="1" x14ac:dyDescent="0.2">
      <c r="A153" s="53"/>
      <c r="B153" s="53"/>
      <c r="C153" s="89"/>
      <c r="H153" s="53"/>
      <c r="I153" s="53"/>
      <c r="J153" s="53"/>
      <c r="K153" s="53"/>
      <c r="L153" s="53"/>
      <c r="M153" s="53"/>
      <c r="N153" s="53"/>
      <c r="O153" s="53"/>
    </row>
    <row r="154" spans="1:15" s="58" customFormat="1" x14ac:dyDescent="0.2">
      <c r="A154" s="53"/>
      <c r="B154" s="53"/>
      <c r="C154" s="89"/>
      <c r="H154" s="53"/>
      <c r="I154" s="53"/>
      <c r="J154" s="53"/>
      <c r="K154" s="53"/>
      <c r="L154" s="53"/>
      <c r="M154" s="53"/>
      <c r="N154" s="53"/>
      <c r="O154" s="53"/>
    </row>
    <row r="155" spans="1:15" s="58" customFormat="1" x14ac:dyDescent="0.2">
      <c r="A155" s="53"/>
      <c r="B155" s="53"/>
      <c r="C155" s="89"/>
      <c r="H155" s="53"/>
      <c r="I155" s="53"/>
      <c r="J155" s="53"/>
      <c r="K155" s="53"/>
      <c r="L155" s="53"/>
      <c r="M155" s="53"/>
      <c r="N155" s="53"/>
      <c r="O155" s="53"/>
    </row>
    <row r="156" spans="1:15" s="58" customFormat="1" x14ac:dyDescent="0.2">
      <c r="A156" s="53"/>
      <c r="B156" s="53"/>
      <c r="C156" s="89"/>
      <c r="H156" s="53"/>
      <c r="I156" s="53"/>
      <c r="J156" s="53"/>
      <c r="K156" s="53"/>
      <c r="L156" s="53"/>
      <c r="M156" s="53"/>
      <c r="N156" s="53"/>
      <c r="O156" s="53"/>
    </row>
    <row r="157" spans="1:15" s="58" customFormat="1" x14ac:dyDescent="0.2">
      <c r="A157" s="53"/>
      <c r="B157" s="53"/>
      <c r="C157" s="89"/>
      <c r="H157" s="53"/>
      <c r="I157" s="53"/>
      <c r="J157" s="53"/>
      <c r="K157" s="53"/>
      <c r="L157" s="53"/>
      <c r="M157" s="53"/>
      <c r="N157" s="53"/>
      <c r="O157" s="53"/>
    </row>
    <row r="158" spans="1:15" s="58" customFormat="1" x14ac:dyDescent="0.2">
      <c r="A158" s="53"/>
      <c r="B158" s="53"/>
      <c r="C158" s="89"/>
      <c r="H158" s="53"/>
      <c r="I158" s="53"/>
      <c r="J158" s="53"/>
      <c r="K158" s="53"/>
      <c r="L158" s="53"/>
      <c r="M158" s="53"/>
      <c r="N158" s="53"/>
      <c r="O158" s="53"/>
    </row>
    <row r="159" spans="1:15" s="58" customFormat="1" x14ac:dyDescent="0.2">
      <c r="A159" s="53"/>
      <c r="B159" s="53"/>
      <c r="C159" s="89"/>
      <c r="H159" s="53"/>
      <c r="I159" s="53"/>
      <c r="J159" s="53"/>
      <c r="K159" s="53"/>
      <c r="L159" s="53"/>
      <c r="M159" s="53"/>
      <c r="N159" s="53"/>
      <c r="O159" s="53"/>
    </row>
    <row r="160" spans="1:15" s="58" customFormat="1" x14ac:dyDescent="0.2">
      <c r="A160" s="53"/>
      <c r="B160" s="53"/>
      <c r="C160" s="89"/>
      <c r="H160" s="53"/>
      <c r="I160" s="53"/>
      <c r="J160" s="53"/>
      <c r="K160" s="53"/>
      <c r="L160" s="53"/>
      <c r="M160" s="53"/>
      <c r="N160" s="53"/>
      <c r="O160" s="53"/>
    </row>
    <row r="161" spans="1:15" s="58" customFormat="1" x14ac:dyDescent="0.2">
      <c r="A161" s="53"/>
      <c r="B161" s="53"/>
      <c r="C161" s="89"/>
      <c r="H161" s="53"/>
      <c r="I161" s="53"/>
      <c r="J161" s="53"/>
      <c r="K161" s="53"/>
      <c r="L161" s="53"/>
      <c r="M161" s="53"/>
      <c r="N161" s="53"/>
      <c r="O161" s="53"/>
    </row>
    <row r="162" spans="1:15" s="58" customFormat="1" x14ac:dyDescent="0.2">
      <c r="A162" s="53"/>
      <c r="B162" s="53"/>
      <c r="C162" s="89"/>
      <c r="H162" s="53"/>
      <c r="I162" s="53"/>
      <c r="J162" s="53"/>
      <c r="K162" s="53"/>
      <c r="L162" s="53"/>
      <c r="M162" s="53"/>
      <c r="N162" s="53"/>
      <c r="O162" s="53"/>
    </row>
    <row r="163" spans="1:15" s="58" customFormat="1" x14ac:dyDescent="0.2">
      <c r="A163" s="53"/>
      <c r="B163" s="53"/>
      <c r="C163" s="89"/>
      <c r="H163" s="53"/>
      <c r="I163" s="53"/>
      <c r="J163" s="53"/>
      <c r="K163" s="53"/>
      <c r="L163" s="53"/>
      <c r="M163" s="53"/>
      <c r="N163" s="53"/>
      <c r="O163" s="53"/>
    </row>
    <row r="164" spans="1:15" s="58" customFormat="1" x14ac:dyDescent="0.2">
      <c r="A164" s="53"/>
      <c r="B164" s="53"/>
      <c r="C164" s="89"/>
      <c r="H164" s="53"/>
      <c r="I164" s="53"/>
      <c r="J164" s="53"/>
      <c r="K164" s="53"/>
      <c r="L164" s="53"/>
      <c r="M164" s="53"/>
      <c r="N164" s="53"/>
      <c r="O164" s="53"/>
    </row>
    <row r="165" spans="1:15" s="58" customFormat="1" x14ac:dyDescent="0.2">
      <c r="A165" s="53"/>
      <c r="B165" s="53"/>
      <c r="C165" s="89"/>
      <c r="H165" s="53"/>
      <c r="I165" s="53"/>
      <c r="J165" s="53"/>
      <c r="K165" s="53"/>
      <c r="L165" s="53"/>
      <c r="M165" s="53"/>
      <c r="N165" s="53"/>
      <c r="O165" s="53"/>
    </row>
    <row r="166" spans="1:15" s="58" customFormat="1" x14ac:dyDescent="0.2">
      <c r="A166" s="53"/>
      <c r="B166" s="53"/>
      <c r="C166" s="89"/>
      <c r="H166" s="53"/>
      <c r="I166" s="53"/>
      <c r="J166" s="53"/>
      <c r="K166" s="53"/>
      <c r="L166" s="53"/>
      <c r="M166" s="53"/>
      <c r="N166" s="53"/>
      <c r="O166" s="53"/>
    </row>
    <row r="167" spans="1:15" s="58" customFormat="1" x14ac:dyDescent="0.2">
      <c r="A167" s="53"/>
      <c r="B167" s="53"/>
      <c r="C167" s="89"/>
      <c r="H167" s="53"/>
      <c r="I167" s="53"/>
      <c r="J167" s="53"/>
      <c r="K167" s="53"/>
      <c r="L167" s="53"/>
      <c r="M167" s="53"/>
      <c r="N167" s="53"/>
      <c r="O167" s="53"/>
    </row>
    <row r="168" spans="1:15" s="58" customFormat="1" x14ac:dyDescent="0.2">
      <c r="A168" s="53"/>
      <c r="B168" s="53"/>
      <c r="C168" s="89"/>
      <c r="H168" s="53"/>
      <c r="I168" s="53"/>
      <c r="J168" s="53"/>
      <c r="K168" s="53"/>
      <c r="L168" s="53"/>
      <c r="M168" s="53"/>
      <c r="N168" s="53"/>
      <c r="O168" s="53"/>
    </row>
    <row r="169" spans="1:15" s="58" customFormat="1" x14ac:dyDescent="0.2">
      <c r="A169" s="53"/>
      <c r="B169" s="53"/>
      <c r="C169" s="89"/>
      <c r="H169" s="53"/>
      <c r="I169" s="53"/>
      <c r="J169" s="53"/>
      <c r="K169" s="53"/>
      <c r="L169" s="53"/>
      <c r="M169" s="53"/>
      <c r="N169" s="53"/>
      <c r="O169" s="53"/>
    </row>
    <row r="170" spans="1:15" s="58" customFormat="1" x14ac:dyDescent="0.2">
      <c r="A170" s="53"/>
      <c r="B170" s="53"/>
      <c r="C170" s="89"/>
      <c r="H170" s="53"/>
      <c r="I170" s="53"/>
      <c r="J170" s="53"/>
      <c r="K170" s="53"/>
      <c r="L170" s="53"/>
      <c r="M170" s="53"/>
      <c r="N170" s="53"/>
      <c r="O170" s="53"/>
    </row>
    <row r="171" spans="1:15" s="58" customFormat="1" x14ac:dyDescent="0.2">
      <c r="A171" s="53"/>
      <c r="B171" s="53"/>
      <c r="C171" s="89"/>
      <c r="H171" s="53"/>
      <c r="I171" s="53"/>
      <c r="J171" s="53"/>
      <c r="K171" s="53"/>
      <c r="L171" s="53"/>
      <c r="M171" s="53"/>
      <c r="N171" s="53"/>
      <c r="O171" s="53"/>
    </row>
    <row r="172" spans="1:15" s="58" customFormat="1" x14ac:dyDescent="0.2">
      <c r="A172" s="53"/>
      <c r="B172" s="53"/>
      <c r="C172" s="89"/>
      <c r="H172" s="53"/>
      <c r="I172" s="53"/>
      <c r="J172" s="53"/>
      <c r="K172" s="53"/>
      <c r="L172" s="53"/>
      <c r="M172" s="53"/>
      <c r="N172" s="53"/>
      <c r="O172" s="53"/>
    </row>
    <row r="173" spans="1:15" s="58" customFormat="1" x14ac:dyDescent="0.2">
      <c r="A173" s="53"/>
      <c r="B173" s="53"/>
      <c r="C173" s="89"/>
      <c r="H173" s="53"/>
      <c r="I173" s="53"/>
      <c r="J173" s="53"/>
      <c r="K173" s="53"/>
      <c r="L173" s="53"/>
      <c r="M173" s="53"/>
      <c r="N173" s="53"/>
      <c r="O173" s="53"/>
    </row>
    <row r="174" spans="1:15" s="58" customFormat="1" x14ac:dyDescent="0.2">
      <c r="A174" s="53"/>
      <c r="B174" s="53"/>
      <c r="C174" s="89"/>
      <c r="H174" s="53"/>
      <c r="I174" s="53"/>
      <c r="J174" s="53"/>
      <c r="K174" s="53"/>
      <c r="L174" s="53"/>
      <c r="M174" s="53"/>
      <c r="N174" s="53"/>
      <c r="O174" s="53"/>
    </row>
    <row r="175" spans="1:15" s="58" customFormat="1" x14ac:dyDescent="0.2">
      <c r="A175" s="53"/>
      <c r="B175" s="53"/>
      <c r="C175" s="89"/>
      <c r="H175" s="53"/>
      <c r="I175" s="53"/>
      <c r="J175" s="53"/>
      <c r="K175" s="53"/>
      <c r="L175" s="53"/>
      <c r="M175" s="53"/>
      <c r="N175" s="53"/>
      <c r="O175" s="53"/>
    </row>
    <row r="176" spans="1:15" s="58" customFormat="1" x14ac:dyDescent="0.2">
      <c r="A176" s="53"/>
      <c r="B176" s="53"/>
      <c r="C176" s="89"/>
      <c r="H176" s="53"/>
      <c r="I176" s="53"/>
      <c r="J176" s="53"/>
      <c r="K176" s="53"/>
      <c r="L176" s="53"/>
      <c r="M176" s="53"/>
      <c r="N176" s="53"/>
      <c r="O176" s="53"/>
    </row>
    <row r="177" spans="1:15" s="58" customFormat="1" x14ac:dyDescent="0.2">
      <c r="A177" s="53"/>
      <c r="B177" s="53"/>
      <c r="C177" s="89"/>
      <c r="H177" s="53"/>
      <c r="I177" s="53"/>
      <c r="J177" s="53"/>
      <c r="K177" s="53"/>
      <c r="L177" s="53"/>
      <c r="M177" s="53"/>
      <c r="N177" s="53"/>
      <c r="O177" s="53"/>
    </row>
    <row r="178" spans="1:15" s="58" customFormat="1" x14ac:dyDescent="0.2">
      <c r="A178" s="53"/>
      <c r="B178" s="53"/>
      <c r="C178" s="89"/>
      <c r="H178" s="53"/>
      <c r="I178" s="53"/>
      <c r="J178" s="53"/>
      <c r="K178" s="53"/>
      <c r="L178" s="53"/>
      <c r="M178" s="53"/>
      <c r="N178" s="53"/>
      <c r="O178" s="53"/>
    </row>
    <row r="179" spans="1:15" s="58" customFormat="1" x14ac:dyDescent="0.2">
      <c r="A179" s="53"/>
      <c r="B179" s="53"/>
      <c r="C179" s="89"/>
      <c r="H179" s="53"/>
      <c r="I179" s="53"/>
      <c r="J179" s="53"/>
      <c r="K179" s="53"/>
      <c r="L179" s="53"/>
      <c r="M179" s="53"/>
      <c r="N179" s="53"/>
      <c r="O179" s="53"/>
    </row>
    <row r="180" spans="1:15" s="58" customFormat="1" x14ac:dyDescent="0.2">
      <c r="A180" s="53"/>
      <c r="B180" s="53"/>
      <c r="C180" s="89"/>
      <c r="H180" s="53"/>
      <c r="I180" s="53"/>
      <c r="J180" s="53"/>
      <c r="K180" s="53"/>
      <c r="L180" s="53"/>
      <c r="M180" s="53"/>
      <c r="N180" s="53"/>
      <c r="O180" s="53"/>
    </row>
    <row r="181" spans="1:15" s="58" customFormat="1" x14ac:dyDescent="0.2">
      <c r="A181" s="53"/>
      <c r="B181" s="53"/>
      <c r="C181" s="89"/>
      <c r="H181" s="53"/>
      <c r="I181" s="53"/>
      <c r="J181" s="53"/>
      <c r="K181" s="53"/>
      <c r="L181" s="53"/>
      <c r="M181" s="53"/>
      <c r="N181" s="53"/>
      <c r="O181" s="53"/>
    </row>
    <row r="182" spans="1:15" s="58" customFormat="1" x14ac:dyDescent="0.2">
      <c r="A182" s="53"/>
      <c r="B182" s="53"/>
      <c r="C182" s="89"/>
      <c r="H182" s="53"/>
      <c r="I182" s="53"/>
      <c r="J182" s="53"/>
      <c r="K182" s="53"/>
      <c r="L182" s="53"/>
      <c r="M182" s="53"/>
      <c r="N182" s="53"/>
      <c r="O182" s="53"/>
    </row>
    <row r="183" spans="1:15" s="58" customFormat="1" x14ac:dyDescent="0.2">
      <c r="A183" s="53"/>
      <c r="B183" s="53"/>
      <c r="C183" s="89"/>
      <c r="H183" s="53"/>
      <c r="I183" s="53"/>
      <c r="J183" s="53"/>
      <c r="K183" s="53"/>
      <c r="L183" s="53"/>
      <c r="M183" s="53"/>
      <c r="N183" s="53"/>
      <c r="O183" s="53"/>
    </row>
    <row r="184" spans="1:15" s="58" customFormat="1" x14ac:dyDescent="0.2">
      <c r="A184" s="53"/>
      <c r="B184" s="53"/>
      <c r="C184" s="89"/>
      <c r="H184" s="53"/>
      <c r="I184" s="53"/>
      <c r="J184" s="53"/>
      <c r="K184" s="53"/>
      <c r="L184" s="53"/>
      <c r="M184" s="53"/>
      <c r="N184" s="53"/>
      <c r="O184" s="53"/>
    </row>
    <row r="185" spans="1:15" s="58" customFormat="1" x14ac:dyDescent="0.2">
      <c r="A185" s="53"/>
      <c r="B185" s="53"/>
      <c r="C185" s="89"/>
      <c r="H185" s="53"/>
      <c r="I185" s="53"/>
      <c r="J185" s="53"/>
      <c r="K185" s="53"/>
      <c r="L185" s="53"/>
      <c r="M185" s="53"/>
      <c r="N185" s="53"/>
      <c r="O185" s="53"/>
    </row>
    <row r="186" spans="1:15" s="58" customFormat="1" x14ac:dyDescent="0.2">
      <c r="A186" s="53"/>
      <c r="B186" s="53"/>
      <c r="C186" s="89"/>
      <c r="H186" s="53"/>
      <c r="I186" s="53"/>
      <c r="J186" s="53"/>
      <c r="K186" s="53"/>
      <c r="L186" s="53"/>
      <c r="M186" s="53"/>
      <c r="N186" s="53"/>
      <c r="O186" s="53"/>
    </row>
    <row r="187" spans="1:15" s="58" customFormat="1" x14ac:dyDescent="0.2">
      <c r="A187" s="53"/>
      <c r="B187" s="53"/>
      <c r="C187" s="89"/>
      <c r="H187" s="53"/>
      <c r="I187" s="53"/>
      <c r="J187" s="53"/>
      <c r="K187" s="53"/>
      <c r="L187" s="53"/>
      <c r="M187" s="53"/>
      <c r="N187" s="53"/>
      <c r="O187" s="53"/>
    </row>
    <row r="188" spans="1:15" s="58" customFormat="1" x14ac:dyDescent="0.2">
      <c r="A188" s="53"/>
      <c r="B188" s="53"/>
      <c r="C188" s="89"/>
      <c r="H188" s="53"/>
      <c r="I188" s="53"/>
      <c r="J188" s="53"/>
      <c r="K188" s="53"/>
      <c r="L188" s="53"/>
      <c r="M188" s="53"/>
      <c r="N188" s="53"/>
      <c r="O188" s="53"/>
    </row>
    <row r="189" spans="1:15" s="58" customFormat="1" x14ac:dyDescent="0.2">
      <c r="A189" s="53"/>
      <c r="B189" s="53"/>
      <c r="C189" s="89"/>
      <c r="H189" s="53"/>
      <c r="I189" s="53"/>
      <c r="J189" s="53"/>
      <c r="K189" s="53"/>
      <c r="L189" s="53"/>
      <c r="M189" s="53"/>
      <c r="N189" s="53"/>
      <c r="O189" s="53"/>
    </row>
    <row r="190" spans="1:15" s="58" customFormat="1" x14ac:dyDescent="0.2">
      <c r="A190" s="53"/>
      <c r="B190" s="53"/>
      <c r="C190" s="89"/>
      <c r="H190" s="53"/>
      <c r="I190" s="53"/>
      <c r="J190" s="53"/>
      <c r="K190" s="53"/>
      <c r="L190" s="53"/>
      <c r="M190" s="53"/>
      <c r="N190" s="53"/>
      <c r="O190" s="53"/>
    </row>
    <row r="191" spans="1:15" s="58" customFormat="1" x14ac:dyDescent="0.2">
      <c r="A191" s="53"/>
      <c r="B191" s="53"/>
      <c r="C191" s="89"/>
      <c r="H191" s="53"/>
      <c r="I191" s="53"/>
      <c r="J191" s="53"/>
      <c r="K191" s="53"/>
      <c r="L191" s="53"/>
      <c r="M191" s="53"/>
      <c r="N191" s="53"/>
      <c r="O191" s="53"/>
    </row>
    <row r="192" spans="1:15" s="58" customFormat="1" x14ac:dyDescent="0.2">
      <c r="A192" s="53"/>
      <c r="B192" s="53"/>
      <c r="C192" s="89"/>
      <c r="H192" s="53"/>
      <c r="I192" s="53"/>
      <c r="J192" s="53"/>
      <c r="K192" s="53"/>
      <c r="L192" s="53"/>
      <c r="M192" s="53"/>
      <c r="N192" s="53"/>
      <c r="O192" s="53"/>
    </row>
    <row r="193" spans="1:15" s="58" customFormat="1" x14ac:dyDescent="0.2">
      <c r="A193" s="53"/>
      <c r="B193" s="53"/>
      <c r="C193" s="89"/>
      <c r="H193" s="53"/>
      <c r="I193" s="53"/>
      <c r="J193" s="53"/>
      <c r="K193" s="53"/>
      <c r="L193" s="53"/>
      <c r="M193" s="53"/>
      <c r="N193" s="53"/>
      <c r="O193" s="53"/>
    </row>
    <row r="194" spans="1:15" s="58" customFormat="1" x14ac:dyDescent="0.2">
      <c r="A194" s="53"/>
      <c r="B194" s="53"/>
      <c r="C194" s="89"/>
      <c r="H194" s="53"/>
      <c r="I194" s="53"/>
      <c r="J194" s="53"/>
      <c r="K194" s="53"/>
      <c r="L194" s="53"/>
      <c r="M194" s="53"/>
      <c r="N194" s="53"/>
      <c r="O194" s="53"/>
    </row>
    <row r="195" spans="1:15" s="58" customFormat="1" x14ac:dyDescent="0.2">
      <c r="A195" s="53"/>
      <c r="B195" s="53"/>
      <c r="C195" s="89"/>
      <c r="H195" s="53"/>
      <c r="I195" s="53"/>
      <c r="J195" s="53"/>
      <c r="K195" s="53"/>
      <c r="L195" s="53"/>
      <c r="M195" s="53"/>
      <c r="N195" s="53"/>
      <c r="O195" s="53"/>
    </row>
    <row r="196" spans="1:15" s="58" customFormat="1" x14ac:dyDescent="0.2">
      <c r="A196" s="53"/>
      <c r="B196" s="53"/>
      <c r="C196" s="89"/>
      <c r="H196" s="53"/>
      <c r="I196" s="53"/>
      <c r="J196" s="53"/>
      <c r="K196" s="53"/>
      <c r="L196" s="53"/>
      <c r="M196" s="53"/>
      <c r="N196" s="53"/>
      <c r="O196" s="53"/>
    </row>
    <row r="197" spans="1:15" s="58" customFormat="1" x14ac:dyDescent="0.2">
      <c r="A197" s="53"/>
      <c r="B197" s="53"/>
      <c r="C197" s="89"/>
      <c r="H197" s="53"/>
      <c r="I197" s="53"/>
      <c r="J197" s="53"/>
      <c r="K197" s="53"/>
      <c r="L197" s="53"/>
      <c r="M197" s="53"/>
      <c r="N197" s="53"/>
      <c r="O197" s="53"/>
    </row>
    <row r="198" spans="1:15" s="58" customFormat="1" x14ac:dyDescent="0.2">
      <c r="A198" s="53"/>
      <c r="B198" s="53"/>
      <c r="C198" s="89"/>
      <c r="H198" s="53"/>
      <c r="I198" s="53"/>
      <c r="J198" s="53"/>
      <c r="K198" s="53"/>
      <c r="L198" s="53"/>
      <c r="M198" s="53"/>
      <c r="N198" s="53"/>
      <c r="O198" s="53"/>
    </row>
    <row r="199" spans="1:15" s="58" customFormat="1" x14ac:dyDescent="0.2">
      <c r="A199" s="53"/>
      <c r="B199" s="53"/>
      <c r="C199" s="89"/>
      <c r="H199" s="53"/>
      <c r="I199" s="53"/>
      <c r="J199" s="53"/>
      <c r="K199" s="53"/>
      <c r="L199" s="53"/>
      <c r="M199" s="53"/>
      <c r="N199" s="53"/>
      <c r="O199" s="53"/>
    </row>
    <row r="200" spans="1:15" s="58" customFormat="1" x14ac:dyDescent="0.2">
      <c r="A200" s="53"/>
      <c r="B200" s="53"/>
      <c r="C200" s="89"/>
      <c r="H200" s="53"/>
      <c r="I200" s="53"/>
      <c r="J200" s="53"/>
      <c r="K200" s="53"/>
      <c r="L200" s="53"/>
      <c r="M200" s="53"/>
      <c r="N200" s="53"/>
      <c r="O200" s="53"/>
    </row>
    <row r="201" spans="1:15" s="58" customFormat="1" x14ac:dyDescent="0.2">
      <c r="A201" s="53"/>
      <c r="B201" s="53"/>
      <c r="C201" s="89"/>
      <c r="H201" s="53"/>
      <c r="I201" s="53"/>
      <c r="J201" s="53"/>
      <c r="K201" s="53"/>
      <c r="L201" s="53"/>
      <c r="M201" s="53"/>
      <c r="N201" s="53"/>
      <c r="O201" s="53"/>
    </row>
    <row r="202" spans="1:15" s="58" customFormat="1" x14ac:dyDescent="0.2">
      <c r="A202" s="53"/>
      <c r="B202" s="53"/>
      <c r="C202" s="89"/>
      <c r="H202" s="53"/>
      <c r="I202" s="53"/>
      <c r="J202" s="53"/>
      <c r="K202" s="53"/>
      <c r="L202" s="53"/>
      <c r="M202" s="53"/>
      <c r="N202" s="53"/>
      <c r="O202" s="53"/>
    </row>
    <row r="203" spans="1:15" s="58" customFormat="1" x14ac:dyDescent="0.2">
      <c r="A203" s="53"/>
      <c r="B203" s="53"/>
      <c r="C203" s="89"/>
      <c r="H203" s="53"/>
      <c r="I203" s="53"/>
      <c r="J203" s="53"/>
      <c r="K203" s="53"/>
      <c r="L203" s="53"/>
      <c r="M203" s="53"/>
      <c r="N203" s="53"/>
      <c r="O203" s="53"/>
    </row>
    <row r="204" spans="1:15" s="58" customFormat="1" x14ac:dyDescent="0.2">
      <c r="A204" s="53"/>
      <c r="B204" s="53"/>
      <c r="C204" s="89"/>
      <c r="H204" s="53"/>
      <c r="I204" s="53"/>
      <c r="J204" s="53"/>
      <c r="K204" s="53"/>
      <c r="L204" s="53"/>
      <c r="M204" s="53"/>
      <c r="N204" s="53"/>
      <c r="O204" s="53"/>
    </row>
    <row r="205" spans="1:15" s="58" customFormat="1" x14ac:dyDescent="0.2">
      <c r="A205" s="53"/>
      <c r="B205" s="53"/>
      <c r="C205" s="89"/>
      <c r="H205" s="53"/>
      <c r="I205" s="53"/>
      <c r="J205" s="53"/>
      <c r="K205" s="53"/>
      <c r="L205" s="53"/>
      <c r="M205" s="53"/>
      <c r="N205" s="53"/>
      <c r="O205" s="53"/>
    </row>
    <row r="206" spans="1:15" s="58" customFormat="1" x14ac:dyDescent="0.2">
      <c r="A206" s="53"/>
      <c r="B206" s="53"/>
      <c r="C206" s="89"/>
      <c r="H206" s="53"/>
      <c r="I206" s="53"/>
      <c r="J206" s="53"/>
      <c r="K206" s="53"/>
      <c r="L206" s="53"/>
      <c r="M206" s="53"/>
      <c r="N206" s="53"/>
      <c r="O206" s="53"/>
    </row>
    <row r="207" spans="1:15" s="58" customFormat="1" x14ac:dyDescent="0.2">
      <c r="A207" s="53"/>
      <c r="B207" s="53"/>
      <c r="C207" s="89"/>
      <c r="H207" s="53"/>
      <c r="I207" s="53"/>
      <c r="J207" s="53"/>
      <c r="K207" s="53"/>
      <c r="L207" s="53"/>
      <c r="M207" s="53"/>
      <c r="N207" s="53"/>
      <c r="O207" s="53"/>
    </row>
    <row r="208" spans="1:15" s="58" customFormat="1" x14ac:dyDescent="0.2">
      <c r="A208" s="53"/>
      <c r="B208" s="53"/>
      <c r="C208" s="89"/>
      <c r="H208" s="53"/>
      <c r="I208" s="53"/>
      <c r="J208" s="53"/>
      <c r="K208" s="53"/>
      <c r="L208" s="53"/>
      <c r="M208" s="53"/>
      <c r="N208" s="53"/>
      <c r="O208" s="53"/>
    </row>
    <row r="209" spans="1:15" s="58" customFormat="1" x14ac:dyDescent="0.2">
      <c r="A209" s="53"/>
      <c r="B209" s="53"/>
      <c r="C209" s="89"/>
      <c r="H209" s="53"/>
      <c r="I209" s="53"/>
      <c r="J209" s="53"/>
      <c r="K209" s="53"/>
      <c r="L209" s="53"/>
      <c r="M209" s="53"/>
      <c r="N209" s="53"/>
      <c r="O209" s="53"/>
    </row>
    <row r="210" spans="1:15" s="58" customFormat="1" x14ac:dyDescent="0.2">
      <c r="A210" s="53"/>
      <c r="B210" s="53"/>
      <c r="C210" s="89"/>
      <c r="H210" s="53"/>
      <c r="I210" s="53"/>
      <c r="J210" s="53"/>
      <c r="K210" s="53"/>
      <c r="L210" s="53"/>
      <c r="M210" s="53"/>
      <c r="N210" s="53"/>
      <c r="O210" s="53"/>
    </row>
    <row r="211" spans="1:15" s="58" customFormat="1" x14ac:dyDescent="0.2">
      <c r="A211" s="53"/>
      <c r="B211" s="53"/>
      <c r="C211" s="89"/>
      <c r="H211" s="53"/>
      <c r="I211" s="53"/>
      <c r="J211" s="53"/>
      <c r="K211" s="53"/>
      <c r="L211" s="53"/>
      <c r="M211" s="53"/>
      <c r="N211" s="53"/>
      <c r="O211" s="53"/>
    </row>
    <row r="212" spans="1:15" s="58" customFormat="1" x14ac:dyDescent="0.2">
      <c r="A212" s="53"/>
      <c r="B212" s="53"/>
      <c r="C212" s="89"/>
      <c r="H212" s="53"/>
      <c r="I212" s="53"/>
      <c r="J212" s="53"/>
      <c r="K212" s="53"/>
      <c r="L212" s="53"/>
      <c r="M212" s="53"/>
      <c r="N212" s="53"/>
      <c r="O212" s="53"/>
    </row>
    <row r="213" spans="1:15" s="58" customFormat="1" x14ac:dyDescent="0.2">
      <c r="A213" s="53"/>
      <c r="B213" s="53"/>
      <c r="C213" s="89"/>
      <c r="H213" s="53"/>
      <c r="I213" s="53"/>
      <c r="J213" s="53"/>
      <c r="K213" s="53"/>
      <c r="L213" s="53"/>
      <c r="M213" s="53"/>
      <c r="N213" s="53"/>
      <c r="O213" s="53"/>
    </row>
    <row r="214" spans="1:15" s="58" customFormat="1" x14ac:dyDescent="0.2">
      <c r="A214" s="53"/>
      <c r="B214" s="53"/>
      <c r="C214" s="89"/>
      <c r="H214" s="53"/>
      <c r="I214" s="53"/>
      <c r="J214" s="53"/>
      <c r="K214" s="53"/>
      <c r="L214" s="53"/>
      <c r="M214" s="53"/>
      <c r="N214" s="53"/>
      <c r="O214" s="53"/>
    </row>
    <row r="215" spans="1:15" s="58" customFormat="1" x14ac:dyDescent="0.2">
      <c r="A215" s="53"/>
      <c r="B215" s="53"/>
      <c r="C215" s="89"/>
      <c r="H215" s="53"/>
      <c r="I215" s="53"/>
      <c r="J215" s="53"/>
      <c r="K215" s="53"/>
      <c r="L215" s="53"/>
      <c r="M215" s="53"/>
      <c r="N215" s="53"/>
      <c r="O215" s="53"/>
    </row>
  </sheetData>
  <conditionalFormatting sqref="B19:C25">
    <cfRule type="duplicateValues" dxfId="0" priority="1"/>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B807-C243-294E-B64B-FF0AD72F43E4}">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74B38-88FD-8D4C-BA44-0D40B87A6DC0}">
  <sheetPr codeName="Sheet4"/>
  <dimension ref="A1:AW13"/>
  <sheetViews>
    <sheetView zoomScaleNormal="100" workbookViewId="0">
      <selection activeCell="B7" sqref="B7"/>
    </sheetView>
  </sheetViews>
  <sheetFormatPr baseColWidth="10" defaultColWidth="8.83203125" defaultRowHeight="19" x14ac:dyDescent="0.25"/>
  <cols>
    <col min="1" max="1" width="4.83203125" style="53" customWidth="1"/>
    <col min="2" max="2" width="24.1640625" style="53" customWidth="1"/>
    <col min="3" max="10" width="16.83203125" style="53" customWidth="1"/>
    <col min="11" max="11" width="22.33203125" style="53" bestFit="1" customWidth="1"/>
    <col min="12" max="12" width="13.6640625" style="53" customWidth="1"/>
    <col min="13" max="13" width="12.6640625" style="53" bestFit="1" customWidth="1"/>
    <col min="14" max="14" width="13.5" style="53" customWidth="1"/>
    <col min="15" max="15" width="12.83203125" style="53" customWidth="1"/>
    <col min="16" max="18" width="12.5" style="53" bestFit="1" customWidth="1"/>
    <col min="19" max="19" width="12.83203125" style="53" customWidth="1"/>
    <col min="20" max="20" width="11.83203125" style="53" customWidth="1"/>
    <col min="21" max="21" width="10.6640625" style="53" bestFit="1" customWidth="1"/>
    <col min="22" max="22" width="17.33203125" style="53" customWidth="1"/>
    <col min="23" max="23" width="25.83203125" style="53" customWidth="1"/>
    <col min="24" max="24" width="18.83203125" style="53" customWidth="1"/>
    <col min="25" max="25" width="23" style="53" customWidth="1"/>
    <col min="26" max="26" width="18.83203125" style="53" customWidth="1"/>
    <col min="27" max="27" width="4.83203125" style="53" customWidth="1"/>
    <col min="28" max="28" width="22.1640625" style="4" customWidth="1"/>
    <col min="29" max="29" width="17.1640625" style="53" bestFit="1" customWidth="1"/>
    <col min="30" max="30" width="10.5" style="53" bestFit="1" customWidth="1"/>
    <col min="31" max="31" width="10.83203125" style="53" bestFit="1" customWidth="1"/>
    <col min="32" max="32" width="13.83203125" style="53" customWidth="1"/>
    <col min="33" max="33" width="13.1640625" style="53" bestFit="1" customWidth="1"/>
    <col min="34" max="34" width="13.6640625" style="53" bestFit="1" customWidth="1"/>
    <col min="35" max="35" width="13.1640625" style="53" customWidth="1"/>
    <col min="36" max="36" width="9.6640625" style="53" bestFit="1" customWidth="1"/>
    <col min="37" max="48" width="7.5" style="53" bestFit="1" customWidth="1"/>
    <col min="49" max="49" width="40.1640625" style="53" bestFit="1" customWidth="1"/>
    <col min="50" max="16384" width="8.83203125" style="53"/>
  </cols>
  <sheetData>
    <row r="1" spans="1:49" ht="21" x14ac:dyDescent="0.25">
      <c r="A1" s="15" t="s">
        <v>129</v>
      </c>
      <c r="B1" s="95" t="s">
        <v>156</v>
      </c>
    </row>
    <row r="2" spans="1:49" s="4" customFormat="1" ht="60" x14ac:dyDescent="0.25">
      <c r="B2" s="22" t="s">
        <v>19</v>
      </c>
      <c r="C2" s="22" t="s">
        <v>424</v>
      </c>
      <c r="D2" s="22" t="s">
        <v>17</v>
      </c>
      <c r="E2" s="22" t="s">
        <v>562</v>
      </c>
      <c r="F2" s="22" t="s">
        <v>563</v>
      </c>
      <c r="G2" s="22" t="s">
        <v>305</v>
      </c>
      <c r="H2" s="22" t="s">
        <v>604</v>
      </c>
      <c r="I2" s="22" t="s">
        <v>261</v>
      </c>
      <c r="J2" s="91" t="s">
        <v>603</v>
      </c>
      <c r="K2" s="91" t="s">
        <v>157</v>
      </c>
      <c r="L2" s="91" t="s">
        <v>158</v>
      </c>
      <c r="M2" s="91" t="s">
        <v>159</v>
      </c>
      <c r="N2" s="91" t="s">
        <v>160</v>
      </c>
      <c r="O2" s="91" t="s">
        <v>161</v>
      </c>
      <c r="P2" s="91" t="s">
        <v>162</v>
      </c>
      <c r="Q2" s="91" t="s">
        <v>163</v>
      </c>
      <c r="R2" s="91" t="s">
        <v>164</v>
      </c>
      <c r="S2" s="91" t="s">
        <v>165</v>
      </c>
      <c r="T2" s="91" t="s">
        <v>166</v>
      </c>
      <c r="U2" s="91" t="s">
        <v>167</v>
      </c>
      <c r="V2" s="91" t="s">
        <v>41</v>
      </c>
      <c r="W2" s="91" t="s">
        <v>62</v>
      </c>
      <c r="X2" s="91" t="s">
        <v>63</v>
      </c>
      <c r="Y2" s="91" t="s">
        <v>64</v>
      </c>
      <c r="Z2" s="91" t="s">
        <v>65</v>
      </c>
      <c r="AA2" s="17"/>
      <c r="AB2" s="91" t="s">
        <v>168</v>
      </c>
      <c r="AC2" s="91" t="s">
        <v>68</v>
      </c>
      <c r="AD2" s="91" t="s">
        <v>67</v>
      </c>
      <c r="AE2" s="91" t="s">
        <v>0</v>
      </c>
      <c r="AF2" s="91" t="s">
        <v>169</v>
      </c>
      <c r="AG2" s="91" t="s">
        <v>170</v>
      </c>
      <c r="AH2" s="91" t="s">
        <v>33</v>
      </c>
      <c r="AI2" s="91" t="s">
        <v>34</v>
      </c>
      <c r="AJ2" s="91" t="s">
        <v>36</v>
      </c>
      <c r="AK2" s="91" t="s">
        <v>4</v>
      </c>
      <c r="AL2" s="91" t="s">
        <v>5</v>
      </c>
      <c r="AM2" s="91" t="s">
        <v>6</v>
      </c>
      <c r="AN2" s="91" t="s">
        <v>7</v>
      </c>
      <c r="AO2" s="91" t="s">
        <v>8</v>
      </c>
      <c r="AP2" s="91" t="s">
        <v>9</v>
      </c>
      <c r="AQ2" s="91" t="s">
        <v>10</v>
      </c>
      <c r="AR2" s="91" t="s">
        <v>11</v>
      </c>
      <c r="AS2" s="91" t="s">
        <v>12</v>
      </c>
      <c r="AT2" s="91" t="s">
        <v>1</v>
      </c>
      <c r="AU2" s="91" t="s">
        <v>2</v>
      </c>
      <c r="AV2" s="91" t="s">
        <v>3</v>
      </c>
      <c r="AW2" s="22" t="s">
        <v>32</v>
      </c>
    </row>
    <row r="3" spans="1:49" ht="20" x14ac:dyDescent="0.25">
      <c r="B3" s="17"/>
      <c r="C3" s="17"/>
      <c r="D3" s="17" t="s">
        <v>20</v>
      </c>
      <c r="E3" s="17"/>
      <c r="F3" s="17" t="s">
        <v>20</v>
      </c>
      <c r="G3" s="17"/>
      <c r="H3" s="17" t="s">
        <v>21</v>
      </c>
      <c r="I3" s="17"/>
      <c r="J3" s="17"/>
      <c r="K3" s="17"/>
      <c r="L3" s="17" t="s">
        <v>35</v>
      </c>
      <c r="M3" s="17" t="s">
        <v>35</v>
      </c>
      <c r="N3" s="17" t="s">
        <v>35</v>
      </c>
      <c r="O3" s="17" t="s">
        <v>35</v>
      </c>
      <c r="P3" s="17" t="s">
        <v>70</v>
      </c>
      <c r="Q3" s="17" t="s">
        <v>70</v>
      </c>
      <c r="R3" s="17" t="s">
        <v>70</v>
      </c>
      <c r="S3" s="17" t="s">
        <v>171</v>
      </c>
      <c r="T3" s="17" t="s">
        <v>25</v>
      </c>
      <c r="U3" s="17"/>
      <c r="V3" s="17" t="s">
        <v>42</v>
      </c>
      <c r="W3" s="17"/>
      <c r="X3" s="17" t="s">
        <v>42</v>
      </c>
      <c r="Y3" s="17"/>
      <c r="Z3" s="17" t="s">
        <v>42</v>
      </c>
      <c r="AA3" s="4"/>
      <c r="AB3" s="17"/>
      <c r="AC3" s="17" t="s">
        <v>35</v>
      </c>
      <c r="AD3" s="17" t="s">
        <v>35</v>
      </c>
      <c r="AE3" s="17" t="s">
        <v>35</v>
      </c>
      <c r="AF3" s="71" t="s">
        <v>35</v>
      </c>
      <c r="AG3" s="17" t="s">
        <v>35</v>
      </c>
      <c r="AH3" s="17" t="s">
        <v>69</v>
      </c>
      <c r="AI3" s="17" t="s">
        <v>69</v>
      </c>
      <c r="AJ3" s="17" t="s">
        <v>69</v>
      </c>
      <c r="AK3" s="17" t="s">
        <v>70</v>
      </c>
      <c r="AL3" s="17" t="s">
        <v>70</v>
      </c>
      <c r="AM3" s="17" t="s">
        <v>70</v>
      </c>
      <c r="AN3" s="17" t="s">
        <v>70</v>
      </c>
      <c r="AO3" s="17" t="s">
        <v>70</v>
      </c>
      <c r="AP3" s="17" t="s">
        <v>70</v>
      </c>
      <c r="AQ3" s="17" t="s">
        <v>70</v>
      </c>
      <c r="AR3" s="17" t="s">
        <v>70</v>
      </c>
      <c r="AS3" s="17" t="s">
        <v>70</v>
      </c>
      <c r="AT3" s="17" t="s">
        <v>70</v>
      </c>
      <c r="AU3" s="17" t="s">
        <v>70</v>
      </c>
      <c r="AV3" s="17" t="s">
        <v>70</v>
      </c>
      <c r="AW3" s="17"/>
    </row>
    <row r="4" spans="1:49" s="76" customFormat="1" ht="20" x14ac:dyDescent="0.2">
      <c r="B4" s="18" t="s">
        <v>83</v>
      </c>
      <c r="C4" s="20" t="s">
        <v>605</v>
      </c>
      <c r="D4" s="70">
        <v>186</v>
      </c>
      <c r="E4" s="164">
        <f>System!$D$10</f>
        <v>0.98099999999999998</v>
      </c>
      <c r="F4" s="2">
        <f>D4*E4</f>
        <v>182.46600000000001</v>
      </c>
      <c r="G4" s="179">
        <f>System!$J$9</f>
        <v>0.45</v>
      </c>
      <c r="H4" s="126">
        <f t="shared" ref="H4:H7" si="0">D4*24*365*G4/1000</f>
        <v>733.21199999999999</v>
      </c>
      <c r="I4" s="86">
        <v>3</v>
      </c>
      <c r="J4" s="93"/>
      <c r="K4" s="67"/>
      <c r="L4" s="96"/>
      <c r="M4" s="101"/>
      <c r="N4" s="101"/>
      <c r="O4" s="101"/>
      <c r="P4" s="101"/>
      <c r="Q4" s="96"/>
      <c r="R4" s="96"/>
      <c r="S4" s="46"/>
      <c r="T4" s="46"/>
      <c r="U4" s="46"/>
      <c r="V4" s="67"/>
      <c r="W4" s="18" t="s">
        <v>125</v>
      </c>
      <c r="X4" s="72" t="s">
        <v>126</v>
      </c>
      <c r="Y4" s="18"/>
      <c r="Z4" s="67"/>
      <c r="AB4" s="18" t="s">
        <v>125</v>
      </c>
      <c r="AC4" s="67"/>
      <c r="AD4" s="67"/>
      <c r="AE4" s="67"/>
      <c r="AF4" s="67"/>
      <c r="AG4" s="67"/>
      <c r="AH4" s="67"/>
      <c r="AI4" s="67"/>
      <c r="AJ4" s="67"/>
      <c r="AK4" s="67"/>
      <c r="AL4" s="67"/>
      <c r="AM4" s="67"/>
      <c r="AN4" s="67"/>
      <c r="AO4" s="67"/>
      <c r="AP4" s="67"/>
      <c r="AQ4" s="67"/>
      <c r="AR4" s="67"/>
      <c r="AS4" s="67"/>
      <c r="AT4" s="67"/>
      <c r="AU4" s="67"/>
      <c r="AV4" s="67"/>
      <c r="AW4" s="18"/>
    </row>
    <row r="5" spans="1:49" s="76" customFormat="1" ht="20" x14ac:dyDescent="0.2">
      <c r="B5" s="18" t="s">
        <v>82</v>
      </c>
      <c r="C5" s="20" t="s">
        <v>605</v>
      </c>
      <c r="D5" s="70">
        <v>288</v>
      </c>
      <c r="E5" s="164">
        <f>System!$D$10</f>
        <v>0.98099999999999998</v>
      </c>
      <c r="F5" s="2">
        <f t="shared" ref="F5:F7" si="1">D5*E5</f>
        <v>282.52800000000002</v>
      </c>
      <c r="G5" s="179">
        <f>System!$J$9</f>
        <v>0.45</v>
      </c>
      <c r="H5" s="126">
        <f t="shared" si="0"/>
        <v>1135.296</v>
      </c>
      <c r="I5" s="86">
        <v>8</v>
      </c>
      <c r="J5" s="20">
        <v>2025</v>
      </c>
      <c r="K5" s="67"/>
      <c r="L5" s="96"/>
      <c r="M5" s="101"/>
      <c r="N5" s="101"/>
      <c r="O5" s="101"/>
      <c r="P5" s="101"/>
      <c r="Q5" s="96"/>
      <c r="R5" s="96"/>
      <c r="S5" s="46"/>
      <c r="T5" s="46"/>
      <c r="U5" s="46"/>
      <c r="V5" s="72" t="s">
        <v>124</v>
      </c>
      <c r="W5" s="18" t="s">
        <v>122</v>
      </c>
      <c r="X5" s="72" t="s">
        <v>123</v>
      </c>
      <c r="Y5" s="18"/>
      <c r="Z5" s="67"/>
      <c r="AB5" s="18" t="s">
        <v>122</v>
      </c>
      <c r="AC5" s="67"/>
      <c r="AD5" s="67"/>
      <c r="AE5" s="67"/>
      <c r="AF5" s="67"/>
      <c r="AG5" s="67"/>
      <c r="AH5" s="67"/>
      <c r="AI5" s="67"/>
      <c r="AJ5" s="67"/>
      <c r="AK5" s="67"/>
      <c r="AL5" s="67"/>
      <c r="AM5" s="67"/>
      <c r="AN5" s="67"/>
      <c r="AO5" s="67"/>
      <c r="AP5" s="67"/>
      <c r="AQ5" s="67"/>
      <c r="AR5" s="67"/>
      <c r="AS5" s="67"/>
      <c r="AT5" s="67"/>
      <c r="AU5" s="67"/>
      <c r="AV5" s="67"/>
      <c r="AW5" s="18"/>
    </row>
    <row r="6" spans="1:49" s="76" customFormat="1" ht="20" x14ac:dyDescent="0.2">
      <c r="B6" s="18" t="s">
        <v>80</v>
      </c>
      <c r="C6" s="20" t="s">
        <v>605</v>
      </c>
      <c r="D6" s="70">
        <v>111</v>
      </c>
      <c r="E6" s="164">
        <f>System!$D$10</f>
        <v>0.98099999999999998</v>
      </c>
      <c r="F6" s="2">
        <f t="shared" si="1"/>
        <v>108.89099999999999</v>
      </c>
      <c r="G6" s="179">
        <f>System!$J$9</f>
        <v>0.45</v>
      </c>
      <c r="H6" s="126">
        <f t="shared" si="0"/>
        <v>437.56200000000001</v>
      </c>
      <c r="I6" s="86">
        <v>7</v>
      </c>
      <c r="J6" s="93"/>
      <c r="K6" s="67"/>
      <c r="L6" s="96"/>
      <c r="M6" s="101"/>
      <c r="N6" s="101"/>
      <c r="O6" s="101"/>
      <c r="P6" s="101"/>
      <c r="Q6" s="96"/>
      <c r="R6" s="96"/>
      <c r="S6" s="46"/>
      <c r="T6" s="67"/>
      <c r="U6" s="46"/>
      <c r="V6" s="72" t="s">
        <v>117</v>
      </c>
      <c r="W6" s="18" t="s">
        <v>118</v>
      </c>
      <c r="X6" s="67"/>
      <c r="Y6" s="18" t="s">
        <v>119</v>
      </c>
      <c r="Z6" s="67"/>
      <c r="AB6" s="18" t="s">
        <v>118</v>
      </c>
      <c r="AC6" s="67"/>
      <c r="AD6" s="67"/>
      <c r="AE6" s="67"/>
      <c r="AF6" s="67"/>
      <c r="AG6" s="67"/>
      <c r="AH6" s="67"/>
      <c r="AI6" s="67"/>
      <c r="AJ6" s="67"/>
      <c r="AK6" s="67"/>
      <c r="AL6" s="67"/>
      <c r="AM6" s="67"/>
      <c r="AN6" s="67"/>
      <c r="AO6" s="67"/>
      <c r="AP6" s="67"/>
      <c r="AQ6" s="67"/>
      <c r="AR6" s="67"/>
      <c r="AS6" s="67"/>
      <c r="AT6" s="67"/>
      <c r="AU6" s="67"/>
      <c r="AV6" s="67"/>
      <c r="AW6" s="18"/>
    </row>
    <row r="7" spans="1:49" s="76" customFormat="1" ht="20" x14ac:dyDescent="0.2">
      <c r="B7" s="18" t="s">
        <v>81</v>
      </c>
      <c r="C7" s="20" t="s">
        <v>605</v>
      </c>
      <c r="D7" s="70">
        <v>255</v>
      </c>
      <c r="E7" s="164">
        <f>System!$D$10</f>
        <v>0.98099999999999998</v>
      </c>
      <c r="F7" s="2">
        <f t="shared" si="1"/>
        <v>250.155</v>
      </c>
      <c r="G7" s="179">
        <f>System!$J$9</f>
        <v>0.45</v>
      </c>
      <c r="H7" s="126">
        <f t="shared" si="0"/>
        <v>1005.21</v>
      </c>
      <c r="I7" s="86">
        <v>3</v>
      </c>
      <c r="J7" s="93"/>
      <c r="K7" s="67"/>
      <c r="L7" s="96"/>
      <c r="M7" s="101"/>
      <c r="N7" s="101"/>
      <c r="O7" s="101"/>
      <c r="P7" s="101"/>
      <c r="Q7" s="96"/>
      <c r="R7" s="96"/>
      <c r="S7" s="46"/>
      <c r="T7" s="67"/>
      <c r="U7" s="46"/>
      <c r="V7" s="67"/>
      <c r="W7" s="18" t="s">
        <v>120</v>
      </c>
      <c r="X7" s="72" t="s">
        <v>121</v>
      </c>
      <c r="Y7" s="18" t="s">
        <v>122</v>
      </c>
      <c r="Z7" s="72" t="s">
        <v>123</v>
      </c>
      <c r="AB7" s="18" t="s">
        <v>120</v>
      </c>
      <c r="AC7" s="67"/>
      <c r="AD7" s="67"/>
      <c r="AE7" s="67"/>
      <c r="AF7" s="67"/>
      <c r="AG7" s="67"/>
      <c r="AH7" s="67"/>
      <c r="AI7" s="67"/>
      <c r="AJ7" s="67"/>
      <c r="AK7" s="67"/>
      <c r="AL7" s="67"/>
      <c r="AM7" s="67"/>
      <c r="AN7" s="67"/>
      <c r="AO7" s="67"/>
      <c r="AP7" s="67"/>
      <c r="AQ7" s="67"/>
      <c r="AR7" s="67"/>
      <c r="AS7" s="67"/>
      <c r="AT7" s="67"/>
      <c r="AU7" s="67"/>
      <c r="AV7" s="67"/>
      <c r="AW7" s="18"/>
    </row>
    <row r="8" spans="1:49" x14ac:dyDescent="0.2">
      <c r="A8" s="10"/>
      <c r="B8" s="18"/>
      <c r="C8" s="46"/>
      <c r="D8" s="96"/>
      <c r="E8" s="96"/>
      <c r="F8" s="96"/>
      <c r="G8" s="96"/>
      <c r="H8" s="96"/>
      <c r="I8" s="96"/>
      <c r="J8" s="46"/>
      <c r="K8" s="46"/>
      <c r="L8" s="96"/>
      <c r="M8" s="101"/>
      <c r="N8" s="101"/>
      <c r="O8" s="101"/>
      <c r="P8" s="101"/>
      <c r="Q8" s="96"/>
      <c r="R8" s="96"/>
      <c r="S8" s="46"/>
      <c r="T8" s="46"/>
      <c r="U8" s="46"/>
      <c r="V8" s="46"/>
      <c r="W8" s="18"/>
      <c r="X8" s="46"/>
      <c r="Y8" s="18"/>
      <c r="Z8" s="46"/>
      <c r="AB8" s="18"/>
      <c r="AC8" s="67"/>
      <c r="AD8" s="67"/>
      <c r="AE8" s="67"/>
      <c r="AF8" s="67"/>
      <c r="AG8" s="67"/>
      <c r="AH8" s="67"/>
      <c r="AI8" s="67"/>
      <c r="AJ8" s="67"/>
      <c r="AK8" s="67"/>
      <c r="AL8" s="67"/>
      <c r="AM8" s="67"/>
      <c r="AN8" s="67"/>
      <c r="AO8" s="67"/>
      <c r="AP8" s="67"/>
      <c r="AQ8" s="67"/>
      <c r="AR8" s="67"/>
      <c r="AS8" s="67"/>
      <c r="AT8" s="67"/>
      <c r="AU8" s="67"/>
      <c r="AV8" s="67"/>
      <c r="AW8" s="18"/>
    </row>
    <row r="9" spans="1:49" x14ac:dyDescent="0.25">
      <c r="A9" s="10"/>
    </row>
    <row r="10" spans="1:49" s="4" customFormat="1" x14ac:dyDescent="0.25">
      <c r="A10" s="68" t="s">
        <v>308</v>
      </c>
      <c r="B10" s="10"/>
      <c r="C10" s="49"/>
      <c r="D10" s="49"/>
      <c r="E10" s="49"/>
      <c r="F10" s="49"/>
      <c r="G10" s="49"/>
      <c r="H10" s="49"/>
      <c r="I10" s="49"/>
      <c r="J10" s="49"/>
      <c r="K10" s="53"/>
      <c r="L10" s="49"/>
      <c r="M10" s="53"/>
      <c r="N10" s="49"/>
      <c r="O10" s="53"/>
      <c r="P10" s="53"/>
      <c r="Q10" s="53"/>
      <c r="R10" s="53"/>
      <c r="S10" s="53"/>
      <c r="T10" s="53"/>
      <c r="U10" s="53"/>
      <c r="V10" s="53"/>
      <c r="W10" s="53"/>
      <c r="X10" s="53"/>
      <c r="Y10" s="76"/>
      <c r="Z10" s="76"/>
      <c r="AA10" s="76"/>
      <c r="AB10" s="76"/>
      <c r="AC10" s="76"/>
      <c r="AD10" s="76"/>
      <c r="AE10" s="76"/>
      <c r="AF10" s="76"/>
      <c r="AG10" s="76"/>
      <c r="AH10" s="76"/>
      <c r="AI10" s="76"/>
      <c r="AJ10" s="76"/>
      <c r="AK10" s="53"/>
      <c r="AL10" s="53"/>
      <c r="AM10" s="53"/>
      <c r="AN10" s="53"/>
      <c r="AO10" s="53"/>
      <c r="AP10" s="53"/>
      <c r="AQ10" s="53"/>
      <c r="AR10" s="53"/>
      <c r="AS10" s="53"/>
      <c r="AT10" s="53"/>
      <c r="AU10" s="53"/>
      <c r="AV10" s="53"/>
      <c r="AW10" s="53"/>
    </row>
    <row r="11" spans="1:49" x14ac:dyDescent="0.25">
      <c r="A11" s="4" t="s">
        <v>413</v>
      </c>
      <c r="AB11" s="53"/>
    </row>
    <row r="12" spans="1:49" s="51" customFormat="1" x14ac:dyDescent="0.25">
      <c r="A12" s="4" t="s">
        <v>414</v>
      </c>
      <c r="M12" s="4"/>
      <c r="U12" s="53"/>
    </row>
    <row r="13" spans="1:49" x14ac:dyDescent="0.25">
      <c r="A13" s="10"/>
      <c r="C13" s="49"/>
      <c r="D13" s="49"/>
      <c r="E13" s="49"/>
      <c r="F13" s="49"/>
      <c r="G13" s="49"/>
      <c r="H13" s="49"/>
      <c r="I13" s="49"/>
      <c r="J13" s="49"/>
      <c r="K13" s="10"/>
      <c r="L13" s="49"/>
      <c r="M13" s="10"/>
      <c r="N13" s="49"/>
      <c r="O13" s="10"/>
    </row>
  </sheetData>
  <autoFilter ref="B3:AW3" xr:uid="{78C8D5D2-1B13-CE44-81DE-849FC3F59B33}">
    <sortState xmlns:xlrd2="http://schemas.microsoft.com/office/spreadsheetml/2017/richdata2" ref="B4:AW7">
      <sortCondition ref="B3:B7"/>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D5DF-3E71-5A4B-917A-066922928310}">
  <sheetPr codeName="Sheet5"/>
  <dimension ref="A1:BM19"/>
  <sheetViews>
    <sheetView workbookViewId="0">
      <pane xSplit="2" ySplit="3" topLeftCell="C4" activePane="bottomRight" state="frozen"/>
      <selection activeCell="B7" sqref="B7"/>
      <selection pane="topRight" activeCell="B7" sqref="B7"/>
      <selection pane="bottomLeft" activeCell="B7" sqref="B7"/>
      <selection pane="bottomRight" activeCell="B7" sqref="B7"/>
    </sheetView>
  </sheetViews>
  <sheetFormatPr baseColWidth="10" defaultRowHeight="16" x14ac:dyDescent="0.2"/>
  <cols>
    <col min="1" max="1" width="4.83203125" style="53" customWidth="1"/>
    <col min="2" max="2" width="52" style="53" customWidth="1"/>
    <col min="3" max="3" width="58.83203125" style="53" customWidth="1"/>
    <col min="4" max="4" width="25.1640625" style="53" customWidth="1"/>
    <col min="5" max="5" width="13.6640625" style="53" customWidth="1"/>
    <col min="6" max="6" width="22.33203125" style="53" bestFit="1" customWidth="1"/>
    <col min="7" max="7" width="13.6640625" style="53" customWidth="1"/>
    <col min="8" max="8" width="12.6640625" style="53" bestFit="1" customWidth="1"/>
    <col min="9" max="9" width="12.83203125" style="53" customWidth="1"/>
    <col min="10" max="10" width="4.83203125" style="53" customWidth="1"/>
    <col min="11" max="11" width="25" style="53" customWidth="1"/>
    <col min="12" max="12" width="12.5" style="53" bestFit="1" customWidth="1"/>
    <col min="13" max="13" width="12.83203125" style="53" customWidth="1"/>
    <col min="14" max="14" width="18.83203125" style="53" customWidth="1"/>
    <col min="15" max="15" width="15" style="53" customWidth="1"/>
    <col min="16" max="16" width="4.83203125" style="53" customWidth="1"/>
    <col min="17" max="17" width="39.1640625" style="53" customWidth="1"/>
    <col min="18" max="19" width="17" style="53" customWidth="1"/>
    <col min="20" max="21" width="15" style="53" customWidth="1"/>
    <col min="22" max="22" width="15.83203125" style="53" customWidth="1"/>
    <col min="23" max="23" width="4.83203125" style="53" customWidth="1"/>
    <col min="24" max="24" width="15.6640625" style="53" bestFit="1" customWidth="1"/>
    <col min="25" max="30" width="15.6640625" style="53" customWidth="1"/>
    <col min="31" max="31" width="13.83203125" style="53" customWidth="1"/>
    <col min="32" max="32" width="12.83203125" style="53" customWidth="1"/>
    <col min="33" max="33" width="15.6640625" style="53" customWidth="1"/>
    <col min="34" max="34" width="19" style="53" customWidth="1"/>
    <col min="35" max="36" width="16.1640625" style="53" customWidth="1"/>
    <col min="37" max="37" width="45.83203125" style="53" customWidth="1"/>
    <col min="38" max="38" width="6.6640625" style="53" bestFit="1" customWidth="1"/>
    <col min="39" max="39" width="13.33203125" style="53" customWidth="1"/>
    <col min="40" max="40" width="15.1640625" style="53" customWidth="1"/>
    <col min="41" max="42" width="8.6640625" style="53" bestFit="1" customWidth="1"/>
    <col min="43" max="43" width="13.33203125" style="53" customWidth="1"/>
    <col min="44" max="55" width="7.5" style="53" bestFit="1" customWidth="1"/>
    <col min="56" max="56" width="43.1640625" style="53" customWidth="1"/>
    <col min="57" max="16384" width="10.83203125" style="53"/>
  </cols>
  <sheetData>
    <row r="1" spans="1:51" s="4" customFormat="1" ht="21" x14ac:dyDescent="0.25">
      <c r="A1" s="15" t="s">
        <v>129</v>
      </c>
      <c r="B1" s="95" t="s">
        <v>172</v>
      </c>
      <c r="H1" s="6"/>
      <c r="I1" s="26"/>
      <c r="J1" s="26"/>
      <c r="K1" s="68" t="s">
        <v>173</v>
      </c>
      <c r="L1" s="27"/>
      <c r="M1" s="27"/>
      <c r="P1" s="16"/>
      <c r="Q1" s="68" t="s">
        <v>174</v>
      </c>
      <c r="R1" s="68"/>
      <c r="S1" s="68"/>
      <c r="T1" s="27"/>
      <c r="U1" s="27"/>
      <c r="X1" s="68" t="s">
        <v>175</v>
      </c>
      <c r="Y1" s="98">
        <v>1.77E-2</v>
      </c>
      <c r="Z1" s="96">
        <v>1.06</v>
      </c>
      <c r="AA1" s="96"/>
      <c r="AB1" s="98"/>
    </row>
    <row r="2" spans="1:51" s="111" customFormat="1" ht="60" x14ac:dyDescent="0.2">
      <c r="B2" s="22" t="s">
        <v>176</v>
      </c>
      <c r="C2" s="22" t="s">
        <v>14</v>
      </c>
      <c r="D2" s="22" t="s">
        <v>22</v>
      </c>
      <c r="E2" s="22" t="s">
        <v>181</v>
      </c>
      <c r="F2" s="22" t="s">
        <v>177</v>
      </c>
      <c r="G2" s="22" t="s">
        <v>31</v>
      </c>
      <c r="H2" s="22" t="s">
        <v>18</v>
      </c>
      <c r="I2" s="22" t="s">
        <v>134</v>
      </c>
      <c r="J2" s="75"/>
      <c r="K2" s="22" t="s">
        <v>13</v>
      </c>
      <c r="L2" s="22" t="s">
        <v>17</v>
      </c>
      <c r="M2" s="22" t="s">
        <v>40</v>
      </c>
      <c r="N2" s="22" t="s">
        <v>178</v>
      </c>
      <c r="O2" s="22" t="s">
        <v>179</v>
      </c>
      <c r="P2" s="75"/>
      <c r="Q2" s="22" t="s">
        <v>180</v>
      </c>
      <c r="R2" s="22" t="s">
        <v>256</v>
      </c>
      <c r="S2" s="22" t="s">
        <v>257</v>
      </c>
      <c r="T2" s="22" t="s">
        <v>182</v>
      </c>
      <c r="U2" s="22" t="s">
        <v>183</v>
      </c>
      <c r="V2" s="22" t="s">
        <v>184</v>
      </c>
      <c r="W2" s="75"/>
      <c r="X2" s="22" t="s">
        <v>185</v>
      </c>
      <c r="Y2" s="22" t="s">
        <v>186</v>
      </c>
      <c r="Z2" s="22" t="s">
        <v>187</v>
      </c>
      <c r="AA2" s="22" t="s">
        <v>188</v>
      </c>
      <c r="AB2" s="22" t="s">
        <v>189</v>
      </c>
      <c r="AC2" s="22" t="s">
        <v>258</v>
      </c>
      <c r="AD2" s="22" t="s">
        <v>259</v>
      </c>
      <c r="AE2" s="22" t="s">
        <v>190</v>
      </c>
      <c r="AF2" s="22" t="s">
        <v>191</v>
      </c>
      <c r="AG2" s="22" t="s">
        <v>192</v>
      </c>
      <c r="AH2" s="22" t="s">
        <v>193</v>
      </c>
      <c r="AI2" s="22" t="s">
        <v>194</v>
      </c>
      <c r="AJ2" s="22" t="s">
        <v>195</v>
      </c>
      <c r="AK2" s="75" t="s">
        <v>32</v>
      </c>
    </row>
    <row r="3" spans="1:51" s="5" customFormat="1" ht="20" x14ac:dyDescent="0.2">
      <c r="B3" s="17"/>
      <c r="C3" s="17"/>
      <c r="D3" s="17"/>
      <c r="E3" s="17"/>
      <c r="F3" s="17"/>
      <c r="G3" s="17"/>
      <c r="H3" s="17"/>
      <c r="I3" s="17"/>
      <c r="J3" s="29"/>
      <c r="K3" s="17"/>
      <c r="L3" s="17" t="s">
        <v>20</v>
      </c>
      <c r="M3" s="17" t="s">
        <v>20</v>
      </c>
      <c r="N3" s="17" t="s">
        <v>21</v>
      </c>
      <c r="O3" s="17"/>
      <c r="P3" s="99"/>
      <c r="Q3" s="17"/>
      <c r="R3" s="17"/>
      <c r="S3" s="17" t="s">
        <v>58</v>
      </c>
      <c r="T3" s="17" t="s">
        <v>20</v>
      </c>
      <c r="U3" s="17" t="s">
        <v>20</v>
      </c>
      <c r="V3" s="17" t="s">
        <v>21</v>
      </c>
      <c r="W3" s="17"/>
      <c r="X3" s="17" t="s">
        <v>196</v>
      </c>
      <c r="Y3" s="17" t="s">
        <v>197</v>
      </c>
      <c r="Z3" s="17" t="s">
        <v>197</v>
      </c>
      <c r="AA3" s="17" t="s">
        <v>197</v>
      </c>
      <c r="AB3" s="17" t="s">
        <v>197</v>
      </c>
      <c r="AC3" s="17" t="s">
        <v>197</v>
      </c>
      <c r="AD3" s="17" t="s">
        <v>260</v>
      </c>
      <c r="AE3" s="17" t="s">
        <v>260</v>
      </c>
      <c r="AF3" s="17" t="s">
        <v>24</v>
      </c>
      <c r="AG3" s="17" t="s">
        <v>198</v>
      </c>
      <c r="AH3" s="17" t="s">
        <v>24</v>
      </c>
      <c r="AI3" s="17" t="s">
        <v>199</v>
      </c>
      <c r="AJ3" s="17" t="s">
        <v>199</v>
      </c>
      <c r="AK3" s="17"/>
    </row>
    <row r="4" spans="1:51" s="100" customFormat="1" ht="19" x14ac:dyDescent="0.2">
      <c r="B4" s="92"/>
      <c r="C4" s="92"/>
      <c r="D4" s="92"/>
      <c r="E4" s="86"/>
      <c r="F4" s="92"/>
      <c r="G4" s="101"/>
      <c r="H4" s="93"/>
      <c r="I4" s="93"/>
      <c r="J4" s="93"/>
      <c r="K4" s="92"/>
      <c r="L4" s="86"/>
      <c r="M4" s="86"/>
      <c r="N4" s="86"/>
      <c r="O4" s="86"/>
      <c r="P4" s="87"/>
      <c r="Q4" s="92"/>
      <c r="R4" s="92"/>
      <c r="S4" s="92"/>
      <c r="T4" s="101"/>
      <c r="U4" s="101"/>
      <c r="V4" s="101"/>
      <c r="W4" s="101"/>
      <c r="X4" s="101"/>
      <c r="Y4" s="101"/>
      <c r="Z4" s="101"/>
      <c r="AA4" s="101"/>
      <c r="AB4" s="101"/>
      <c r="AC4" s="101"/>
      <c r="AD4" s="101"/>
      <c r="AE4" s="101"/>
      <c r="AF4" s="101"/>
      <c r="AG4" s="101"/>
      <c r="AH4" s="101"/>
      <c r="AI4" s="86"/>
      <c r="AJ4" s="86"/>
      <c r="AK4" s="92"/>
    </row>
    <row r="5" spans="1:51" s="100" customFormat="1" ht="21" x14ac:dyDescent="0.2">
      <c r="B5" s="95" t="s">
        <v>268</v>
      </c>
      <c r="C5" s="92"/>
      <c r="D5" s="92"/>
      <c r="E5" s="86"/>
      <c r="F5" s="92"/>
      <c r="G5" s="101"/>
      <c r="H5" s="93"/>
      <c r="I5" s="93"/>
      <c r="J5" s="93"/>
      <c r="K5" s="92"/>
      <c r="L5" s="86"/>
      <c r="M5" s="86"/>
      <c r="N5" s="86"/>
      <c r="O5" s="86"/>
      <c r="P5" s="87"/>
      <c r="Q5" s="92"/>
      <c r="R5" s="92"/>
      <c r="S5" s="92"/>
      <c r="T5" s="101"/>
      <c r="U5" s="101"/>
      <c r="V5" s="101"/>
      <c r="W5" s="101"/>
      <c r="X5" s="101"/>
      <c r="Y5" s="101"/>
      <c r="Z5" s="101"/>
      <c r="AA5" s="101"/>
      <c r="AB5" s="101"/>
      <c r="AC5" s="101"/>
      <c r="AD5" s="101"/>
      <c r="AE5" s="101"/>
      <c r="AF5" s="101"/>
      <c r="AG5" s="101"/>
      <c r="AH5" s="101"/>
      <c r="AI5" s="86"/>
      <c r="AJ5" s="86"/>
      <c r="AK5" s="92"/>
    </row>
    <row r="6" spans="1:51" s="16" customFormat="1" ht="19" x14ac:dyDescent="0.2">
      <c r="B6" s="18"/>
      <c r="C6" s="18"/>
      <c r="D6" s="18"/>
      <c r="E6" s="67"/>
      <c r="F6" s="18"/>
      <c r="G6" s="96"/>
      <c r="H6" s="46"/>
      <c r="I6" s="46"/>
      <c r="J6" s="46"/>
      <c r="K6" s="46"/>
      <c r="L6" s="96"/>
      <c r="M6" s="96"/>
      <c r="N6" s="96"/>
      <c r="O6" s="67"/>
      <c r="P6" s="29"/>
      <c r="Q6" s="18"/>
      <c r="R6" s="18"/>
      <c r="S6" s="18"/>
      <c r="T6" s="96"/>
      <c r="U6" s="96"/>
      <c r="V6" s="96"/>
      <c r="W6" s="96"/>
      <c r="X6" s="96"/>
      <c r="Y6" s="96"/>
      <c r="Z6" s="96"/>
      <c r="AA6" s="96"/>
      <c r="AB6" s="96"/>
      <c r="AC6" s="96"/>
      <c r="AD6" s="96"/>
      <c r="AE6" s="96"/>
      <c r="AF6" s="96"/>
      <c r="AG6" s="96"/>
      <c r="AH6" s="96"/>
      <c r="AI6" s="90"/>
      <c r="AJ6" s="90"/>
      <c r="AK6" s="18"/>
    </row>
    <row r="7" spans="1:51" s="4" customFormat="1" ht="19" x14ac:dyDescent="0.25">
      <c r="B7" s="7"/>
      <c r="C7" s="7"/>
      <c r="D7" s="7"/>
      <c r="E7" s="53"/>
      <c r="H7" s="42"/>
      <c r="I7" s="26"/>
      <c r="J7" s="26"/>
      <c r="K7" s="8"/>
      <c r="L7" s="43"/>
      <c r="M7" s="43"/>
      <c r="P7" s="16"/>
    </row>
    <row r="8" spans="1:51" s="183" customFormat="1" ht="19" x14ac:dyDescent="0.2">
      <c r="A8" s="68" t="s">
        <v>409</v>
      </c>
    </row>
    <row r="9" spans="1:51" s="183" customFormat="1" ht="19" x14ac:dyDescent="0.25">
      <c r="A9" s="4" t="s">
        <v>648</v>
      </c>
    </row>
    <row r="10" spans="1:51" s="183" customFormat="1" ht="19" x14ac:dyDescent="0.25">
      <c r="A10" s="4" t="s">
        <v>415</v>
      </c>
    </row>
    <row r="11" spans="1:51" s="4" customFormat="1" ht="19" x14ac:dyDescent="0.25">
      <c r="A11" s="4" t="s">
        <v>649</v>
      </c>
      <c r="B11" s="14"/>
      <c r="C11" s="14"/>
      <c r="D11" s="14"/>
      <c r="E11" s="14"/>
      <c r="F11" s="14"/>
      <c r="G11" s="40"/>
      <c r="H11" s="40"/>
      <c r="I11" s="14"/>
      <c r="J11" s="14"/>
      <c r="K11" s="14"/>
      <c r="L11" s="14"/>
      <c r="M11" s="14"/>
      <c r="N11" s="14"/>
      <c r="O11" s="14"/>
      <c r="P11" s="14"/>
      <c r="Q11" s="14"/>
      <c r="R11" s="14"/>
      <c r="S11" s="14"/>
      <c r="T11" s="14"/>
      <c r="U11" s="14"/>
      <c r="V11" s="76"/>
      <c r="W11" s="76"/>
      <c r="X11" s="76"/>
      <c r="Y11" s="76"/>
      <c r="Z11" s="76"/>
      <c r="AA11" s="76"/>
      <c r="AB11" s="76"/>
      <c r="AC11" s="76"/>
      <c r="AD11" s="183"/>
      <c r="AE11" s="183"/>
      <c r="AF11" s="183"/>
      <c r="AG11" s="183"/>
      <c r="AH11" s="183"/>
      <c r="AI11" s="183"/>
      <c r="AJ11" s="183"/>
      <c r="AK11" s="183"/>
      <c r="AL11" s="76"/>
      <c r="AM11" s="14"/>
      <c r="AN11" s="14"/>
      <c r="AO11" s="14"/>
      <c r="AP11" s="14"/>
      <c r="AQ11" s="14"/>
      <c r="AR11" s="14"/>
      <c r="AS11" s="14"/>
      <c r="AT11" s="14"/>
      <c r="AU11" s="14"/>
      <c r="AV11" s="14"/>
      <c r="AW11" s="14"/>
      <c r="AX11" s="14"/>
      <c r="AY11" s="14"/>
    </row>
    <row r="12" spans="1:51" s="4" customFormat="1" ht="19" x14ac:dyDescent="0.25">
      <c r="A12" s="4" t="s">
        <v>416</v>
      </c>
      <c r="B12" s="183"/>
      <c r="C12" s="183"/>
      <c r="I12" s="26"/>
      <c r="J12" s="6"/>
      <c r="K12" s="14"/>
      <c r="P12" s="183"/>
      <c r="Q12" s="183"/>
      <c r="R12" s="6"/>
      <c r="S12" s="183"/>
      <c r="T12" s="6"/>
      <c r="U12" s="183"/>
      <c r="V12" s="183"/>
      <c r="W12" s="183"/>
      <c r="X12" s="183"/>
      <c r="Y12" s="183"/>
      <c r="Z12" s="183"/>
    </row>
    <row r="13" spans="1:51" s="4" customFormat="1" ht="19" x14ac:dyDescent="0.25">
      <c r="A13" s="4" t="s">
        <v>417</v>
      </c>
      <c r="B13" s="183"/>
      <c r="C13" s="183"/>
      <c r="I13" s="26"/>
      <c r="J13" s="6"/>
      <c r="O13" s="183"/>
      <c r="P13" s="183"/>
      <c r="Q13" s="183"/>
      <c r="R13" s="14"/>
      <c r="S13" s="183"/>
      <c r="T13" s="14"/>
      <c r="U13" s="183"/>
      <c r="V13" s="183"/>
      <c r="W13" s="183"/>
      <c r="X13" s="183"/>
      <c r="AD13" s="183"/>
      <c r="AE13" s="183"/>
      <c r="AF13" s="183"/>
      <c r="AG13" s="183"/>
      <c r="AH13" s="183"/>
      <c r="AI13" s="183"/>
      <c r="AJ13" s="183"/>
      <c r="AK13" s="183"/>
    </row>
    <row r="14" spans="1:51" s="4" customFormat="1" ht="19" x14ac:dyDescent="0.25">
      <c r="A14" s="4" t="s">
        <v>418</v>
      </c>
      <c r="B14" s="183"/>
      <c r="G14" s="26"/>
      <c r="H14" s="14"/>
      <c r="M14" s="183"/>
      <c r="N14" s="183"/>
      <c r="O14" s="183"/>
      <c r="P14" s="183"/>
      <c r="Q14" s="183"/>
      <c r="U14" s="183"/>
      <c r="V14" s="183"/>
    </row>
    <row r="15" spans="1:51" s="4" customFormat="1" ht="19" x14ac:dyDescent="0.25">
      <c r="A15" s="4" t="s">
        <v>419</v>
      </c>
      <c r="B15" s="183"/>
      <c r="C15" s="183"/>
      <c r="I15" s="26"/>
      <c r="J15" s="6"/>
      <c r="K15" s="14"/>
      <c r="P15" s="183"/>
      <c r="Q15" s="183"/>
      <c r="R15" s="6"/>
      <c r="S15" s="183"/>
      <c r="T15" s="6"/>
      <c r="U15" s="183"/>
      <c r="V15" s="183"/>
      <c r="W15" s="183"/>
      <c r="X15" s="183"/>
      <c r="Y15" s="183"/>
      <c r="AG15" s="183"/>
    </row>
    <row r="16" spans="1:51" s="4" customFormat="1" ht="19" x14ac:dyDescent="0.25">
      <c r="A16" s="4" t="s">
        <v>420</v>
      </c>
      <c r="B16" s="183"/>
      <c r="G16" s="26"/>
      <c r="H16" s="14"/>
      <c r="M16" s="183"/>
      <c r="N16" s="183"/>
      <c r="O16" s="183"/>
      <c r="P16" s="183"/>
      <c r="Q16" s="183"/>
      <c r="U16" s="183"/>
      <c r="V16" s="183"/>
    </row>
    <row r="17" spans="1:65" s="4" customFormat="1" ht="19" x14ac:dyDescent="0.25">
      <c r="A17" s="4" t="s">
        <v>421</v>
      </c>
      <c r="B17" s="183"/>
      <c r="G17" s="26"/>
      <c r="H17" s="14"/>
      <c r="M17" s="183"/>
      <c r="N17" s="183"/>
      <c r="O17" s="183"/>
      <c r="P17" s="183"/>
      <c r="Q17" s="183"/>
      <c r="U17" s="183"/>
      <c r="V17" s="183"/>
    </row>
    <row r="18" spans="1:65" s="4" customFormat="1" ht="19" x14ac:dyDescent="0.25">
      <c r="A18" s="4" t="s">
        <v>412</v>
      </c>
      <c r="K18" s="6"/>
      <c r="L18" s="14"/>
      <c r="N18" s="183"/>
      <c r="R18" s="26"/>
      <c r="S18" s="183"/>
      <c r="T18" s="26"/>
      <c r="U18" s="183"/>
      <c r="V18" s="183"/>
      <c r="W18" s="183"/>
      <c r="X18" s="183"/>
      <c r="AD18" s="108"/>
      <c r="AE18" s="183"/>
      <c r="AF18" s="183"/>
      <c r="AG18" s="183"/>
      <c r="AH18" s="183"/>
      <c r="AI18" s="183"/>
      <c r="AJ18" s="183"/>
      <c r="AK18" s="28"/>
      <c r="AL18" s="183"/>
      <c r="AM18" s="183"/>
      <c r="AS18" s="108"/>
      <c r="AT18" s="183"/>
      <c r="AU18" s="183"/>
      <c r="AV18" s="183"/>
      <c r="AW18" s="183"/>
      <c r="AX18" s="28"/>
      <c r="AY18" s="183"/>
      <c r="AZ18" s="183"/>
      <c r="BF18" s="108"/>
      <c r="BG18" s="183"/>
      <c r="BH18" s="183"/>
      <c r="BI18" s="183"/>
      <c r="BJ18" s="183"/>
      <c r="BK18" s="28"/>
      <c r="BL18" s="183"/>
      <c r="BM18" s="183"/>
    </row>
    <row r="19" spans="1:65" s="4" customFormat="1" ht="19" x14ac:dyDescent="0.25">
      <c r="E19" s="53"/>
      <c r="H19" s="6"/>
      <c r="I19" s="26"/>
      <c r="J19" s="26"/>
      <c r="K19" s="6"/>
      <c r="P19" s="16"/>
    </row>
  </sheetData>
  <autoFilter ref="B3:AK3" xr:uid="{3DA92697-706D-7343-A89D-B511A14B569E}">
    <sortState xmlns:xlrd2="http://schemas.microsoft.com/office/spreadsheetml/2017/richdata2" ref="B4:AK6">
      <sortCondition ref="B3:B6"/>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E407-C90C-5C45-9AF4-DB82819EB0C1}">
  <sheetPr codeName="Sheet6"/>
  <dimension ref="A1:BN19"/>
  <sheetViews>
    <sheetView workbookViewId="0">
      <pane xSplit="2" ySplit="3" topLeftCell="S4" activePane="bottomRight" state="frozen"/>
      <selection activeCell="B7" sqref="B7"/>
      <selection pane="topRight" activeCell="B7" sqref="B7"/>
      <selection pane="bottomLeft" activeCell="B7" sqref="B7"/>
      <selection pane="bottomRight" activeCell="B7" sqref="B7"/>
    </sheetView>
  </sheetViews>
  <sheetFormatPr baseColWidth="10" defaultRowHeight="16" x14ac:dyDescent="0.2"/>
  <cols>
    <col min="1" max="1" width="4.83203125" style="53" customWidth="1"/>
    <col min="2" max="2" width="52" style="53" customWidth="1"/>
    <col min="3" max="3" width="26" style="53" customWidth="1"/>
    <col min="4" max="4" width="32.33203125" style="53" customWidth="1"/>
    <col min="5" max="9" width="25.1640625" style="53" customWidth="1"/>
    <col min="10" max="10" width="22.33203125" style="53" bestFit="1" customWidth="1"/>
    <col min="11" max="11" width="22.33203125" style="183" customWidth="1"/>
    <col min="12" max="12" width="13.6640625" style="53" customWidth="1"/>
    <col min="13" max="13" width="4.83203125" style="53" customWidth="1"/>
    <col min="14" max="14" width="25" style="53" customWidth="1"/>
    <col min="15" max="15" width="25" style="183" customWidth="1"/>
    <col min="16" max="16" width="12.5" style="53" bestFit="1" customWidth="1"/>
    <col min="17" max="17" width="12.83203125" style="53" customWidth="1"/>
    <col min="18" max="18" width="19" style="53" customWidth="1"/>
    <col min="19" max="19" width="19" style="183" customWidth="1"/>
    <col min="20" max="20" width="19" style="53" customWidth="1"/>
    <col min="21" max="21" width="4.83203125" style="53" customWidth="1"/>
    <col min="22" max="30" width="21.1640625" style="53" customWidth="1"/>
    <col min="31" max="33" width="16.6640625" style="53" customWidth="1"/>
    <col min="34" max="34" width="22.6640625" style="53" customWidth="1"/>
    <col min="35" max="35" width="18.83203125" style="53" customWidth="1"/>
    <col min="36" max="36" width="19" style="53" customWidth="1"/>
    <col min="37" max="37" width="19.33203125" style="53" customWidth="1"/>
    <col min="38" max="38" width="17" style="53" customWidth="1"/>
    <col min="39" max="39" width="49" style="53" customWidth="1"/>
    <col min="40" max="40" width="15.1640625" style="53" customWidth="1"/>
    <col min="41" max="42" width="7.5" style="53" bestFit="1" customWidth="1"/>
    <col min="43" max="43" width="43.1640625" style="53" customWidth="1"/>
    <col min="44" max="16384" width="10.83203125" style="53"/>
  </cols>
  <sheetData>
    <row r="1" spans="1:52" s="4" customFormat="1" ht="21" x14ac:dyDescent="0.25">
      <c r="A1" s="15" t="s">
        <v>129</v>
      </c>
      <c r="B1" s="95" t="s">
        <v>200</v>
      </c>
      <c r="C1" s="95"/>
      <c r="M1" s="26"/>
      <c r="N1" s="68" t="s">
        <v>29</v>
      </c>
      <c r="O1" s="68"/>
      <c r="P1" s="27"/>
      <c r="Q1" s="27"/>
      <c r="V1" s="68" t="s">
        <v>175</v>
      </c>
      <c r="X1" s="98">
        <v>1.77E-2</v>
      </c>
      <c r="Y1" s="96">
        <v>1.06</v>
      </c>
      <c r="Z1" s="96"/>
      <c r="AA1" s="98"/>
      <c r="AB1" s="98">
        <v>7.0000000000000007E-2</v>
      </c>
      <c r="AC1" s="4">
        <v>70</v>
      </c>
    </row>
    <row r="2" spans="1:52" s="9" customFormat="1" ht="40" x14ac:dyDescent="0.2">
      <c r="B2" s="22" t="s">
        <v>19</v>
      </c>
      <c r="C2" s="22" t="s">
        <v>262</v>
      </c>
      <c r="D2" s="22" t="s">
        <v>14</v>
      </c>
      <c r="E2" s="22" t="s">
        <v>22</v>
      </c>
      <c r="F2" s="22" t="s">
        <v>15</v>
      </c>
      <c r="G2" s="22" t="s">
        <v>16</v>
      </c>
      <c r="H2" s="22" t="s">
        <v>595</v>
      </c>
      <c r="I2" s="22" t="s">
        <v>257</v>
      </c>
      <c r="J2" s="22" t="s">
        <v>597</v>
      </c>
      <c r="K2" s="22" t="s">
        <v>598</v>
      </c>
      <c r="L2" s="22" t="s">
        <v>201</v>
      </c>
      <c r="M2" s="17"/>
      <c r="N2" s="22" t="s">
        <v>424</v>
      </c>
      <c r="O2" s="22" t="s">
        <v>599</v>
      </c>
      <c r="P2" s="22" t="s">
        <v>17</v>
      </c>
      <c r="Q2" s="22" t="s">
        <v>563</v>
      </c>
      <c r="R2" s="22" t="s">
        <v>202</v>
      </c>
      <c r="S2" s="22" t="s">
        <v>305</v>
      </c>
      <c r="T2" s="22" t="s">
        <v>261</v>
      </c>
      <c r="U2" s="17"/>
      <c r="V2" s="22" t="s">
        <v>185</v>
      </c>
      <c r="W2" s="22" t="s">
        <v>185</v>
      </c>
      <c r="X2" s="22" t="s">
        <v>186</v>
      </c>
      <c r="Y2" s="22" t="s">
        <v>187</v>
      </c>
      <c r="Z2" s="22" t="s">
        <v>269</v>
      </c>
      <c r="AA2" s="22" t="s">
        <v>189</v>
      </c>
      <c r="AB2" s="22" t="s">
        <v>258</v>
      </c>
      <c r="AC2" s="22" t="s">
        <v>259</v>
      </c>
      <c r="AD2" s="22" t="s">
        <v>270</v>
      </c>
      <c r="AE2" s="22" t="s">
        <v>190</v>
      </c>
      <c r="AF2" s="22" t="s">
        <v>271</v>
      </c>
      <c r="AG2" s="22" t="s">
        <v>272</v>
      </c>
      <c r="AH2" s="22" t="s">
        <v>191</v>
      </c>
      <c r="AI2" s="22" t="s">
        <v>192</v>
      </c>
      <c r="AJ2" s="22" t="s">
        <v>193</v>
      </c>
      <c r="AK2" s="22" t="s">
        <v>194</v>
      </c>
      <c r="AL2" s="22" t="s">
        <v>195</v>
      </c>
      <c r="AM2" s="22" t="s">
        <v>32</v>
      </c>
    </row>
    <row r="3" spans="1:52" s="5" customFormat="1" ht="20" x14ac:dyDescent="0.2">
      <c r="B3" s="17"/>
      <c r="C3" s="17"/>
      <c r="D3" s="17"/>
      <c r="E3" s="17"/>
      <c r="F3" s="17"/>
      <c r="G3" s="17"/>
      <c r="H3" s="17"/>
      <c r="I3" s="17" t="s">
        <v>58</v>
      </c>
      <c r="J3" s="17"/>
      <c r="K3" s="17"/>
      <c r="L3" s="17" t="s">
        <v>56</v>
      </c>
      <c r="M3" s="29"/>
      <c r="N3" s="17"/>
      <c r="O3" s="17"/>
      <c r="P3" s="17" t="s">
        <v>20</v>
      </c>
      <c r="Q3" s="17" t="s">
        <v>20</v>
      </c>
      <c r="R3" s="17" t="s">
        <v>21</v>
      </c>
      <c r="S3" s="17" t="s">
        <v>26</v>
      </c>
      <c r="T3" s="17"/>
      <c r="U3" s="17"/>
      <c r="V3" s="17" t="s">
        <v>213</v>
      </c>
      <c r="W3" s="17" t="s">
        <v>196</v>
      </c>
      <c r="X3" s="17" t="s">
        <v>196</v>
      </c>
      <c r="Y3" s="17" t="s">
        <v>196</v>
      </c>
      <c r="Z3" s="17" t="s">
        <v>196</v>
      </c>
      <c r="AA3" s="17" t="s">
        <v>196</v>
      </c>
      <c r="AB3" s="17" t="s">
        <v>196</v>
      </c>
      <c r="AC3" s="17" t="s">
        <v>260</v>
      </c>
      <c r="AD3" s="17" t="s">
        <v>198</v>
      </c>
      <c r="AE3" s="17" t="s">
        <v>425</v>
      </c>
      <c r="AF3" s="17" t="s">
        <v>24</v>
      </c>
      <c r="AG3" s="17" t="s">
        <v>24</v>
      </c>
      <c r="AH3" s="17" t="s">
        <v>24</v>
      </c>
      <c r="AI3" s="17" t="s">
        <v>198</v>
      </c>
      <c r="AJ3" s="17" t="s">
        <v>24</v>
      </c>
      <c r="AK3" s="17" t="s">
        <v>199</v>
      </c>
      <c r="AL3" s="17" t="s">
        <v>199</v>
      </c>
      <c r="AM3" s="17"/>
    </row>
    <row r="4" spans="1:52" s="5" customFormat="1" ht="20" x14ac:dyDescent="0.2">
      <c r="B4" s="18" t="s">
        <v>203</v>
      </c>
      <c r="C4" s="18" t="s">
        <v>427</v>
      </c>
      <c r="D4" s="18" t="s">
        <v>204</v>
      </c>
      <c r="E4" s="18" t="s">
        <v>205</v>
      </c>
      <c r="F4" s="207">
        <v>59.127897136701399</v>
      </c>
      <c r="G4" s="207">
        <v>-105.52975059111699</v>
      </c>
      <c r="H4" s="46" t="s">
        <v>423</v>
      </c>
      <c r="I4" s="109">
        <v>25</v>
      </c>
      <c r="J4" s="46"/>
      <c r="K4" s="46"/>
      <c r="L4" s="46"/>
      <c r="M4" s="29"/>
      <c r="N4" s="106" t="s">
        <v>307</v>
      </c>
      <c r="O4" s="93" t="s">
        <v>307</v>
      </c>
      <c r="P4" s="97">
        <v>50</v>
      </c>
      <c r="Q4" s="97">
        <v>50</v>
      </c>
      <c r="R4" s="97">
        <v>400</v>
      </c>
      <c r="S4" s="131">
        <f t="shared" ref="S4" si="0">R4*1000/(Q4*24*365)</f>
        <v>0.91324200913242004</v>
      </c>
      <c r="T4" s="110">
        <v>2</v>
      </c>
      <c r="U4" s="96"/>
      <c r="V4" s="97">
        <v>500</v>
      </c>
      <c r="W4" s="96">
        <f>(133.4/125.2)*V4</f>
        <v>532.74760383386592</v>
      </c>
      <c r="X4" s="96">
        <f>X$1*W4</f>
        <v>9.4296325878594267</v>
      </c>
      <c r="Y4" s="96">
        <f>((W4+X4)/AK4)*(Y$1+Y$1^2+Y$1^3+Y$1^4)-(W4+X4)</f>
        <v>86.354325099134257</v>
      </c>
      <c r="Z4" s="96">
        <f t="shared" ref="Z4" si="1">SUM(W4:Y4)</f>
        <v>628.53156152085955</v>
      </c>
      <c r="AA4" s="96">
        <f>0.9539*Z4^0.6784</f>
        <v>75.489743027787867</v>
      </c>
      <c r="AB4" s="96">
        <f t="shared" ref="AB4" si="2">SUM(Z4:AA4)</f>
        <v>704.02130454864744</v>
      </c>
      <c r="AC4" s="96">
        <f>(AB4*AB$1)/(1-(1+AB$1)^-AC$1)</f>
        <v>49.717651654874835</v>
      </c>
      <c r="AD4" s="96">
        <f>AC4*1000/P4</f>
        <v>994.35303309749668</v>
      </c>
      <c r="AE4" s="96">
        <f>466484*P4^-0.542</f>
        <v>55975.11700515612</v>
      </c>
      <c r="AF4" s="96">
        <f>14.07*(Q4^-0.383)</f>
        <v>3.1447678128908092</v>
      </c>
      <c r="AG4" s="127">
        <v>5.7</v>
      </c>
      <c r="AH4" s="96">
        <f>SUM(AF4:AG4)</f>
        <v>8.8447678128908098</v>
      </c>
      <c r="AI4" s="96"/>
      <c r="AJ4" s="96"/>
      <c r="AK4" s="106">
        <v>4</v>
      </c>
      <c r="AL4" s="106">
        <v>6</v>
      </c>
      <c r="AM4" s="18" t="s">
        <v>212</v>
      </c>
    </row>
    <row r="5" spans="1:52" s="5" customFormat="1" ht="19" x14ac:dyDescent="0.2">
      <c r="B5" s="18"/>
      <c r="C5" s="18"/>
      <c r="D5" s="18"/>
      <c r="E5" s="18"/>
      <c r="F5" s="18"/>
      <c r="G5" s="18"/>
      <c r="H5" s="18"/>
      <c r="I5" s="18"/>
      <c r="J5" s="46"/>
      <c r="K5" s="46"/>
      <c r="L5" s="46"/>
      <c r="M5" s="29"/>
      <c r="N5" s="18"/>
      <c r="O5" s="18"/>
      <c r="P5" s="101"/>
      <c r="Q5" s="101"/>
      <c r="R5" s="101"/>
      <c r="S5" s="101"/>
      <c r="T5" s="101"/>
      <c r="U5" s="96"/>
      <c r="V5" s="96"/>
      <c r="W5" s="96"/>
      <c r="X5" s="96"/>
      <c r="Y5" s="96"/>
      <c r="Z5" s="96"/>
      <c r="AA5" s="96"/>
      <c r="AB5" s="96"/>
      <c r="AC5" s="96"/>
      <c r="AD5" s="96"/>
      <c r="AE5" s="96"/>
      <c r="AF5" s="96"/>
      <c r="AG5" s="96"/>
      <c r="AH5" s="96"/>
      <c r="AI5" s="96"/>
      <c r="AJ5" s="96"/>
      <c r="AK5" s="46"/>
      <c r="AL5" s="46"/>
      <c r="AM5" s="18"/>
    </row>
    <row r="6" spans="1:52" s="5" customFormat="1" ht="19" x14ac:dyDescent="0.2">
      <c r="B6" s="18"/>
      <c r="C6" s="18"/>
      <c r="D6" s="18"/>
      <c r="E6" s="18"/>
      <c r="F6" s="18"/>
      <c r="G6" s="18"/>
      <c r="H6" s="18"/>
      <c r="I6" s="18"/>
      <c r="J6" s="46"/>
      <c r="K6" s="46"/>
      <c r="L6" s="46"/>
      <c r="M6" s="29"/>
      <c r="N6" s="18"/>
      <c r="O6" s="18"/>
      <c r="P6" s="96"/>
      <c r="Q6" s="96"/>
      <c r="R6" s="96"/>
      <c r="S6" s="96"/>
      <c r="T6" s="96"/>
      <c r="U6" s="96"/>
      <c r="V6" s="96"/>
      <c r="W6" s="96"/>
      <c r="X6" s="96"/>
      <c r="Y6" s="96"/>
      <c r="Z6" s="96"/>
      <c r="AA6" s="96"/>
      <c r="AB6" s="96"/>
      <c r="AC6" s="96"/>
      <c r="AD6" s="96"/>
      <c r="AE6" s="96"/>
      <c r="AF6" s="96"/>
      <c r="AG6" s="96"/>
      <c r="AH6" s="96"/>
      <c r="AI6" s="96"/>
      <c r="AJ6" s="96"/>
      <c r="AK6" s="46"/>
      <c r="AL6" s="46"/>
      <c r="AM6" s="18"/>
    </row>
    <row r="7" spans="1:52" ht="19" x14ac:dyDescent="0.25">
      <c r="A7" s="47"/>
      <c r="V7" s="4"/>
      <c r="W7" s="4"/>
      <c r="X7" s="4"/>
      <c r="Y7" s="4"/>
      <c r="Z7" s="4"/>
      <c r="AA7" s="4"/>
      <c r="AB7" s="4"/>
      <c r="AC7" s="4"/>
      <c r="AD7" s="4"/>
    </row>
    <row r="8" spans="1:52" s="183" customFormat="1" ht="19" x14ac:dyDescent="0.2">
      <c r="A8" s="68" t="s">
        <v>409</v>
      </c>
    </row>
    <row r="9" spans="1:52" s="183" customFormat="1" ht="19" x14ac:dyDescent="0.25">
      <c r="A9" s="4" t="s">
        <v>648</v>
      </c>
    </row>
    <row r="10" spans="1:52" s="183" customFormat="1" ht="19" x14ac:dyDescent="0.25">
      <c r="A10" s="4" t="s">
        <v>415</v>
      </c>
    </row>
    <row r="11" spans="1:52" s="4" customFormat="1" ht="19" x14ac:dyDescent="0.25">
      <c r="A11" s="4" t="s">
        <v>649</v>
      </c>
      <c r="B11" s="14"/>
      <c r="C11" s="14"/>
      <c r="D11" s="14"/>
      <c r="E11" s="14"/>
      <c r="F11" s="14"/>
      <c r="G11" s="40"/>
      <c r="H11" s="40"/>
      <c r="I11" s="14"/>
      <c r="J11" s="14"/>
      <c r="K11" s="14"/>
      <c r="L11" s="14"/>
      <c r="M11" s="14"/>
      <c r="N11" s="14"/>
      <c r="O11" s="14"/>
      <c r="P11" s="14"/>
      <c r="Q11" s="14"/>
      <c r="R11" s="14"/>
      <c r="S11" s="14"/>
      <c r="T11" s="14"/>
      <c r="U11" s="14"/>
      <c r="V11" s="14"/>
      <c r="W11" s="76"/>
      <c r="X11" s="76"/>
      <c r="Y11" s="76"/>
      <c r="Z11" s="76"/>
      <c r="AA11" s="76"/>
      <c r="AB11" s="76"/>
      <c r="AC11" s="76"/>
      <c r="AD11" s="76"/>
      <c r="AE11" s="183"/>
      <c r="AF11" s="183"/>
      <c r="AG11" s="183"/>
      <c r="AH11" s="183"/>
      <c r="AI11" s="183"/>
      <c r="AJ11" s="183"/>
      <c r="AK11" s="183"/>
      <c r="AL11" s="183"/>
      <c r="AM11" s="76"/>
      <c r="AN11" s="14"/>
      <c r="AO11" s="14"/>
      <c r="AP11" s="14"/>
      <c r="AQ11" s="14"/>
      <c r="AR11" s="14"/>
      <c r="AS11" s="14"/>
      <c r="AT11" s="14"/>
      <c r="AU11" s="14"/>
      <c r="AV11" s="14"/>
      <c r="AW11" s="14"/>
      <c r="AX11" s="14"/>
      <c r="AY11" s="14"/>
      <c r="AZ11" s="14"/>
    </row>
    <row r="12" spans="1:52" s="4" customFormat="1" ht="19" x14ac:dyDescent="0.25">
      <c r="A12" s="4" t="s">
        <v>416</v>
      </c>
      <c r="B12" s="183"/>
      <c r="C12" s="183"/>
      <c r="I12" s="26"/>
      <c r="J12" s="6"/>
      <c r="K12" s="6"/>
      <c r="L12" s="14"/>
      <c r="Q12" s="183"/>
      <c r="R12" s="183"/>
      <c r="S12" s="6"/>
      <c r="T12" s="183"/>
      <c r="U12" s="6"/>
      <c r="V12" s="183"/>
      <c r="W12" s="183"/>
      <c r="X12" s="183"/>
      <c r="Y12" s="183"/>
      <c r="Z12" s="183"/>
      <c r="AA12" s="183"/>
    </row>
    <row r="13" spans="1:52" s="4" customFormat="1" ht="19" x14ac:dyDescent="0.25">
      <c r="A13" s="4" t="s">
        <v>417</v>
      </c>
      <c r="B13" s="183"/>
      <c r="C13" s="183"/>
      <c r="I13" s="26"/>
      <c r="J13" s="6"/>
      <c r="K13" s="6"/>
      <c r="P13" s="183"/>
      <c r="Q13" s="183"/>
      <c r="R13" s="183"/>
      <c r="S13" s="14"/>
      <c r="T13" s="183"/>
      <c r="U13" s="14"/>
      <c r="V13" s="183"/>
      <c r="W13" s="183"/>
      <c r="X13" s="183"/>
      <c r="Y13" s="183"/>
      <c r="AE13" s="183"/>
      <c r="AF13" s="183"/>
      <c r="AG13" s="183"/>
      <c r="AH13" s="183"/>
      <c r="AI13" s="183"/>
      <c r="AJ13" s="183"/>
      <c r="AK13" s="183"/>
      <c r="AL13" s="183"/>
    </row>
    <row r="14" spans="1:52" s="4" customFormat="1" ht="19" x14ac:dyDescent="0.25">
      <c r="A14" s="4" t="s">
        <v>418</v>
      </c>
      <c r="B14" s="183"/>
      <c r="G14" s="26"/>
      <c r="H14" s="14"/>
      <c r="N14" s="183"/>
      <c r="O14" s="183"/>
      <c r="P14" s="183"/>
      <c r="Q14" s="183"/>
      <c r="R14" s="183"/>
      <c r="V14" s="183"/>
      <c r="W14" s="183"/>
    </row>
    <row r="15" spans="1:52" s="4" customFormat="1" ht="19" x14ac:dyDescent="0.25">
      <c r="A15" s="4" t="s">
        <v>419</v>
      </c>
      <c r="B15" s="183"/>
      <c r="C15" s="183"/>
      <c r="I15" s="26"/>
      <c r="J15" s="6"/>
      <c r="K15" s="6"/>
      <c r="L15" s="14"/>
      <c r="Q15" s="183"/>
      <c r="R15" s="183"/>
      <c r="S15" s="6"/>
      <c r="T15" s="183"/>
      <c r="U15" s="6"/>
      <c r="V15" s="183"/>
      <c r="W15" s="183"/>
      <c r="X15" s="183"/>
      <c r="Y15" s="183"/>
      <c r="Z15" s="183"/>
      <c r="AH15" s="183"/>
    </row>
    <row r="16" spans="1:52" s="4" customFormat="1" ht="19" x14ac:dyDescent="0.25">
      <c r="A16" s="4" t="s">
        <v>420</v>
      </c>
      <c r="B16" s="183"/>
      <c r="G16" s="26"/>
      <c r="H16" s="14"/>
      <c r="N16" s="183"/>
      <c r="O16" s="183"/>
      <c r="P16" s="183"/>
      <c r="Q16" s="183"/>
      <c r="R16" s="183"/>
      <c r="V16" s="183"/>
      <c r="W16" s="183"/>
    </row>
    <row r="17" spans="1:66" s="4" customFormat="1" ht="19" x14ac:dyDescent="0.25">
      <c r="A17" s="4" t="s">
        <v>421</v>
      </c>
      <c r="B17" s="183"/>
      <c r="G17" s="26"/>
      <c r="H17" s="14"/>
      <c r="N17" s="183"/>
      <c r="O17" s="183"/>
      <c r="P17" s="183"/>
      <c r="Q17" s="183"/>
      <c r="R17" s="183"/>
      <c r="V17" s="183"/>
      <c r="W17" s="183"/>
    </row>
    <row r="18" spans="1:66" s="4" customFormat="1" ht="19" x14ac:dyDescent="0.25">
      <c r="A18" s="4" t="s">
        <v>412</v>
      </c>
      <c r="L18" s="6"/>
      <c r="M18" s="14"/>
      <c r="O18" s="183"/>
      <c r="S18" s="26"/>
      <c r="T18" s="183"/>
      <c r="U18" s="26"/>
      <c r="V18" s="183"/>
      <c r="W18" s="183"/>
      <c r="X18" s="183"/>
      <c r="Y18" s="183"/>
      <c r="AE18" s="108"/>
      <c r="AF18" s="183"/>
      <c r="AG18" s="183"/>
      <c r="AH18" s="183"/>
      <c r="AI18" s="183"/>
      <c r="AJ18" s="183"/>
      <c r="AK18" s="183"/>
      <c r="AL18" s="28"/>
      <c r="AM18" s="183"/>
      <c r="AN18" s="183"/>
      <c r="AT18" s="108"/>
      <c r="AU18" s="183"/>
      <c r="AV18" s="183"/>
      <c r="AW18" s="183"/>
      <c r="AX18" s="183"/>
      <c r="AY18" s="28"/>
      <c r="AZ18" s="183"/>
      <c r="BA18" s="183"/>
      <c r="BG18" s="108"/>
      <c r="BH18" s="183"/>
      <c r="BI18" s="183"/>
      <c r="BJ18" s="183"/>
      <c r="BK18" s="183"/>
      <c r="BL18" s="28"/>
      <c r="BM18" s="183"/>
      <c r="BN18" s="183"/>
    </row>
    <row r="19" spans="1:66" s="4" customFormat="1" ht="19" x14ac:dyDescent="0.25">
      <c r="M19" s="26"/>
      <c r="N19" s="6"/>
      <c r="O19" s="6"/>
      <c r="P19" s="14"/>
      <c r="V19" s="53"/>
      <c r="W19" s="53"/>
      <c r="X19" s="53"/>
      <c r="Y19" s="53"/>
      <c r="Z19" s="53"/>
      <c r="AA19" s="53"/>
      <c r="AB19" s="53"/>
      <c r="AC19" s="53"/>
      <c r="AD19" s="53"/>
    </row>
  </sheetData>
  <autoFilter ref="B3:AM3" xr:uid="{7B98F35A-5089-804D-96F4-CB2B682097CF}"/>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B58B9-A483-1444-92C9-5463526FD13B}">
  <sheetPr codeName="Sheet7"/>
  <dimension ref="A1:BM22"/>
  <sheetViews>
    <sheetView workbookViewId="0">
      <pane xSplit="2" ySplit="3" topLeftCell="C4" activePane="bottomRight" state="frozen"/>
      <selection activeCell="B7" sqref="B7"/>
      <selection pane="topRight" activeCell="B7" sqref="B7"/>
      <selection pane="bottomLeft" activeCell="B7" sqref="B7"/>
      <selection pane="bottomRight" activeCell="B7" sqref="B7"/>
    </sheetView>
  </sheetViews>
  <sheetFormatPr baseColWidth="10" defaultRowHeight="16" x14ac:dyDescent="0.2"/>
  <cols>
    <col min="1" max="1" width="4.83203125" style="53" customWidth="1"/>
    <col min="2" max="3" width="43.33203125" style="183" customWidth="1"/>
    <col min="4" max="4" width="28.83203125" style="183" customWidth="1"/>
    <col min="5" max="5" width="12.83203125" style="183" customWidth="1"/>
    <col min="6" max="7" width="14.83203125" style="183" customWidth="1"/>
    <col min="8" max="8" width="23" style="183" customWidth="1"/>
    <col min="9" max="10" width="19.5" style="183" customWidth="1"/>
    <col min="11" max="11" width="13.6640625" style="183" customWidth="1"/>
    <col min="12" max="12" width="14.83203125" style="183" customWidth="1"/>
    <col min="13" max="13" width="16.1640625" style="183" customWidth="1"/>
    <col min="14" max="14" width="22.33203125" style="183" customWidth="1"/>
    <col min="15" max="17" width="14.83203125" style="183" customWidth="1"/>
    <col min="18" max="18" width="4.83203125" style="183" customWidth="1"/>
    <col min="19" max="19" width="52" style="183" customWidth="1"/>
    <col min="20" max="20" width="25" style="183" customWidth="1"/>
    <col min="21" max="21" width="12.5" style="183" bestFit="1" customWidth="1"/>
    <col min="22" max="22" width="12.5" style="183" customWidth="1"/>
    <col min="23" max="24" width="12.83203125" style="183" customWidth="1"/>
    <col min="25" max="25" width="18.83203125" style="183" customWidth="1"/>
    <col min="26" max="26" width="15" style="183" customWidth="1"/>
    <col min="27" max="27" width="12.6640625" style="183" bestFit="1" customWidth="1"/>
    <col min="28" max="28" width="4.83203125" style="183" customWidth="1"/>
    <col min="29" max="29" width="10.83203125" style="183"/>
    <col min="30" max="30" width="21.1640625" style="183" customWidth="1"/>
    <col min="31" max="31" width="17.83203125" style="183" customWidth="1"/>
    <col min="32" max="32" width="15.5" style="183" customWidth="1"/>
    <col min="33" max="33" width="11.1640625" style="183" bestFit="1" customWidth="1"/>
    <col min="34" max="34" width="11.1640625" style="183" customWidth="1"/>
    <col min="35" max="35" width="11.1640625" style="183" bestFit="1" customWidth="1"/>
    <col min="36" max="36" width="15" style="183" customWidth="1"/>
    <col min="37" max="37" width="14.6640625" style="183" customWidth="1"/>
    <col min="38" max="39" width="15.33203125" style="183" customWidth="1"/>
    <col min="40" max="41" width="15" style="183" customWidth="1"/>
    <col min="42" max="42" width="11.1640625" style="183" bestFit="1" customWidth="1"/>
    <col min="43" max="43" width="4.83203125" style="183" customWidth="1"/>
    <col min="44" max="44" width="19.33203125" style="183" customWidth="1"/>
    <col min="45" max="49" width="21.1640625" style="183" customWidth="1"/>
    <col min="50" max="51" width="18" style="183" customWidth="1"/>
    <col min="52" max="55" width="20.1640625" style="183" customWidth="1"/>
    <col min="56" max="58" width="19.33203125" style="183" customWidth="1"/>
    <col min="59" max="60" width="15.6640625" style="183" customWidth="1"/>
    <col min="61" max="61" width="40.33203125" style="183" customWidth="1"/>
    <col min="62" max="16384" width="10.83203125" style="53"/>
  </cols>
  <sheetData>
    <row r="1" spans="1:65" ht="21" x14ac:dyDescent="0.25">
      <c r="A1" s="15" t="s">
        <v>129</v>
      </c>
      <c r="B1" s="21" t="s">
        <v>856</v>
      </c>
      <c r="C1" s="95"/>
      <c r="D1" s="4"/>
      <c r="I1" s="4"/>
      <c r="J1" s="4"/>
      <c r="K1" s="4"/>
      <c r="M1" s="68"/>
      <c r="N1" s="68"/>
      <c r="S1" s="21" t="s">
        <v>857</v>
      </c>
      <c r="T1" s="21"/>
      <c r="U1" s="27"/>
      <c r="V1" s="27"/>
      <c r="W1" s="27"/>
      <c r="X1" s="27"/>
      <c r="Y1" s="4"/>
      <c r="Z1" s="4"/>
      <c r="AA1" s="6"/>
      <c r="AC1" s="21" t="s">
        <v>858</v>
      </c>
      <c r="AR1" s="21" t="s">
        <v>859</v>
      </c>
      <c r="AS1" s="230">
        <v>1.77E-2</v>
      </c>
      <c r="AT1" s="96">
        <v>1.06</v>
      </c>
      <c r="AU1" s="96"/>
      <c r="AV1" s="230"/>
      <c r="AW1" s="230">
        <v>7.0000000000000007E-2</v>
      </c>
      <c r="AX1" s="190">
        <v>70</v>
      </c>
      <c r="AY1" s="190"/>
    </row>
    <row r="2" spans="1:65" ht="80" x14ac:dyDescent="0.2">
      <c r="B2" s="231" t="s">
        <v>860</v>
      </c>
      <c r="C2" s="22" t="s">
        <v>861</v>
      </c>
      <c r="D2" s="22" t="s">
        <v>14</v>
      </c>
      <c r="E2" s="22" t="s">
        <v>22</v>
      </c>
      <c r="F2" s="22" t="s">
        <v>15</v>
      </c>
      <c r="G2" s="22" t="s">
        <v>16</v>
      </c>
      <c r="H2" s="22" t="s">
        <v>595</v>
      </c>
      <c r="I2" s="22" t="s">
        <v>597</v>
      </c>
      <c r="J2" s="22" t="s">
        <v>598</v>
      </c>
      <c r="K2" s="22" t="s">
        <v>544</v>
      </c>
      <c r="L2" s="22" t="s">
        <v>862</v>
      </c>
      <c r="M2" s="22" t="s">
        <v>424</v>
      </c>
      <c r="N2" s="22" t="s">
        <v>599</v>
      </c>
      <c r="O2" s="22" t="s">
        <v>182</v>
      </c>
      <c r="P2" s="22" t="s">
        <v>183</v>
      </c>
      <c r="Q2" s="22" t="s">
        <v>863</v>
      </c>
      <c r="S2" s="22" t="s">
        <v>176</v>
      </c>
      <c r="T2" s="22" t="s">
        <v>424</v>
      </c>
      <c r="U2" s="22" t="s">
        <v>17</v>
      </c>
      <c r="V2" s="22" t="s">
        <v>562</v>
      </c>
      <c r="W2" s="22" t="s">
        <v>563</v>
      </c>
      <c r="X2" s="22" t="s">
        <v>305</v>
      </c>
      <c r="Y2" s="22" t="s">
        <v>604</v>
      </c>
      <c r="Z2" s="22" t="s">
        <v>179</v>
      </c>
      <c r="AA2" s="22" t="s">
        <v>18</v>
      </c>
      <c r="AC2" s="22" t="s">
        <v>235</v>
      </c>
      <c r="AD2" s="22" t="s">
        <v>236</v>
      </c>
      <c r="AE2" s="22" t="s">
        <v>864</v>
      </c>
      <c r="AF2" s="22" t="s">
        <v>237</v>
      </c>
      <c r="AG2" s="22" t="s">
        <v>238</v>
      </c>
      <c r="AH2" s="22" t="s">
        <v>158</v>
      </c>
      <c r="AI2" s="22" t="s">
        <v>239</v>
      </c>
      <c r="AJ2" s="22" t="s">
        <v>240</v>
      </c>
      <c r="AK2" s="22" t="s">
        <v>865</v>
      </c>
      <c r="AL2" s="22" t="s">
        <v>167</v>
      </c>
      <c r="AM2" s="22" t="s">
        <v>866</v>
      </c>
      <c r="AN2" s="22" t="s">
        <v>241</v>
      </c>
      <c r="AO2" s="22" t="s">
        <v>867</v>
      </c>
      <c r="AP2" s="22" t="s">
        <v>242</v>
      </c>
      <c r="AQ2" s="17"/>
      <c r="AR2" s="22" t="s">
        <v>868</v>
      </c>
      <c r="AS2" s="22" t="s">
        <v>186</v>
      </c>
      <c r="AT2" s="22" t="s">
        <v>187</v>
      </c>
      <c r="AU2" s="22" t="s">
        <v>269</v>
      </c>
      <c r="AV2" s="22" t="s">
        <v>189</v>
      </c>
      <c r="AW2" s="22" t="s">
        <v>258</v>
      </c>
      <c r="AX2" s="22" t="s">
        <v>259</v>
      </c>
      <c r="AY2" s="22" t="s">
        <v>270</v>
      </c>
      <c r="AZ2" s="22" t="s">
        <v>190</v>
      </c>
      <c r="BA2" s="22" t="s">
        <v>271</v>
      </c>
      <c r="BB2" s="22" t="s">
        <v>272</v>
      </c>
      <c r="BC2" s="22" t="s">
        <v>191</v>
      </c>
      <c r="BD2" s="22" t="s">
        <v>243</v>
      </c>
      <c r="BE2" s="22" t="s">
        <v>244</v>
      </c>
      <c r="BF2" s="22" t="s">
        <v>245</v>
      </c>
      <c r="BG2" s="22" t="s">
        <v>194</v>
      </c>
      <c r="BH2" s="22" t="s">
        <v>195</v>
      </c>
      <c r="BI2" s="22" t="s">
        <v>32</v>
      </c>
    </row>
    <row r="3" spans="1:65" ht="20" x14ac:dyDescent="0.2">
      <c r="B3" s="17"/>
      <c r="D3" s="17"/>
      <c r="E3" s="17"/>
      <c r="F3" s="17" t="s">
        <v>246</v>
      </c>
      <c r="G3" s="17" t="s">
        <v>246</v>
      </c>
      <c r="H3" s="17"/>
      <c r="I3" s="17"/>
      <c r="J3" s="17"/>
      <c r="K3" s="17" t="s">
        <v>56</v>
      </c>
      <c r="L3" s="17" t="s">
        <v>58</v>
      </c>
      <c r="M3" s="17"/>
      <c r="N3" s="17"/>
      <c r="O3" s="17" t="s">
        <v>20</v>
      </c>
      <c r="P3" s="17" t="s">
        <v>20</v>
      </c>
      <c r="Q3" s="17"/>
      <c r="S3" s="17"/>
      <c r="T3" s="17"/>
      <c r="U3" s="17" t="s">
        <v>20</v>
      </c>
      <c r="V3" s="17" t="s">
        <v>26</v>
      </c>
      <c r="W3" s="17" t="s">
        <v>20</v>
      </c>
      <c r="X3" s="17" t="s">
        <v>26</v>
      </c>
      <c r="Y3" s="17" t="s">
        <v>21</v>
      </c>
      <c r="Z3" s="17"/>
      <c r="AA3" s="17"/>
      <c r="AC3" s="17"/>
      <c r="AD3" s="17"/>
      <c r="AE3" s="17" t="s">
        <v>69</v>
      </c>
      <c r="AF3" s="17" t="s">
        <v>247</v>
      </c>
      <c r="AG3" s="17" t="s">
        <v>35</v>
      </c>
      <c r="AH3" s="17" t="s">
        <v>35</v>
      </c>
      <c r="AI3" s="17" t="s">
        <v>26</v>
      </c>
      <c r="AJ3" s="17" t="s">
        <v>70</v>
      </c>
      <c r="AK3" s="17" t="s">
        <v>70</v>
      </c>
      <c r="AL3" s="17"/>
      <c r="AM3" s="17"/>
      <c r="AN3" s="17" t="s">
        <v>248</v>
      </c>
      <c r="AO3" s="17" t="s">
        <v>248</v>
      </c>
      <c r="AP3" s="17" t="s">
        <v>249</v>
      </c>
      <c r="AQ3" s="17"/>
      <c r="AR3" s="71" t="s">
        <v>196</v>
      </c>
      <c r="AS3" s="17" t="s">
        <v>196</v>
      </c>
      <c r="AT3" s="17" t="s">
        <v>196</v>
      </c>
      <c r="AU3" s="17" t="s">
        <v>196</v>
      </c>
      <c r="AV3" s="17" t="s">
        <v>196</v>
      </c>
      <c r="AW3" s="17" t="s">
        <v>196</v>
      </c>
      <c r="AX3" s="17" t="s">
        <v>260</v>
      </c>
      <c r="AY3" s="17" t="s">
        <v>198</v>
      </c>
      <c r="AZ3" s="17" t="s">
        <v>425</v>
      </c>
      <c r="BA3" s="17" t="s">
        <v>24</v>
      </c>
      <c r="BB3" s="17" t="s">
        <v>24</v>
      </c>
      <c r="BC3" s="17" t="s">
        <v>24</v>
      </c>
      <c r="BD3" s="17" t="s">
        <v>250</v>
      </c>
      <c r="BE3" s="17" t="s">
        <v>251</v>
      </c>
      <c r="BF3" s="17" t="s">
        <v>252</v>
      </c>
      <c r="BG3" s="17" t="s">
        <v>199</v>
      </c>
      <c r="BH3" s="17" t="s">
        <v>199</v>
      </c>
      <c r="BI3" s="17"/>
    </row>
    <row r="4" spans="1:65" s="89" customFormat="1" ht="19" x14ac:dyDescent="0.2">
      <c r="B4" s="232"/>
      <c r="C4" s="232"/>
      <c r="D4" s="232"/>
      <c r="E4" s="233"/>
      <c r="F4" s="207"/>
      <c r="G4" s="207"/>
      <c r="H4" s="233"/>
      <c r="I4" s="233"/>
      <c r="J4" s="233"/>
      <c r="K4" s="190"/>
      <c r="L4" s="90"/>
      <c r="M4" s="233"/>
      <c r="N4" s="233"/>
      <c r="O4" s="96"/>
      <c r="P4" s="96"/>
      <c r="Q4" s="234"/>
      <c r="R4" s="183"/>
      <c r="S4" s="232"/>
      <c r="T4" s="232"/>
      <c r="U4" s="190"/>
      <c r="V4" s="235"/>
      <c r="W4" s="190"/>
      <c r="X4" s="235"/>
      <c r="Y4" s="96"/>
      <c r="Z4" s="190"/>
      <c r="AA4" s="233"/>
      <c r="AB4" s="183"/>
      <c r="AC4" s="233"/>
      <c r="AD4" s="232"/>
      <c r="AE4" s="190"/>
      <c r="AF4" s="90"/>
      <c r="AG4" s="190"/>
      <c r="AH4" s="190"/>
      <c r="AI4" s="74"/>
      <c r="AJ4" s="211"/>
      <c r="AK4" s="211"/>
      <c r="AL4" s="233"/>
      <c r="AM4" s="233"/>
      <c r="AN4" s="190"/>
      <c r="AO4" s="190"/>
      <c r="AP4" s="96"/>
      <c r="AQ4" s="190"/>
      <c r="AR4" s="96"/>
      <c r="AS4" s="96"/>
      <c r="AT4" s="96"/>
      <c r="AU4" s="96"/>
      <c r="AV4" s="96"/>
      <c r="AW4" s="96"/>
      <c r="AX4" s="96"/>
      <c r="AY4" s="96"/>
      <c r="AZ4" s="96"/>
      <c r="BA4" s="96"/>
      <c r="BB4" s="96"/>
      <c r="BC4" s="96"/>
      <c r="BD4" s="96"/>
      <c r="BE4" s="96"/>
      <c r="BF4" s="190"/>
      <c r="BG4" s="190"/>
      <c r="BH4" s="190"/>
      <c r="BI4" s="232"/>
    </row>
    <row r="5" spans="1:65" ht="19" x14ac:dyDescent="0.2">
      <c r="B5" s="232"/>
      <c r="C5" s="232"/>
      <c r="D5" s="232"/>
      <c r="E5" s="233"/>
      <c r="F5" s="207"/>
      <c r="G5" s="207"/>
      <c r="H5" s="233"/>
      <c r="I5" s="233"/>
      <c r="J5" s="233"/>
      <c r="K5" s="190"/>
      <c r="L5" s="90"/>
      <c r="M5" s="233"/>
      <c r="N5" s="233"/>
      <c r="O5" s="190"/>
      <c r="P5" s="190"/>
      <c r="Q5" s="234"/>
      <c r="S5" s="232"/>
      <c r="T5" s="233"/>
      <c r="U5" s="96"/>
      <c r="V5" s="96"/>
      <c r="W5" s="96"/>
      <c r="X5" s="96"/>
      <c r="Y5" s="96"/>
      <c r="Z5" s="190"/>
      <c r="AA5" s="233"/>
      <c r="AC5" s="233"/>
      <c r="AD5" s="232"/>
      <c r="AE5" s="190"/>
      <c r="AF5" s="90"/>
      <c r="AG5" s="190"/>
      <c r="AH5" s="190"/>
      <c r="AI5" s="74"/>
      <c r="AJ5" s="211"/>
      <c r="AK5" s="211"/>
      <c r="AL5" s="233"/>
      <c r="AM5" s="233"/>
      <c r="AN5" s="190"/>
      <c r="AO5" s="190"/>
      <c r="AP5" s="96"/>
      <c r="AQ5" s="190"/>
      <c r="AR5" s="236"/>
      <c r="AS5" s="96"/>
      <c r="AT5" s="96"/>
      <c r="AU5" s="96"/>
      <c r="AV5" s="96"/>
      <c r="AW5" s="96"/>
      <c r="AX5" s="96"/>
      <c r="AY5" s="96"/>
      <c r="AZ5" s="96"/>
      <c r="BA5" s="96"/>
      <c r="BB5" s="96"/>
      <c r="BC5" s="96"/>
      <c r="BD5" s="96"/>
      <c r="BE5" s="96"/>
      <c r="BF5" s="190"/>
      <c r="BG5" s="190"/>
      <c r="BH5" s="190"/>
      <c r="BI5" s="232"/>
    </row>
    <row r="6" spans="1:65" s="183" customFormat="1" ht="19" x14ac:dyDescent="0.2">
      <c r="A6" s="68" t="s">
        <v>409</v>
      </c>
    </row>
    <row r="7" spans="1:65" s="183" customFormat="1" ht="19" x14ac:dyDescent="0.25">
      <c r="A7" s="4" t="s">
        <v>648</v>
      </c>
    </row>
    <row r="8" spans="1:65" s="183" customFormat="1" ht="19" x14ac:dyDescent="0.25">
      <c r="A8" s="4" t="s">
        <v>415</v>
      </c>
    </row>
    <row r="9" spans="1:65" s="4" customFormat="1" ht="19" x14ac:dyDescent="0.25">
      <c r="A9" s="4" t="s">
        <v>649</v>
      </c>
      <c r="B9" s="183"/>
      <c r="C9" s="183"/>
      <c r="D9" s="7"/>
      <c r="E9" s="183"/>
      <c r="F9" s="183"/>
      <c r="G9" s="183"/>
      <c r="H9" s="183"/>
      <c r="I9" s="183"/>
      <c r="J9" s="183"/>
      <c r="K9" s="183"/>
      <c r="L9" s="183"/>
      <c r="M9" s="183"/>
      <c r="N9" s="183"/>
      <c r="O9" s="183"/>
      <c r="P9" s="183"/>
      <c r="Q9" s="183"/>
      <c r="R9" s="183"/>
      <c r="S9" s="7"/>
      <c r="T9" s="8"/>
      <c r="U9" s="43"/>
      <c r="V9" s="43"/>
      <c r="W9" s="43"/>
      <c r="X9" s="43"/>
      <c r="AA9" s="42"/>
      <c r="AB9" s="183"/>
      <c r="AC9" s="183"/>
      <c r="AD9" s="183"/>
      <c r="AE9" s="183"/>
      <c r="AF9" s="183"/>
      <c r="AG9" s="183"/>
      <c r="AH9" s="183"/>
      <c r="AI9" s="183"/>
      <c r="AJ9" s="183"/>
      <c r="AK9" s="183"/>
      <c r="AL9" s="183"/>
      <c r="AM9" s="183"/>
      <c r="AN9" s="183"/>
      <c r="AO9" s="183"/>
      <c r="AP9" s="183"/>
      <c r="AQ9" s="183"/>
      <c r="AR9" s="183"/>
      <c r="AS9" s="183"/>
      <c r="AT9" s="183"/>
      <c r="AU9" s="183"/>
      <c r="AV9" s="183"/>
      <c r="AW9" s="183"/>
      <c r="AX9" s="183"/>
      <c r="AY9" s="183"/>
      <c r="AZ9" s="183"/>
      <c r="BA9" s="183"/>
      <c r="BB9" s="183"/>
      <c r="BC9" s="183"/>
      <c r="BD9" s="183"/>
      <c r="BE9" s="183"/>
      <c r="BF9" s="183"/>
      <c r="BG9" s="183"/>
      <c r="BH9" s="183"/>
      <c r="BI9" s="183"/>
    </row>
    <row r="10" spans="1:65" s="4" customFormat="1" ht="19" x14ac:dyDescent="0.25">
      <c r="A10" s="4" t="s">
        <v>416</v>
      </c>
      <c r="B10" s="183"/>
      <c r="C10" s="183"/>
      <c r="D10" s="183"/>
      <c r="E10" s="183"/>
      <c r="F10" s="183"/>
      <c r="G10" s="183"/>
      <c r="H10" s="183"/>
      <c r="I10" s="183"/>
      <c r="J10" s="183"/>
      <c r="K10" s="183"/>
      <c r="L10" s="183"/>
      <c r="M10" s="183"/>
      <c r="N10" s="183"/>
      <c r="O10" s="183"/>
      <c r="P10" s="183"/>
      <c r="Q10" s="183"/>
      <c r="R10" s="183"/>
      <c r="S10" s="183"/>
      <c r="T10" s="183"/>
      <c r="U10" s="183"/>
      <c r="V10" s="183"/>
      <c r="W10" s="183"/>
      <c r="X10" s="183"/>
      <c r="Y10" s="183"/>
      <c r="Z10" s="183"/>
      <c r="AA10" s="183"/>
      <c r="AB10" s="183"/>
      <c r="AC10" s="183"/>
      <c r="AD10" s="183"/>
      <c r="AE10" s="183"/>
      <c r="AF10" s="183"/>
      <c r="AG10" s="183"/>
      <c r="AH10" s="183"/>
      <c r="AI10" s="183"/>
      <c r="AJ10" s="183"/>
      <c r="AK10" s="183"/>
      <c r="AL10" s="183"/>
      <c r="AM10" s="183"/>
      <c r="AN10" s="183"/>
      <c r="AO10" s="183"/>
      <c r="AP10" s="183"/>
      <c r="AQ10" s="183"/>
      <c r="AR10" s="183"/>
      <c r="AS10" s="183"/>
      <c r="AT10" s="183"/>
      <c r="AU10" s="183"/>
      <c r="AV10" s="183"/>
      <c r="AW10" s="183"/>
      <c r="AX10" s="183"/>
      <c r="AY10" s="183"/>
      <c r="AZ10" s="183"/>
      <c r="BA10" s="183"/>
      <c r="BB10" s="183"/>
      <c r="BC10" s="183"/>
      <c r="BD10" s="183"/>
      <c r="BE10" s="183"/>
      <c r="BF10" s="183"/>
      <c r="BG10" s="183"/>
      <c r="BH10" s="183"/>
      <c r="BI10" s="183"/>
    </row>
    <row r="11" spans="1:65" s="4" customFormat="1" ht="19" x14ac:dyDescent="0.25">
      <c r="A11" s="4" t="s">
        <v>417</v>
      </c>
      <c r="B11" s="14"/>
      <c r="C11" s="14"/>
      <c r="D11" s="183"/>
      <c r="E11" s="14"/>
      <c r="F11" s="14"/>
      <c r="G11" s="40"/>
      <c r="H11" s="40"/>
      <c r="I11" s="14"/>
      <c r="J11" s="14"/>
      <c r="K11" s="14"/>
      <c r="L11" s="14"/>
      <c r="M11" s="14"/>
      <c r="N11" s="14"/>
      <c r="O11" s="14"/>
      <c r="P11" s="14"/>
      <c r="Q11" s="14"/>
      <c r="R11" s="183"/>
      <c r="S11" s="183"/>
      <c r="T11" s="183"/>
      <c r="U11" s="183"/>
      <c r="V11" s="183"/>
      <c r="W11" s="183"/>
      <c r="X11" s="183"/>
      <c r="Y11" s="183"/>
      <c r="Z11" s="183"/>
      <c r="AA11" s="183"/>
      <c r="AB11" s="183"/>
      <c r="AC11" s="14"/>
      <c r="AD11" s="14"/>
      <c r="AE11" s="14"/>
      <c r="AF11" s="14"/>
      <c r="AG11" s="76"/>
      <c r="AH11" s="76"/>
      <c r="AI11" s="76"/>
      <c r="AJ11" s="76"/>
      <c r="AK11" s="76"/>
      <c r="AL11" s="76"/>
      <c r="AM11" s="76"/>
      <c r="AN11" s="76"/>
      <c r="AO11" s="183"/>
      <c r="AP11" s="183"/>
      <c r="AQ11" s="183"/>
      <c r="AR11" s="183"/>
      <c r="AS11" s="183"/>
      <c r="AT11" s="183"/>
      <c r="AU11" s="183"/>
      <c r="AV11" s="183"/>
      <c r="AW11" s="76"/>
      <c r="AX11" s="14"/>
      <c r="AY11" s="14"/>
      <c r="AZ11" s="14"/>
      <c r="BA11" s="14"/>
      <c r="BB11" s="14"/>
      <c r="BC11" s="14"/>
      <c r="BD11" s="14"/>
      <c r="BE11" s="14"/>
      <c r="BF11" s="14"/>
      <c r="BG11" s="14"/>
      <c r="BH11" s="14"/>
      <c r="BI11" s="14"/>
    </row>
    <row r="12" spans="1:65" s="4" customFormat="1" ht="19" x14ac:dyDescent="0.25">
      <c r="A12" s="4" t="s">
        <v>418</v>
      </c>
      <c r="B12" s="183"/>
      <c r="C12" s="183"/>
      <c r="D12" s="183"/>
      <c r="I12" s="14"/>
      <c r="J12" s="14"/>
      <c r="L12" s="26"/>
      <c r="O12" s="183"/>
      <c r="P12" s="183"/>
      <c r="Q12" s="183"/>
      <c r="R12" s="183"/>
      <c r="S12" s="183"/>
      <c r="T12" s="183"/>
      <c r="U12" s="183"/>
      <c r="V12" s="183"/>
      <c r="W12" s="183"/>
      <c r="X12" s="183"/>
      <c r="Y12" s="183"/>
      <c r="Z12" s="183"/>
      <c r="AA12" s="183"/>
      <c r="AB12" s="183"/>
      <c r="AC12" s="6"/>
      <c r="AD12" s="183"/>
      <c r="AE12" s="6"/>
      <c r="AF12" s="183"/>
      <c r="AG12" s="183"/>
      <c r="AH12" s="183"/>
      <c r="AI12" s="183"/>
      <c r="AJ12" s="183"/>
      <c r="AK12" s="183"/>
    </row>
    <row r="13" spans="1:65" s="4" customFormat="1" ht="19" x14ac:dyDescent="0.25">
      <c r="A13" s="4" t="s">
        <v>419</v>
      </c>
      <c r="B13" s="183"/>
      <c r="C13" s="183"/>
      <c r="D13" s="14"/>
      <c r="L13" s="26"/>
      <c r="N13" s="183"/>
      <c r="O13" s="183"/>
      <c r="P13" s="183"/>
      <c r="Q13" s="183"/>
      <c r="R13" s="183"/>
      <c r="S13" s="14"/>
      <c r="T13" s="14"/>
      <c r="U13" s="14"/>
      <c r="V13" s="14"/>
      <c r="W13" s="14"/>
      <c r="X13" s="14"/>
      <c r="Y13" s="14"/>
      <c r="Z13" s="14"/>
      <c r="AA13" s="40"/>
      <c r="AB13" s="183"/>
      <c r="AC13" s="14"/>
      <c r="AD13" s="183"/>
      <c r="AE13" s="14"/>
      <c r="AF13" s="183"/>
      <c r="AG13" s="183"/>
      <c r="AH13" s="183"/>
      <c r="AI13" s="183"/>
      <c r="AO13" s="183"/>
      <c r="AP13" s="183"/>
      <c r="AQ13" s="183"/>
      <c r="AR13" s="183"/>
      <c r="AS13" s="183"/>
      <c r="AT13" s="183"/>
      <c r="AU13" s="183"/>
      <c r="AV13" s="183"/>
    </row>
    <row r="14" spans="1:65" s="4" customFormat="1" ht="19" x14ac:dyDescent="0.25">
      <c r="A14" s="4" t="s">
        <v>420</v>
      </c>
      <c r="B14" s="183"/>
      <c r="D14" s="183"/>
      <c r="G14" s="26"/>
      <c r="H14" s="14"/>
      <c r="M14" s="183"/>
      <c r="N14" s="183"/>
      <c r="O14" s="183"/>
      <c r="P14" s="183"/>
      <c r="Q14" s="183"/>
      <c r="R14" s="183"/>
      <c r="S14" s="183"/>
      <c r="T14" s="14"/>
      <c r="AB14" s="183"/>
      <c r="AF14" s="183"/>
      <c r="AG14" s="183"/>
    </row>
    <row r="15" spans="1:65" s="4" customFormat="1" ht="19" x14ac:dyDescent="0.25">
      <c r="A15" s="4" t="s">
        <v>421</v>
      </c>
      <c r="B15" s="183"/>
      <c r="C15" s="183"/>
      <c r="D15" s="183"/>
      <c r="I15" s="14"/>
      <c r="J15" s="14"/>
      <c r="L15" s="26"/>
      <c r="O15" s="183"/>
      <c r="P15" s="183"/>
      <c r="Q15" s="183"/>
      <c r="R15" s="183"/>
      <c r="S15" s="183"/>
      <c r="Z15" s="183"/>
      <c r="AB15" s="183"/>
      <c r="AC15" s="6"/>
      <c r="AD15" s="183"/>
      <c r="AE15" s="6"/>
      <c r="AF15" s="183"/>
      <c r="AG15" s="183"/>
      <c r="AH15" s="183"/>
      <c r="AI15" s="183"/>
      <c r="AJ15" s="183"/>
      <c r="AR15" s="183"/>
    </row>
    <row r="16" spans="1:65" s="4" customFormat="1" ht="19" x14ac:dyDescent="0.25">
      <c r="A16" s="4" t="s">
        <v>412</v>
      </c>
      <c r="B16" s="183"/>
      <c r="G16" s="26"/>
      <c r="H16" s="14"/>
      <c r="M16" s="183"/>
      <c r="N16" s="183"/>
      <c r="O16" s="183"/>
      <c r="P16" s="183"/>
      <c r="Q16" s="183"/>
      <c r="R16" s="183"/>
      <c r="S16" s="183"/>
      <c r="W16" s="183"/>
      <c r="X16" s="183"/>
      <c r="Y16" s="183"/>
      <c r="Z16" s="183"/>
      <c r="AA16" s="14"/>
      <c r="AB16" s="183"/>
      <c r="AF16" s="183"/>
      <c r="AG16" s="183"/>
      <c r="BJ16" s="183"/>
      <c r="BK16" s="28"/>
      <c r="BL16" s="183"/>
      <c r="BM16" s="183"/>
    </row>
    <row r="17" spans="2:61" ht="19" x14ac:dyDescent="0.25">
      <c r="C17" s="4"/>
      <c r="E17" s="4"/>
      <c r="F17" s="4"/>
      <c r="G17" s="26"/>
      <c r="H17" s="14"/>
      <c r="I17" s="4"/>
      <c r="J17" s="4"/>
      <c r="K17" s="4"/>
      <c r="L17" s="4"/>
      <c r="T17" s="14"/>
      <c r="U17" s="4"/>
      <c r="V17" s="4"/>
      <c r="W17" s="4"/>
      <c r="X17" s="4"/>
      <c r="Y17" s="4"/>
      <c r="Z17" s="4"/>
      <c r="AA17" s="4"/>
      <c r="AC17" s="4"/>
      <c r="AD17" s="4"/>
      <c r="AE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row>
    <row r="18" spans="2:61" ht="19" x14ac:dyDescent="0.25">
      <c r="B18" s="4"/>
      <c r="C18" s="4"/>
      <c r="D18" s="4"/>
      <c r="E18" s="4"/>
      <c r="F18" s="4"/>
      <c r="G18" s="4"/>
      <c r="H18" s="4"/>
      <c r="I18" s="6"/>
      <c r="J18" s="6"/>
      <c r="K18" s="14"/>
      <c r="L18" s="4"/>
      <c r="N18" s="4"/>
      <c r="O18" s="4"/>
      <c r="P18" s="4"/>
      <c r="Q18" s="4"/>
      <c r="T18" s="4"/>
      <c r="U18" s="4"/>
      <c r="V18" s="4"/>
      <c r="AA18" s="14"/>
      <c r="AC18" s="26"/>
      <c r="AE18" s="26"/>
      <c r="AJ18" s="4"/>
      <c r="AK18" s="4"/>
      <c r="AL18" s="4"/>
      <c r="AM18" s="4"/>
      <c r="AN18" s="4"/>
      <c r="AO18" s="108"/>
      <c r="AV18" s="28"/>
      <c r="AY18" s="4"/>
      <c r="AZ18" s="4"/>
      <c r="BA18" s="4"/>
      <c r="BB18" s="4"/>
      <c r="BC18" s="4"/>
      <c r="BD18" s="108"/>
      <c r="BI18" s="28"/>
    </row>
    <row r="19" spans="2:61" ht="19" x14ac:dyDescent="0.25">
      <c r="D19" s="4"/>
      <c r="T19" s="4"/>
      <c r="U19" s="4"/>
      <c r="V19" s="4"/>
      <c r="AA19" s="14"/>
    </row>
    <row r="20" spans="2:61" ht="19" x14ac:dyDescent="0.25">
      <c r="D20" s="4"/>
      <c r="S20" s="4"/>
      <c r="T20" s="6"/>
      <c r="U20" s="14"/>
      <c r="V20" s="14"/>
      <c r="W20" s="4"/>
      <c r="X20" s="4"/>
      <c r="Z20" s="4"/>
      <c r="AA20" s="4"/>
    </row>
    <row r="21" spans="2:61" ht="19" x14ac:dyDescent="0.25">
      <c r="D21" s="4"/>
      <c r="S21" s="4"/>
      <c r="T21" s="6"/>
      <c r="U21" s="6"/>
      <c r="V21" s="6"/>
      <c r="W21" s="4"/>
      <c r="X21" s="4"/>
      <c r="Y21" s="4"/>
      <c r="Z21" s="4"/>
      <c r="AA21" s="6"/>
    </row>
    <row r="22" spans="2:61" ht="19" x14ac:dyDescent="0.25">
      <c r="D22" s="4"/>
      <c r="S22" s="4"/>
      <c r="T22" s="6"/>
      <c r="U22" s="4"/>
      <c r="V22" s="4"/>
      <c r="W22" s="4"/>
      <c r="X22" s="4"/>
      <c r="Y22" s="4"/>
      <c r="Z22" s="4"/>
      <c r="AA22" s="6"/>
    </row>
  </sheetData>
  <autoFilter ref="B3:AH3" xr:uid="{D94DB5D1-9527-534B-9388-603A53620BB1}">
    <sortState xmlns:xlrd2="http://schemas.microsoft.com/office/spreadsheetml/2017/richdata2" ref="B4:AH4">
      <sortCondition ref="AF3:AF4"/>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8378E-54A5-9248-B731-373644ED0D2E}">
  <dimension ref="A1:AC206"/>
  <sheetViews>
    <sheetView workbookViewId="0">
      <pane ySplit="3" topLeftCell="A4" activePane="bottomLeft" state="frozen"/>
      <selection pane="bottomLeft" activeCell="H11" sqref="H11"/>
    </sheetView>
  </sheetViews>
  <sheetFormatPr baseColWidth="10" defaultRowHeight="16" x14ac:dyDescent="0.2"/>
  <cols>
    <col min="1" max="1" width="4.83203125" style="183" customWidth="1"/>
    <col min="2" max="2" width="30.83203125" style="183" customWidth="1"/>
    <col min="3" max="3" width="20.83203125" style="89" customWidth="1"/>
    <col min="4" max="4" width="25.6640625" style="58" customWidth="1"/>
    <col min="5" max="6" width="15.83203125" style="58" customWidth="1"/>
    <col min="7" max="7" width="18.83203125" style="58" customWidth="1"/>
    <col min="8" max="8" width="17" style="59" customWidth="1"/>
    <col min="9" max="9" width="12.83203125" style="58" customWidth="1"/>
    <col min="10" max="10" width="12.83203125" style="59" customWidth="1"/>
    <col min="11" max="13" width="12.83203125" style="183" customWidth="1"/>
    <col min="14" max="15" width="12.83203125" style="58" customWidth="1"/>
    <col min="16" max="17" width="60.83203125" style="183" customWidth="1"/>
    <col min="18" max="16384" width="10.83203125" style="183"/>
  </cols>
  <sheetData>
    <row r="1" spans="1:17" s="4" customFormat="1" ht="21" x14ac:dyDescent="0.25">
      <c r="A1" s="63" t="s">
        <v>129</v>
      </c>
      <c r="B1" s="95" t="s">
        <v>694</v>
      </c>
      <c r="C1" s="183"/>
      <c r="D1" s="95"/>
      <c r="E1" s="95"/>
      <c r="F1" s="95"/>
      <c r="H1" s="58"/>
      <c r="I1" s="58"/>
      <c r="J1" s="58"/>
      <c r="K1" s="183"/>
      <c r="L1" s="183"/>
      <c r="M1" s="183"/>
      <c r="N1" s="58"/>
      <c r="O1" s="58"/>
      <c r="P1" s="183"/>
    </row>
    <row r="2" spans="1:17" s="3" customFormat="1" ht="40" x14ac:dyDescent="0.2">
      <c r="B2" s="22" t="s">
        <v>451</v>
      </c>
      <c r="C2" s="22" t="s">
        <v>452</v>
      </c>
      <c r="D2" s="22" t="s">
        <v>14</v>
      </c>
      <c r="E2" s="22" t="s">
        <v>15</v>
      </c>
      <c r="F2" s="22" t="s">
        <v>16</v>
      </c>
      <c r="G2" s="22" t="s">
        <v>596</v>
      </c>
      <c r="H2" s="23" t="s">
        <v>456</v>
      </c>
      <c r="I2" s="22" t="s">
        <v>454</v>
      </c>
      <c r="J2" s="23" t="s">
        <v>455</v>
      </c>
      <c r="K2" s="23" t="s">
        <v>458</v>
      </c>
      <c r="L2" s="23" t="s">
        <v>457</v>
      </c>
      <c r="M2" s="23" t="s">
        <v>610</v>
      </c>
      <c r="N2" s="23" t="s">
        <v>446</v>
      </c>
      <c r="O2" s="23" t="s">
        <v>445</v>
      </c>
      <c r="P2" s="22" t="s">
        <v>428</v>
      </c>
      <c r="Q2" s="22" t="s">
        <v>32</v>
      </c>
    </row>
    <row r="3" spans="1:17" s="3" customFormat="1" ht="20" x14ac:dyDescent="0.2">
      <c r="B3" s="18"/>
      <c r="C3" s="92"/>
      <c r="D3" s="17"/>
      <c r="E3" s="17"/>
      <c r="F3" s="17"/>
      <c r="G3" s="17"/>
      <c r="H3" s="17"/>
      <c r="I3" s="17" t="s">
        <v>56</v>
      </c>
      <c r="J3" s="17" t="s">
        <v>56</v>
      </c>
      <c r="K3" s="17" t="s">
        <v>459</v>
      </c>
      <c r="L3" s="17" t="s">
        <v>459</v>
      </c>
      <c r="M3" s="17"/>
      <c r="N3" s="17" t="s">
        <v>20</v>
      </c>
      <c r="O3" s="17" t="s">
        <v>20</v>
      </c>
      <c r="P3" s="18"/>
      <c r="Q3" s="18"/>
    </row>
    <row r="4" spans="1:17" s="3" customFormat="1" ht="20" x14ac:dyDescent="0.2">
      <c r="B4" s="121" t="s">
        <v>208</v>
      </c>
      <c r="C4" s="93" t="s">
        <v>469</v>
      </c>
      <c r="D4" s="46" t="s">
        <v>204</v>
      </c>
      <c r="E4" s="207">
        <v>49.611311146802798</v>
      </c>
      <c r="F4" s="207">
        <v>-105.961705067685</v>
      </c>
      <c r="G4" s="46" t="s">
        <v>529</v>
      </c>
      <c r="H4" s="17"/>
      <c r="I4" s="120">
        <v>138</v>
      </c>
      <c r="J4" s="17"/>
      <c r="K4" s="17"/>
      <c r="L4" s="17"/>
      <c r="M4" s="17"/>
      <c r="N4" s="17"/>
      <c r="O4" s="17"/>
      <c r="P4" s="18"/>
      <c r="Q4" s="18"/>
    </row>
    <row r="5" spans="1:17" s="3" customFormat="1" ht="20" x14ac:dyDescent="0.2">
      <c r="B5" s="121" t="s">
        <v>336</v>
      </c>
      <c r="C5" s="93" t="s">
        <v>481</v>
      </c>
      <c r="D5" s="46" t="s">
        <v>204</v>
      </c>
      <c r="E5" s="207">
        <v>52.758239707090901</v>
      </c>
      <c r="F5" s="207">
        <v>-108.28028446714499</v>
      </c>
      <c r="G5" s="46" t="s">
        <v>529</v>
      </c>
      <c r="H5" s="17"/>
      <c r="I5" s="120">
        <v>138</v>
      </c>
      <c r="J5" s="17"/>
      <c r="K5" s="17"/>
      <c r="L5" s="17"/>
      <c r="M5" s="17"/>
      <c r="N5" s="17"/>
      <c r="O5" s="17"/>
      <c r="P5" s="18"/>
      <c r="Q5" s="18"/>
    </row>
    <row r="6" spans="1:17" s="3" customFormat="1" ht="20" x14ac:dyDescent="0.2">
      <c r="B6" s="121" t="s">
        <v>439</v>
      </c>
      <c r="C6" s="93" t="s">
        <v>471</v>
      </c>
      <c r="D6" s="46" t="s">
        <v>204</v>
      </c>
      <c r="E6" s="207">
        <v>52.911017853316601</v>
      </c>
      <c r="F6" s="207">
        <v>-104.844212398048</v>
      </c>
      <c r="G6" s="46" t="s">
        <v>529</v>
      </c>
      <c r="H6" s="17"/>
      <c r="I6" s="120">
        <v>138</v>
      </c>
      <c r="J6" s="17"/>
      <c r="K6" s="17"/>
      <c r="L6" s="17"/>
      <c r="M6" s="17"/>
      <c r="N6" s="17"/>
      <c r="O6" s="17"/>
      <c r="P6" s="18"/>
      <c r="Q6" s="18"/>
    </row>
    <row r="7" spans="1:17" s="3" customFormat="1" ht="20" x14ac:dyDescent="0.2">
      <c r="B7" s="121" t="s">
        <v>389</v>
      </c>
      <c r="C7" s="93" t="s">
        <v>492</v>
      </c>
      <c r="D7" s="46" t="s">
        <v>204</v>
      </c>
      <c r="E7" s="207">
        <v>50.393647368006697</v>
      </c>
      <c r="F7" s="207">
        <v>-105.155662727571</v>
      </c>
      <c r="G7" s="46" t="s">
        <v>529</v>
      </c>
      <c r="H7" s="17"/>
      <c r="I7" s="120">
        <v>138</v>
      </c>
      <c r="J7" s="17"/>
      <c r="K7" s="17"/>
      <c r="L7" s="17"/>
      <c r="M7" s="17"/>
      <c r="N7" s="17"/>
      <c r="O7" s="17"/>
      <c r="P7" s="18"/>
      <c r="Q7" s="18"/>
    </row>
    <row r="8" spans="1:17" s="3" customFormat="1" ht="20" x14ac:dyDescent="0.2">
      <c r="B8" s="121" t="s">
        <v>386</v>
      </c>
      <c r="C8" s="93" t="s">
        <v>497</v>
      </c>
      <c r="D8" s="46" t="s">
        <v>204</v>
      </c>
      <c r="E8" s="207">
        <v>49.918913505968803</v>
      </c>
      <c r="F8" s="207">
        <v>-108.11727858752801</v>
      </c>
      <c r="G8" s="46" t="s">
        <v>529</v>
      </c>
      <c r="H8" s="17"/>
      <c r="I8" s="120">
        <v>138</v>
      </c>
      <c r="J8" s="17"/>
      <c r="K8" s="17"/>
      <c r="L8" s="17"/>
      <c r="M8" s="17"/>
      <c r="N8" s="17"/>
      <c r="O8" s="17"/>
      <c r="P8" s="18"/>
      <c r="Q8" s="18"/>
    </row>
    <row r="9" spans="1:17" s="3" customFormat="1" ht="20" x14ac:dyDescent="0.2">
      <c r="B9" s="121" t="s">
        <v>442</v>
      </c>
      <c r="C9" s="93" t="s">
        <v>683</v>
      </c>
      <c r="D9" s="46" t="s">
        <v>204</v>
      </c>
      <c r="E9" s="207">
        <v>49.0961</v>
      </c>
      <c r="F9" s="207">
        <v>-103.0305</v>
      </c>
      <c r="G9" s="46" t="s">
        <v>529</v>
      </c>
      <c r="H9" s="17"/>
      <c r="I9" s="120">
        <v>230</v>
      </c>
      <c r="J9" s="17"/>
      <c r="K9" s="17"/>
      <c r="L9" s="17"/>
      <c r="M9" s="17"/>
      <c r="N9" s="17"/>
      <c r="O9" s="17"/>
      <c r="P9" s="18"/>
      <c r="Q9" s="18"/>
    </row>
    <row r="10" spans="1:17" s="3" customFormat="1" ht="20" x14ac:dyDescent="0.2">
      <c r="B10" s="121" t="s">
        <v>436</v>
      </c>
      <c r="C10" s="93" t="s">
        <v>470</v>
      </c>
      <c r="D10" s="46" t="s">
        <v>204</v>
      </c>
      <c r="E10" s="207">
        <v>52.702232564160099</v>
      </c>
      <c r="F10" s="207">
        <v>-108.172682948952</v>
      </c>
      <c r="G10" s="46" t="s">
        <v>529</v>
      </c>
      <c r="H10" s="17"/>
      <c r="I10" s="120">
        <v>230</v>
      </c>
      <c r="J10" s="17"/>
      <c r="K10" s="17"/>
      <c r="L10" s="17"/>
      <c r="M10" s="17"/>
      <c r="N10" s="17"/>
      <c r="O10" s="17"/>
      <c r="P10" s="18"/>
      <c r="Q10" s="18"/>
    </row>
    <row r="11" spans="1:17" s="3" customFormat="1" ht="20" x14ac:dyDescent="0.2">
      <c r="B11" s="121" t="s">
        <v>569</v>
      </c>
      <c r="C11" s="93" t="s">
        <v>570</v>
      </c>
      <c r="D11" s="46" t="s">
        <v>204</v>
      </c>
      <c r="E11" s="207">
        <v>50.458463040266302</v>
      </c>
      <c r="F11" s="207">
        <v>-106.655264859666</v>
      </c>
      <c r="G11" s="46" t="s">
        <v>529</v>
      </c>
      <c r="H11" s="17"/>
      <c r="I11" s="120">
        <v>138</v>
      </c>
      <c r="J11" s="17"/>
      <c r="K11" s="17"/>
      <c r="L11" s="17"/>
      <c r="M11" s="17"/>
      <c r="N11" s="17"/>
      <c r="O11" s="17"/>
      <c r="P11" s="18"/>
      <c r="Q11" s="18"/>
    </row>
    <row r="12" spans="1:17" s="3" customFormat="1" ht="20" x14ac:dyDescent="0.2">
      <c r="B12" s="121" t="s">
        <v>346</v>
      </c>
      <c r="C12" s="93" t="s">
        <v>478</v>
      </c>
      <c r="D12" s="46" t="s">
        <v>204</v>
      </c>
      <c r="E12" s="207">
        <v>53.287724732256898</v>
      </c>
      <c r="F12" s="207">
        <v>-104.03768200058001</v>
      </c>
      <c r="G12" s="46" t="s">
        <v>529</v>
      </c>
      <c r="H12" s="17"/>
      <c r="I12" s="120">
        <v>138</v>
      </c>
      <c r="J12" s="17"/>
      <c r="K12" s="17"/>
      <c r="L12" s="17"/>
      <c r="M12" s="17"/>
      <c r="N12" s="17"/>
      <c r="O12" s="17"/>
      <c r="P12" s="18"/>
      <c r="Q12" s="18"/>
    </row>
    <row r="13" spans="1:17" s="3" customFormat="1" ht="20" x14ac:dyDescent="0.2">
      <c r="B13" s="121" t="s">
        <v>347</v>
      </c>
      <c r="C13" s="93" t="s">
        <v>477</v>
      </c>
      <c r="D13" s="46" t="s">
        <v>204</v>
      </c>
      <c r="E13" s="207">
        <v>50.519458472518302</v>
      </c>
      <c r="F13" s="207">
        <v>-104.756746788698</v>
      </c>
      <c r="G13" s="46" t="s">
        <v>529</v>
      </c>
      <c r="H13" s="17"/>
      <c r="I13" s="120">
        <v>138</v>
      </c>
      <c r="J13" s="17"/>
      <c r="K13" s="17"/>
      <c r="L13" s="17"/>
      <c r="M13" s="17"/>
      <c r="N13" s="17"/>
      <c r="O13" s="17"/>
      <c r="P13" s="18"/>
      <c r="Q13" s="18"/>
    </row>
    <row r="14" spans="1:17" s="3" customFormat="1" ht="20" x14ac:dyDescent="0.2">
      <c r="B14" s="121" t="s">
        <v>396</v>
      </c>
      <c r="C14" s="93" t="s">
        <v>684</v>
      </c>
      <c r="D14" s="46" t="s">
        <v>204</v>
      </c>
      <c r="E14" s="207">
        <v>52.092700000000001</v>
      </c>
      <c r="F14" s="207">
        <v>-106.8533</v>
      </c>
      <c r="G14" s="46" t="s">
        <v>529</v>
      </c>
      <c r="H14" s="17"/>
      <c r="I14" s="120">
        <v>138</v>
      </c>
      <c r="J14" s="17"/>
      <c r="K14" s="17"/>
      <c r="L14" s="17"/>
      <c r="M14" s="17"/>
      <c r="N14" s="17"/>
      <c r="O14" s="17"/>
      <c r="P14" s="18"/>
      <c r="Q14" s="18"/>
    </row>
    <row r="15" spans="1:17" s="3" customFormat="1" ht="20" x14ac:dyDescent="0.2">
      <c r="B15" s="121" t="s">
        <v>83</v>
      </c>
      <c r="C15" s="93" t="s">
        <v>685</v>
      </c>
      <c r="D15" s="46" t="s">
        <v>204</v>
      </c>
      <c r="E15" s="207">
        <v>51.274768600000002</v>
      </c>
      <c r="F15" s="207">
        <v>-106.873648</v>
      </c>
      <c r="G15" s="46" t="s">
        <v>529</v>
      </c>
      <c r="H15" s="17"/>
      <c r="I15" s="120">
        <v>138</v>
      </c>
      <c r="J15" s="17"/>
      <c r="K15" s="17"/>
      <c r="L15" s="17"/>
      <c r="M15" s="17"/>
      <c r="N15" s="17"/>
      <c r="O15" s="17"/>
      <c r="P15" s="18"/>
      <c r="Q15" s="18"/>
    </row>
    <row r="16" spans="1:17" s="3" customFormat="1" ht="20" x14ac:dyDescent="0.2">
      <c r="B16" s="121" t="s">
        <v>338</v>
      </c>
      <c r="C16" s="93" t="s">
        <v>686</v>
      </c>
      <c r="D16" s="46" t="s">
        <v>204</v>
      </c>
      <c r="E16" s="207">
        <v>53.688980200000003</v>
      </c>
      <c r="F16" s="207">
        <v>-103.3475186</v>
      </c>
      <c r="G16" s="46" t="s">
        <v>529</v>
      </c>
      <c r="H16" s="17"/>
      <c r="I16" s="120">
        <v>230</v>
      </c>
      <c r="J16" s="17"/>
      <c r="K16" s="17"/>
      <c r="L16" s="17"/>
      <c r="M16" s="17"/>
      <c r="N16" s="17"/>
      <c r="O16" s="17"/>
      <c r="P16" s="18"/>
      <c r="Q16" s="18"/>
    </row>
    <row r="17" spans="1:29" s="3" customFormat="1" ht="20" x14ac:dyDescent="0.2">
      <c r="B17" s="121" t="s">
        <v>377</v>
      </c>
      <c r="C17" s="93" t="s">
        <v>687</v>
      </c>
      <c r="D17" s="46" t="s">
        <v>204</v>
      </c>
      <c r="E17" s="207">
        <v>51.872999999999998</v>
      </c>
      <c r="F17" s="207">
        <v>-109.0399</v>
      </c>
      <c r="G17" s="46" t="s">
        <v>529</v>
      </c>
      <c r="H17" s="17"/>
      <c r="I17" s="120">
        <v>138</v>
      </c>
      <c r="J17" s="17"/>
      <c r="K17" s="17"/>
      <c r="L17" s="17"/>
      <c r="M17" s="17"/>
      <c r="N17" s="17"/>
      <c r="O17" s="17"/>
      <c r="P17" s="18"/>
      <c r="Q17" s="18"/>
    </row>
    <row r="18" spans="1:29" ht="20" x14ac:dyDescent="0.2">
      <c r="A18" s="3"/>
      <c r="B18" s="121" t="s">
        <v>371</v>
      </c>
      <c r="C18" s="93" t="s">
        <v>493</v>
      </c>
      <c r="D18" s="46" t="s">
        <v>204</v>
      </c>
      <c r="E18" s="207">
        <v>51.417187670909698</v>
      </c>
      <c r="F18" s="207">
        <v>-106.625851132241</v>
      </c>
      <c r="G18" s="46" t="s">
        <v>529</v>
      </c>
      <c r="H18" s="17"/>
      <c r="I18" s="120">
        <v>138</v>
      </c>
      <c r="J18" s="17"/>
      <c r="K18" s="17"/>
      <c r="L18" s="17"/>
      <c r="M18" s="17"/>
      <c r="N18" s="17"/>
      <c r="O18" s="17"/>
      <c r="P18" s="18"/>
      <c r="Q18" s="18"/>
    </row>
    <row r="19" spans="1:29" s="4" customFormat="1" ht="20" x14ac:dyDescent="0.25">
      <c r="A19" s="3"/>
      <c r="B19" s="121" t="s">
        <v>80</v>
      </c>
      <c r="C19" s="93" t="s">
        <v>688</v>
      </c>
      <c r="D19" s="46" t="s">
        <v>204</v>
      </c>
      <c r="E19" s="207">
        <v>55.528408900000002</v>
      </c>
      <c r="F19" s="207">
        <v>-102.3561468</v>
      </c>
      <c r="G19" s="93" t="s">
        <v>504</v>
      </c>
      <c r="H19" s="17"/>
      <c r="I19" s="120">
        <v>115</v>
      </c>
      <c r="J19" s="17"/>
      <c r="K19" s="17"/>
      <c r="L19" s="17"/>
      <c r="M19" s="17"/>
      <c r="N19" s="17"/>
      <c r="O19" s="17"/>
      <c r="P19" s="18"/>
      <c r="Q19" s="18"/>
      <c r="R19" s="183"/>
      <c r="S19" s="183"/>
      <c r="T19" s="183"/>
      <c r="U19" s="183"/>
      <c r="V19" s="183"/>
      <c r="W19" s="183"/>
      <c r="X19" s="183"/>
      <c r="Y19" s="183"/>
      <c r="Z19" s="183"/>
      <c r="AA19" s="183"/>
      <c r="AB19" s="183"/>
      <c r="AC19" s="183"/>
    </row>
    <row r="20" spans="1:29" ht="20" x14ac:dyDescent="0.2">
      <c r="A20" s="3"/>
      <c r="B20" s="121" t="s">
        <v>348</v>
      </c>
      <c r="C20" s="93" t="s">
        <v>488</v>
      </c>
      <c r="D20" s="46" t="s">
        <v>204</v>
      </c>
      <c r="E20" s="207">
        <v>50.044552317283603</v>
      </c>
      <c r="F20" s="207">
        <v>-102.42204134201501</v>
      </c>
      <c r="G20" s="46" t="s">
        <v>529</v>
      </c>
      <c r="H20" s="17"/>
      <c r="I20" s="120">
        <v>230</v>
      </c>
      <c r="J20" s="17"/>
      <c r="K20" s="17"/>
      <c r="L20" s="17"/>
      <c r="M20" s="17"/>
      <c r="N20" s="17"/>
      <c r="O20" s="17"/>
      <c r="P20" s="18"/>
      <c r="Q20" s="18"/>
    </row>
    <row r="21" spans="1:29" ht="20" x14ac:dyDescent="0.2">
      <c r="A21" s="3"/>
      <c r="B21" s="121" t="s">
        <v>352</v>
      </c>
      <c r="C21" s="93" t="s">
        <v>479</v>
      </c>
      <c r="D21" s="46" t="s">
        <v>204</v>
      </c>
      <c r="E21" s="207">
        <v>57.224408470931799</v>
      </c>
      <c r="F21" s="207">
        <v>-105.645027948739</v>
      </c>
      <c r="G21" s="46" t="s">
        <v>529</v>
      </c>
      <c r="H21" s="17"/>
      <c r="I21" s="120">
        <v>230</v>
      </c>
      <c r="J21" s="17"/>
      <c r="K21" s="17"/>
      <c r="L21" s="17"/>
      <c r="M21" s="17"/>
      <c r="N21" s="17"/>
      <c r="O21" s="17"/>
      <c r="P21" s="18"/>
      <c r="Q21" s="18"/>
    </row>
    <row r="22" spans="1:29" ht="20" x14ac:dyDescent="0.2">
      <c r="A22" s="3"/>
      <c r="B22" s="121" t="s">
        <v>93</v>
      </c>
      <c r="C22" s="93" t="s">
        <v>689</v>
      </c>
      <c r="D22" s="46" t="s">
        <v>204</v>
      </c>
      <c r="E22" s="207">
        <v>52.198799999999999</v>
      </c>
      <c r="F22" s="207">
        <v>-108.4509</v>
      </c>
      <c r="G22" s="46" t="s">
        <v>529</v>
      </c>
      <c r="H22" s="17"/>
      <c r="I22" s="120">
        <v>138</v>
      </c>
      <c r="J22" s="17"/>
      <c r="K22" s="17"/>
      <c r="L22" s="17"/>
      <c r="M22" s="17"/>
      <c r="N22" s="17"/>
      <c r="O22" s="17"/>
      <c r="P22" s="18"/>
      <c r="Q22" s="18"/>
    </row>
    <row r="23" spans="1:29" ht="20" x14ac:dyDescent="0.2">
      <c r="A23" s="3"/>
      <c r="B23" s="121" t="s">
        <v>89</v>
      </c>
      <c r="C23" s="93" t="s">
        <v>489</v>
      </c>
      <c r="D23" s="46" t="s">
        <v>204</v>
      </c>
      <c r="E23" s="207">
        <v>53.247034810948598</v>
      </c>
      <c r="F23" s="207">
        <v>-109.974347142364</v>
      </c>
      <c r="G23" s="46" t="s">
        <v>529</v>
      </c>
      <c r="H23" s="17"/>
      <c r="I23" s="120">
        <v>138</v>
      </c>
      <c r="J23" s="17"/>
      <c r="K23" s="17"/>
      <c r="L23" s="17"/>
      <c r="M23" s="17"/>
      <c r="N23" s="17"/>
      <c r="O23" s="17"/>
      <c r="P23" s="18"/>
      <c r="Q23" s="18"/>
    </row>
    <row r="24" spans="1:29" ht="20" x14ac:dyDescent="0.2">
      <c r="A24" s="3"/>
      <c r="B24" s="121" t="s">
        <v>372</v>
      </c>
      <c r="C24" s="93" t="s">
        <v>495</v>
      </c>
      <c r="D24" s="46" t="s">
        <v>204</v>
      </c>
      <c r="E24" s="207">
        <v>50.646923337078498</v>
      </c>
      <c r="F24" s="207">
        <v>-104.86713739842401</v>
      </c>
      <c r="G24" s="46" t="s">
        <v>529</v>
      </c>
      <c r="H24" s="17"/>
      <c r="I24" s="120">
        <v>138</v>
      </c>
      <c r="J24" s="17"/>
      <c r="K24" s="17"/>
      <c r="L24" s="17"/>
      <c r="M24" s="17"/>
      <c r="N24" s="17"/>
      <c r="O24" s="17"/>
      <c r="P24" s="18"/>
      <c r="Q24" s="18"/>
    </row>
    <row r="25" spans="1:29" ht="20" x14ac:dyDescent="0.2">
      <c r="A25" s="3"/>
      <c r="B25" s="121" t="s">
        <v>88</v>
      </c>
      <c r="C25" s="93" t="s">
        <v>690</v>
      </c>
      <c r="D25" s="46" t="s">
        <v>204</v>
      </c>
      <c r="E25" s="207">
        <v>54.088439999999999</v>
      </c>
      <c r="F25" s="207">
        <v>-108.437515</v>
      </c>
      <c r="G25" s="46" t="s">
        <v>529</v>
      </c>
      <c r="H25" s="17"/>
      <c r="I25" s="120">
        <v>230</v>
      </c>
      <c r="J25" s="17"/>
      <c r="K25" s="17"/>
      <c r="L25" s="17"/>
      <c r="M25" s="17"/>
      <c r="N25" s="17"/>
      <c r="O25" s="17"/>
      <c r="P25" s="18"/>
      <c r="Q25" s="18"/>
    </row>
    <row r="26" spans="1:29" ht="20" x14ac:dyDescent="0.2">
      <c r="A26" s="3"/>
      <c r="B26" s="121" t="s">
        <v>102</v>
      </c>
      <c r="C26" s="93" t="s">
        <v>572</v>
      </c>
      <c r="D26" s="46" t="s">
        <v>204</v>
      </c>
      <c r="E26" s="207">
        <v>50.399054999999997</v>
      </c>
      <c r="F26" s="207">
        <v>-107.223077</v>
      </c>
      <c r="G26" s="46" t="s">
        <v>529</v>
      </c>
      <c r="H26" s="17"/>
      <c r="I26" s="120">
        <v>138</v>
      </c>
      <c r="J26" s="17"/>
      <c r="K26" s="17"/>
      <c r="L26" s="17"/>
      <c r="M26" s="17"/>
      <c r="N26" s="17"/>
      <c r="O26" s="17"/>
      <c r="P26" s="18"/>
      <c r="Q26" s="18"/>
    </row>
    <row r="27" spans="1:29" ht="20" x14ac:dyDescent="0.2">
      <c r="A27" s="3"/>
      <c r="B27" s="121" t="s">
        <v>81</v>
      </c>
      <c r="C27" s="93" t="s">
        <v>691</v>
      </c>
      <c r="D27" s="46" t="s">
        <v>204</v>
      </c>
      <c r="E27" s="207">
        <v>53.320952599999998</v>
      </c>
      <c r="F27" s="207">
        <v>-104.0430781</v>
      </c>
      <c r="G27" s="46" t="s">
        <v>529</v>
      </c>
      <c r="H27" s="17"/>
      <c r="I27" s="120">
        <v>138</v>
      </c>
      <c r="J27" s="17"/>
      <c r="K27" s="17"/>
      <c r="L27" s="17"/>
      <c r="M27" s="17"/>
      <c r="N27" s="17"/>
      <c r="O27" s="17"/>
      <c r="P27" s="18"/>
      <c r="Q27" s="18"/>
    </row>
    <row r="28" spans="1:29" ht="20" x14ac:dyDescent="0.2">
      <c r="A28" s="3"/>
      <c r="B28" s="121" t="s">
        <v>440</v>
      </c>
      <c r="C28" s="93" t="s">
        <v>475</v>
      </c>
      <c r="D28" s="46" t="s">
        <v>204</v>
      </c>
      <c r="E28" s="207">
        <v>50.378345722977699</v>
      </c>
      <c r="F28" s="207">
        <v>-105.391333597574</v>
      </c>
      <c r="G28" s="46" t="s">
        <v>529</v>
      </c>
      <c r="H28" s="17"/>
      <c r="I28" s="120">
        <v>138</v>
      </c>
      <c r="J28" s="17"/>
      <c r="K28" s="17"/>
      <c r="L28" s="17"/>
      <c r="M28" s="17"/>
      <c r="N28" s="17"/>
      <c r="O28" s="17"/>
      <c r="P28" s="18"/>
      <c r="Q28" s="18"/>
    </row>
    <row r="29" spans="1:29" ht="20" x14ac:dyDescent="0.2">
      <c r="A29" s="3"/>
      <c r="B29" s="121" t="s">
        <v>443</v>
      </c>
      <c r="C29" s="93" t="s">
        <v>483</v>
      </c>
      <c r="D29" s="46" t="s">
        <v>204</v>
      </c>
      <c r="E29" s="207">
        <v>50.158979922526598</v>
      </c>
      <c r="F29" s="207">
        <v>-102.94764537133899</v>
      </c>
      <c r="G29" s="46" t="s">
        <v>529</v>
      </c>
      <c r="H29" s="17"/>
      <c r="I29" s="120">
        <v>230</v>
      </c>
      <c r="J29" s="17"/>
      <c r="K29" s="17"/>
      <c r="L29" s="17"/>
      <c r="M29" s="17"/>
      <c r="N29" s="17"/>
      <c r="O29" s="17"/>
      <c r="P29" s="18"/>
      <c r="Q29" s="18"/>
    </row>
    <row r="30" spans="1:29" ht="20" x14ac:dyDescent="0.2">
      <c r="A30" s="3"/>
      <c r="B30" s="121" t="s">
        <v>370</v>
      </c>
      <c r="C30" s="93" t="s">
        <v>482</v>
      </c>
      <c r="D30" s="46" t="s">
        <v>204</v>
      </c>
      <c r="E30" s="207">
        <v>49.057899999999997</v>
      </c>
      <c r="F30" s="207">
        <v>-105.4851</v>
      </c>
      <c r="G30" s="46" t="s">
        <v>529</v>
      </c>
      <c r="H30" s="17"/>
      <c r="I30" s="120">
        <v>230</v>
      </c>
      <c r="J30" s="17"/>
      <c r="K30" s="17"/>
      <c r="L30" s="17"/>
      <c r="M30" s="17"/>
      <c r="N30" s="17"/>
      <c r="O30" s="17"/>
      <c r="P30" s="18"/>
      <c r="Q30" s="18"/>
    </row>
    <row r="31" spans="1:29" ht="20" x14ac:dyDescent="0.2">
      <c r="A31" s="3"/>
      <c r="B31" s="121" t="s">
        <v>361</v>
      </c>
      <c r="C31" s="93" t="s">
        <v>484</v>
      </c>
      <c r="D31" s="46" t="s">
        <v>204</v>
      </c>
      <c r="E31" s="207">
        <v>53.154991281391503</v>
      </c>
      <c r="F31" s="207">
        <v>-105.735622086297</v>
      </c>
      <c r="G31" s="46" t="s">
        <v>529</v>
      </c>
      <c r="H31" s="17"/>
      <c r="I31" s="120">
        <v>138</v>
      </c>
      <c r="J31" s="17"/>
      <c r="K31" s="17"/>
      <c r="L31" s="17"/>
      <c r="M31" s="17"/>
      <c r="N31" s="17"/>
      <c r="O31" s="17"/>
      <c r="P31" s="18"/>
      <c r="Q31" s="18"/>
    </row>
    <row r="32" spans="1:29" ht="20" x14ac:dyDescent="0.2">
      <c r="A32" s="3"/>
      <c r="B32" s="121" t="s">
        <v>437</v>
      </c>
      <c r="C32" s="93" t="s">
        <v>692</v>
      </c>
      <c r="D32" s="46" t="s">
        <v>204</v>
      </c>
      <c r="E32" s="207">
        <v>52.0944</v>
      </c>
      <c r="F32" s="207">
        <v>-106.705</v>
      </c>
      <c r="G32" s="46" t="s">
        <v>529</v>
      </c>
      <c r="H32" s="17"/>
      <c r="I32" s="120">
        <v>230</v>
      </c>
      <c r="J32" s="17"/>
      <c r="K32" s="17"/>
      <c r="L32" s="17"/>
      <c r="M32" s="17"/>
      <c r="N32" s="17"/>
      <c r="O32" s="17"/>
      <c r="P32" s="18"/>
      <c r="Q32" s="18"/>
    </row>
    <row r="33" spans="1:29" ht="20" x14ac:dyDescent="0.2">
      <c r="A33" s="3"/>
      <c r="B33" s="121" t="s">
        <v>559</v>
      </c>
      <c r="C33" s="93" t="s">
        <v>473</v>
      </c>
      <c r="D33" s="46" t="s">
        <v>204</v>
      </c>
      <c r="E33" s="207">
        <v>50.431098510795799</v>
      </c>
      <c r="F33" s="207">
        <v>-104.5494266881</v>
      </c>
      <c r="G33" s="46" t="s">
        <v>529</v>
      </c>
      <c r="H33" s="17"/>
      <c r="I33" s="120">
        <v>230</v>
      </c>
      <c r="J33" s="17"/>
      <c r="K33" s="17"/>
      <c r="L33" s="17"/>
      <c r="M33" s="17"/>
      <c r="N33" s="17"/>
      <c r="O33" s="17"/>
      <c r="P33" s="18"/>
      <c r="Q33" s="18"/>
    </row>
    <row r="34" spans="1:29" ht="20" x14ac:dyDescent="0.2">
      <c r="A34" s="3"/>
      <c r="B34" s="121" t="s">
        <v>564</v>
      </c>
      <c r="C34" s="93" t="s">
        <v>566</v>
      </c>
      <c r="D34" s="46" t="s">
        <v>204</v>
      </c>
      <c r="E34" s="207">
        <v>50.892871999999997</v>
      </c>
      <c r="F34" s="207">
        <v>-106.881422</v>
      </c>
      <c r="G34" s="46" t="s">
        <v>529</v>
      </c>
      <c r="H34" s="17"/>
      <c r="I34" s="120">
        <v>138</v>
      </c>
      <c r="J34" s="17"/>
      <c r="K34" s="17"/>
      <c r="L34" s="17"/>
      <c r="M34" s="17"/>
      <c r="N34" s="17"/>
      <c r="O34" s="17"/>
      <c r="P34" s="18"/>
      <c r="Q34" s="18"/>
    </row>
    <row r="35" spans="1:29" ht="20" x14ac:dyDescent="0.25">
      <c r="A35" s="3"/>
      <c r="B35" s="121" t="s">
        <v>392</v>
      </c>
      <c r="C35" s="93" t="s">
        <v>485</v>
      </c>
      <c r="D35" s="46" t="s">
        <v>204</v>
      </c>
      <c r="E35" s="207">
        <v>50.3425346370394</v>
      </c>
      <c r="F35" s="207">
        <v>-107.401577436051</v>
      </c>
      <c r="G35" s="46" t="s">
        <v>529</v>
      </c>
      <c r="H35" s="17"/>
      <c r="I35" s="120">
        <v>230</v>
      </c>
      <c r="J35" s="17"/>
      <c r="K35" s="17"/>
      <c r="L35" s="17"/>
      <c r="M35" s="17"/>
      <c r="N35" s="17"/>
      <c r="O35" s="17"/>
      <c r="P35" s="18"/>
      <c r="Q35" s="18"/>
      <c r="R35" s="28"/>
      <c r="S35" s="28"/>
      <c r="T35" s="34"/>
      <c r="U35" s="28"/>
      <c r="V35" s="34"/>
      <c r="W35" s="34"/>
      <c r="X35" s="4"/>
    </row>
    <row r="36" spans="1:29" ht="20" x14ac:dyDescent="0.2">
      <c r="A36" s="3"/>
      <c r="B36" s="121" t="s">
        <v>364</v>
      </c>
      <c r="C36" s="93" t="s">
        <v>491</v>
      </c>
      <c r="D36" s="46" t="s">
        <v>204</v>
      </c>
      <c r="E36" s="207">
        <v>53.065357943006802</v>
      </c>
      <c r="F36" s="207">
        <v>-105.73248824370199</v>
      </c>
      <c r="G36" s="46" t="s">
        <v>529</v>
      </c>
      <c r="H36" s="17"/>
      <c r="I36" s="120">
        <v>138</v>
      </c>
      <c r="J36" s="17"/>
      <c r="K36" s="17"/>
      <c r="L36" s="17"/>
      <c r="M36" s="17"/>
      <c r="N36" s="17"/>
      <c r="O36" s="17"/>
      <c r="P36" s="18"/>
      <c r="Q36" s="18"/>
    </row>
    <row r="37" spans="1:29" ht="20" x14ac:dyDescent="0.2">
      <c r="A37" s="3"/>
      <c r="B37" s="121" t="s">
        <v>87</v>
      </c>
      <c r="C37" s="93" t="s">
        <v>693</v>
      </c>
      <c r="D37" s="46" t="s">
        <v>204</v>
      </c>
      <c r="E37" s="207">
        <v>49.075099999999999</v>
      </c>
      <c r="F37" s="207">
        <v>-102.86409999999999</v>
      </c>
      <c r="G37" s="46" t="s">
        <v>529</v>
      </c>
      <c r="H37" s="17"/>
      <c r="I37" s="120">
        <v>230</v>
      </c>
      <c r="J37" s="17"/>
      <c r="K37" s="17"/>
      <c r="L37" s="17"/>
      <c r="M37" s="17"/>
      <c r="N37" s="17"/>
      <c r="O37" s="17"/>
      <c r="P37" s="18"/>
      <c r="Q37" s="18"/>
    </row>
    <row r="38" spans="1:29" ht="20" x14ac:dyDescent="0.2">
      <c r="A38" s="3"/>
      <c r="B38" s="121" t="s">
        <v>97</v>
      </c>
      <c r="C38" s="93" t="s">
        <v>476</v>
      </c>
      <c r="D38" s="46" t="s">
        <v>204</v>
      </c>
      <c r="E38" s="207">
        <v>50.298269273821901</v>
      </c>
      <c r="F38" s="207">
        <v>-107.926207656183</v>
      </c>
      <c r="G38" s="46" t="s">
        <v>529</v>
      </c>
      <c r="H38" s="17"/>
      <c r="I38" s="120">
        <v>230</v>
      </c>
      <c r="J38" s="17"/>
      <c r="K38" s="17"/>
      <c r="L38" s="17"/>
      <c r="M38" s="17"/>
      <c r="N38" s="17"/>
      <c r="O38" s="17"/>
      <c r="P38" s="18"/>
      <c r="Q38" s="18"/>
    </row>
    <row r="39" spans="1:29" ht="20" x14ac:dyDescent="0.2">
      <c r="A39" s="3"/>
      <c r="B39" s="121" t="s">
        <v>128</v>
      </c>
      <c r="C39" s="93" t="s">
        <v>480</v>
      </c>
      <c r="D39" s="46" t="s">
        <v>204</v>
      </c>
      <c r="E39" s="207">
        <v>50.596095896919003</v>
      </c>
      <c r="F39" s="207">
        <v>-101.855381193182</v>
      </c>
      <c r="G39" s="46" t="s">
        <v>529</v>
      </c>
      <c r="H39" s="17"/>
      <c r="I39" s="120">
        <v>230</v>
      </c>
      <c r="J39" s="17"/>
      <c r="K39" s="17"/>
      <c r="L39" s="17"/>
      <c r="M39" s="17"/>
      <c r="N39" s="17"/>
      <c r="O39" s="17"/>
      <c r="P39" s="18"/>
      <c r="Q39" s="18"/>
    </row>
    <row r="40" spans="1:29" ht="20" x14ac:dyDescent="0.2">
      <c r="A40" s="3"/>
      <c r="B40" s="121" t="s">
        <v>360</v>
      </c>
      <c r="C40" s="93" t="s">
        <v>490</v>
      </c>
      <c r="D40" s="46" t="s">
        <v>204</v>
      </c>
      <c r="E40" s="207">
        <v>52.878664086101701</v>
      </c>
      <c r="F40" s="207">
        <v>-104.037315169933</v>
      </c>
      <c r="G40" s="46" t="s">
        <v>529</v>
      </c>
      <c r="H40" s="17"/>
      <c r="I40" s="120">
        <v>138</v>
      </c>
      <c r="J40" s="17"/>
      <c r="K40" s="17"/>
      <c r="L40" s="17"/>
      <c r="M40" s="17"/>
      <c r="N40" s="17"/>
      <c r="O40" s="17"/>
      <c r="P40" s="18"/>
      <c r="Q40" s="18"/>
    </row>
    <row r="41" spans="1:29" ht="20" x14ac:dyDescent="0.2">
      <c r="A41" s="3"/>
      <c r="B41" s="121" t="s">
        <v>343</v>
      </c>
      <c r="C41" s="93" t="s">
        <v>494</v>
      </c>
      <c r="D41" s="46" t="s">
        <v>204</v>
      </c>
      <c r="E41" s="207">
        <v>59.569022881129101</v>
      </c>
      <c r="F41" s="207">
        <v>-108.60966136755999</v>
      </c>
      <c r="G41" s="46" t="s">
        <v>504</v>
      </c>
      <c r="H41" s="17"/>
      <c r="I41" s="120">
        <v>115</v>
      </c>
      <c r="J41" s="17"/>
      <c r="K41" s="17"/>
      <c r="L41" s="17"/>
      <c r="M41" s="17"/>
      <c r="N41" s="17"/>
      <c r="O41" s="17"/>
      <c r="P41" s="18"/>
      <c r="Q41" s="18"/>
    </row>
    <row r="42" spans="1:29" ht="20" x14ac:dyDescent="0.2">
      <c r="A42" s="3"/>
      <c r="B42" s="121" t="s">
        <v>350</v>
      </c>
      <c r="C42" s="93" t="s">
        <v>474</v>
      </c>
      <c r="D42" s="46" t="s">
        <v>204</v>
      </c>
      <c r="E42" s="207">
        <v>49.643354693581998</v>
      </c>
      <c r="F42" s="207">
        <v>-103.90169097441</v>
      </c>
      <c r="G42" s="46" t="s">
        <v>529</v>
      </c>
      <c r="H42" s="17"/>
      <c r="I42" s="120">
        <v>138</v>
      </c>
      <c r="J42" s="17"/>
      <c r="K42" s="17"/>
      <c r="L42" s="17"/>
      <c r="M42" s="17"/>
      <c r="N42" s="17"/>
      <c r="O42" s="17"/>
      <c r="P42" s="18"/>
      <c r="Q42" s="18"/>
    </row>
    <row r="43" spans="1:29" s="58" customFormat="1" ht="20" x14ac:dyDescent="0.2">
      <c r="A43" s="183"/>
      <c r="B43" s="121" t="s">
        <v>438</v>
      </c>
      <c r="C43" s="93" t="s">
        <v>472</v>
      </c>
      <c r="D43" s="46" t="s">
        <v>204</v>
      </c>
      <c r="E43" s="207">
        <v>51.878729333116802</v>
      </c>
      <c r="F43" s="207">
        <v>-105.31231073571099</v>
      </c>
      <c r="G43" s="46" t="s">
        <v>529</v>
      </c>
      <c r="H43" s="17"/>
      <c r="I43" s="120">
        <v>138</v>
      </c>
      <c r="J43" s="17"/>
      <c r="K43" s="17"/>
      <c r="L43" s="17"/>
      <c r="M43" s="17"/>
      <c r="N43" s="17"/>
      <c r="O43" s="17"/>
      <c r="P43" s="18"/>
      <c r="Q43" s="18"/>
      <c r="R43" s="183"/>
      <c r="S43" s="183"/>
      <c r="T43" s="183"/>
      <c r="U43" s="183"/>
      <c r="V43" s="183"/>
      <c r="W43" s="183"/>
      <c r="X43" s="183"/>
      <c r="Y43" s="183"/>
      <c r="Z43" s="183"/>
      <c r="AA43" s="183"/>
      <c r="AB43" s="183"/>
      <c r="AC43" s="183"/>
    </row>
    <row r="44" spans="1:29" s="58" customFormat="1" ht="20" x14ac:dyDescent="0.2">
      <c r="A44" s="183"/>
      <c r="B44" s="121" t="s">
        <v>444</v>
      </c>
      <c r="C44" s="93" t="s">
        <v>486</v>
      </c>
      <c r="D44" s="46" t="s">
        <v>204</v>
      </c>
      <c r="E44" s="207">
        <v>51.1867307608372</v>
      </c>
      <c r="F44" s="207">
        <v>-102.452696909018</v>
      </c>
      <c r="G44" s="46" t="s">
        <v>529</v>
      </c>
      <c r="H44" s="17"/>
      <c r="I44" s="120">
        <v>138</v>
      </c>
      <c r="J44" s="17"/>
      <c r="K44" s="17"/>
      <c r="L44" s="17"/>
      <c r="M44" s="17"/>
      <c r="N44" s="17"/>
      <c r="O44" s="17"/>
      <c r="P44" s="18"/>
      <c r="Q44" s="18"/>
      <c r="R44" s="183"/>
      <c r="S44" s="183"/>
      <c r="T44" s="183"/>
      <c r="U44" s="183"/>
      <c r="V44" s="183"/>
      <c r="W44" s="183"/>
      <c r="X44" s="183"/>
      <c r="Y44" s="183"/>
      <c r="Z44" s="183"/>
      <c r="AA44" s="183"/>
      <c r="AB44" s="183"/>
      <c r="AC44" s="183"/>
    </row>
    <row r="45" spans="1:29" s="58" customFormat="1" x14ac:dyDescent="0.2">
      <c r="A45" s="183"/>
      <c r="B45" s="183"/>
      <c r="C45" s="89"/>
      <c r="H45" s="59"/>
      <c r="J45" s="59"/>
      <c r="K45" s="183"/>
      <c r="L45" s="183"/>
      <c r="M45" s="183"/>
      <c r="P45" s="183"/>
      <c r="Q45" s="183"/>
      <c r="R45" s="183"/>
      <c r="S45" s="183"/>
      <c r="T45" s="183"/>
      <c r="U45" s="183"/>
      <c r="V45" s="183"/>
      <c r="W45" s="183"/>
      <c r="X45" s="183"/>
      <c r="Y45" s="183"/>
      <c r="Z45" s="183"/>
      <c r="AA45" s="183"/>
      <c r="AB45" s="183"/>
      <c r="AC45" s="183"/>
    </row>
    <row r="46" spans="1:29" ht="19" x14ac:dyDescent="0.2">
      <c r="A46" s="227" t="s">
        <v>460</v>
      </c>
      <c r="C46" s="183"/>
      <c r="D46" s="183"/>
      <c r="E46" s="183"/>
      <c r="F46" s="183"/>
      <c r="G46" s="183"/>
      <c r="H46" s="183"/>
      <c r="I46" s="183"/>
      <c r="J46" s="183"/>
      <c r="N46" s="183"/>
      <c r="O46" s="183"/>
    </row>
    <row r="47" spans="1:29" ht="19" x14ac:dyDescent="0.25">
      <c r="A47" s="4" t="s">
        <v>810</v>
      </c>
      <c r="C47" s="183"/>
      <c r="D47" s="183"/>
      <c r="E47" s="183"/>
      <c r="F47" s="183"/>
      <c r="G47" s="183"/>
      <c r="H47" s="183"/>
      <c r="I47" s="183"/>
      <c r="J47" s="183"/>
      <c r="N47" s="183"/>
      <c r="O47" s="183"/>
    </row>
    <row r="48" spans="1:29" ht="19" x14ac:dyDescent="0.25">
      <c r="A48" s="4" t="s">
        <v>811</v>
      </c>
      <c r="C48" s="183"/>
      <c r="D48" s="183"/>
      <c r="E48" s="183"/>
      <c r="F48" s="183"/>
      <c r="G48" s="183"/>
      <c r="H48" s="183"/>
      <c r="I48" s="183"/>
      <c r="J48" s="183"/>
      <c r="N48" s="183"/>
      <c r="O48" s="183"/>
    </row>
    <row r="49" spans="1:29" ht="19" x14ac:dyDescent="0.25">
      <c r="A49" s="4" t="s">
        <v>812</v>
      </c>
      <c r="C49" s="183"/>
      <c r="D49" s="183"/>
      <c r="E49" s="183"/>
      <c r="F49" s="183"/>
      <c r="G49" s="183"/>
      <c r="H49" s="183"/>
      <c r="I49" s="183"/>
      <c r="J49" s="28"/>
      <c r="N49" s="183"/>
      <c r="O49" s="34"/>
      <c r="P49" s="28"/>
      <c r="Q49" s="28"/>
      <c r="R49" s="34"/>
      <c r="S49" s="28"/>
      <c r="T49" s="34"/>
      <c r="U49" s="34"/>
      <c r="V49" s="4"/>
    </row>
    <row r="50" spans="1:29" ht="19" x14ac:dyDescent="0.25">
      <c r="A50" s="4" t="s">
        <v>813</v>
      </c>
      <c r="C50" s="183"/>
      <c r="D50" s="183"/>
      <c r="E50" s="183"/>
      <c r="F50" s="183"/>
      <c r="G50" s="183"/>
      <c r="H50" s="183"/>
      <c r="I50" s="183"/>
      <c r="J50" s="28"/>
      <c r="N50" s="183"/>
      <c r="O50" s="34"/>
      <c r="P50" s="28"/>
      <c r="Q50" s="28"/>
      <c r="R50" s="34"/>
      <c r="S50" s="28"/>
      <c r="T50" s="34"/>
      <c r="U50" s="34"/>
      <c r="V50" s="4"/>
    </row>
    <row r="51" spans="1:29" ht="19" x14ac:dyDescent="0.25">
      <c r="A51" s="4" t="s">
        <v>814</v>
      </c>
      <c r="C51" s="183"/>
      <c r="D51" s="183"/>
      <c r="E51" s="183"/>
      <c r="F51" s="183"/>
      <c r="G51" s="183"/>
      <c r="H51" s="183"/>
      <c r="I51" s="183"/>
      <c r="J51" s="183"/>
      <c r="N51" s="183"/>
      <c r="O51" s="183"/>
    </row>
    <row r="52" spans="1:29" ht="19" x14ac:dyDescent="0.25">
      <c r="A52" s="4" t="s">
        <v>815</v>
      </c>
      <c r="C52" s="183"/>
      <c r="D52" s="183"/>
      <c r="E52" s="183"/>
      <c r="F52" s="183"/>
      <c r="G52" s="183"/>
      <c r="H52" s="183"/>
      <c r="I52" s="183"/>
      <c r="J52" s="183"/>
      <c r="N52" s="183"/>
      <c r="O52" s="183"/>
    </row>
    <row r="53" spans="1:29" ht="19" x14ac:dyDescent="0.25">
      <c r="A53" s="4" t="s">
        <v>816</v>
      </c>
      <c r="C53" s="183"/>
      <c r="D53" s="183"/>
      <c r="E53" s="183"/>
      <c r="F53" s="183"/>
      <c r="G53" s="183"/>
      <c r="H53" s="183"/>
      <c r="I53" s="183"/>
      <c r="J53" s="183"/>
      <c r="N53" s="183"/>
      <c r="O53" s="183"/>
    </row>
    <row r="54" spans="1:29" ht="19" x14ac:dyDescent="0.25">
      <c r="A54" s="4" t="s">
        <v>817</v>
      </c>
      <c r="C54" s="183"/>
      <c r="D54" s="183"/>
      <c r="E54" s="183"/>
      <c r="F54" s="183"/>
      <c r="G54" s="183"/>
      <c r="H54" s="183"/>
      <c r="I54" s="183"/>
      <c r="J54" s="183"/>
      <c r="N54" s="183"/>
      <c r="O54" s="183"/>
    </row>
    <row r="55" spans="1:29" ht="19" x14ac:dyDescent="0.25">
      <c r="A55" s="4" t="s">
        <v>461</v>
      </c>
      <c r="C55" s="183"/>
      <c r="D55" s="183"/>
      <c r="E55" s="183"/>
      <c r="F55" s="183"/>
      <c r="G55" s="183"/>
      <c r="H55" s="183"/>
      <c r="I55" s="183"/>
      <c r="J55" s="183"/>
      <c r="N55" s="183"/>
      <c r="O55" s="183"/>
    </row>
    <row r="56" spans="1:29" ht="19" x14ac:dyDescent="0.25">
      <c r="A56" s="4" t="s">
        <v>462</v>
      </c>
      <c r="C56" s="183"/>
      <c r="D56" s="183"/>
      <c r="E56" s="183"/>
      <c r="F56" s="183"/>
      <c r="G56" s="183"/>
      <c r="H56" s="183"/>
      <c r="I56" s="183"/>
      <c r="J56" s="183"/>
      <c r="N56" s="183"/>
      <c r="O56" s="183"/>
    </row>
    <row r="57" spans="1:29" ht="19" x14ac:dyDescent="0.25">
      <c r="A57" s="4" t="s">
        <v>818</v>
      </c>
      <c r="C57" s="183"/>
      <c r="D57" s="183"/>
      <c r="E57" s="183"/>
      <c r="F57" s="183"/>
      <c r="G57" s="183"/>
      <c r="H57" s="183"/>
      <c r="I57" s="183"/>
      <c r="J57" s="183"/>
      <c r="N57" s="183"/>
      <c r="O57" s="183"/>
    </row>
    <row r="58" spans="1:29" ht="19" x14ac:dyDescent="0.25">
      <c r="A58" s="4" t="s">
        <v>463</v>
      </c>
      <c r="C58" s="183"/>
      <c r="D58" s="183"/>
      <c r="E58" s="183"/>
      <c r="F58" s="183"/>
      <c r="G58" s="183"/>
      <c r="H58" s="183"/>
      <c r="I58" s="183"/>
      <c r="J58" s="183"/>
      <c r="N58" s="183"/>
      <c r="O58" s="183"/>
    </row>
    <row r="59" spans="1:29" ht="19" x14ac:dyDescent="0.25">
      <c r="A59" s="4" t="s">
        <v>819</v>
      </c>
      <c r="C59" s="183"/>
      <c r="D59" s="183"/>
      <c r="E59" s="183"/>
      <c r="F59" s="183"/>
      <c r="G59" s="183"/>
      <c r="H59" s="183"/>
      <c r="I59" s="183"/>
      <c r="J59" s="183"/>
      <c r="N59" s="183"/>
      <c r="O59" s="183"/>
    </row>
    <row r="60" spans="1:29" s="58" customFormat="1" x14ac:dyDescent="0.2">
      <c r="A60" s="183"/>
      <c r="B60" s="183"/>
      <c r="C60" s="89"/>
      <c r="H60" s="59"/>
      <c r="J60" s="59"/>
      <c r="K60" s="183"/>
      <c r="L60" s="183"/>
      <c r="M60" s="183"/>
      <c r="P60" s="183"/>
      <c r="Q60" s="183"/>
      <c r="R60" s="183"/>
      <c r="S60" s="183"/>
      <c r="T60" s="183"/>
      <c r="U60" s="183"/>
      <c r="V60" s="183"/>
      <c r="W60" s="183"/>
      <c r="X60" s="183"/>
      <c r="Y60" s="183"/>
      <c r="Z60" s="183"/>
      <c r="AA60" s="183"/>
      <c r="AB60" s="183"/>
      <c r="AC60" s="183"/>
    </row>
    <row r="61" spans="1:29" s="58" customFormat="1" x14ac:dyDescent="0.2">
      <c r="A61" s="183"/>
      <c r="B61" s="183"/>
      <c r="C61" s="89"/>
      <c r="H61" s="59"/>
      <c r="J61" s="59"/>
      <c r="K61" s="183"/>
      <c r="L61" s="183"/>
      <c r="M61" s="183"/>
      <c r="P61" s="183"/>
      <c r="Q61" s="183"/>
      <c r="R61" s="183"/>
      <c r="S61" s="183"/>
      <c r="T61" s="183"/>
      <c r="U61" s="183"/>
      <c r="V61" s="183"/>
      <c r="W61" s="183"/>
      <c r="X61" s="183"/>
      <c r="Y61" s="183"/>
      <c r="Z61" s="183"/>
      <c r="AA61" s="183"/>
      <c r="AB61" s="183"/>
      <c r="AC61" s="183"/>
    </row>
    <row r="62" spans="1:29" s="58" customFormat="1" x14ac:dyDescent="0.2">
      <c r="A62" s="183"/>
      <c r="B62" s="183"/>
      <c r="C62" s="89"/>
      <c r="H62" s="59"/>
      <c r="J62" s="59"/>
      <c r="K62" s="183"/>
      <c r="L62" s="183"/>
      <c r="M62" s="183"/>
      <c r="P62" s="183"/>
      <c r="Q62" s="183"/>
      <c r="R62" s="183"/>
      <c r="S62" s="183"/>
      <c r="T62" s="183"/>
      <c r="U62" s="183"/>
      <c r="V62" s="183"/>
      <c r="W62" s="183"/>
      <c r="X62" s="183"/>
      <c r="Y62" s="183"/>
      <c r="Z62" s="183"/>
      <c r="AA62" s="183"/>
      <c r="AB62" s="183"/>
      <c r="AC62" s="183"/>
    </row>
    <row r="63" spans="1:29" s="58" customFormat="1" x14ac:dyDescent="0.2">
      <c r="A63" s="183"/>
      <c r="B63" s="183"/>
      <c r="C63" s="89"/>
      <c r="H63" s="59"/>
      <c r="J63" s="59"/>
      <c r="K63" s="183"/>
      <c r="L63" s="183"/>
      <c r="M63" s="183"/>
      <c r="P63" s="183"/>
      <c r="Q63" s="183"/>
      <c r="R63" s="183"/>
      <c r="S63" s="183"/>
      <c r="T63" s="183"/>
      <c r="U63" s="183"/>
      <c r="V63" s="183"/>
      <c r="W63" s="183"/>
      <c r="X63" s="183"/>
      <c r="Y63" s="183"/>
      <c r="Z63" s="183"/>
      <c r="AA63" s="183"/>
      <c r="AB63" s="183"/>
      <c r="AC63" s="183"/>
    </row>
    <row r="64" spans="1:29" s="58" customFormat="1" x14ac:dyDescent="0.2">
      <c r="A64" s="183"/>
      <c r="B64" s="183"/>
      <c r="C64" s="89"/>
      <c r="H64" s="59"/>
      <c r="J64" s="59"/>
      <c r="K64" s="183"/>
      <c r="L64" s="183"/>
      <c r="M64" s="183"/>
      <c r="P64" s="183"/>
      <c r="Q64" s="183"/>
      <c r="R64" s="183"/>
      <c r="S64" s="183"/>
      <c r="T64" s="183"/>
      <c r="U64" s="183"/>
      <c r="V64" s="183"/>
      <c r="W64" s="183"/>
      <c r="X64" s="183"/>
      <c r="Y64" s="183"/>
      <c r="Z64" s="183"/>
      <c r="AA64" s="183"/>
      <c r="AB64" s="183"/>
      <c r="AC64" s="183"/>
    </row>
    <row r="65" spans="1:29" s="58" customFormat="1" x14ac:dyDescent="0.2">
      <c r="A65" s="183"/>
      <c r="B65" s="183"/>
      <c r="C65" s="89"/>
      <c r="H65" s="59"/>
      <c r="J65" s="59"/>
      <c r="K65" s="183"/>
      <c r="L65" s="183"/>
      <c r="M65" s="183"/>
      <c r="P65" s="183"/>
      <c r="Q65" s="183"/>
      <c r="R65" s="183"/>
      <c r="S65" s="183"/>
      <c r="T65" s="183"/>
      <c r="U65" s="183"/>
      <c r="V65" s="183"/>
      <c r="W65" s="183"/>
      <c r="X65" s="183"/>
      <c r="Y65" s="183"/>
      <c r="Z65" s="183"/>
      <c r="AA65" s="183"/>
      <c r="AB65" s="183"/>
      <c r="AC65" s="183"/>
    </row>
    <row r="66" spans="1:29" s="58" customFormat="1" x14ac:dyDescent="0.2">
      <c r="A66" s="183"/>
      <c r="B66" s="183"/>
      <c r="C66" s="89"/>
      <c r="H66" s="59"/>
      <c r="J66" s="59"/>
      <c r="K66" s="183"/>
      <c r="L66" s="183"/>
      <c r="M66" s="183"/>
      <c r="P66" s="183"/>
      <c r="Q66" s="183"/>
      <c r="R66" s="183"/>
      <c r="S66" s="183"/>
      <c r="T66" s="183"/>
      <c r="U66" s="183"/>
      <c r="V66" s="183"/>
      <c r="W66" s="183"/>
      <c r="X66" s="183"/>
      <c r="Y66" s="183"/>
      <c r="Z66" s="183"/>
      <c r="AA66" s="183"/>
      <c r="AB66" s="183"/>
      <c r="AC66" s="183"/>
    </row>
    <row r="67" spans="1:29" s="58" customFormat="1" x14ac:dyDescent="0.2">
      <c r="A67" s="183"/>
      <c r="B67" s="183"/>
      <c r="C67" s="89"/>
      <c r="H67" s="59"/>
      <c r="J67" s="59"/>
      <c r="K67" s="183"/>
      <c r="L67" s="183"/>
      <c r="M67" s="183"/>
      <c r="P67" s="183"/>
      <c r="Q67" s="183"/>
      <c r="R67" s="183"/>
      <c r="S67" s="183"/>
      <c r="T67" s="183"/>
      <c r="U67" s="183"/>
      <c r="V67" s="183"/>
      <c r="W67" s="183"/>
      <c r="X67" s="183"/>
      <c r="Y67" s="183"/>
      <c r="Z67" s="183"/>
      <c r="AA67" s="183"/>
      <c r="AB67" s="183"/>
      <c r="AC67" s="183"/>
    </row>
    <row r="68" spans="1:29" s="58" customFormat="1" x14ac:dyDescent="0.2">
      <c r="A68" s="183"/>
      <c r="B68" s="183"/>
      <c r="C68" s="89"/>
      <c r="H68" s="59"/>
      <c r="J68" s="59"/>
      <c r="K68" s="183"/>
      <c r="L68" s="183"/>
      <c r="M68" s="183"/>
      <c r="P68" s="183"/>
      <c r="Q68" s="183"/>
      <c r="R68" s="183"/>
      <c r="S68" s="183"/>
      <c r="T68" s="183"/>
      <c r="U68" s="183"/>
      <c r="V68" s="183"/>
      <c r="W68" s="183"/>
      <c r="X68" s="183"/>
      <c r="Y68" s="183"/>
      <c r="Z68" s="183"/>
      <c r="AA68" s="183"/>
      <c r="AB68" s="183"/>
      <c r="AC68" s="183"/>
    </row>
    <row r="69" spans="1:29" s="58" customFormat="1" x14ac:dyDescent="0.2">
      <c r="A69" s="183"/>
      <c r="B69" s="183"/>
      <c r="C69" s="89"/>
      <c r="H69" s="59"/>
      <c r="J69" s="59"/>
      <c r="K69" s="183"/>
      <c r="L69" s="183"/>
      <c r="M69" s="183"/>
      <c r="P69" s="183"/>
      <c r="Q69" s="183"/>
      <c r="R69" s="183"/>
      <c r="S69" s="183"/>
      <c r="T69" s="183"/>
      <c r="U69" s="183"/>
      <c r="V69" s="183"/>
      <c r="W69" s="183"/>
      <c r="X69" s="183"/>
      <c r="Y69" s="183"/>
      <c r="Z69" s="183"/>
      <c r="AA69" s="183"/>
      <c r="AB69" s="183"/>
      <c r="AC69" s="183"/>
    </row>
    <row r="70" spans="1:29" s="58" customFormat="1" x14ac:dyDescent="0.2">
      <c r="A70" s="183"/>
      <c r="B70" s="183"/>
      <c r="C70" s="89"/>
      <c r="H70" s="59"/>
      <c r="J70" s="59"/>
      <c r="K70" s="183"/>
      <c r="L70" s="183"/>
      <c r="M70" s="183"/>
      <c r="P70" s="183"/>
      <c r="Q70" s="183"/>
      <c r="R70" s="183"/>
      <c r="S70" s="183"/>
      <c r="T70" s="183"/>
      <c r="U70" s="183"/>
      <c r="V70" s="183"/>
      <c r="W70" s="183"/>
      <c r="X70" s="183"/>
      <c r="Y70" s="183"/>
      <c r="Z70" s="183"/>
      <c r="AA70" s="183"/>
      <c r="AB70" s="183"/>
      <c r="AC70" s="183"/>
    </row>
    <row r="71" spans="1:29" s="58" customFormat="1" x14ac:dyDescent="0.2">
      <c r="A71" s="183"/>
      <c r="B71" s="183"/>
      <c r="C71" s="89"/>
      <c r="H71" s="59"/>
      <c r="J71" s="59"/>
      <c r="K71" s="183"/>
      <c r="L71" s="183"/>
      <c r="M71" s="183"/>
      <c r="P71" s="183"/>
      <c r="Q71" s="183"/>
      <c r="R71" s="183"/>
      <c r="S71" s="183"/>
      <c r="T71" s="183"/>
      <c r="U71" s="183"/>
      <c r="V71" s="183"/>
      <c r="W71" s="183"/>
      <c r="X71" s="183"/>
      <c r="Y71" s="183"/>
      <c r="Z71" s="183"/>
      <c r="AA71" s="183"/>
      <c r="AB71" s="183"/>
      <c r="AC71" s="183"/>
    </row>
    <row r="72" spans="1:29" s="58" customFormat="1" x14ac:dyDescent="0.2">
      <c r="A72" s="183"/>
      <c r="B72" s="183"/>
      <c r="C72" s="89"/>
      <c r="H72" s="59"/>
      <c r="J72" s="59"/>
      <c r="K72" s="183"/>
      <c r="L72" s="183"/>
      <c r="M72" s="183"/>
      <c r="P72" s="183"/>
      <c r="Q72" s="183"/>
      <c r="R72" s="183"/>
      <c r="S72" s="183"/>
      <c r="T72" s="183"/>
      <c r="U72" s="183"/>
      <c r="V72" s="183"/>
      <c r="W72" s="183"/>
      <c r="X72" s="183"/>
      <c r="Y72" s="183"/>
      <c r="Z72" s="183"/>
      <c r="AA72" s="183"/>
      <c r="AB72" s="183"/>
      <c r="AC72" s="183"/>
    </row>
    <row r="73" spans="1:29" s="58" customFormat="1" x14ac:dyDescent="0.2">
      <c r="A73" s="183"/>
      <c r="B73" s="183"/>
      <c r="C73" s="89"/>
      <c r="H73" s="59"/>
      <c r="J73" s="59"/>
      <c r="K73" s="183"/>
      <c r="L73" s="183"/>
      <c r="M73" s="183"/>
      <c r="P73" s="183"/>
      <c r="Q73" s="183"/>
      <c r="R73" s="183"/>
      <c r="S73" s="183"/>
      <c r="T73" s="183"/>
      <c r="U73" s="183"/>
      <c r="V73" s="183"/>
      <c r="W73" s="183"/>
      <c r="X73" s="183"/>
      <c r="Y73" s="183"/>
      <c r="Z73" s="183"/>
      <c r="AA73" s="183"/>
      <c r="AB73" s="183"/>
      <c r="AC73" s="183"/>
    </row>
    <row r="74" spans="1:29" s="58" customFormat="1" x14ac:dyDescent="0.2">
      <c r="A74" s="183"/>
      <c r="B74" s="183"/>
      <c r="C74" s="89"/>
      <c r="H74" s="59"/>
      <c r="J74" s="59"/>
      <c r="K74" s="183"/>
      <c r="L74" s="183"/>
      <c r="M74" s="183"/>
      <c r="P74" s="183"/>
      <c r="Q74" s="183"/>
      <c r="R74" s="183"/>
      <c r="S74" s="183"/>
      <c r="T74" s="183"/>
      <c r="U74" s="183"/>
      <c r="V74" s="183"/>
      <c r="W74" s="183"/>
      <c r="X74" s="183"/>
      <c r="Y74" s="183"/>
      <c r="Z74" s="183"/>
      <c r="AA74" s="183"/>
      <c r="AB74" s="183"/>
      <c r="AC74" s="183"/>
    </row>
    <row r="75" spans="1:29" s="58" customFormat="1" x14ac:dyDescent="0.2">
      <c r="A75" s="183"/>
      <c r="B75" s="183"/>
      <c r="C75" s="89"/>
      <c r="H75" s="59"/>
      <c r="J75" s="59"/>
      <c r="K75" s="183"/>
      <c r="L75" s="183"/>
      <c r="M75" s="183"/>
      <c r="P75" s="183"/>
      <c r="Q75" s="183"/>
      <c r="R75" s="183"/>
      <c r="S75" s="183"/>
      <c r="T75" s="183"/>
      <c r="U75" s="183"/>
      <c r="V75" s="183"/>
      <c r="W75" s="183"/>
      <c r="X75" s="183"/>
      <c r="Y75" s="183"/>
      <c r="Z75" s="183"/>
      <c r="AA75" s="183"/>
      <c r="AB75" s="183"/>
      <c r="AC75" s="183"/>
    </row>
    <row r="76" spans="1:29" s="58" customFormat="1" x14ac:dyDescent="0.2">
      <c r="A76" s="183"/>
      <c r="B76" s="183"/>
      <c r="C76" s="89"/>
      <c r="H76" s="59"/>
      <c r="J76" s="59"/>
      <c r="K76" s="183"/>
      <c r="L76" s="183"/>
      <c r="M76" s="183"/>
      <c r="P76" s="183"/>
      <c r="Q76" s="183"/>
      <c r="R76" s="183"/>
      <c r="S76" s="183"/>
      <c r="T76" s="183"/>
      <c r="U76" s="183"/>
      <c r="V76" s="183"/>
      <c r="W76" s="183"/>
      <c r="X76" s="183"/>
      <c r="Y76" s="183"/>
      <c r="Z76" s="183"/>
      <c r="AA76" s="183"/>
      <c r="AB76" s="183"/>
      <c r="AC76" s="183"/>
    </row>
    <row r="77" spans="1:29" s="58" customFormat="1" x14ac:dyDescent="0.2">
      <c r="A77" s="183"/>
      <c r="B77" s="183"/>
      <c r="C77" s="89"/>
      <c r="H77" s="59"/>
      <c r="J77" s="59"/>
      <c r="K77" s="183"/>
      <c r="L77" s="183"/>
      <c r="M77" s="183"/>
      <c r="P77" s="183"/>
      <c r="Q77" s="183"/>
      <c r="R77" s="183"/>
      <c r="S77" s="183"/>
      <c r="T77" s="183"/>
      <c r="U77" s="183"/>
      <c r="V77" s="183"/>
      <c r="W77" s="183"/>
      <c r="X77" s="183"/>
      <c r="Y77" s="183"/>
      <c r="Z77" s="183"/>
      <c r="AA77" s="183"/>
      <c r="AB77" s="183"/>
      <c r="AC77" s="183"/>
    </row>
    <row r="78" spans="1:29" s="58" customFormat="1" x14ac:dyDescent="0.2">
      <c r="A78" s="183"/>
      <c r="B78" s="183"/>
      <c r="C78" s="89"/>
      <c r="H78" s="59"/>
      <c r="J78" s="59"/>
      <c r="K78" s="183"/>
      <c r="L78" s="183"/>
      <c r="M78" s="183"/>
      <c r="P78" s="183"/>
      <c r="Q78" s="183"/>
      <c r="R78" s="183"/>
      <c r="S78" s="183"/>
      <c r="T78" s="183"/>
      <c r="U78" s="183"/>
      <c r="V78" s="183"/>
      <c r="W78" s="183"/>
      <c r="X78" s="183"/>
      <c r="Y78" s="183"/>
      <c r="Z78" s="183"/>
      <c r="AA78" s="183"/>
      <c r="AB78" s="183"/>
      <c r="AC78" s="183"/>
    </row>
    <row r="79" spans="1:29" s="58" customFormat="1" x14ac:dyDescent="0.2">
      <c r="A79" s="183"/>
      <c r="B79" s="183"/>
      <c r="C79" s="89"/>
      <c r="H79" s="59"/>
      <c r="J79" s="59"/>
      <c r="K79" s="183"/>
      <c r="L79" s="183"/>
      <c r="M79" s="183"/>
      <c r="P79" s="183"/>
      <c r="Q79" s="183"/>
      <c r="R79" s="183"/>
      <c r="S79" s="183"/>
      <c r="T79" s="183"/>
      <c r="U79" s="183"/>
      <c r="V79" s="183"/>
      <c r="W79" s="183"/>
      <c r="X79" s="183"/>
      <c r="Y79" s="183"/>
      <c r="Z79" s="183"/>
      <c r="AA79" s="183"/>
      <c r="AB79" s="183"/>
      <c r="AC79" s="183"/>
    </row>
    <row r="80" spans="1:29" s="58" customFormat="1" x14ac:dyDescent="0.2">
      <c r="A80" s="183"/>
      <c r="B80" s="183"/>
      <c r="C80" s="89"/>
      <c r="H80" s="59"/>
      <c r="J80" s="59"/>
      <c r="K80" s="183"/>
      <c r="L80" s="183"/>
      <c r="M80" s="183"/>
      <c r="P80" s="183"/>
      <c r="Q80" s="183"/>
      <c r="R80" s="183"/>
      <c r="S80" s="183"/>
      <c r="T80" s="183"/>
      <c r="U80" s="183"/>
      <c r="V80" s="183"/>
      <c r="W80" s="183"/>
      <c r="X80" s="183"/>
      <c r="Y80" s="183"/>
      <c r="Z80" s="183"/>
      <c r="AA80" s="183"/>
      <c r="AB80" s="183"/>
      <c r="AC80" s="183"/>
    </row>
    <row r="81" spans="1:29" s="58" customFormat="1" x14ac:dyDescent="0.2">
      <c r="A81" s="183"/>
      <c r="B81" s="183"/>
      <c r="C81" s="89"/>
      <c r="H81" s="59"/>
      <c r="J81" s="59"/>
      <c r="K81" s="183"/>
      <c r="L81" s="183"/>
      <c r="M81" s="183"/>
      <c r="P81" s="183"/>
      <c r="Q81" s="183"/>
      <c r="R81" s="183"/>
      <c r="S81" s="183"/>
      <c r="T81" s="183"/>
      <c r="U81" s="183"/>
      <c r="V81" s="183"/>
      <c r="W81" s="183"/>
      <c r="X81" s="183"/>
      <c r="Y81" s="183"/>
      <c r="Z81" s="183"/>
      <c r="AA81" s="183"/>
      <c r="AB81" s="183"/>
      <c r="AC81" s="183"/>
    </row>
    <row r="82" spans="1:29" s="58" customFormat="1" x14ac:dyDescent="0.2">
      <c r="A82" s="183"/>
      <c r="B82" s="183"/>
      <c r="C82" s="89"/>
      <c r="H82" s="59"/>
      <c r="J82" s="59"/>
      <c r="K82" s="183"/>
      <c r="L82" s="183"/>
      <c r="M82" s="183"/>
      <c r="P82" s="183"/>
      <c r="Q82" s="183"/>
      <c r="R82" s="183"/>
      <c r="S82" s="183"/>
      <c r="T82" s="183"/>
      <c r="U82" s="183"/>
      <c r="V82" s="183"/>
      <c r="W82" s="183"/>
      <c r="X82" s="183"/>
      <c r="Y82" s="183"/>
      <c r="Z82" s="183"/>
      <c r="AA82" s="183"/>
      <c r="AB82" s="183"/>
      <c r="AC82" s="183"/>
    </row>
    <row r="83" spans="1:29" s="58" customFormat="1" x14ac:dyDescent="0.2">
      <c r="A83" s="183"/>
      <c r="B83" s="183"/>
      <c r="C83" s="89"/>
      <c r="H83" s="59"/>
      <c r="J83" s="59"/>
      <c r="K83" s="183"/>
      <c r="L83" s="183"/>
      <c r="M83" s="183"/>
      <c r="P83" s="183"/>
      <c r="Q83" s="183"/>
      <c r="R83" s="183"/>
      <c r="S83" s="183"/>
      <c r="T83" s="183"/>
      <c r="U83" s="183"/>
      <c r="V83" s="183"/>
      <c r="W83" s="183"/>
      <c r="X83" s="183"/>
      <c r="Y83" s="183"/>
      <c r="Z83" s="183"/>
      <c r="AA83" s="183"/>
      <c r="AB83" s="183"/>
      <c r="AC83" s="183"/>
    </row>
    <row r="84" spans="1:29" s="58" customFormat="1" x14ac:dyDescent="0.2">
      <c r="A84" s="183"/>
      <c r="B84" s="183"/>
      <c r="C84" s="89"/>
      <c r="H84" s="59"/>
      <c r="J84" s="59"/>
      <c r="K84" s="183"/>
      <c r="L84" s="183"/>
      <c r="M84" s="183"/>
      <c r="P84" s="183"/>
      <c r="Q84" s="183"/>
      <c r="R84" s="183"/>
      <c r="S84" s="183"/>
      <c r="T84" s="183"/>
      <c r="U84" s="183"/>
      <c r="V84" s="183"/>
      <c r="W84" s="183"/>
      <c r="X84" s="183"/>
      <c r="Y84" s="183"/>
      <c r="Z84" s="183"/>
      <c r="AA84" s="183"/>
      <c r="AB84" s="183"/>
      <c r="AC84" s="183"/>
    </row>
    <row r="85" spans="1:29" s="58" customFormat="1" x14ac:dyDescent="0.2">
      <c r="A85" s="183"/>
      <c r="B85" s="183"/>
      <c r="C85" s="89"/>
      <c r="H85" s="59"/>
      <c r="J85" s="59"/>
      <c r="K85" s="183"/>
      <c r="L85" s="183"/>
      <c r="M85" s="183"/>
      <c r="P85" s="183"/>
      <c r="Q85" s="183"/>
      <c r="R85" s="183"/>
      <c r="S85" s="183"/>
      <c r="T85" s="183"/>
      <c r="U85" s="183"/>
      <c r="V85" s="183"/>
      <c r="W85" s="183"/>
      <c r="X85" s="183"/>
      <c r="Y85" s="183"/>
      <c r="Z85" s="183"/>
      <c r="AA85" s="183"/>
      <c r="AB85" s="183"/>
      <c r="AC85" s="183"/>
    </row>
    <row r="86" spans="1:29" s="58" customFormat="1" x14ac:dyDescent="0.2">
      <c r="A86" s="183"/>
      <c r="B86" s="183"/>
      <c r="C86" s="89"/>
      <c r="H86" s="59"/>
      <c r="J86" s="59"/>
      <c r="K86" s="183"/>
      <c r="L86" s="183"/>
      <c r="M86" s="183"/>
      <c r="P86" s="183"/>
      <c r="Q86" s="183"/>
      <c r="R86" s="183"/>
      <c r="S86" s="183"/>
      <c r="T86" s="183"/>
      <c r="U86" s="183"/>
      <c r="V86" s="183"/>
      <c r="W86" s="183"/>
      <c r="X86" s="183"/>
      <c r="Y86" s="183"/>
      <c r="Z86" s="183"/>
      <c r="AA86" s="183"/>
      <c r="AB86" s="183"/>
      <c r="AC86" s="183"/>
    </row>
    <row r="87" spans="1:29" s="58" customFormat="1" x14ac:dyDescent="0.2">
      <c r="A87" s="183"/>
      <c r="B87" s="183"/>
      <c r="C87" s="89"/>
      <c r="H87" s="59"/>
      <c r="J87" s="59"/>
      <c r="K87" s="183"/>
      <c r="L87" s="183"/>
      <c r="M87" s="183"/>
      <c r="P87" s="183"/>
      <c r="Q87" s="183"/>
      <c r="R87" s="183"/>
      <c r="S87" s="183"/>
      <c r="T87" s="183"/>
      <c r="U87" s="183"/>
      <c r="V87" s="183"/>
      <c r="W87" s="183"/>
      <c r="X87" s="183"/>
      <c r="Y87" s="183"/>
      <c r="Z87" s="183"/>
      <c r="AA87" s="183"/>
      <c r="AB87" s="183"/>
      <c r="AC87" s="183"/>
    </row>
    <row r="88" spans="1:29" s="58" customFormat="1" x14ac:dyDescent="0.2">
      <c r="A88" s="183"/>
      <c r="B88" s="183"/>
      <c r="C88" s="89"/>
      <c r="H88" s="59"/>
      <c r="J88" s="59"/>
      <c r="K88" s="183"/>
      <c r="L88" s="183"/>
      <c r="M88" s="183"/>
      <c r="P88" s="183"/>
      <c r="Q88" s="183"/>
      <c r="R88" s="183"/>
      <c r="S88" s="183"/>
      <c r="T88" s="183"/>
      <c r="U88" s="183"/>
      <c r="V88" s="183"/>
      <c r="W88" s="183"/>
      <c r="X88" s="183"/>
      <c r="Y88" s="183"/>
      <c r="Z88" s="183"/>
      <c r="AA88" s="183"/>
      <c r="AB88" s="183"/>
      <c r="AC88" s="183"/>
    </row>
    <row r="89" spans="1:29" s="58" customFormat="1" x14ac:dyDescent="0.2">
      <c r="A89" s="183"/>
      <c r="B89" s="183"/>
      <c r="C89" s="89"/>
      <c r="H89" s="59"/>
      <c r="J89" s="59"/>
      <c r="K89" s="183"/>
      <c r="L89" s="183"/>
      <c r="M89" s="183"/>
      <c r="P89" s="183"/>
      <c r="Q89" s="183"/>
      <c r="R89" s="183"/>
      <c r="S89" s="183"/>
      <c r="T89" s="183"/>
      <c r="U89" s="183"/>
      <c r="V89" s="183"/>
      <c r="W89" s="183"/>
      <c r="X89" s="183"/>
      <c r="Y89" s="183"/>
      <c r="Z89" s="183"/>
      <c r="AA89" s="183"/>
      <c r="AB89" s="183"/>
      <c r="AC89" s="183"/>
    </row>
    <row r="90" spans="1:29" s="58" customFormat="1" x14ac:dyDescent="0.2">
      <c r="A90" s="183"/>
      <c r="B90" s="183"/>
      <c r="C90" s="89"/>
      <c r="H90" s="59"/>
      <c r="J90" s="59"/>
      <c r="K90" s="183"/>
      <c r="L90" s="183"/>
      <c r="M90" s="183"/>
      <c r="P90" s="183"/>
      <c r="Q90" s="183"/>
      <c r="R90" s="183"/>
      <c r="S90" s="183"/>
      <c r="T90" s="183"/>
      <c r="U90" s="183"/>
      <c r="V90" s="183"/>
      <c r="W90" s="183"/>
      <c r="X90" s="183"/>
      <c r="Y90" s="183"/>
      <c r="Z90" s="183"/>
      <c r="AA90" s="183"/>
      <c r="AB90" s="183"/>
      <c r="AC90" s="183"/>
    </row>
    <row r="91" spans="1:29" s="58" customFormat="1" x14ac:dyDescent="0.2">
      <c r="A91" s="183"/>
      <c r="B91" s="183"/>
      <c r="C91" s="89"/>
      <c r="H91" s="59"/>
      <c r="J91" s="59"/>
      <c r="K91" s="183"/>
      <c r="L91" s="183"/>
      <c r="M91" s="183"/>
      <c r="P91" s="183"/>
      <c r="Q91" s="183"/>
      <c r="R91" s="183"/>
      <c r="S91" s="183"/>
      <c r="T91" s="183"/>
      <c r="U91" s="183"/>
      <c r="V91" s="183"/>
      <c r="W91" s="183"/>
      <c r="X91" s="183"/>
      <c r="Y91" s="183"/>
      <c r="Z91" s="183"/>
      <c r="AA91" s="183"/>
      <c r="AB91" s="183"/>
      <c r="AC91" s="183"/>
    </row>
    <row r="92" spans="1:29" s="58" customFormat="1" x14ac:dyDescent="0.2">
      <c r="A92" s="183"/>
      <c r="B92" s="183"/>
      <c r="C92" s="89"/>
      <c r="H92" s="59"/>
      <c r="J92" s="59"/>
      <c r="K92" s="183"/>
      <c r="L92" s="183"/>
      <c r="M92" s="183"/>
      <c r="P92" s="183"/>
      <c r="Q92" s="183"/>
      <c r="R92" s="183"/>
      <c r="S92" s="183"/>
      <c r="T92" s="183"/>
      <c r="U92" s="183"/>
      <c r="V92" s="183"/>
      <c r="W92" s="183"/>
      <c r="X92" s="183"/>
      <c r="Y92" s="183"/>
      <c r="Z92" s="183"/>
      <c r="AA92" s="183"/>
      <c r="AB92" s="183"/>
      <c r="AC92" s="183"/>
    </row>
    <row r="93" spans="1:29" s="58" customFormat="1" x14ac:dyDescent="0.2">
      <c r="A93" s="183"/>
      <c r="B93" s="183"/>
      <c r="C93" s="89"/>
      <c r="H93" s="59"/>
      <c r="J93" s="59"/>
      <c r="K93" s="183"/>
      <c r="L93" s="183"/>
      <c r="M93" s="183"/>
      <c r="P93" s="183"/>
      <c r="Q93" s="183"/>
      <c r="R93" s="183"/>
      <c r="S93" s="183"/>
      <c r="T93" s="183"/>
      <c r="U93" s="183"/>
      <c r="V93" s="183"/>
      <c r="W93" s="183"/>
      <c r="X93" s="183"/>
      <c r="Y93" s="183"/>
      <c r="Z93" s="183"/>
      <c r="AA93" s="183"/>
      <c r="AB93" s="183"/>
      <c r="AC93" s="183"/>
    </row>
    <row r="94" spans="1:29" s="58" customFormat="1" x14ac:dyDescent="0.2">
      <c r="A94" s="183"/>
      <c r="B94" s="183"/>
      <c r="C94" s="89"/>
      <c r="H94" s="59"/>
      <c r="J94" s="59"/>
      <c r="K94" s="183"/>
      <c r="L94" s="183"/>
      <c r="M94" s="183"/>
      <c r="P94" s="183"/>
      <c r="Q94" s="183"/>
      <c r="R94" s="183"/>
      <c r="S94" s="183"/>
      <c r="T94" s="183"/>
      <c r="U94" s="183"/>
      <c r="V94" s="183"/>
      <c r="W94" s="183"/>
      <c r="X94" s="183"/>
      <c r="Y94" s="183"/>
      <c r="Z94" s="183"/>
      <c r="AA94" s="183"/>
      <c r="AB94" s="183"/>
      <c r="AC94" s="183"/>
    </row>
    <row r="95" spans="1:29" s="58" customFormat="1" x14ac:dyDescent="0.2">
      <c r="A95" s="183"/>
      <c r="B95" s="183"/>
      <c r="C95" s="89"/>
      <c r="H95" s="59"/>
      <c r="J95" s="59"/>
      <c r="K95" s="183"/>
      <c r="L95" s="183"/>
      <c r="M95" s="183"/>
      <c r="P95" s="183"/>
      <c r="Q95" s="183"/>
      <c r="R95" s="183"/>
      <c r="S95" s="183"/>
      <c r="T95" s="183"/>
      <c r="U95" s="183"/>
      <c r="V95" s="183"/>
      <c r="W95" s="183"/>
      <c r="X95" s="183"/>
      <c r="Y95" s="183"/>
      <c r="Z95" s="183"/>
      <c r="AA95" s="183"/>
      <c r="AB95" s="183"/>
      <c r="AC95" s="183"/>
    </row>
    <row r="96" spans="1:29" s="58" customFormat="1" x14ac:dyDescent="0.2">
      <c r="A96" s="183"/>
      <c r="B96" s="183"/>
      <c r="C96" s="89"/>
      <c r="H96" s="59"/>
      <c r="J96" s="59"/>
      <c r="K96" s="183"/>
      <c r="L96" s="183"/>
      <c r="M96" s="183"/>
      <c r="P96" s="183"/>
      <c r="Q96" s="183"/>
      <c r="R96" s="183"/>
      <c r="S96" s="183"/>
      <c r="T96" s="183"/>
      <c r="U96" s="183"/>
      <c r="V96" s="183"/>
      <c r="W96" s="183"/>
      <c r="X96" s="183"/>
      <c r="Y96" s="183"/>
      <c r="Z96" s="183"/>
      <c r="AA96" s="183"/>
      <c r="AB96" s="183"/>
      <c r="AC96" s="183"/>
    </row>
    <row r="97" spans="1:29" s="58" customFormat="1" x14ac:dyDescent="0.2">
      <c r="A97" s="183"/>
      <c r="B97" s="183"/>
      <c r="C97" s="89"/>
      <c r="H97" s="59"/>
      <c r="J97" s="59"/>
      <c r="K97" s="183"/>
      <c r="L97" s="183"/>
      <c r="M97" s="183"/>
      <c r="P97" s="183"/>
      <c r="Q97" s="183"/>
      <c r="R97" s="183"/>
      <c r="S97" s="183"/>
      <c r="T97" s="183"/>
      <c r="U97" s="183"/>
      <c r="V97" s="183"/>
      <c r="W97" s="183"/>
      <c r="X97" s="183"/>
      <c r="Y97" s="183"/>
      <c r="Z97" s="183"/>
      <c r="AA97" s="183"/>
      <c r="AB97" s="183"/>
      <c r="AC97" s="183"/>
    </row>
    <row r="98" spans="1:29" s="58" customFormat="1" x14ac:dyDescent="0.2">
      <c r="A98" s="183"/>
      <c r="B98" s="183"/>
      <c r="C98" s="89"/>
      <c r="H98" s="59"/>
      <c r="J98" s="59"/>
      <c r="K98" s="183"/>
      <c r="L98" s="183"/>
      <c r="M98" s="183"/>
      <c r="P98" s="183"/>
      <c r="Q98" s="183"/>
      <c r="R98" s="183"/>
      <c r="S98" s="183"/>
      <c r="T98" s="183"/>
      <c r="U98" s="183"/>
      <c r="V98" s="183"/>
      <c r="W98" s="183"/>
      <c r="X98" s="183"/>
      <c r="Y98" s="183"/>
      <c r="Z98" s="183"/>
      <c r="AA98" s="183"/>
      <c r="AB98" s="183"/>
      <c r="AC98" s="183"/>
    </row>
    <row r="99" spans="1:29" s="58" customFormat="1" x14ac:dyDescent="0.2">
      <c r="A99" s="183"/>
      <c r="B99" s="183"/>
      <c r="C99" s="89"/>
      <c r="H99" s="59"/>
      <c r="J99" s="59"/>
      <c r="K99" s="183"/>
      <c r="L99" s="183"/>
      <c r="M99" s="183"/>
      <c r="P99" s="183"/>
      <c r="Q99" s="183"/>
      <c r="R99" s="183"/>
      <c r="S99" s="183"/>
      <c r="T99" s="183"/>
      <c r="U99" s="183"/>
      <c r="V99" s="183"/>
      <c r="W99" s="183"/>
      <c r="X99" s="183"/>
      <c r="Y99" s="183"/>
      <c r="Z99" s="183"/>
      <c r="AA99" s="183"/>
      <c r="AB99" s="183"/>
      <c r="AC99" s="183"/>
    </row>
    <row r="100" spans="1:29" s="58" customFormat="1" x14ac:dyDescent="0.2">
      <c r="A100" s="183"/>
      <c r="B100" s="183"/>
      <c r="C100" s="89"/>
      <c r="H100" s="59"/>
      <c r="J100" s="59"/>
      <c r="K100" s="183"/>
      <c r="L100" s="183"/>
      <c r="M100" s="183"/>
      <c r="P100" s="183"/>
      <c r="Q100" s="183"/>
      <c r="R100" s="183"/>
      <c r="S100" s="183"/>
      <c r="T100" s="183"/>
      <c r="U100" s="183"/>
      <c r="V100" s="183"/>
      <c r="W100" s="183"/>
      <c r="X100" s="183"/>
      <c r="Y100" s="183"/>
      <c r="Z100" s="183"/>
      <c r="AA100" s="183"/>
      <c r="AB100" s="183"/>
      <c r="AC100" s="183"/>
    </row>
    <row r="101" spans="1:29" s="58" customFormat="1" x14ac:dyDescent="0.2">
      <c r="A101" s="183"/>
      <c r="B101" s="183"/>
      <c r="C101" s="89"/>
      <c r="H101" s="59"/>
      <c r="J101" s="59"/>
      <c r="K101" s="183"/>
      <c r="L101" s="183"/>
      <c r="M101" s="183"/>
      <c r="P101" s="183"/>
      <c r="Q101" s="183"/>
      <c r="R101" s="183"/>
      <c r="S101" s="183"/>
      <c r="T101" s="183"/>
      <c r="U101" s="183"/>
      <c r="V101" s="183"/>
      <c r="W101" s="183"/>
      <c r="X101" s="183"/>
      <c r="Y101" s="183"/>
      <c r="Z101" s="183"/>
      <c r="AA101" s="183"/>
      <c r="AB101" s="183"/>
      <c r="AC101" s="183"/>
    </row>
    <row r="102" spans="1:29" s="58" customFormat="1" x14ac:dyDescent="0.2">
      <c r="A102" s="183"/>
      <c r="B102" s="183"/>
      <c r="C102" s="89"/>
      <c r="H102" s="59"/>
      <c r="J102" s="59"/>
      <c r="K102" s="183"/>
      <c r="L102" s="183"/>
      <c r="M102" s="183"/>
      <c r="P102" s="183"/>
      <c r="Q102" s="183"/>
      <c r="R102" s="183"/>
      <c r="S102" s="183"/>
      <c r="T102" s="183"/>
      <c r="U102" s="183"/>
      <c r="V102" s="183"/>
      <c r="W102" s="183"/>
      <c r="X102" s="183"/>
      <c r="Y102" s="183"/>
      <c r="Z102" s="183"/>
      <c r="AA102" s="183"/>
      <c r="AB102" s="183"/>
      <c r="AC102" s="183"/>
    </row>
    <row r="103" spans="1:29" s="58" customFormat="1" x14ac:dyDescent="0.2">
      <c r="A103" s="183"/>
      <c r="B103" s="183"/>
      <c r="C103" s="89"/>
      <c r="H103" s="59"/>
      <c r="J103" s="59"/>
      <c r="K103" s="183"/>
      <c r="L103" s="183"/>
      <c r="M103" s="183"/>
      <c r="P103" s="183"/>
      <c r="Q103" s="183"/>
      <c r="R103" s="183"/>
      <c r="S103" s="183"/>
      <c r="T103" s="183"/>
      <c r="U103" s="183"/>
      <c r="V103" s="183"/>
      <c r="W103" s="183"/>
      <c r="X103" s="183"/>
      <c r="Y103" s="183"/>
      <c r="Z103" s="183"/>
      <c r="AA103" s="183"/>
      <c r="AB103" s="183"/>
      <c r="AC103" s="183"/>
    </row>
    <row r="104" spans="1:29" s="58" customFormat="1" x14ac:dyDescent="0.2">
      <c r="A104" s="183"/>
      <c r="B104" s="183"/>
      <c r="C104" s="89"/>
      <c r="H104" s="59"/>
      <c r="J104" s="59"/>
      <c r="K104" s="183"/>
      <c r="L104" s="183"/>
      <c r="M104" s="183"/>
      <c r="P104" s="183"/>
      <c r="Q104" s="183"/>
      <c r="R104" s="183"/>
      <c r="S104" s="183"/>
      <c r="T104" s="183"/>
      <c r="U104" s="183"/>
      <c r="V104" s="183"/>
      <c r="W104" s="183"/>
      <c r="X104" s="183"/>
      <c r="Y104" s="183"/>
      <c r="Z104" s="183"/>
      <c r="AA104" s="183"/>
      <c r="AB104" s="183"/>
      <c r="AC104" s="183"/>
    </row>
    <row r="105" spans="1:29" s="58" customFormat="1" x14ac:dyDescent="0.2">
      <c r="A105" s="183"/>
      <c r="B105" s="183"/>
      <c r="C105" s="89"/>
      <c r="H105" s="59"/>
      <c r="J105" s="59"/>
      <c r="K105" s="183"/>
      <c r="L105" s="183"/>
      <c r="M105" s="183"/>
      <c r="P105" s="183"/>
      <c r="Q105" s="183"/>
      <c r="R105" s="183"/>
      <c r="S105" s="183"/>
      <c r="T105" s="183"/>
      <c r="U105" s="183"/>
      <c r="V105" s="183"/>
      <c r="W105" s="183"/>
      <c r="X105" s="183"/>
      <c r="Y105" s="183"/>
      <c r="Z105" s="183"/>
      <c r="AA105" s="183"/>
      <c r="AB105" s="183"/>
      <c r="AC105" s="183"/>
    </row>
    <row r="106" spans="1:29" s="58" customFormat="1" x14ac:dyDescent="0.2">
      <c r="A106" s="183"/>
      <c r="B106" s="183"/>
      <c r="C106" s="89"/>
      <c r="H106" s="59"/>
      <c r="J106" s="59"/>
      <c r="K106" s="183"/>
      <c r="L106" s="183"/>
      <c r="M106" s="183"/>
      <c r="P106" s="183"/>
      <c r="Q106" s="183"/>
      <c r="R106" s="183"/>
      <c r="S106" s="183"/>
      <c r="T106" s="183"/>
      <c r="U106" s="183"/>
      <c r="V106" s="183"/>
      <c r="W106" s="183"/>
      <c r="X106" s="183"/>
      <c r="Y106" s="183"/>
      <c r="Z106" s="183"/>
      <c r="AA106" s="183"/>
      <c r="AB106" s="183"/>
      <c r="AC106" s="183"/>
    </row>
    <row r="107" spans="1:29" s="58" customFormat="1" x14ac:dyDescent="0.2">
      <c r="A107" s="183"/>
      <c r="B107" s="183"/>
      <c r="C107" s="89"/>
      <c r="H107" s="59"/>
      <c r="J107" s="59"/>
      <c r="K107" s="183"/>
      <c r="L107" s="183"/>
      <c r="M107" s="183"/>
      <c r="P107" s="183"/>
      <c r="Q107" s="183"/>
      <c r="R107" s="183"/>
      <c r="S107" s="183"/>
      <c r="T107" s="183"/>
      <c r="U107" s="183"/>
      <c r="V107" s="183"/>
      <c r="W107" s="183"/>
      <c r="X107" s="183"/>
      <c r="Y107" s="183"/>
      <c r="Z107" s="183"/>
      <c r="AA107" s="183"/>
      <c r="AB107" s="183"/>
      <c r="AC107" s="183"/>
    </row>
    <row r="108" spans="1:29" s="58" customFormat="1" x14ac:dyDescent="0.2">
      <c r="A108" s="183"/>
      <c r="B108" s="183"/>
      <c r="C108" s="89"/>
      <c r="H108" s="59"/>
      <c r="J108" s="59"/>
      <c r="K108" s="183"/>
      <c r="L108" s="183"/>
      <c r="M108" s="183"/>
      <c r="P108" s="183"/>
      <c r="Q108" s="183"/>
      <c r="R108" s="183"/>
      <c r="S108" s="183"/>
      <c r="T108" s="183"/>
      <c r="U108" s="183"/>
      <c r="V108" s="183"/>
      <c r="W108" s="183"/>
      <c r="X108" s="183"/>
      <c r="Y108" s="183"/>
      <c r="Z108" s="183"/>
      <c r="AA108" s="183"/>
      <c r="AB108" s="183"/>
      <c r="AC108" s="183"/>
    </row>
    <row r="109" spans="1:29" s="58" customFormat="1" x14ac:dyDescent="0.2">
      <c r="A109" s="183"/>
      <c r="B109" s="183"/>
      <c r="C109" s="89"/>
      <c r="H109" s="59"/>
      <c r="J109" s="59"/>
      <c r="K109" s="183"/>
      <c r="L109" s="183"/>
      <c r="M109" s="183"/>
      <c r="P109" s="183"/>
      <c r="Q109" s="183"/>
      <c r="R109" s="183"/>
      <c r="S109" s="183"/>
      <c r="T109" s="183"/>
      <c r="U109" s="183"/>
      <c r="V109" s="183"/>
      <c r="W109" s="183"/>
      <c r="X109" s="183"/>
      <c r="Y109" s="183"/>
      <c r="Z109" s="183"/>
      <c r="AA109" s="183"/>
      <c r="AB109" s="183"/>
      <c r="AC109" s="183"/>
    </row>
    <row r="110" spans="1:29" s="58" customFormat="1" x14ac:dyDescent="0.2">
      <c r="A110" s="183"/>
      <c r="B110" s="183"/>
      <c r="C110" s="89"/>
      <c r="H110" s="59"/>
      <c r="J110" s="59"/>
      <c r="K110" s="183"/>
      <c r="L110" s="183"/>
      <c r="M110" s="183"/>
      <c r="P110" s="183"/>
      <c r="Q110" s="183"/>
      <c r="R110" s="183"/>
      <c r="S110" s="183"/>
      <c r="T110" s="183"/>
      <c r="U110" s="183"/>
      <c r="V110" s="183"/>
      <c r="W110" s="183"/>
      <c r="X110" s="183"/>
      <c r="Y110" s="183"/>
      <c r="Z110" s="183"/>
      <c r="AA110" s="183"/>
      <c r="AB110" s="183"/>
      <c r="AC110" s="183"/>
    </row>
    <row r="111" spans="1:29" s="58" customFormat="1" x14ac:dyDescent="0.2">
      <c r="A111" s="183"/>
      <c r="B111" s="183"/>
      <c r="C111" s="89"/>
      <c r="H111" s="59"/>
      <c r="J111" s="59"/>
      <c r="K111" s="183"/>
      <c r="L111" s="183"/>
      <c r="M111" s="183"/>
      <c r="P111" s="183"/>
      <c r="Q111" s="183"/>
      <c r="R111" s="183"/>
      <c r="S111" s="183"/>
      <c r="T111" s="183"/>
      <c r="U111" s="183"/>
      <c r="V111" s="183"/>
      <c r="W111" s="183"/>
      <c r="X111" s="183"/>
      <c r="Y111" s="183"/>
      <c r="Z111" s="183"/>
      <c r="AA111" s="183"/>
      <c r="AB111" s="183"/>
      <c r="AC111" s="183"/>
    </row>
    <row r="112" spans="1:29" s="58" customFormat="1" x14ac:dyDescent="0.2">
      <c r="A112" s="183"/>
      <c r="B112" s="183"/>
      <c r="C112" s="89"/>
      <c r="H112" s="59"/>
      <c r="J112" s="59"/>
      <c r="K112" s="183"/>
      <c r="L112" s="183"/>
      <c r="M112" s="183"/>
      <c r="P112" s="183"/>
      <c r="Q112" s="183"/>
      <c r="R112" s="183"/>
      <c r="S112" s="183"/>
      <c r="T112" s="183"/>
      <c r="U112" s="183"/>
      <c r="V112" s="183"/>
      <c r="W112" s="183"/>
      <c r="X112" s="183"/>
      <c r="Y112" s="183"/>
      <c r="Z112" s="183"/>
      <c r="AA112" s="183"/>
      <c r="AB112" s="183"/>
      <c r="AC112" s="183"/>
    </row>
    <row r="113" spans="1:29" s="58" customFormat="1" x14ac:dyDescent="0.2">
      <c r="A113" s="183"/>
      <c r="B113" s="183"/>
      <c r="C113" s="89"/>
      <c r="H113" s="59"/>
      <c r="J113" s="59"/>
      <c r="K113" s="183"/>
      <c r="L113" s="183"/>
      <c r="M113" s="183"/>
      <c r="P113" s="183"/>
      <c r="Q113" s="183"/>
      <c r="R113" s="183"/>
      <c r="S113" s="183"/>
      <c r="T113" s="183"/>
      <c r="U113" s="183"/>
      <c r="V113" s="183"/>
      <c r="W113" s="183"/>
      <c r="X113" s="183"/>
      <c r="Y113" s="183"/>
      <c r="Z113" s="183"/>
      <c r="AA113" s="183"/>
      <c r="AB113" s="183"/>
      <c r="AC113" s="183"/>
    </row>
    <row r="114" spans="1:29" s="58" customFormat="1" x14ac:dyDescent="0.2">
      <c r="A114" s="183"/>
      <c r="B114" s="183"/>
      <c r="C114" s="89"/>
      <c r="H114" s="59"/>
      <c r="J114" s="59"/>
      <c r="K114" s="183"/>
      <c r="L114" s="183"/>
      <c r="M114" s="183"/>
      <c r="P114" s="183"/>
      <c r="Q114" s="183"/>
      <c r="R114" s="183"/>
      <c r="S114" s="183"/>
      <c r="T114" s="183"/>
      <c r="U114" s="183"/>
      <c r="V114" s="183"/>
      <c r="W114" s="183"/>
      <c r="X114" s="183"/>
      <c r="Y114" s="183"/>
      <c r="Z114" s="183"/>
      <c r="AA114" s="183"/>
      <c r="AB114" s="183"/>
      <c r="AC114" s="183"/>
    </row>
    <row r="115" spans="1:29" s="58" customFormat="1" x14ac:dyDescent="0.2">
      <c r="A115" s="183"/>
      <c r="B115" s="183"/>
      <c r="C115" s="89"/>
      <c r="H115" s="59"/>
      <c r="J115" s="59"/>
      <c r="K115" s="183"/>
      <c r="L115" s="183"/>
      <c r="M115" s="183"/>
      <c r="P115" s="183"/>
      <c r="Q115" s="183"/>
      <c r="R115" s="183"/>
      <c r="S115" s="183"/>
      <c r="T115" s="183"/>
      <c r="U115" s="183"/>
      <c r="V115" s="183"/>
      <c r="W115" s="183"/>
      <c r="X115" s="183"/>
      <c r="Y115" s="183"/>
      <c r="Z115" s="183"/>
      <c r="AA115" s="183"/>
      <c r="AB115" s="183"/>
      <c r="AC115" s="183"/>
    </row>
    <row r="116" spans="1:29" s="58" customFormat="1" x14ac:dyDescent="0.2">
      <c r="A116" s="183"/>
      <c r="B116" s="183"/>
      <c r="C116" s="89"/>
      <c r="H116" s="59"/>
      <c r="J116" s="59"/>
      <c r="K116" s="183"/>
      <c r="L116" s="183"/>
      <c r="M116" s="183"/>
      <c r="P116" s="183"/>
      <c r="Q116" s="183"/>
      <c r="R116" s="183"/>
      <c r="S116" s="183"/>
      <c r="T116" s="183"/>
      <c r="U116" s="183"/>
      <c r="V116" s="183"/>
      <c r="W116" s="183"/>
      <c r="X116" s="183"/>
      <c r="Y116" s="183"/>
      <c r="Z116" s="183"/>
      <c r="AA116" s="183"/>
      <c r="AB116" s="183"/>
      <c r="AC116" s="183"/>
    </row>
    <row r="117" spans="1:29" s="58" customFormat="1" x14ac:dyDescent="0.2">
      <c r="A117" s="183"/>
      <c r="B117" s="183"/>
      <c r="C117" s="89"/>
      <c r="H117" s="59"/>
      <c r="J117" s="59"/>
      <c r="K117" s="183"/>
      <c r="L117" s="183"/>
      <c r="M117" s="183"/>
      <c r="P117" s="183"/>
      <c r="Q117" s="183"/>
      <c r="R117" s="183"/>
      <c r="S117" s="183"/>
      <c r="T117" s="183"/>
      <c r="U117" s="183"/>
      <c r="V117" s="183"/>
      <c r="W117" s="183"/>
      <c r="X117" s="183"/>
      <c r="Y117" s="183"/>
      <c r="Z117" s="183"/>
      <c r="AA117" s="183"/>
      <c r="AB117" s="183"/>
      <c r="AC117" s="183"/>
    </row>
    <row r="118" spans="1:29" s="58" customFormat="1" x14ac:dyDescent="0.2">
      <c r="A118" s="183"/>
      <c r="B118" s="183"/>
      <c r="C118" s="89"/>
      <c r="H118" s="59"/>
      <c r="J118" s="59"/>
      <c r="K118" s="183"/>
      <c r="L118" s="183"/>
      <c r="M118" s="183"/>
      <c r="P118" s="183"/>
      <c r="Q118" s="183"/>
      <c r="R118" s="183"/>
      <c r="S118" s="183"/>
      <c r="T118" s="183"/>
      <c r="U118" s="183"/>
      <c r="V118" s="183"/>
      <c r="W118" s="183"/>
      <c r="X118" s="183"/>
      <c r="Y118" s="183"/>
      <c r="Z118" s="183"/>
      <c r="AA118" s="183"/>
      <c r="AB118" s="183"/>
      <c r="AC118" s="183"/>
    </row>
    <row r="119" spans="1:29" s="58" customFormat="1" x14ac:dyDescent="0.2">
      <c r="A119" s="183"/>
      <c r="B119" s="183"/>
      <c r="C119" s="89"/>
      <c r="H119" s="59"/>
      <c r="J119" s="59"/>
      <c r="K119" s="183"/>
      <c r="L119" s="183"/>
      <c r="M119" s="183"/>
      <c r="P119" s="183"/>
      <c r="Q119" s="183"/>
      <c r="R119" s="183"/>
      <c r="S119" s="183"/>
      <c r="T119" s="183"/>
      <c r="U119" s="183"/>
      <c r="V119" s="183"/>
      <c r="W119" s="183"/>
      <c r="X119" s="183"/>
      <c r="Y119" s="183"/>
      <c r="Z119" s="183"/>
      <c r="AA119" s="183"/>
      <c r="AB119" s="183"/>
      <c r="AC119" s="183"/>
    </row>
    <row r="120" spans="1:29" s="58" customFormat="1" x14ac:dyDescent="0.2">
      <c r="A120" s="183"/>
      <c r="B120" s="183"/>
      <c r="C120" s="89"/>
      <c r="H120" s="59"/>
      <c r="J120" s="59"/>
      <c r="K120" s="183"/>
      <c r="L120" s="183"/>
      <c r="M120" s="183"/>
      <c r="P120" s="183"/>
      <c r="Q120" s="183"/>
      <c r="R120" s="183"/>
      <c r="S120" s="183"/>
      <c r="T120" s="183"/>
      <c r="U120" s="183"/>
      <c r="V120" s="183"/>
      <c r="W120" s="183"/>
      <c r="X120" s="183"/>
      <c r="Y120" s="183"/>
      <c r="Z120" s="183"/>
      <c r="AA120" s="183"/>
      <c r="AB120" s="183"/>
      <c r="AC120" s="183"/>
    </row>
    <row r="121" spans="1:29" s="58" customFormat="1" x14ac:dyDescent="0.2">
      <c r="A121" s="183"/>
      <c r="B121" s="183"/>
      <c r="C121" s="89"/>
      <c r="H121" s="59"/>
      <c r="J121" s="59"/>
      <c r="K121" s="183"/>
      <c r="L121" s="183"/>
      <c r="M121" s="183"/>
      <c r="P121" s="183"/>
      <c r="Q121" s="183"/>
      <c r="R121" s="183"/>
      <c r="S121" s="183"/>
      <c r="T121" s="183"/>
      <c r="U121" s="183"/>
      <c r="V121" s="183"/>
      <c r="W121" s="183"/>
      <c r="X121" s="183"/>
      <c r="Y121" s="183"/>
      <c r="Z121" s="183"/>
      <c r="AA121" s="183"/>
      <c r="AB121" s="183"/>
      <c r="AC121" s="183"/>
    </row>
    <row r="122" spans="1:29" s="58" customFormat="1" x14ac:dyDescent="0.2">
      <c r="A122" s="183"/>
      <c r="B122" s="183"/>
      <c r="C122" s="89"/>
      <c r="H122" s="59"/>
      <c r="J122" s="59"/>
      <c r="K122" s="183"/>
      <c r="L122" s="183"/>
      <c r="M122" s="183"/>
      <c r="P122" s="183"/>
      <c r="Q122" s="183"/>
      <c r="R122" s="183"/>
      <c r="S122" s="183"/>
      <c r="T122" s="183"/>
      <c r="U122" s="183"/>
      <c r="V122" s="183"/>
      <c r="W122" s="183"/>
      <c r="X122" s="183"/>
      <c r="Y122" s="183"/>
      <c r="Z122" s="183"/>
      <c r="AA122" s="183"/>
      <c r="AB122" s="183"/>
      <c r="AC122" s="183"/>
    </row>
    <row r="123" spans="1:29" s="58" customFormat="1" x14ac:dyDescent="0.2">
      <c r="A123" s="183"/>
      <c r="B123" s="183"/>
      <c r="C123" s="89"/>
      <c r="H123" s="59"/>
      <c r="J123" s="59"/>
      <c r="K123" s="183"/>
      <c r="L123" s="183"/>
      <c r="M123" s="183"/>
      <c r="P123" s="183"/>
      <c r="Q123" s="183"/>
      <c r="R123" s="183"/>
      <c r="S123" s="183"/>
      <c r="T123" s="183"/>
      <c r="U123" s="183"/>
      <c r="V123" s="183"/>
      <c r="W123" s="183"/>
      <c r="X123" s="183"/>
      <c r="Y123" s="183"/>
      <c r="Z123" s="183"/>
      <c r="AA123" s="183"/>
      <c r="AB123" s="183"/>
      <c r="AC123" s="183"/>
    </row>
    <row r="124" spans="1:29" s="58" customFormat="1" x14ac:dyDescent="0.2">
      <c r="A124" s="183"/>
      <c r="B124" s="183"/>
      <c r="C124" s="89"/>
      <c r="H124" s="59"/>
      <c r="J124" s="59"/>
      <c r="K124" s="183"/>
      <c r="L124" s="183"/>
      <c r="M124" s="183"/>
      <c r="P124" s="183"/>
      <c r="Q124" s="183"/>
      <c r="R124" s="183"/>
      <c r="S124" s="183"/>
      <c r="T124" s="183"/>
      <c r="U124" s="183"/>
      <c r="V124" s="183"/>
      <c r="W124" s="183"/>
      <c r="X124" s="183"/>
      <c r="Y124" s="183"/>
      <c r="Z124" s="183"/>
      <c r="AA124" s="183"/>
      <c r="AB124" s="183"/>
      <c r="AC124" s="183"/>
    </row>
    <row r="125" spans="1:29" s="58" customFormat="1" x14ac:dyDescent="0.2">
      <c r="A125" s="183"/>
      <c r="B125" s="183"/>
      <c r="C125" s="89"/>
      <c r="H125" s="59"/>
      <c r="J125" s="59"/>
      <c r="K125" s="183"/>
      <c r="L125" s="183"/>
      <c r="M125" s="183"/>
      <c r="P125" s="183"/>
      <c r="Q125" s="183"/>
      <c r="R125" s="183"/>
      <c r="S125" s="183"/>
      <c r="T125" s="183"/>
      <c r="U125" s="183"/>
      <c r="V125" s="183"/>
      <c r="W125" s="183"/>
      <c r="X125" s="183"/>
      <c r="Y125" s="183"/>
      <c r="Z125" s="183"/>
      <c r="AA125" s="183"/>
      <c r="AB125" s="183"/>
      <c r="AC125" s="183"/>
    </row>
    <row r="126" spans="1:29" s="58" customFormat="1" x14ac:dyDescent="0.2">
      <c r="A126" s="183"/>
      <c r="B126" s="183"/>
      <c r="C126" s="89"/>
      <c r="H126" s="59"/>
      <c r="J126" s="59"/>
      <c r="K126" s="183"/>
      <c r="L126" s="183"/>
      <c r="M126" s="183"/>
      <c r="P126" s="183"/>
      <c r="Q126" s="183"/>
      <c r="R126" s="183"/>
      <c r="S126" s="183"/>
      <c r="T126" s="183"/>
      <c r="U126" s="183"/>
      <c r="V126" s="183"/>
      <c r="W126" s="183"/>
      <c r="X126" s="183"/>
      <c r="Y126" s="183"/>
      <c r="Z126" s="183"/>
      <c r="AA126" s="183"/>
      <c r="AB126" s="183"/>
      <c r="AC126" s="183"/>
    </row>
    <row r="127" spans="1:29" s="58" customFormat="1" x14ac:dyDescent="0.2">
      <c r="A127" s="183"/>
      <c r="B127" s="183"/>
      <c r="C127" s="89"/>
      <c r="H127" s="59"/>
      <c r="J127" s="59"/>
      <c r="K127" s="183"/>
      <c r="L127" s="183"/>
      <c r="M127" s="183"/>
      <c r="P127" s="183"/>
      <c r="Q127" s="183"/>
      <c r="R127" s="183"/>
      <c r="S127" s="183"/>
      <c r="T127" s="183"/>
      <c r="U127" s="183"/>
      <c r="V127" s="183"/>
      <c r="W127" s="183"/>
      <c r="X127" s="183"/>
      <c r="Y127" s="183"/>
      <c r="Z127" s="183"/>
      <c r="AA127" s="183"/>
      <c r="AB127" s="183"/>
      <c r="AC127" s="183"/>
    </row>
    <row r="128" spans="1:29" s="58" customFormat="1" x14ac:dyDescent="0.2">
      <c r="A128" s="183"/>
      <c r="B128" s="183"/>
      <c r="C128" s="89"/>
      <c r="H128" s="59"/>
      <c r="J128" s="59"/>
      <c r="K128" s="183"/>
      <c r="L128" s="183"/>
      <c r="M128" s="183"/>
      <c r="P128" s="183"/>
      <c r="Q128" s="183"/>
      <c r="R128" s="183"/>
      <c r="S128" s="183"/>
      <c r="T128" s="183"/>
      <c r="U128" s="183"/>
      <c r="V128" s="183"/>
      <c r="W128" s="183"/>
      <c r="X128" s="183"/>
      <c r="Y128" s="183"/>
      <c r="Z128" s="183"/>
      <c r="AA128" s="183"/>
      <c r="AB128" s="183"/>
      <c r="AC128" s="183"/>
    </row>
    <row r="129" spans="1:29" s="58" customFormat="1" x14ac:dyDescent="0.2">
      <c r="A129" s="183"/>
      <c r="B129" s="183"/>
      <c r="C129" s="89"/>
      <c r="H129" s="59"/>
      <c r="J129" s="59"/>
      <c r="K129" s="183"/>
      <c r="L129" s="183"/>
      <c r="M129" s="183"/>
      <c r="P129" s="183"/>
      <c r="Q129" s="183"/>
      <c r="R129" s="183"/>
      <c r="S129" s="183"/>
      <c r="T129" s="183"/>
      <c r="U129" s="183"/>
      <c r="V129" s="183"/>
      <c r="W129" s="183"/>
      <c r="X129" s="183"/>
      <c r="Y129" s="183"/>
      <c r="Z129" s="183"/>
      <c r="AA129" s="183"/>
      <c r="AB129" s="183"/>
      <c r="AC129" s="183"/>
    </row>
    <row r="130" spans="1:29" s="58" customFormat="1" x14ac:dyDescent="0.2">
      <c r="A130" s="183"/>
      <c r="B130" s="183"/>
      <c r="C130" s="89"/>
      <c r="H130" s="59"/>
      <c r="J130" s="59"/>
      <c r="K130" s="183"/>
      <c r="L130" s="183"/>
      <c r="M130" s="183"/>
      <c r="P130" s="183"/>
      <c r="Q130" s="183"/>
      <c r="R130" s="183"/>
      <c r="S130" s="183"/>
      <c r="T130" s="183"/>
      <c r="U130" s="183"/>
      <c r="V130" s="183"/>
      <c r="W130" s="183"/>
      <c r="X130" s="183"/>
      <c r="Y130" s="183"/>
      <c r="Z130" s="183"/>
      <c r="AA130" s="183"/>
      <c r="AB130" s="183"/>
      <c r="AC130" s="183"/>
    </row>
    <row r="131" spans="1:29" s="58" customFormat="1" x14ac:dyDescent="0.2">
      <c r="A131" s="183"/>
      <c r="B131" s="183"/>
      <c r="C131" s="89"/>
      <c r="H131" s="59"/>
      <c r="J131" s="59"/>
      <c r="K131" s="183"/>
      <c r="L131" s="183"/>
      <c r="M131" s="183"/>
      <c r="P131" s="183"/>
      <c r="Q131" s="183"/>
      <c r="R131" s="183"/>
      <c r="S131" s="183"/>
      <c r="T131" s="183"/>
      <c r="U131" s="183"/>
      <c r="V131" s="183"/>
      <c r="W131" s="183"/>
      <c r="X131" s="183"/>
      <c r="Y131" s="183"/>
      <c r="Z131" s="183"/>
      <c r="AA131" s="183"/>
      <c r="AB131" s="183"/>
      <c r="AC131" s="183"/>
    </row>
    <row r="132" spans="1:29" s="58" customFormat="1" x14ac:dyDescent="0.2">
      <c r="A132" s="183"/>
      <c r="B132" s="183"/>
      <c r="C132" s="89"/>
      <c r="H132" s="59"/>
      <c r="J132" s="59"/>
      <c r="K132" s="183"/>
      <c r="L132" s="183"/>
      <c r="M132" s="183"/>
      <c r="P132" s="183"/>
      <c r="Q132" s="183"/>
      <c r="R132" s="183"/>
      <c r="S132" s="183"/>
      <c r="T132" s="183"/>
      <c r="U132" s="183"/>
      <c r="V132" s="183"/>
      <c r="W132" s="183"/>
      <c r="X132" s="183"/>
      <c r="Y132" s="183"/>
      <c r="Z132" s="183"/>
      <c r="AA132" s="183"/>
      <c r="AB132" s="183"/>
      <c r="AC132" s="183"/>
    </row>
    <row r="133" spans="1:29" s="58" customFormat="1" x14ac:dyDescent="0.2">
      <c r="A133" s="183"/>
      <c r="B133" s="183"/>
      <c r="C133" s="89"/>
      <c r="H133" s="59"/>
      <c r="J133" s="59"/>
      <c r="K133" s="183"/>
      <c r="L133" s="183"/>
      <c r="M133" s="183"/>
      <c r="P133" s="183"/>
      <c r="Q133" s="183"/>
      <c r="R133" s="183"/>
      <c r="S133" s="183"/>
      <c r="T133" s="183"/>
      <c r="U133" s="183"/>
      <c r="V133" s="183"/>
      <c r="W133" s="183"/>
      <c r="X133" s="183"/>
      <c r="Y133" s="183"/>
      <c r="Z133" s="183"/>
      <c r="AA133" s="183"/>
      <c r="AB133" s="183"/>
      <c r="AC133" s="183"/>
    </row>
    <row r="134" spans="1:29" s="58" customFormat="1" x14ac:dyDescent="0.2">
      <c r="A134" s="183"/>
      <c r="B134" s="183"/>
      <c r="C134" s="89"/>
      <c r="H134" s="59"/>
      <c r="J134" s="59"/>
      <c r="K134" s="183"/>
      <c r="L134" s="183"/>
      <c r="M134" s="183"/>
      <c r="P134" s="183"/>
      <c r="Q134" s="183"/>
      <c r="R134" s="183"/>
      <c r="S134" s="183"/>
      <c r="T134" s="183"/>
      <c r="U134" s="183"/>
      <c r="V134" s="183"/>
      <c r="W134" s="183"/>
      <c r="X134" s="183"/>
      <c r="Y134" s="183"/>
      <c r="Z134" s="183"/>
      <c r="AA134" s="183"/>
      <c r="AB134" s="183"/>
      <c r="AC134" s="183"/>
    </row>
    <row r="135" spans="1:29" s="58" customFormat="1" x14ac:dyDescent="0.2">
      <c r="A135" s="183"/>
      <c r="B135" s="183"/>
      <c r="C135" s="89"/>
      <c r="H135" s="59"/>
      <c r="J135" s="59"/>
      <c r="K135" s="183"/>
      <c r="L135" s="183"/>
      <c r="M135" s="183"/>
      <c r="P135" s="183"/>
      <c r="Q135" s="183"/>
      <c r="R135" s="183"/>
      <c r="S135" s="183"/>
      <c r="T135" s="183"/>
      <c r="U135" s="183"/>
      <c r="V135" s="183"/>
      <c r="W135" s="183"/>
      <c r="X135" s="183"/>
      <c r="Y135" s="183"/>
      <c r="Z135" s="183"/>
      <c r="AA135" s="183"/>
      <c r="AB135" s="183"/>
      <c r="AC135" s="183"/>
    </row>
    <row r="136" spans="1:29" s="58" customFormat="1" x14ac:dyDescent="0.2">
      <c r="A136" s="183"/>
      <c r="B136" s="183"/>
      <c r="C136" s="89"/>
      <c r="H136" s="59"/>
      <c r="J136" s="59"/>
      <c r="K136" s="183"/>
      <c r="L136" s="183"/>
      <c r="M136" s="183"/>
      <c r="P136" s="183"/>
      <c r="Q136" s="183"/>
      <c r="R136" s="183"/>
      <c r="S136" s="183"/>
      <c r="T136" s="183"/>
      <c r="U136" s="183"/>
      <c r="V136" s="183"/>
      <c r="W136" s="183"/>
      <c r="X136" s="183"/>
      <c r="Y136" s="183"/>
      <c r="Z136" s="183"/>
      <c r="AA136" s="183"/>
      <c r="AB136" s="183"/>
      <c r="AC136" s="183"/>
    </row>
    <row r="137" spans="1:29" s="58" customFormat="1" x14ac:dyDescent="0.2">
      <c r="A137" s="183"/>
      <c r="B137" s="183"/>
      <c r="C137" s="89"/>
      <c r="H137" s="59"/>
      <c r="J137" s="59"/>
      <c r="K137" s="183"/>
      <c r="L137" s="183"/>
      <c r="M137" s="183"/>
      <c r="P137" s="183"/>
      <c r="Q137" s="183"/>
      <c r="R137" s="183"/>
      <c r="S137" s="183"/>
      <c r="T137" s="183"/>
      <c r="U137" s="183"/>
      <c r="V137" s="183"/>
      <c r="W137" s="183"/>
      <c r="X137" s="183"/>
      <c r="Y137" s="183"/>
      <c r="Z137" s="183"/>
      <c r="AA137" s="183"/>
      <c r="AB137" s="183"/>
      <c r="AC137" s="183"/>
    </row>
    <row r="138" spans="1:29" s="58" customFormat="1" x14ac:dyDescent="0.2">
      <c r="A138" s="183"/>
      <c r="B138" s="183"/>
      <c r="C138" s="89"/>
      <c r="H138" s="59"/>
      <c r="J138" s="59"/>
      <c r="K138" s="183"/>
      <c r="L138" s="183"/>
      <c r="M138" s="183"/>
      <c r="P138" s="183"/>
      <c r="Q138" s="183"/>
      <c r="R138" s="183"/>
      <c r="S138" s="183"/>
      <c r="T138" s="183"/>
      <c r="U138" s="183"/>
      <c r="V138" s="183"/>
      <c r="W138" s="183"/>
      <c r="X138" s="183"/>
      <c r="Y138" s="183"/>
      <c r="Z138" s="183"/>
      <c r="AA138" s="183"/>
      <c r="AB138" s="183"/>
      <c r="AC138" s="183"/>
    </row>
    <row r="139" spans="1:29" s="58" customFormat="1" x14ac:dyDescent="0.2">
      <c r="A139" s="183"/>
      <c r="B139" s="183"/>
      <c r="C139" s="89"/>
      <c r="H139" s="59"/>
      <c r="J139" s="59"/>
      <c r="K139" s="183"/>
      <c r="L139" s="183"/>
      <c r="M139" s="183"/>
      <c r="P139" s="183"/>
      <c r="Q139" s="183"/>
      <c r="R139" s="183"/>
      <c r="S139" s="183"/>
      <c r="T139" s="183"/>
      <c r="U139" s="183"/>
      <c r="V139" s="183"/>
      <c r="W139" s="183"/>
      <c r="X139" s="183"/>
      <c r="Y139" s="183"/>
      <c r="Z139" s="183"/>
      <c r="AA139" s="183"/>
      <c r="AB139" s="183"/>
      <c r="AC139" s="183"/>
    </row>
    <row r="140" spans="1:29" s="58" customFormat="1" x14ac:dyDescent="0.2">
      <c r="A140" s="183"/>
      <c r="B140" s="183"/>
      <c r="C140" s="89"/>
      <c r="H140" s="59"/>
      <c r="J140" s="59"/>
      <c r="K140" s="183"/>
      <c r="L140" s="183"/>
      <c r="M140" s="183"/>
      <c r="P140" s="183"/>
      <c r="Q140" s="183"/>
      <c r="R140" s="183"/>
      <c r="S140" s="183"/>
      <c r="T140" s="183"/>
      <c r="U140" s="183"/>
      <c r="V140" s="183"/>
      <c r="W140" s="183"/>
      <c r="X140" s="183"/>
      <c r="Y140" s="183"/>
      <c r="Z140" s="183"/>
      <c r="AA140" s="183"/>
      <c r="AB140" s="183"/>
      <c r="AC140" s="183"/>
    </row>
    <row r="141" spans="1:29" s="58" customFormat="1" x14ac:dyDescent="0.2">
      <c r="A141" s="183"/>
      <c r="B141" s="183"/>
      <c r="C141" s="89"/>
      <c r="H141" s="59"/>
      <c r="J141" s="59"/>
      <c r="K141" s="183"/>
      <c r="L141" s="183"/>
      <c r="M141" s="183"/>
      <c r="P141" s="183"/>
      <c r="Q141" s="183"/>
      <c r="R141" s="183"/>
      <c r="S141" s="183"/>
      <c r="T141" s="183"/>
      <c r="U141" s="183"/>
      <c r="V141" s="183"/>
      <c r="W141" s="183"/>
      <c r="X141" s="183"/>
      <c r="Y141" s="183"/>
      <c r="Z141" s="183"/>
      <c r="AA141" s="183"/>
      <c r="AB141" s="183"/>
      <c r="AC141" s="183"/>
    </row>
    <row r="142" spans="1:29" s="58" customFormat="1" x14ac:dyDescent="0.2">
      <c r="A142" s="183"/>
      <c r="B142" s="183"/>
      <c r="C142" s="89"/>
      <c r="H142" s="59"/>
      <c r="J142" s="59"/>
      <c r="K142" s="183"/>
      <c r="L142" s="183"/>
      <c r="M142" s="183"/>
      <c r="P142" s="183"/>
      <c r="Q142" s="183"/>
      <c r="R142" s="183"/>
      <c r="S142" s="183"/>
      <c r="T142" s="183"/>
      <c r="U142" s="183"/>
      <c r="V142" s="183"/>
      <c r="W142" s="183"/>
      <c r="X142" s="183"/>
      <c r="Y142" s="183"/>
      <c r="Z142" s="183"/>
      <c r="AA142" s="183"/>
      <c r="AB142" s="183"/>
      <c r="AC142" s="183"/>
    </row>
    <row r="143" spans="1:29" s="58" customFormat="1" x14ac:dyDescent="0.2">
      <c r="A143" s="183"/>
      <c r="B143" s="183"/>
      <c r="C143" s="89"/>
      <c r="H143" s="59"/>
      <c r="J143" s="59"/>
      <c r="K143" s="183"/>
      <c r="L143" s="183"/>
      <c r="M143" s="183"/>
      <c r="P143" s="183"/>
      <c r="Q143" s="183"/>
      <c r="R143" s="183"/>
      <c r="S143" s="183"/>
      <c r="T143" s="183"/>
      <c r="U143" s="183"/>
      <c r="V143" s="183"/>
      <c r="W143" s="183"/>
      <c r="X143" s="183"/>
      <c r="Y143" s="183"/>
      <c r="Z143" s="183"/>
      <c r="AA143" s="183"/>
      <c r="AB143" s="183"/>
      <c r="AC143" s="183"/>
    </row>
    <row r="144" spans="1:29" s="58" customFormat="1" x14ac:dyDescent="0.2">
      <c r="A144" s="183"/>
      <c r="B144" s="183"/>
      <c r="C144" s="89"/>
      <c r="H144" s="59"/>
      <c r="J144" s="59"/>
      <c r="K144" s="183"/>
      <c r="L144" s="183"/>
      <c r="M144" s="183"/>
      <c r="P144" s="183"/>
      <c r="Q144" s="183"/>
      <c r="R144" s="183"/>
      <c r="S144" s="183"/>
      <c r="T144" s="183"/>
      <c r="U144" s="183"/>
      <c r="V144" s="183"/>
      <c r="W144" s="183"/>
      <c r="X144" s="183"/>
      <c r="Y144" s="183"/>
      <c r="Z144" s="183"/>
      <c r="AA144" s="183"/>
      <c r="AB144" s="183"/>
      <c r="AC144" s="183"/>
    </row>
    <row r="145" spans="1:29" s="58" customFormat="1" x14ac:dyDescent="0.2">
      <c r="A145" s="183"/>
      <c r="B145" s="183"/>
      <c r="C145" s="89"/>
      <c r="H145" s="59"/>
      <c r="J145" s="59"/>
      <c r="K145" s="183"/>
      <c r="L145" s="183"/>
      <c r="M145" s="183"/>
      <c r="P145" s="183"/>
      <c r="Q145" s="183"/>
      <c r="R145" s="183"/>
      <c r="S145" s="183"/>
      <c r="T145" s="183"/>
      <c r="U145" s="183"/>
      <c r="V145" s="183"/>
      <c r="W145" s="183"/>
      <c r="X145" s="183"/>
      <c r="Y145" s="183"/>
      <c r="Z145" s="183"/>
      <c r="AA145" s="183"/>
      <c r="AB145" s="183"/>
      <c r="AC145" s="183"/>
    </row>
    <row r="146" spans="1:29" s="58" customFormat="1" x14ac:dyDescent="0.2">
      <c r="A146" s="183"/>
      <c r="B146" s="183"/>
      <c r="C146" s="89"/>
      <c r="H146" s="59"/>
      <c r="J146" s="59"/>
      <c r="K146" s="183"/>
      <c r="L146" s="183"/>
      <c r="M146" s="183"/>
      <c r="P146" s="183"/>
      <c r="Q146" s="183"/>
      <c r="R146" s="183"/>
      <c r="S146" s="183"/>
      <c r="T146" s="183"/>
      <c r="U146" s="183"/>
      <c r="V146" s="183"/>
      <c r="W146" s="183"/>
      <c r="X146" s="183"/>
      <c r="Y146" s="183"/>
      <c r="Z146" s="183"/>
      <c r="AA146" s="183"/>
      <c r="AB146" s="183"/>
      <c r="AC146" s="183"/>
    </row>
    <row r="147" spans="1:29" s="58" customFormat="1" x14ac:dyDescent="0.2">
      <c r="A147" s="183"/>
      <c r="B147" s="183"/>
      <c r="C147" s="89"/>
      <c r="H147" s="59"/>
      <c r="J147" s="59"/>
      <c r="K147" s="183"/>
      <c r="L147" s="183"/>
      <c r="M147" s="183"/>
      <c r="P147" s="183"/>
      <c r="Q147" s="183"/>
      <c r="R147" s="183"/>
      <c r="S147" s="183"/>
      <c r="T147" s="183"/>
      <c r="U147" s="183"/>
      <c r="V147" s="183"/>
      <c r="W147" s="183"/>
      <c r="X147" s="183"/>
      <c r="Y147" s="183"/>
      <c r="Z147" s="183"/>
      <c r="AA147" s="183"/>
      <c r="AB147" s="183"/>
      <c r="AC147" s="183"/>
    </row>
    <row r="148" spans="1:29" s="58" customFormat="1" x14ac:dyDescent="0.2">
      <c r="A148" s="183"/>
      <c r="B148" s="183"/>
      <c r="C148" s="89"/>
      <c r="H148" s="59"/>
      <c r="J148" s="59"/>
      <c r="K148" s="183"/>
      <c r="L148" s="183"/>
      <c r="M148" s="183"/>
      <c r="P148" s="183"/>
      <c r="Q148" s="183"/>
      <c r="R148" s="183"/>
      <c r="S148" s="183"/>
      <c r="T148" s="183"/>
      <c r="U148" s="183"/>
      <c r="V148" s="183"/>
      <c r="W148" s="183"/>
      <c r="X148" s="183"/>
      <c r="Y148" s="183"/>
      <c r="Z148" s="183"/>
      <c r="AA148" s="183"/>
      <c r="AB148" s="183"/>
      <c r="AC148" s="183"/>
    </row>
    <row r="149" spans="1:29" s="58" customFormat="1" x14ac:dyDescent="0.2">
      <c r="A149" s="183"/>
      <c r="B149" s="183"/>
      <c r="C149" s="89"/>
      <c r="H149" s="59"/>
      <c r="J149" s="59"/>
      <c r="K149" s="183"/>
      <c r="L149" s="183"/>
      <c r="M149" s="183"/>
      <c r="P149" s="183"/>
      <c r="Q149" s="183"/>
      <c r="R149" s="183"/>
      <c r="S149" s="183"/>
      <c r="T149" s="183"/>
      <c r="U149" s="183"/>
      <c r="V149" s="183"/>
      <c r="W149" s="183"/>
      <c r="X149" s="183"/>
      <c r="Y149" s="183"/>
      <c r="Z149" s="183"/>
      <c r="AA149" s="183"/>
      <c r="AB149" s="183"/>
      <c r="AC149" s="183"/>
    </row>
    <row r="150" spans="1:29" s="58" customFormat="1" x14ac:dyDescent="0.2">
      <c r="A150" s="183"/>
      <c r="B150" s="183"/>
      <c r="C150" s="89"/>
      <c r="H150" s="59"/>
      <c r="J150" s="59"/>
      <c r="K150" s="183"/>
      <c r="L150" s="183"/>
      <c r="M150" s="183"/>
      <c r="P150" s="183"/>
      <c r="Q150" s="183"/>
      <c r="R150" s="183"/>
      <c r="S150" s="183"/>
      <c r="T150" s="183"/>
      <c r="U150" s="183"/>
      <c r="V150" s="183"/>
      <c r="W150" s="183"/>
      <c r="X150" s="183"/>
      <c r="Y150" s="183"/>
      <c r="Z150" s="183"/>
      <c r="AA150" s="183"/>
      <c r="AB150" s="183"/>
      <c r="AC150" s="183"/>
    </row>
    <row r="151" spans="1:29" s="58" customFormat="1" x14ac:dyDescent="0.2">
      <c r="A151" s="183"/>
      <c r="B151" s="183"/>
      <c r="C151" s="89"/>
      <c r="H151" s="59"/>
      <c r="J151" s="59"/>
      <c r="K151" s="183"/>
      <c r="L151" s="183"/>
      <c r="M151" s="183"/>
      <c r="P151" s="183"/>
      <c r="Q151" s="183"/>
      <c r="R151" s="183"/>
      <c r="S151" s="183"/>
      <c r="T151" s="183"/>
      <c r="U151" s="183"/>
      <c r="V151" s="183"/>
      <c r="W151" s="183"/>
      <c r="X151" s="183"/>
      <c r="Y151" s="183"/>
      <c r="Z151" s="183"/>
      <c r="AA151" s="183"/>
      <c r="AB151" s="183"/>
      <c r="AC151" s="183"/>
    </row>
    <row r="152" spans="1:29" s="58" customFormat="1" x14ac:dyDescent="0.2">
      <c r="A152" s="183"/>
      <c r="B152" s="183"/>
      <c r="C152" s="89"/>
      <c r="H152" s="59"/>
      <c r="J152" s="59"/>
      <c r="K152" s="183"/>
      <c r="L152" s="183"/>
      <c r="M152" s="183"/>
      <c r="P152" s="183"/>
      <c r="Q152" s="183"/>
      <c r="R152" s="183"/>
      <c r="S152" s="183"/>
      <c r="T152" s="183"/>
      <c r="U152" s="183"/>
      <c r="V152" s="183"/>
      <c r="W152" s="183"/>
      <c r="X152" s="183"/>
      <c r="Y152" s="183"/>
      <c r="Z152" s="183"/>
      <c r="AA152" s="183"/>
      <c r="AB152" s="183"/>
      <c r="AC152" s="183"/>
    </row>
    <row r="153" spans="1:29" s="58" customFormat="1" x14ac:dyDescent="0.2">
      <c r="A153" s="183"/>
      <c r="B153" s="183"/>
      <c r="C153" s="89"/>
      <c r="H153" s="59"/>
      <c r="J153" s="59"/>
      <c r="K153" s="183"/>
      <c r="L153" s="183"/>
      <c r="M153" s="183"/>
      <c r="P153" s="183"/>
      <c r="Q153" s="183"/>
      <c r="R153" s="183"/>
      <c r="S153" s="183"/>
      <c r="T153" s="183"/>
      <c r="U153" s="183"/>
      <c r="V153" s="183"/>
      <c r="W153" s="183"/>
      <c r="X153" s="183"/>
      <c r="Y153" s="183"/>
      <c r="Z153" s="183"/>
      <c r="AA153" s="183"/>
      <c r="AB153" s="183"/>
      <c r="AC153" s="183"/>
    </row>
    <row r="154" spans="1:29" s="58" customFormat="1" x14ac:dyDescent="0.2">
      <c r="A154" s="183"/>
      <c r="B154" s="183"/>
      <c r="C154" s="89"/>
      <c r="H154" s="59"/>
      <c r="J154" s="59"/>
      <c r="K154" s="183"/>
      <c r="L154" s="183"/>
      <c r="M154" s="183"/>
      <c r="P154" s="183"/>
      <c r="Q154" s="183"/>
      <c r="R154" s="183"/>
      <c r="S154" s="183"/>
      <c r="T154" s="183"/>
      <c r="U154" s="183"/>
      <c r="V154" s="183"/>
      <c r="W154" s="183"/>
      <c r="X154" s="183"/>
      <c r="Y154" s="183"/>
      <c r="Z154" s="183"/>
      <c r="AA154" s="183"/>
      <c r="AB154" s="183"/>
      <c r="AC154" s="183"/>
    </row>
    <row r="155" spans="1:29" s="58" customFormat="1" x14ac:dyDescent="0.2">
      <c r="A155" s="183"/>
      <c r="B155" s="183"/>
      <c r="C155" s="89"/>
      <c r="H155" s="59"/>
      <c r="J155" s="59"/>
      <c r="K155" s="183"/>
      <c r="L155" s="183"/>
      <c r="M155" s="183"/>
      <c r="P155" s="183"/>
      <c r="Q155" s="183"/>
      <c r="R155" s="183"/>
      <c r="S155" s="183"/>
      <c r="T155" s="183"/>
      <c r="U155" s="183"/>
      <c r="V155" s="183"/>
      <c r="W155" s="183"/>
      <c r="X155" s="183"/>
      <c r="Y155" s="183"/>
      <c r="Z155" s="183"/>
      <c r="AA155" s="183"/>
      <c r="AB155" s="183"/>
      <c r="AC155" s="183"/>
    </row>
    <row r="156" spans="1:29" s="58" customFormat="1" x14ac:dyDescent="0.2">
      <c r="A156" s="183"/>
      <c r="B156" s="183"/>
      <c r="C156" s="89"/>
      <c r="H156" s="59"/>
      <c r="J156" s="59"/>
      <c r="K156" s="183"/>
      <c r="L156" s="183"/>
      <c r="M156" s="183"/>
      <c r="P156" s="183"/>
      <c r="Q156" s="183"/>
      <c r="R156" s="183"/>
      <c r="S156" s="183"/>
      <c r="T156" s="183"/>
      <c r="U156" s="183"/>
      <c r="V156" s="183"/>
      <c r="W156" s="183"/>
      <c r="X156" s="183"/>
      <c r="Y156" s="183"/>
      <c r="Z156" s="183"/>
      <c r="AA156" s="183"/>
      <c r="AB156" s="183"/>
      <c r="AC156" s="183"/>
    </row>
    <row r="157" spans="1:29" s="58" customFormat="1" x14ac:dyDescent="0.2">
      <c r="A157" s="183"/>
      <c r="B157" s="183"/>
      <c r="C157" s="89"/>
      <c r="H157" s="59"/>
      <c r="J157" s="59"/>
      <c r="K157" s="183"/>
      <c r="L157" s="183"/>
      <c r="M157" s="183"/>
      <c r="P157" s="183"/>
      <c r="Q157" s="183"/>
      <c r="R157" s="183"/>
      <c r="S157" s="183"/>
      <c r="T157" s="183"/>
      <c r="U157" s="183"/>
      <c r="V157" s="183"/>
      <c r="W157" s="183"/>
      <c r="X157" s="183"/>
      <c r="Y157" s="183"/>
      <c r="Z157" s="183"/>
      <c r="AA157" s="183"/>
      <c r="AB157" s="183"/>
      <c r="AC157" s="183"/>
    </row>
    <row r="158" spans="1:29" s="58" customFormat="1" x14ac:dyDescent="0.2">
      <c r="A158" s="183"/>
      <c r="B158" s="183"/>
      <c r="C158" s="89"/>
      <c r="H158" s="59"/>
      <c r="J158" s="59"/>
      <c r="K158" s="183"/>
      <c r="L158" s="183"/>
      <c r="M158" s="183"/>
      <c r="P158" s="183"/>
      <c r="Q158" s="183"/>
      <c r="R158" s="183"/>
      <c r="S158" s="183"/>
      <c r="T158" s="183"/>
      <c r="U158" s="183"/>
      <c r="V158" s="183"/>
      <c r="W158" s="183"/>
      <c r="X158" s="183"/>
      <c r="Y158" s="183"/>
      <c r="Z158" s="183"/>
      <c r="AA158" s="183"/>
      <c r="AB158" s="183"/>
      <c r="AC158" s="183"/>
    </row>
    <row r="159" spans="1:29" s="58" customFormat="1" x14ac:dyDescent="0.2">
      <c r="A159" s="183"/>
      <c r="B159" s="183"/>
      <c r="C159" s="89"/>
      <c r="H159" s="59"/>
      <c r="J159" s="59"/>
      <c r="K159" s="183"/>
      <c r="L159" s="183"/>
      <c r="M159" s="183"/>
      <c r="P159" s="183"/>
      <c r="Q159" s="183"/>
      <c r="R159" s="183"/>
      <c r="S159" s="183"/>
      <c r="T159" s="183"/>
      <c r="U159" s="183"/>
      <c r="V159" s="183"/>
      <c r="W159" s="183"/>
      <c r="X159" s="183"/>
      <c r="Y159" s="183"/>
      <c r="Z159" s="183"/>
      <c r="AA159" s="183"/>
      <c r="AB159" s="183"/>
      <c r="AC159" s="183"/>
    </row>
    <row r="160" spans="1:29" s="58" customFormat="1" x14ac:dyDescent="0.2">
      <c r="A160" s="183"/>
      <c r="B160" s="183"/>
      <c r="C160" s="89"/>
      <c r="H160" s="59"/>
      <c r="J160" s="59"/>
      <c r="K160" s="183"/>
      <c r="L160" s="183"/>
      <c r="M160" s="183"/>
      <c r="P160" s="183"/>
      <c r="Q160" s="183"/>
      <c r="R160" s="183"/>
      <c r="S160" s="183"/>
      <c r="T160" s="183"/>
      <c r="U160" s="183"/>
      <c r="V160" s="183"/>
      <c r="W160" s="183"/>
      <c r="X160" s="183"/>
      <c r="Y160" s="183"/>
      <c r="Z160" s="183"/>
      <c r="AA160" s="183"/>
      <c r="AB160" s="183"/>
      <c r="AC160" s="183"/>
    </row>
    <row r="161" spans="1:29" s="58" customFormat="1" x14ac:dyDescent="0.2">
      <c r="A161" s="183"/>
      <c r="B161" s="183"/>
      <c r="C161" s="89"/>
      <c r="H161" s="59"/>
      <c r="J161" s="59"/>
      <c r="K161" s="183"/>
      <c r="L161" s="183"/>
      <c r="M161" s="183"/>
      <c r="P161" s="183"/>
      <c r="Q161" s="183"/>
      <c r="R161" s="183"/>
      <c r="S161" s="183"/>
      <c r="T161" s="183"/>
      <c r="U161" s="183"/>
      <c r="V161" s="183"/>
      <c r="W161" s="183"/>
      <c r="X161" s="183"/>
      <c r="Y161" s="183"/>
      <c r="Z161" s="183"/>
      <c r="AA161" s="183"/>
      <c r="AB161" s="183"/>
      <c r="AC161" s="183"/>
    </row>
    <row r="162" spans="1:29" s="58" customFormat="1" x14ac:dyDescent="0.2">
      <c r="A162" s="183"/>
      <c r="B162" s="183"/>
      <c r="C162" s="89"/>
      <c r="H162" s="59"/>
      <c r="J162" s="59"/>
      <c r="K162" s="183"/>
      <c r="L162" s="183"/>
      <c r="M162" s="183"/>
      <c r="P162" s="183"/>
      <c r="Q162" s="183"/>
      <c r="R162" s="183"/>
      <c r="S162" s="183"/>
      <c r="T162" s="183"/>
      <c r="U162" s="183"/>
      <c r="V162" s="183"/>
      <c r="W162" s="183"/>
      <c r="X162" s="183"/>
      <c r="Y162" s="183"/>
      <c r="Z162" s="183"/>
      <c r="AA162" s="183"/>
      <c r="AB162" s="183"/>
      <c r="AC162" s="183"/>
    </row>
    <row r="163" spans="1:29" s="58" customFormat="1" x14ac:dyDescent="0.2">
      <c r="A163" s="183"/>
      <c r="B163" s="183"/>
      <c r="C163" s="89"/>
      <c r="H163" s="59"/>
      <c r="J163" s="59"/>
      <c r="K163" s="183"/>
      <c r="L163" s="183"/>
      <c r="M163" s="183"/>
      <c r="P163" s="183"/>
      <c r="Q163" s="183"/>
      <c r="R163" s="183"/>
      <c r="S163" s="183"/>
      <c r="T163" s="183"/>
      <c r="U163" s="183"/>
      <c r="V163" s="183"/>
      <c r="W163" s="183"/>
      <c r="X163" s="183"/>
      <c r="Y163" s="183"/>
      <c r="Z163" s="183"/>
      <c r="AA163" s="183"/>
      <c r="AB163" s="183"/>
      <c r="AC163" s="183"/>
    </row>
    <row r="164" spans="1:29" s="58" customFormat="1" x14ac:dyDescent="0.2">
      <c r="A164" s="183"/>
      <c r="B164" s="183"/>
      <c r="C164" s="89"/>
      <c r="H164" s="59"/>
      <c r="J164" s="59"/>
      <c r="K164" s="183"/>
      <c r="L164" s="183"/>
      <c r="M164" s="183"/>
      <c r="P164" s="183"/>
      <c r="Q164" s="183"/>
      <c r="R164" s="183"/>
      <c r="S164" s="183"/>
      <c r="T164" s="183"/>
      <c r="U164" s="183"/>
      <c r="V164" s="183"/>
      <c r="W164" s="183"/>
      <c r="X164" s="183"/>
      <c r="Y164" s="183"/>
      <c r="Z164" s="183"/>
      <c r="AA164" s="183"/>
      <c r="AB164" s="183"/>
      <c r="AC164" s="183"/>
    </row>
    <row r="165" spans="1:29" s="58" customFormat="1" x14ac:dyDescent="0.2">
      <c r="A165" s="183"/>
      <c r="B165" s="183"/>
      <c r="C165" s="89"/>
      <c r="H165" s="59"/>
      <c r="J165" s="59"/>
      <c r="K165" s="183"/>
      <c r="L165" s="183"/>
      <c r="M165" s="183"/>
      <c r="P165" s="183"/>
      <c r="Q165" s="183"/>
      <c r="R165" s="183"/>
      <c r="S165" s="183"/>
      <c r="T165" s="183"/>
      <c r="U165" s="183"/>
      <c r="V165" s="183"/>
      <c r="W165" s="183"/>
      <c r="X165" s="183"/>
      <c r="Y165" s="183"/>
      <c r="Z165" s="183"/>
      <c r="AA165" s="183"/>
      <c r="AB165" s="183"/>
      <c r="AC165" s="183"/>
    </row>
    <row r="166" spans="1:29" s="58" customFormat="1" x14ac:dyDescent="0.2">
      <c r="A166" s="183"/>
      <c r="B166" s="183"/>
      <c r="C166" s="89"/>
      <c r="H166" s="59"/>
      <c r="J166" s="59"/>
      <c r="K166" s="183"/>
      <c r="L166" s="183"/>
      <c r="M166" s="183"/>
      <c r="P166" s="183"/>
      <c r="Q166" s="183"/>
      <c r="R166" s="183"/>
      <c r="S166" s="183"/>
      <c r="T166" s="183"/>
      <c r="U166" s="183"/>
      <c r="V166" s="183"/>
      <c r="W166" s="183"/>
      <c r="X166" s="183"/>
      <c r="Y166" s="183"/>
      <c r="Z166" s="183"/>
      <c r="AA166" s="183"/>
      <c r="AB166" s="183"/>
      <c r="AC166" s="183"/>
    </row>
    <row r="167" spans="1:29" s="58" customFormat="1" x14ac:dyDescent="0.2">
      <c r="A167" s="183"/>
      <c r="B167" s="183"/>
      <c r="C167" s="89"/>
      <c r="H167" s="59"/>
      <c r="J167" s="59"/>
      <c r="K167" s="183"/>
      <c r="L167" s="183"/>
      <c r="M167" s="183"/>
      <c r="P167" s="183"/>
      <c r="Q167" s="183"/>
      <c r="R167" s="183"/>
      <c r="S167" s="183"/>
      <c r="T167" s="183"/>
      <c r="U167" s="183"/>
      <c r="V167" s="183"/>
      <c r="W167" s="183"/>
      <c r="X167" s="183"/>
      <c r="Y167" s="183"/>
      <c r="Z167" s="183"/>
      <c r="AA167" s="183"/>
      <c r="AB167" s="183"/>
      <c r="AC167" s="183"/>
    </row>
    <row r="168" spans="1:29" s="58" customFormat="1" x14ac:dyDescent="0.2">
      <c r="A168" s="183"/>
      <c r="B168" s="183"/>
      <c r="C168" s="89"/>
      <c r="H168" s="59"/>
      <c r="J168" s="59"/>
      <c r="K168" s="183"/>
      <c r="L168" s="183"/>
      <c r="M168" s="183"/>
      <c r="P168" s="183"/>
      <c r="Q168" s="183"/>
      <c r="R168" s="183"/>
      <c r="S168" s="183"/>
      <c r="T168" s="183"/>
      <c r="U168" s="183"/>
      <c r="V168" s="183"/>
      <c r="W168" s="183"/>
      <c r="X168" s="183"/>
      <c r="Y168" s="183"/>
      <c r="Z168" s="183"/>
      <c r="AA168" s="183"/>
      <c r="AB168" s="183"/>
      <c r="AC168" s="183"/>
    </row>
    <row r="169" spans="1:29" s="58" customFormat="1" x14ac:dyDescent="0.2">
      <c r="A169" s="183"/>
      <c r="B169" s="183"/>
      <c r="C169" s="89"/>
      <c r="H169" s="59"/>
      <c r="J169" s="59"/>
      <c r="K169" s="183"/>
      <c r="L169" s="183"/>
      <c r="M169" s="183"/>
      <c r="P169" s="183"/>
      <c r="Q169" s="183"/>
      <c r="R169" s="183"/>
      <c r="S169" s="183"/>
      <c r="T169" s="183"/>
      <c r="U169" s="183"/>
      <c r="V169" s="183"/>
      <c r="W169" s="183"/>
      <c r="X169" s="183"/>
      <c r="Y169" s="183"/>
      <c r="Z169" s="183"/>
      <c r="AA169" s="183"/>
      <c r="AB169" s="183"/>
      <c r="AC169" s="183"/>
    </row>
    <row r="170" spans="1:29" s="58" customFormat="1" x14ac:dyDescent="0.2">
      <c r="A170" s="183"/>
      <c r="B170" s="183"/>
      <c r="C170" s="89"/>
      <c r="H170" s="59"/>
      <c r="J170" s="59"/>
      <c r="K170" s="183"/>
      <c r="L170" s="183"/>
      <c r="M170" s="183"/>
      <c r="P170" s="183"/>
      <c r="Q170" s="183"/>
      <c r="R170" s="183"/>
      <c r="S170" s="183"/>
      <c r="T170" s="183"/>
      <c r="U170" s="183"/>
      <c r="V170" s="183"/>
      <c r="W170" s="183"/>
      <c r="X170" s="183"/>
      <c r="Y170" s="183"/>
      <c r="Z170" s="183"/>
      <c r="AA170" s="183"/>
      <c r="AB170" s="183"/>
      <c r="AC170" s="183"/>
    </row>
    <row r="171" spans="1:29" s="58" customFormat="1" x14ac:dyDescent="0.2">
      <c r="A171" s="183"/>
      <c r="B171" s="183"/>
      <c r="C171" s="89"/>
      <c r="H171" s="59"/>
      <c r="J171" s="59"/>
      <c r="K171" s="183"/>
      <c r="L171" s="183"/>
      <c r="M171" s="183"/>
      <c r="P171" s="183"/>
      <c r="Q171" s="183"/>
      <c r="R171" s="183"/>
      <c r="S171" s="183"/>
      <c r="T171" s="183"/>
      <c r="U171" s="183"/>
      <c r="V171" s="183"/>
      <c r="W171" s="183"/>
      <c r="X171" s="183"/>
      <c r="Y171" s="183"/>
      <c r="Z171" s="183"/>
      <c r="AA171" s="183"/>
      <c r="AB171" s="183"/>
      <c r="AC171" s="183"/>
    </row>
    <row r="172" spans="1:29" s="58" customFormat="1" x14ac:dyDescent="0.2">
      <c r="A172" s="183"/>
      <c r="B172" s="183"/>
      <c r="C172" s="89"/>
      <c r="H172" s="59"/>
      <c r="J172" s="59"/>
      <c r="K172" s="183"/>
      <c r="L172" s="183"/>
      <c r="M172" s="183"/>
      <c r="P172" s="183"/>
      <c r="Q172" s="183"/>
      <c r="R172" s="183"/>
      <c r="S172" s="183"/>
      <c r="T172" s="183"/>
      <c r="U172" s="183"/>
      <c r="V172" s="183"/>
      <c r="W172" s="183"/>
      <c r="X172" s="183"/>
      <c r="Y172" s="183"/>
      <c r="Z172" s="183"/>
      <c r="AA172" s="183"/>
      <c r="AB172" s="183"/>
      <c r="AC172" s="183"/>
    </row>
    <row r="173" spans="1:29" s="58" customFormat="1" x14ac:dyDescent="0.2">
      <c r="A173" s="183"/>
      <c r="B173" s="183"/>
      <c r="C173" s="89"/>
      <c r="H173" s="59"/>
      <c r="J173" s="59"/>
      <c r="K173" s="183"/>
      <c r="L173" s="183"/>
      <c r="M173" s="183"/>
      <c r="P173" s="183"/>
      <c r="Q173" s="183"/>
      <c r="R173" s="183"/>
      <c r="S173" s="183"/>
      <c r="T173" s="183"/>
      <c r="U173" s="183"/>
      <c r="V173" s="183"/>
      <c r="W173" s="183"/>
      <c r="X173" s="183"/>
      <c r="Y173" s="183"/>
      <c r="Z173" s="183"/>
      <c r="AA173" s="183"/>
      <c r="AB173" s="183"/>
      <c r="AC173" s="183"/>
    </row>
    <row r="174" spans="1:29" s="58" customFormat="1" x14ac:dyDescent="0.2">
      <c r="A174" s="183"/>
      <c r="B174" s="183"/>
      <c r="C174" s="89"/>
      <c r="H174" s="59"/>
      <c r="J174" s="59"/>
      <c r="K174" s="183"/>
      <c r="L174" s="183"/>
      <c r="M174" s="183"/>
      <c r="P174" s="183"/>
      <c r="Q174" s="183"/>
      <c r="R174" s="183"/>
      <c r="S174" s="183"/>
      <c r="T174" s="183"/>
      <c r="U174" s="183"/>
      <c r="V174" s="183"/>
      <c r="W174" s="183"/>
      <c r="X174" s="183"/>
      <c r="Y174" s="183"/>
      <c r="Z174" s="183"/>
      <c r="AA174" s="183"/>
      <c r="AB174" s="183"/>
      <c r="AC174" s="183"/>
    </row>
    <row r="175" spans="1:29" s="58" customFormat="1" x14ac:dyDescent="0.2">
      <c r="A175" s="183"/>
      <c r="B175" s="183"/>
      <c r="C175" s="89"/>
      <c r="H175" s="59"/>
      <c r="J175" s="59"/>
      <c r="K175" s="183"/>
      <c r="L175" s="183"/>
      <c r="M175" s="183"/>
      <c r="P175" s="183"/>
      <c r="Q175" s="183"/>
      <c r="R175" s="183"/>
      <c r="S175" s="183"/>
      <c r="T175" s="183"/>
      <c r="U175" s="183"/>
      <c r="V175" s="183"/>
      <c r="W175" s="183"/>
      <c r="X175" s="183"/>
      <c r="Y175" s="183"/>
      <c r="Z175" s="183"/>
      <c r="AA175" s="183"/>
      <c r="AB175" s="183"/>
      <c r="AC175" s="183"/>
    </row>
    <row r="176" spans="1:29" s="58" customFormat="1" x14ac:dyDescent="0.2">
      <c r="A176" s="183"/>
      <c r="B176" s="183"/>
      <c r="C176" s="89"/>
      <c r="H176" s="59"/>
      <c r="J176" s="59"/>
      <c r="K176" s="183"/>
      <c r="L176" s="183"/>
      <c r="M176" s="183"/>
      <c r="P176" s="183"/>
      <c r="Q176" s="183"/>
      <c r="R176" s="183"/>
      <c r="S176" s="183"/>
      <c r="T176" s="183"/>
      <c r="U176" s="183"/>
      <c r="V176" s="183"/>
      <c r="W176" s="183"/>
      <c r="X176" s="183"/>
      <c r="Y176" s="183"/>
      <c r="Z176" s="183"/>
      <c r="AA176" s="183"/>
      <c r="AB176" s="183"/>
      <c r="AC176" s="183"/>
    </row>
    <row r="177" spans="1:29" s="58" customFormat="1" x14ac:dyDescent="0.2">
      <c r="A177" s="183"/>
      <c r="B177" s="183"/>
      <c r="C177" s="89"/>
      <c r="H177" s="59"/>
      <c r="J177" s="59"/>
      <c r="K177" s="183"/>
      <c r="L177" s="183"/>
      <c r="M177" s="183"/>
      <c r="P177" s="183"/>
      <c r="Q177" s="183"/>
      <c r="R177" s="183"/>
      <c r="S177" s="183"/>
      <c r="T177" s="183"/>
      <c r="U177" s="183"/>
      <c r="V177" s="183"/>
      <c r="W177" s="183"/>
      <c r="X177" s="183"/>
      <c r="Y177" s="183"/>
      <c r="Z177" s="183"/>
      <c r="AA177" s="183"/>
      <c r="AB177" s="183"/>
      <c r="AC177" s="183"/>
    </row>
    <row r="178" spans="1:29" s="58" customFormat="1" x14ac:dyDescent="0.2">
      <c r="A178" s="183"/>
      <c r="B178" s="183"/>
      <c r="C178" s="89"/>
      <c r="H178" s="59"/>
      <c r="J178" s="59"/>
      <c r="K178" s="183"/>
      <c r="L178" s="183"/>
      <c r="M178" s="183"/>
      <c r="P178" s="183"/>
      <c r="Q178" s="183"/>
      <c r="R178" s="183"/>
      <c r="S178" s="183"/>
      <c r="T178" s="183"/>
      <c r="U178" s="183"/>
      <c r="V178" s="183"/>
      <c r="W178" s="183"/>
      <c r="X178" s="183"/>
      <c r="Y178" s="183"/>
      <c r="Z178" s="183"/>
      <c r="AA178" s="183"/>
      <c r="AB178" s="183"/>
      <c r="AC178" s="183"/>
    </row>
    <row r="179" spans="1:29" s="58" customFormat="1" x14ac:dyDescent="0.2">
      <c r="A179" s="183"/>
      <c r="B179" s="183"/>
      <c r="C179" s="89"/>
      <c r="H179" s="59"/>
      <c r="J179" s="59"/>
      <c r="K179" s="183"/>
      <c r="L179" s="183"/>
      <c r="M179" s="183"/>
      <c r="P179" s="183"/>
      <c r="Q179" s="183"/>
      <c r="R179" s="183"/>
      <c r="S179" s="183"/>
      <c r="T179" s="183"/>
      <c r="U179" s="183"/>
      <c r="V179" s="183"/>
      <c r="W179" s="183"/>
      <c r="X179" s="183"/>
      <c r="Y179" s="183"/>
      <c r="Z179" s="183"/>
      <c r="AA179" s="183"/>
      <c r="AB179" s="183"/>
      <c r="AC179" s="183"/>
    </row>
    <row r="180" spans="1:29" s="58" customFormat="1" x14ac:dyDescent="0.2">
      <c r="A180" s="183"/>
      <c r="B180" s="183"/>
      <c r="C180" s="89"/>
      <c r="H180" s="59"/>
      <c r="J180" s="59"/>
      <c r="K180" s="183"/>
      <c r="L180" s="183"/>
      <c r="M180" s="183"/>
      <c r="P180" s="183"/>
      <c r="Q180" s="183"/>
      <c r="R180" s="183"/>
      <c r="S180" s="183"/>
      <c r="T180" s="183"/>
      <c r="U180" s="183"/>
      <c r="V180" s="183"/>
      <c r="W180" s="183"/>
      <c r="X180" s="183"/>
      <c r="Y180" s="183"/>
      <c r="Z180" s="183"/>
      <c r="AA180" s="183"/>
      <c r="AB180" s="183"/>
      <c r="AC180" s="183"/>
    </row>
    <row r="181" spans="1:29" s="58" customFormat="1" x14ac:dyDescent="0.2">
      <c r="A181" s="183"/>
      <c r="B181" s="183"/>
      <c r="C181" s="89"/>
      <c r="H181" s="59"/>
      <c r="J181" s="59"/>
      <c r="K181" s="183"/>
      <c r="L181" s="183"/>
      <c r="M181" s="183"/>
      <c r="P181" s="183"/>
      <c r="Q181" s="183"/>
      <c r="R181" s="183"/>
      <c r="S181" s="183"/>
      <c r="T181" s="183"/>
      <c r="U181" s="183"/>
      <c r="V181" s="183"/>
      <c r="W181" s="183"/>
      <c r="X181" s="183"/>
      <c r="Y181" s="183"/>
      <c r="Z181" s="183"/>
      <c r="AA181" s="183"/>
      <c r="AB181" s="183"/>
      <c r="AC181" s="183"/>
    </row>
    <row r="182" spans="1:29" s="58" customFormat="1" x14ac:dyDescent="0.2">
      <c r="A182" s="183"/>
      <c r="B182" s="183"/>
      <c r="C182" s="89"/>
      <c r="H182" s="59"/>
      <c r="J182" s="59"/>
      <c r="K182" s="183"/>
      <c r="L182" s="183"/>
      <c r="M182" s="183"/>
      <c r="P182" s="183"/>
      <c r="Q182" s="183"/>
      <c r="R182" s="183"/>
      <c r="S182" s="183"/>
      <c r="T182" s="183"/>
      <c r="U182" s="183"/>
      <c r="V182" s="183"/>
      <c r="W182" s="183"/>
      <c r="X182" s="183"/>
      <c r="Y182" s="183"/>
      <c r="Z182" s="183"/>
      <c r="AA182" s="183"/>
      <c r="AB182" s="183"/>
      <c r="AC182" s="183"/>
    </row>
    <row r="183" spans="1:29" s="58" customFormat="1" x14ac:dyDescent="0.2">
      <c r="A183" s="183"/>
      <c r="B183" s="183"/>
      <c r="C183" s="89"/>
      <c r="H183" s="59"/>
      <c r="J183" s="59"/>
      <c r="K183" s="183"/>
      <c r="L183" s="183"/>
      <c r="M183" s="183"/>
      <c r="P183" s="183"/>
      <c r="Q183" s="183"/>
      <c r="R183" s="183"/>
      <c r="S183" s="183"/>
      <c r="T183" s="183"/>
      <c r="U183" s="183"/>
      <c r="V183" s="183"/>
      <c r="W183" s="183"/>
      <c r="X183" s="183"/>
      <c r="Y183" s="183"/>
      <c r="Z183" s="183"/>
      <c r="AA183" s="183"/>
      <c r="AB183" s="183"/>
      <c r="AC183" s="183"/>
    </row>
    <row r="184" spans="1:29" s="58" customFormat="1" x14ac:dyDescent="0.2">
      <c r="A184" s="183"/>
      <c r="B184" s="183"/>
      <c r="C184" s="89"/>
      <c r="H184" s="59"/>
      <c r="J184" s="59"/>
      <c r="K184" s="183"/>
      <c r="L184" s="183"/>
      <c r="M184" s="183"/>
      <c r="P184" s="183"/>
      <c r="Q184" s="183"/>
      <c r="R184" s="183"/>
      <c r="S184" s="183"/>
      <c r="T184" s="183"/>
      <c r="U184" s="183"/>
      <c r="V184" s="183"/>
      <c r="W184" s="183"/>
      <c r="X184" s="183"/>
      <c r="Y184" s="183"/>
      <c r="Z184" s="183"/>
      <c r="AA184" s="183"/>
      <c r="AB184" s="183"/>
      <c r="AC184" s="183"/>
    </row>
    <row r="185" spans="1:29" s="58" customFormat="1" x14ac:dyDescent="0.2">
      <c r="A185" s="183"/>
      <c r="B185" s="183"/>
      <c r="C185" s="89"/>
      <c r="H185" s="59"/>
      <c r="J185" s="59"/>
      <c r="K185" s="183"/>
      <c r="L185" s="183"/>
      <c r="M185" s="183"/>
      <c r="P185" s="183"/>
      <c r="Q185" s="183"/>
      <c r="R185" s="183"/>
      <c r="S185" s="183"/>
      <c r="T185" s="183"/>
      <c r="U185" s="183"/>
      <c r="V185" s="183"/>
      <c r="W185" s="183"/>
      <c r="X185" s="183"/>
      <c r="Y185" s="183"/>
      <c r="Z185" s="183"/>
      <c r="AA185" s="183"/>
      <c r="AB185" s="183"/>
      <c r="AC185" s="183"/>
    </row>
    <row r="186" spans="1:29" s="58" customFormat="1" x14ac:dyDescent="0.2">
      <c r="A186" s="183"/>
      <c r="B186" s="183"/>
      <c r="C186" s="89"/>
      <c r="H186" s="59"/>
      <c r="J186" s="59"/>
      <c r="K186" s="183"/>
      <c r="L186" s="183"/>
      <c r="M186" s="183"/>
      <c r="P186" s="183"/>
      <c r="Q186" s="183"/>
      <c r="R186" s="183"/>
      <c r="S186" s="183"/>
      <c r="T186" s="183"/>
      <c r="U186" s="183"/>
      <c r="V186" s="183"/>
      <c r="W186" s="183"/>
      <c r="X186" s="183"/>
      <c r="Y186" s="183"/>
      <c r="Z186" s="183"/>
      <c r="AA186" s="183"/>
      <c r="AB186" s="183"/>
      <c r="AC186" s="183"/>
    </row>
    <row r="187" spans="1:29" s="58" customFormat="1" x14ac:dyDescent="0.2">
      <c r="A187" s="183"/>
      <c r="B187" s="183"/>
      <c r="C187" s="89"/>
      <c r="H187" s="59"/>
      <c r="J187" s="59"/>
      <c r="K187" s="183"/>
      <c r="L187" s="183"/>
      <c r="M187" s="183"/>
      <c r="P187" s="183"/>
      <c r="Q187" s="183"/>
      <c r="R187" s="183"/>
      <c r="S187" s="183"/>
      <c r="T187" s="183"/>
      <c r="U187" s="183"/>
      <c r="V187" s="183"/>
      <c r="W187" s="183"/>
      <c r="X187" s="183"/>
      <c r="Y187" s="183"/>
      <c r="Z187" s="183"/>
      <c r="AA187" s="183"/>
      <c r="AB187" s="183"/>
      <c r="AC187" s="183"/>
    </row>
    <row r="188" spans="1:29" s="58" customFormat="1" x14ac:dyDescent="0.2">
      <c r="A188" s="183"/>
      <c r="B188" s="183"/>
      <c r="C188" s="89"/>
      <c r="H188" s="59"/>
      <c r="J188" s="59"/>
      <c r="K188" s="183"/>
      <c r="L188" s="183"/>
      <c r="M188" s="183"/>
      <c r="P188" s="183"/>
      <c r="Q188" s="183"/>
      <c r="R188" s="183"/>
      <c r="S188" s="183"/>
      <c r="T188" s="183"/>
      <c r="U188" s="183"/>
      <c r="V188" s="183"/>
      <c r="W188" s="183"/>
      <c r="X188" s="183"/>
      <c r="Y188" s="183"/>
      <c r="Z188" s="183"/>
      <c r="AA188" s="183"/>
      <c r="AB188" s="183"/>
      <c r="AC188" s="183"/>
    </row>
    <row r="189" spans="1:29" s="58" customFormat="1" x14ac:dyDescent="0.2">
      <c r="A189" s="183"/>
      <c r="B189" s="183"/>
      <c r="C189" s="89"/>
      <c r="H189" s="59"/>
      <c r="J189" s="59"/>
      <c r="K189" s="183"/>
      <c r="L189" s="183"/>
      <c r="M189" s="183"/>
      <c r="P189" s="183"/>
      <c r="Q189" s="183"/>
      <c r="R189" s="183"/>
      <c r="S189" s="183"/>
      <c r="T189" s="183"/>
      <c r="U189" s="183"/>
      <c r="V189" s="183"/>
      <c r="W189" s="183"/>
      <c r="X189" s="183"/>
      <c r="Y189" s="183"/>
      <c r="Z189" s="183"/>
      <c r="AA189" s="183"/>
      <c r="AB189" s="183"/>
      <c r="AC189" s="183"/>
    </row>
    <row r="190" spans="1:29" s="58" customFormat="1" x14ac:dyDescent="0.2">
      <c r="A190" s="183"/>
      <c r="B190" s="183"/>
      <c r="C190" s="89"/>
      <c r="H190" s="59"/>
      <c r="J190" s="59"/>
      <c r="K190" s="183"/>
      <c r="L190" s="183"/>
      <c r="M190" s="183"/>
      <c r="P190" s="183"/>
      <c r="Q190" s="183"/>
      <c r="R190" s="183"/>
      <c r="S190" s="183"/>
      <c r="T190" s="183"/>
      <c r="U190" s="183"/>
      <c r="V190" s="183"/>
      <c r="W190" s="183"/>
      <c r="X190" s="183"/>
      <c r="Y190" s="183"/>
      <c r="Z190" s="183"/>
      <c r="AA190" s="183"/>
      <c r="AB190" s="183"/>
      <c r="AC190" s="183"/>
    </row>
    <row r="191" spans="1:29" s="58" customFormat="1" x14ac:dyDescent="0.2">
      <c r="A191" s="183"/>
      <c r="B191" s="183"/>
      <c r="C191" s="89"/>
      <c r="H191" s="59"/>
      <c r="J191" s="59"/>
      <c r="K191" s="183"/>
      <c r="L191" s="183"/>
      <c r="M191" s="183"/>
      <c r="P191" s="183"/>
      <c r="Q191" s="183"/>
      <c r="R191" s="183"/>
      <c r="S191" s="183"/>
      <c r="T191" s="183"/>
      <c r="U191" s="183"/>
      <c r="V191" s="183"/>
      <c r="W191" s="183"/>
      <c r="X191" s="183"/>
      <c r="Y191" s="183"/>
      <c r="Z191" s="183"/>
      <c r="AA191" s="183"/>
      <c r="AB191" s="183"/>
      <c r="AC191" s="183"/>
    </row>
    <row r="192" spans="1:29" s="58" customFormat="1" x14ac:dyDescent="0.2">
      <c r="A192" s="183"/>
      <c r="B192" s="183"/>
      <c r="C192" s="89"/>
      <c r="H192" s="59"/>
      <c r="J192" s="59"/>
      <c r="K192" s="183"/>
      <c r="L192" s="183"/>
      <c r="M192" s="183"/>
      <c r="P192" s="183"/>
      <c r="Q192" s="183"/>
      <c r="R192" s="183"/>
      <c r="S192" s="183"/>
      <c r="T192" s="183"/>
      <c r="U192" s="183"/>
      <c r="V192" s="183"/>
      <c r="W192" s="183"/>
      <c r="X192" s="183"/>
      <c r="Y192" s="183"/>
      <c r="Z192" s="183"/>
      <c r="AA192" s="183"/>
      <c r="AB192" s="183"/>
      <c r="AC192" s="183"/>
    </row>
    <row r="193" spans="1:29" s="58" customFormat="1" x14ac:dyDescent="0.2">
      <c r="A193" s="183"/>
      <c r="B193" s="183"/>
      <c r="C193" s="89"/>
      <c r="H193" s="59"/>
      <c r="J193" s="59"/>
      <c r="K193" s="183"/>
      <c r="L193" s="183"/>
      <c r="M193" s="183"/>
      <c r="P193" s="183"/>
      <c r="Q193" s="183"/>
      <c r="R193" s="183"/>
      <c r="S193" s="183"/>
      <c r="T193" s="183"/>
      <c r="U193" s="183"/>
      <c r="V193" s="183"/>
      <c r="W193" s="183"/>
      <c r="X193" s="183"/>
      <c r="Y193" s="183"/>
      <c r="Z193" s="183"/>
      <c r="AA193" s="183"/>
      <c r="AB193" s="183"/>
      <c r="AC193" s="183"/>
    </row>
    <row r="194" spans="1:29" s="58" customFormat="1" x14ac:dyDescent="0.2">
      <c r="A194" s="183"/>
      <c r="B194" s="183"/>
      <c r="C194" s="89"/>
      <c r="H194" s="59"/>
      <c r="J194" s="59"/>
      <c r="K194" s="183"/>
      <c r="L194" s="183"/>
      <c r="M194" s="183"/>
      <c r="P194" s="183"/>
      <c r="Q194" s="183"/>
      <c r="R194" s="183"/>
      <c r="S194" s="183"/>
      <c r="T194" s="183"/>
      <c r="U194" s="183"/>
      <c r="V194" s="183"/>
      <c r="W194" s="183"/>
      <c r="X194" s="183"/>
      <c r="Y194" s="183"/>
      <c r="Z194" s="183"/>
      <c r="AA194" s="183"/>
      <c r="AB194" s="183"/>
      <c r="AC194" s="183"/>
    </row>
    <row r="195" spans="1:29" s="58" customFormat="1" x14ac:dyDescent="0.2">
      <c r="A195" s="183"/>
      <c r="B195" s="183"/>
      <c r="C195" s="89"/>
      <c r="H195" s="59"/>
      <c r="J195" s="59"/>
      <c r="K195" s="183"/>
      <c r="L195" s="183"/>
      <c r="M195" s="183"/>
      <c r="P195" s="183"/>
      <c r="Q195" s="183"/>
      <c r="R195" s="183"/>
      <c r="S195" s="183"/>
      <c r="T195" s="183"/>
      <c r="U195" s="183"/>
      <c r="V195" s="183"/>
      <c r="W195" s="183"/>
      <c r="X195" s="183"/>
      <c r="Y195" s="183"/>
      <c r="Z195" s="183"/>
      <c r="AA195" s="183"/>
      <c r="AB195" s="183"/>
      <c r="AC195" s="183"/>
    </row>
    <row r="196" spans="1:29" s="58" customFormat="1" x14ac:dyDescent="0.2">
      <c r="A196" s="183"/>
      <c r="B196" s="183"/>
      <c r="C196" s="89"/>
      <c r="H196" s="59"/>
      <c r="J196" s="59"/>
      <c r="K196" s="183"/>
      <c r="L196" s="183"/>
      <c r="M196" s="183"/>
      <c r="P196" s="183"/>
      <c r="Q196" s="183"/>
      <c r="R196" s="183"/>
      <c r="S196" s="183"/>
      <c r="T196" s="183"/>
      <c r="U196" s="183"/>
      <c r="V196" s="183"/>
      <c r="W196" s="183"/>
      <c r="X196" s="183"/>
      <c r="Y196" s="183"/>
      <c r="Z196" s="183"/>
      <c r="AA196" s="183"/>
      <c r="AB196" s="183"/>
      <c r="AC196" s="183"/>
    </row>
    <row r="197" spans="1:29" s="58" customFormat="1" x14ac:dyDescent="0.2">
      <c r="A197" s="183"/>
      <c r="B197" s="183"/>
      <c r="C197" s="89"/>
      <c r="H197" s="59"/>
      <c r="J197" s="59"/>
      <c r="K197" s="183"/>
      <c r="L197" s="183"/>
      <c r="M197" s="183"/>
      <c r="P197" s="183"/>
      <c r="Q197" s="183"/>
      <c r="R197" s="183"/>
      <c r="S197" s="183"/>
      <c r="T197" s="183"/>
      <c r="U197" s="183"/>
      <c r="V197" s="183"/>
      <c r="W197" s="183"/>
      <c r="X197" s="183"/>
      <c r="Y197" s="183"/>
      <c r="Z197" s="183"/>
      <c r="AA197" s="183"/>
      <c r="AB197" s="183"/>
      <c r="AC197" s="183"/>
    </row>
    <row r="198" spans="1:29" s="58" customFormat="1" x14ac:dyDescent="0.2">
      <c r="A198" s="183"/>
      <c r="B198" s="183"/>
      <c r="C198" s="89"/>
      <c r="H198" s="59"/>
      <c r="J198" s="59"/>
      <c r="K198" s="183"/>
      <c r="L198" s="183"/>
      <c r="M198" s="183"/>
      <c r="P198" s="183"/>
      <c r="Q198" s="183"/>
      <c r="R198" s="183"/>
      <c r="S198" s="183"/>
      <c r="T198" s="183"/>
      <c r="U198" s="183"/>
      <c r="V198" s="183"/>
      <c r="W198" s="183"/>
      <c r="X198" s="183"/>
      <c r="Y198" s="183"/>
      <c r="Z198" s="183"/>
      <c r="AA198" s="183"/>
      <c r="AB198" s="183"/>
      <c r="AC198" s="183"/>
    </row>
    <row r="199" spans="1:29" s="58" customFormat="1" x14ac:dyDescent="0.2">
      <c r="A199" s="183"/>
      <c r="B199" s="183"/>
      <c r="C199" s="89"/>
      <c r="H199" s="59"/>
      <c r="J199" s="59"/>
      <c r="K199" s="183"/>
      <c r="L199" s="183"/>
      <c r="M199" s="183"/>
      <c r="P199" s="183"/>
      <c r="Q199" s="183"/>
      <c r="R199" s="183"/>
      <c r="S199" s="183"/>
      <c r="T199" s="183"/>
      <c r="U199" s="183"/>
      <c r="V199" s="183"/>
      <c r="W199" s="183"/>
      <c r="X199" s="183"/>
      <c r="Y199" s="183"/>
      <c r="Z199" s="183"/>
      <c r="AA199" s="183"/>
      <c r="AB199" s="183"/>
      <c r="AC199" s="183"/>
    </row>
    <row r="200" spans="1:29" s="58" customFormat="1" x14ac:dyDescent="0.2">
      <c r="A200" s="183"/>
      <c r="B200" s="183"/>
      <c r="C200" s="89"/>
      <c r="H200" s="59"/>
      <c r="J200" s="59"/>
      <c r="K200" s="183"/>
      <c r="L200" s="183"/>
      <c r="M200" s="183"/>
      <c r="P200" s="183"/>
      <c r="Q200" s="183"/>
      <c r="R200" s="183"/>
      <c r="S200" s="183"/>
      <c r="T200" s="183"/>
      <c r="U200" s="183"/>
      <c r="V200" s="183"/>
      <c r="W200" s="183"/>
      <c r="X200" s="183"/>
      <c r="Y200" s="183"/>
      <c r="Z200" s="183"/>
      <c r="AA200" s="183"/>
      <c r="AB200" s="183"/>
      <c r="AC200" s="183"/>
    </row>
    <row r="201" spans="1:29" s="58" customFormat="1" x14ac:dyDescent="0.2">
      <c r="A201" s="183"/>
      <c r="B201" s="183"/>
      <c r="C201" s="89"/>
      <c r="H201" s="59"/>
      <c r="J201" s="59"/>
      <c r="K201" s="183"/>
      <c r="L201" s="183"/>
      <c r="M201" s="183"/>
      <c r="P201" s="183"/>
      <c r="Q201" s="183"/>
      <c r="R201" s="183"/>
      <c r="S201" s="183"/>
      <c r="T201" s="183"/>
      <c r="U201" s="183"/>
      <c r="V201" s="183"/>
      <c r="W201" s="183"/>
      <c r="X201" s="183"/>
      <c r="Y201" s="183"/>
      <c r="Z201" s="183"/>
      <c r="AA201" s="183"/>
      <c r="AB201" s="183"/>
      <c r="AC201" s="183"/>
    </row>
    <row r="202" spans="1:29" s="58" customFormat="1" x14ac:dyDescent="0.2">
      <c r="A202" s="183"/>
      <c r="B202" s="183"/>
      <c r="C202" s="89"/>
      <c r="H202" s="59"/>
      <c r="J202" s="59"/>
      <c r="K202" s="183"/>
      <c r="L202" s="183"/>
      <c r="M202" s="183"/>
      <c r="P202" s="183"/>
      <c r="Q202" s="183"/>
      <c r="R202" s="183"/>
      <c r="S202" s="183"/>
      <c r="T202" s="183"/>
      <c r="U202" s="183"/>
      <c r="V202" s="183"/>
      <c r="W202" s="183"/>
      <c r="X202" s="183"/>
      <c r="Y202" s="183"/>
      <c r="Z202" s="183"/>
      <c r="AA202" s="183"/>
      <c r="AB202" s="183"/>
      <c r="AC202" s="183"/>
    </row>
    <row r="203" spans="1:29" s="58" customFormat="1" x14ac:dyDescent="0.2">
      <c r="A203" s="183"/>
      <c r="B203" s="183"/>
      <c r="C203" s="89"/>
      <c r="H203" s="59"/>
      <c r="J203" s="59"/>
      <c r="K203" s="183"/>
      <c r="L203" s="183"/>
      <c r="M203" s="183"/>
      <c r="P203" s="183"/>
      <c r="Q203" s="183"/>
      <c r="R203" s="183"/>
      <c r="S203" s="183"/>
      <c r="T203" s="183"/>
      <c r="U203" s="183"/>
      <c r="V203" s="183"/>
      <c r="W203" s="183"/>
      <c r="X203" s="183"/>
      <c r="Y203" s="183"/>
      <c r="Z203" s="183"/>
      <c r="AA203" s="183"/>
      <c r="AB203" s="183"/>
      <c r="AC203" s="183"/>
    </row>
    <row r="204" spans="1:29" s="58" customFormat="1" x14ac:dyDescent="0.2">
      <c r="A204" s="183"/>
      <c r="B204" s="183"/>
      <c r="C204" s="89"/>
      <c r="H204" s="59"/>
      <c r="J204" s="59"/>
      <c r="K204" s="183"/>
      <c r="L204" s="183"/>
      <c r="M204" s="183"/>
      <c r="P204" s="183"/>
      <c r="Q204" s="183"/>
      <c r="R204" s="183"/>
      <c r="S204" s="183"/>
      <c r="T204" s="183"/>
      <c r="U204" s="183"/>
      <c r="V204" s="183"/>
      <c r="W204" s="183"/>
      <c r="X204" s="183"/>
      <c r="Y204" s="183"/>
      <c r="Z204" s="183"/>
      <c r="AA204" s="183"/>
      <c r="AB204" s="183"/>
      <c r="AC204" s="183"/>
    </row>
    <row r="205" spans="1:29" s="58" customFormat="1" x14ac:dyDescent="0.2">
      <c r="A205" s="183"/>
      <c r="B205" s="183"/>
      <c r="C205" s="89"/>
      <c r="H205" s="59"/>
      <c r="J205" s="59"/>
      <c r="K205" s="183"/>
      <c r="L205" s="183"/>
      <c r="M205" s="183"/>
      <c r="P205" s="183"/>
      <c r="Q205" s="183"/>
      <c r="R205" s="183"/>
      <c r="S205" s="183"/>
      <c r="T205" s="183"/>
      <c r="U205" s="183"/>
      <c r="V205" s="183"/>
      <c r="W205" s="183"/>
      <c r="X205" s="183"/>
      <c r="Y205" s="183"/>
      <c r="Z205" s="183"/>
      <c r="AA205" s="183"/>
      <c r="AB205" s="183"/>
      <c r="AC205" s="183"/>
    </row>
    <row r="206" spans="1:29" s="58" customFormat="1" x14ac:dyDescent="0.2">
      <c r="A206" s="183"/>
      <c r="B206" s="183"/>
      <c r="C206" s="89"/>
      <c r="H206" s="59"/>
      <c r="J206" s="59"/>
      <c r="K206" s="183"/>
      <c r="L206" s="183"/>
      <c r="M206" s="183"/>
      <c r="P206" s="183"/>
      <c r="Q206" s="183"/>
      <c r="R206" s="183"/>
      <c r="S206" s="183"/>
      <c r="T206" s="183"/>
      <c r="U206" s="183"/>
      <c r="V206" s="183"/>
      <c r="W206" s="183"/>
      <c r="X206" s="183"/>
      <c r="Y206" s="183"/>
      <c r="Z206" s="183"/>
      <c r="AA206" s="183"/>
      <c r="AB206" s="183"/>
      <c r="AC206" s="183"/>
    </row>
  </sheetData>
  <autoFilter ref="B3:Q41" xr:uid="{28572A4A-C188-504E-9E93-4D8750A584BE}">
    <sortState xmlns:xlrd2="http://schemas.microsoft.com/office/spreadsheetml/2017/richdata2" ref="B4:Q44">
      <sortCondition ref="B3:B44"/>
    </sortState>
  </autoFilter>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47D2-EDD5-8D49-99CD-8F4CE3948A59}">
  <sheetPr codeName="Sheet9"/>
  <dimension ref="A1:N20"/>
  <sheetViews>
    <sheetView workbookViewId="0">
      <selection activeCell="M4" sqref="M4:N4"/>
    </sheetView>
  </sheetViews>
  <sheetFormatPr baseColWidth="10" defaultRowHeight="16" x14ac:dyDescent="0.2"/>
  <cols>
    <col min="1" max="1" width="4.83203125" style="33" customWidth="1"/>
    <col min="2" max="2" width="35.83203125" style="53" customWidth="1"/>
    <col min="3" max="10" width="20.83203125" style="53" customWidth="1"/>
    <col min="11" max="11" width="80.83203125" style="53" customWidth="1"/>
    <col min="12" max="12" width="4.83203125" style="53" customWidth="1"/>
    <col min="13" max="13" width="27.83203125" style="33" customWidth="1"/>
    <col min="14" max="14" width="20.83203125" style="33" customWidth="1"/>
    <col min="15" max="16384" width="10.83203125" style="33"/>
  </cols>
  <sheetData>
    <row r="1" spans="1:14" s="10" customFormat="1" ht="21" x14ac:dyDescent="0.25">
      <c r="A1" s="15" t="s">
        <v>129</v>
      </c>
      <c r="B1" s="95" t="s">
        <v>133</v>
      </c>
      <c r="C1" s="53"/>
      <c r="D1" s="53"/>
      <c r="E1" s="53"/>
      <c r="F1" s="53"/>
      <c r="G1" s="53"/>
      <c r="H1" s="53"/>
      <c r="I1" s="53"/>
      <c r="J1" s="53"/>
      <c r="K1" s="53"/>
      <c r="M1" s="83" t="s">
        <v>133</v>
      </c>
    </row>
    <row r="2" spans="1:14" s="30" customFormat="1" ht="60" x14ac:dyDescent="0.2">
      <c r="B2" s="22" t="s">
        <v>135</v>
      </c>
      <c r="C2" s="22" t="s">
        <v>573</v>
      </c>
      <c r="D2" s="22" t="s">
        <v>574</v>
      </c>
      <c r="E2" s="22" t="s">
        <v>575</v>
      </c>
      <c r="F2" s="22" t="s">
        <v>592</v>
      </c>
      <c r="G2" s="22" t="s">
        <v>592</v>
      </c>
      <c r="H2" s="22" t="s">
        <v>593</v>
      </c>
      <c r="I2" s="22" t="s">
        <v>593</v>
      </c>
      <c r="J2" s="22" t="s">
        <v>305</v>
      </c>
      <c r="K2" s="22" t="s">
        <v>428</v>
      </c>
      <c r="M2" s="22" t="s">
        <v>51</v>
      </c>
      <c r="N2" s="22" t="s">
        <v>61</v>
      </c>
    </row>
    <row r="3" spans="1:14" s="30" customFormat="1" ht="20" x14ac:dyDescent="0.2">
      <c r="B3" s="162"/>
      <c r="C3" s="17" t="s">
        <v>26</v>
      </c>
      <c r="D3" s="17" t="s">
        <v>26</v>
      </c>
      <c r="E3" s="17" t="s">
        <v>26</v>
      </c>
      <c r="F3" s="17" t="s">
        <v>26</v>
      </c>
      <c r="G3" s="17" t="s">
        <v>20</v>
      </c>
      <c r="H3" s="17" t="s">
        <v>26</v>
      </c>
      <c r="I3" s="17"/>
      <c r="J3" s="17" t="s">
        <v>26</v>
      </c>
      <c r="K3" s="17"/>
      <c r="M3" s="17" t="s">
        <v>52</v>
      </c>
      <c r="N3" s="17" t="s">
        <v>60</v>
      </c>
    </row>
    <row r="4" spans="1:14" s="10" customFormat="1" ht="20" x14ac:dyDescent="0.2">
      <c r="B4" s="162" t="s">
        <v>38</v>
      </c>
      <c r="C4" s="167">
        <v>0.9</v>
      </c>
      <c r="D4" s="167">
        <v>0.9</v>
      </c>
      <c r="E4" s="167">
        <v>0.9</v>
      </c>
      <c r="F4" s="180">
        <v>0.34</v>
      </c>
      <c r="G4" s="69">
        <f>F4*G$13</f>
        <v>1526.94</v>
      </c>
      <c r="H4" s="180">
        <v>0.44</v>
      </c>
      <c r="I4" s="69">
        <f>H4*I$13</f>
        <v>10724.56</v>
      </c>
      <c r="J4" s="179">
        <v>0.8</v>
      </c>
      <c r="K4" s="18" t="s">
        <v>594</v>
      </c>
      <c r="M4" s="166">
        <v>13</v>
      </c>
      <c r="N4" s="84">
        <v>8</v>
      </c>
    </row>
    <row r="5" spans="1:14" s="10" customFormat="1" ht="20" x14ac:dyDescent="0.2">
      <c r="B5" s="162" t="s">
        <v>576</v>
      </c>
      <c r="C5" s="167">
        <v>0.93</v>
      </c>
      <c r="D5" s="167">
        <v>0.93</v>
      </c>
      <c r="E5" s="167">
        <v>0.93</v>
      </c>
      <c r="F5" s="179">
        <v>0.16</v>
      </c>
      <c r="G5" s="69">
        <f t="shared" ref="G5:G7" si="0">F5*G$13</f>
        <v>718.56000000000006</v>
      </c>
      <c r="H5" s="179">
        <v>0.05</v>
      </c>
      <c r="I5" s="69">
        <f t="shared" ref="I5:I7" si="1">H5*I$13</f>
        <v>1218.7</v>
      </c>
      <c r="J5" s="179">
        <v>0.2</v>
      </c>
      <c r="K5" s="18" t="s">
        <v>594</v>
      </c>
    </row>
    <row r="6" spans="1:14" s="10" customFormat="1" ht="20" x14ac:dyDescent="0.2">
      <c r="B6" s="162" t="s">
        <v>584</v>
      </c>
      <c r="C6" s="167">
        <v>0.73</v>
      </c>
      <c r="D6" s="167">
        <v>0.73</v>
      </c>
      <c r="E6" s="167">
        <v>0.73</v>
      </c>
      <c r="F6" s="180">
        <v>0.24</v>
      </c>
      <c r="G6" s="69">
        <f t="shared" si="0"/>
        <v>1077.8399999999999</v>
      </c>
      <c r="H6" s="180">
        <v>0.31</v>
      </c>
      <c r="I6" s="69">
        <f t="shared" si="1"/>
        <v>7555.94</v>
      </c>
      <c r="J6" s="179">
        <v>0.8</v>
      </c>
      <c r="K6" s="18" t="s">
        <v>594</v>
      </c>
    </row>
    <row r="7" spans="1:14" s="10" customFormat="1" ht="20" x14ac:dyDescent="0.2">
      <c r="B7" s="162" t="s">
        <v>583</v>
      </c>
      <c r="C7" s="167">
        <v>0.95</v>
      </c>
      <c r="D7" s="167">
        <v>0.95</v>
      </c>
      <c r="E7" s="167">
        <v>0.95</v>
      </c>
      <c r="F7" s="180">
        <v>1.4999999999999999E-2</v>
      </c>
      <c r="G7" s="69">
        <f t="shared" si="0"/>
        <v>67.364999999999995</v>
      </c>
      <c r="H7" s="180">
        <v>2.5000000000000001E-2</v>
      </c>
      <c r="I7" s="69">
        <f t="shared" si="1"/>
        <v>609.35</v>
      </c>
      <c r="J7" s="179">
        <v>0.95</v>
      </c>
      <c r="K7" s="18" t="s">
        <v>594</v>
      </c>
    </row>
    <row r="8" spans="1:14" s="10" customFormat="1" ht="20" x14ac:dyDescent="0.2">
      <c r="B8" s="162" t="s">
        <v>303</v>
      </c>
      <c r="C8" s="164">
        <v>0.65</v>
      </c>
      <c r="D8" s="164">
        <v>0.65</v>
      </c>
      <c r="E8" s="164">
        <v>0.65</v>
      </c>
      <c r="F8" s="131"/>
      <c r="G8" s="131"/>
      <c r="H8" s="131"/>
      <c r="I8" s="131"/>
      <c r="J8" s="179">
        <v>0.35</v>
      </c>
      <c r="K8" s="18" t="s">
        <v>594</v>
      </c>
    </row>
    <row r="9" spans="1:14" s="14" customFormat="1" ht="20" x14ac:dyDescent="0.25">
      <c r="A9" s="10"/>
      <c r="B9" s="162" t="s">
        <v>300</v>
      </c>
      <c r="C9" s="163">
        <v>0.98099999999999998</v>
      </c>
      <c r="D9" s="163">
        <v>0.98099999999999998</v>
      </c>
      <c r="E9" s="163">
        <v>0.98099999999999998</v>
      </c>
      <c r="F9" s="180">
        <v>0.2</v>
      </c>
      <c r="G9" s="69">
        <f>F9*G$13</f>
        <v>898.2</v>
      </c>
      <c r="H9" s="180">
        <v>0.14000000000000001</v>
      </c>
      <c r="I9" s="69">
        <f>H9*I$13</f>
        <v>3412.36</v>
      </c>
      <c r="J9" s="179">
        <v>0.45</v>
      </c>
      <c r="K9" s="18" t="s">
        <v>594</v>
      </c>
      <c r="M9" s="40"/>
    </row>
    <row r="10" spans="1:14" s="4" customFormat="1" ht="20" x14ac:dyDescent="0.25">
      <c r="A10" s="10"/>
      <c r="B10" s="162" t="s">
        <v>577</v>
      </c>
      <c r="C10" s="163">
        <v>0.98099999999999998</v>
      </c>
      <c r="D10" s="163">
        <v>0.98099999999999998</v>
      </c>
      <c r="E10" s="163">
        <v>0.98099999999999998</v>
      </c>
      <c r="F10" s="131"/>
      <c r="G10" s="131"/>
      <c r="H10" s="131"/>
      <c r="I10" s="131"/>
      <c r="J10" s="74"/>
      <c r="K10" s="162"/>
    </row>
    <row r="11" spans="1:14" s="4" customFormat="1" ht="20" x14ac:dyDescent="0.25">
      <c r="A11" s="10"/>
      <c r="B11" s="162" t="s">
        <v>578</v>
      </c>
      <c r="C11" s="53"/>
      <c r="D11" s="165">
        <v>0.23200000000000001</v>
      </c>
      <c r="E11" s="173">
        <v>0.2</v>
      </c>
      <c r="F11" s="180">
        <v>4.65E-2</v>
      </c>
      <c r="G11" s="69">
        <f>F11*G$13</f>
        <v>208.83150000000001</v>
      </c>
      <c r="H11" s="180">
        <v>0.03</v>
      </c>
      <c r="I11" s="69">
        <f>H11*I$13</f>
        <v>731.22</v>
      </c>
      <c r="J11" s="179">
        <v>0.4</v>
      </c>
      <c r="K11" s="162" t="s">
        <v>594</v>
      </c>
    </row>
    <row r="12" spans="1:14" s="53" customFormat="1" ht="20" x14ac:dyDescent="0.2">
      <c r="B12" s="162" t="s">
        <v>588</v>
      </c>
      <c r="C12" s="171">
        <v>0.05</v>
      </c>
      <c r="D12" s="171">
        <v>0.15</v>
      </c>
      <c r="E12" s="171">
        <v>0.1</v>
      </c>
      <c r="F12" s="131"/>
      <c r="G12" s="131"/>
      <c r="H12" s="131"/>
      <c r="I12" s="131"/>
      <c r="J12" s="172">
        <v>0.2</v>
      </c>
      <c r="K12" s="162" t="s">
        <v>589</v>
      </c>
    </row>
    <row r="13" spans="1:14" s="128" customFormat="1" ht="20" x14ac:dyDescent="0.2">
      <c r="A13" s="89"/>
      <c r="B13" s="181" t="s">
        <v>422</v>
      </c>
      <c r="C13" s="182"/>
      <c r="D13" s="182"/>
      <c r="E13" s="182"/>
      <c r="F13" s="131"/>
      <c r="G13" s="67">
        <v>4491</v>
      </c>
      <c r="H13" s="131"/>
      <c r="I13" s="67">
        <v>24374</v>
      </c>
      <c r="J13" s="131">
        <f>I13*1000/(G13*24*365)</f>
        <v>0.61955468522026291</v>
      </c>
      <c r="K13" s="181"/>
    </row>
    <row r="14" spans="1:14" s="53" customFormat="1" x14ac:dyDescent="0.2">
      <c r="A14" s="10"/>
    </row>
    <row r="15" spans="1:14" s="53" customFormat="1" x14ac:dyDescent="0.2">
      <c r="A15" s="10"/>
    </row>
    <row r="16" spans="1:14" s="10" customFormat="1" ht="19" x14ac:dyDescent="0.25">
      <c r="A16" s="11" t="s">
        <v>37</v>
      </c>
      <c r="B16" s="53"/>
      <c r="C16" s="53"/>
      <c r="D16" s="53"/>
      <c r="E16" s="53"/>
      <c r="F16" s="53"/>
      <c r="G16" s="53"/>
      <c r="H16" s="53"/>
      <c r="I16" s="53"/>
      <c r="J16" s="53"/>
      <c r="K16" s="53"/>
    </row>
    <row r="17" spans="1:11" s="10" customFormat="1" ht="19" x14ac:dyDescent="0.25">
      <c r="A17" s="4" t="s">
        <v>131</v>
      </c>
      <c r="B17" s="4"/>
      <c r="C17" s="4"/>
      <c r="D17" s="4"/>
      <c r="E17" s="4"/>
      <c r="F17" s="4"/>
      <c r="G17" s="4"/>
      <c r="H17" s="4"/>
      <c r="I17" s="4"/>
      <c r="J17" s="4"/>
      <c r="K17" s="4"/>
    </row>
    <row r="18" spans="1:11" s="10" customFormat="1" ht="19" x14ac:dyDescent="0.25">
      <c r="A18" s="4" t="s">
        <v>304</v>
      </c>
      <c r="B18" s="4"/>
      <c r="C18" s="4"/>
      <c r="D18" s="4"/>
      <c r="E18" s="4"/>
      <c r="F18" s="4"/>
      <c r="G18" s="4"/>
      <c r="H18" s="4"/>
      <c r="I18" s="4"/>
      <c r="J18" s="4"/>
      <c r="K18" s="4"/>
    </row>
    <row r="19" spans="1:11" x14ac:dyDescent="0.2">
      <c r="A19" s="10"/>
    </row>
    <row r="20" spans="1:11" x14ac:dyDescent="0.2">
      <c r="A20"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1CA8D-8B6B-474B-BE62-1D7C9CAFED65}">
  <sheetPr codeName="Sheet10"/>
  <dimension ref="A1:V12"/>
  <sheetViews>
    <sheetView workbookViewId="0">
      <selection activeCell="M2" sqref="M2"/>
    </sheetView>
  </sheetViews>
  <sheetFormatPr baseColWidth="10" defaultRowHeight="16" x14ac:dyDescent="0.2"/>
  <cols>
    <col min="1" max="1" width="4.83203125" style="53" customWidth="1"/>
    <col min="2" max="2" width="49.83203125" style="53" customWidth="1"/>
    <col min="3" max="16384" width="10.83203125" style="53"/>
  </cols>
  <sheetData>
    <row r="1" spans="1:22" s="30" customFormat="1" ht="20" customHeight="1" x14ac:dyDescent="0.2">
      <c r="A1" s="21" t="s">
        <v>129</v>
      </c>
      <c r="B1" s="107" t="s">
        <v>234</v>
      </c>
      <c r="C1" s="17" t="s">
        <v>214</v>
      </c>
      <c r="D1" s="17">
        <v>2010</v>
      </c>
      <c r="E1" s="17">
        <v>2011</v>
      </c>
      <c r="F1" s="17">
        <v>2012</v>
      </c>
      <c r="G1" s="17">
        <v>2013</v>
      </c>
      <c r="H1" s="17">
        <v>2014</v>
      </c>
      <c r="I1" s="17">
        <v>2015</v>
      </c>
      <c r="J1" s="17">
        <v>2016</v>
      </c>
      <c r="K1" s="17">
        <v>2017</v>
      </c>
      <c r="L1" s="17">
        <v>2018</v>
      </c>
      <c r="M1" s="17" t="s">
        <v>650</v>
      </c>
    </row>
    <row r="2" spans="1:22" ht="20" x14ac:dyDescent="0.2">
      <c r="B2" s="102" t="s">
        <v>215</v>
      </c>
      <c r="C2" s="103" t="s">
        <v>46</v>
      </c>
      <c r="D2" s="105">
        <v>20759</v>
      </c>
      <c r="E2" s="105">
        <v>21611</v>
      </c>
      <c r="F2" s="105">
        <v>22129</v>
      </c>
      <c r="G2" s="105">
        <v>23155</v>
      </c>
      <c r="H2" s="105">
        <v>23424</v>
      </c>
      <c r="I2" s="105">
        <v>23756</v>
      </c>
      <c r="J2" s="105">
        <v>24374</v>
      </c>
      <c r="K2" s="105">
        <v>25317</v>
      </c>
      <c r="L2" s="105">
        <v>25777</v>
      </c>
      <c r="M2" s="46"/>
    </row>
    <row r="3" spans="1:22" ht="20" x14ac:dyDescent="0.2">
      <c r="B3" s="102" t="s">
        <v>216</v>
      </c>
      <c r="C3" s="103" t="s">
        <v>46</v>
      </c>
      <c r="D3" s="67"/>
      <c r="E3" s="67">
        <f t="shared" ref="E3:L3" si="0">E2-D2</f>
        <v>852</v>
      </c>
      <c r="F3" s="67">
        <f t="shared" si="0"/>
        <v>518</v>
      </c>
      <c r="G3" s="67">
        <f t="shared" si="0"/>
        <v>1026</v>
      </c>
      <c r="H3" s="67">
        <f t="shared" si="0"/>
        <v>269</v>
      </c>
      <c r="I3" s="67">
        <f t="shared" si="0"/>
        <v>332</v>
      </c>
      <c r="J3" s="67">
        <f t="shared" si="0"/>
        <v>618</v>
      </c>
      <c r="K3" s="67">
        <f t="shared" si="0"/>
        <v>943</v>
      </c>
      <c r="L3" s="67">
        <f t="shared" si="0"/>
        <v>460</v>
      </c>
      <c r="M3" s="46" t="s">
        <v>651</v>
      </c>
    </row>
    <row r="4" spans="1:22" ht="20" x14ac:dyDescent="0.2">
      <c r="B4" s="102" t="s">
        <v>217</v>
      </c>
      <c r="C4" s="103" t="s">
        <v>49</v>
      </c>
      <c r="D4" s="74"/>
      <c r="E4" s="74">
        <f t="shared" ref="E4:L4" si="1">E3/D2</f>
        <v>4.1042439423864346E-2</v>
      </c>
      <c r="F4" s="74">
        <f t="shared" si="1"/>
        <v>2.396927490629772E-2</v>
      </c>
      <c r="G4" s="74">
        <f t="shared" si="1"/>
        <v>4.6364499073613813E-2</v>
      </c>
      <c r="H4" s="74">
        <f t="shared" si="1"/>
        <v>1.1617361261066723E-2</v>
      </c>
      <c r="I4" s="74">
        <f t="shared" si="1"/>
        <v>1.4173497267759563E-2</v>
      </c>
      <c r="J4" s="74">
        <f t="shared" si="1"/>
        <v>2.6014480552281529E-2</v>
      </c>
      <c r="K4" s="74">
        <f t="shared" si="1"/>
        <v>3.868876671863461E-2</v>
      </c>
      <c r="L4" s="74">
        <f t="shared" si="1"/>
        <v>1.8169609353398904E-2</v>
      </c>
      <c r="M4" s="98">
        <f>(L2/D2)^(1/(8))-1</f>
        <v>2.7432366367378336E-2</v>
      </c>
    </row>
    <row r="5" spans="1:22" ht="19" x14ac:dyDescent="0.25">
      <c r="C5" s="49"/>
      <c r="D5" s="104"/>
      <c r="E5" s="104"/>
      <c r="F5" s="104"/>
      <c r="G5" s="104"/>
      <c r="H5" s="104"/>
      <c r="I5" s="104"/>
      <c r="J5" s="104"/>
      <c r="K5" s="104"/>
      <c r="L5" s="104"/>
      <c r="M5" s="4"/>
      <c r="N5" s="4"/>
      <c r="O5" s="4"/>
      <c r="P5" s="4"/>
      <c r="Q5" s="4"/>
      <c r="R5" s="4"/>
      <c r="S5" s="4"/>
      <c r="T5" s="4"/>
      <c r="U5" s="4"/>
      <c r="V5" s="4"/>
    </row>
    <row r="6" spans="1:22" ht="19" x14ac:dyDescent="0.2">
      <c r="A6" s="68" t="s">
        <v>37</v>
      </c>
      <c r="B6" s="49"/>
    </row>
    <row r="7" spans="1:22" s="4" customFormat="1" ht="19" x14ac:dyDescent="0.25">
      <c r="B7" s="53"/>
      <c r="C7" s="53"/>
      <c r="D7" s="53"/>
      <c r="E7" s="53"/>
      <c r="F7" s="53"/>
      <c r="G7" s="53"/>
      <c r="H7" s="53"/>
      <c r="I7" s="53"/>
      <c r="J7" s="53"/>
      <c r="K7" s="53"/>
      <c r="L7" s="53"/>
    </row>
    <row r="8" spans="1:22" s="4" customFormat="1" ht="19" x14ac:dyDescent="0.25">
      <c r="C8" s="53"/>
      <c r="D8" s="53"/>
      <c r="E8" s="53"/>
      <c r="F8" s="53"/>
      <c r="G8" s="53"/>
      <c r="H8" s="53"/>
      <c r="I8" s="53"/>
      <c r="J8" s="53"/>
      <c r="K8" s="53"/>
      <c r="L8" s="53"/>
    </row>
    <row r="9" spans="1:22" ht="19" x14ac:dyDescent="0.25">
      <c r="M9" s="6"/>
    </row>
    <row r="10" spans="1:22" ht="19" x14ac:dyDescent="0.25">
      <c r="M10" s="6"/>
    </row>
    <row r="11" spans="1:22" ht="19" x14ac:dyDescent="0.25">
      <c r="M11" s="6"/>
    </row>
    <row r="12" spans="1:22" ht="19" x14ac:dyDescent="0.25">
      <c r="M12"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9BF02-37B3-CA4F-84B0-915782B91B1F}">
  <sheetPr codeName="Sheet11"/>
  <dimension ref="A1:V12"/>
  <sheetViews>
    <sheetView workbookViewId="0">
      <selection activeCell="M24" sqref="M24"/>
    </sheetView>
  </sheetViews>
  <sheetFormatPr baseColWidth="10" defaultRowHeight="16" x14ac:dyDescent="0.2"/>
  <cols>
    <col min="1" max="1" width="4.83203125" style="53" customWidth="1"/>
    <col min="2" max="2" width="49.83203125" style="53" customWidth="1"/>
    <col min="3" max="12" width="10.83203125" style="53"/>
    <col min="13" max="13" width="10.83203125" style="183"/>
    <col min="14" max="16384" width="10.83203125" style="53"/>
  </cols>
  <sheetData>
    <row r="1" spans="1:22" s="30" customFormat="1" ht="20" customHeight="1" x14ac:dyDescent="0.2">
      <c r="A1" s="21" t="s">
        <v>129</v>
      </c>
      <c r="B1" s="107" t="s">
        <v>218</v>
      </c>
      <c r="C1" s="17" t="s">
        <v>214</v>
      </c>
      <c r="D1" s="17">
        <v>2010</v>
      </c>
      <c r="E1" s="17">
        <v>2011</v>
      </c>
      <c r="F1" s="17">
        <v>2012</v>
      </c>
      <c r="G1" s="17">
        <v>2013</v>
      </c>
      <c r="H1" s="17">
        <v>2014</v>
      </c>
      <c r="I1" s="17">
        <v>2015</v>
      </c>
      <c r="J1" s="17">
        <v>2016</v>
      </c>
      <c r="K1" s="17">
        <v>2017</v>
      </c>
      <c r="L1" s="17">
        <v>2018</v>
      </c>
      <c r="M1" s="17" t="s">
        <v>650</v>
      </c>
    </row>
    <row r="2" spans="1:22" ht="20" x14ac:dyDescent="0.2">
      <c r="B2" s="102" t="s">
        <v>219</v>
      </c>
      <c r="C2" s="103" t="s">
        <v>50</v>
      </c>
      <c r="D2" s="105">
        <v>3162</v>
      </c>
      <c r="E2" s="105">
        <v>3195</v>
      </c>
      <c r="F2" s="105">
        <v>3314</v>
      </c>
      <c r="G2" s="105">
        <v>3543</v>
      </c>
      <c r="H2" s="105">
        <v>3561</v>
      </c>
      <c r="I2" s="105">
        <v>3640</v>
      </c>
      <c r="J2" s="105">
        <v>3747</v>
      </c>
      <c r="K2" s="105">
        <v>3792</v>
      </c>
      <c r="L2" s="105">
        <v>3723</v>
      </c>
      <c r="M2" s="46"/>
    </row>
    <row r="3" spans="1:22" ht="20" x14ac:dyDescent="0.2">
      <c r="B3" s="102" t="s">
        <v>220</v>
      </c>
      <c r="C3" s="103" t="s">
        <v>50</v>
      </c>
      <c r="D3" s="67"/>
      <c r="E3" s="67">
        <f t="shared" ref="E3" si="0">E2-D2</f>
        <v>33</v>
      </c>
      <c r="F3" s="67">
        <f t="shared" ref="F3" si="1">F2-E2</f>
        <v>119</v>
      </c>
      <c r="G3" s="67">
        <f t="shared" ref="G3" si="2">G2-F2</f>
        <v>229</v>
      </c>
      <c r="H3" s="67">
        <f t="shared" ref="H3" si="3">H2-G2</f>
        <v>18</v>
      </c>
      <c r="I3" s="67">
        <f t="shared" ref="I3:L3" si="4">I2-H2</f>
        <v>79</v>
      </c>
      <c r="J3" s="67">
        <f t="shared" si="4"/>
        <v>107</v>
      </c>
      <c r="K3" s="67">
        <f t="shared" si="4"/>
        <v>45</v>
      </c>
      <c r="L3" s="67">
        <f t="shared" si="4"/>
        <v>-69</v>
      </c>
      <c r="M3" s="46" t="s">
        <v>651</v>
      </c>
    </row>
    <row r="4" spans="1:22" ht="20" x14ac:dyDescent="0.2">
      <c r="B4" s="102" t="s">
        <v>221</v>
      </c>
      <c r="C4" s="103" t="s">
        <v>49</v>
      </c>
      <c r="D4" s="74"/>
      <c r="E4" s="74">
        <f t="shared" ref="E4" si="5">E3/D2</f>
        <v>1.0436432637571158E-2</v>
      </c>
      <c r="F4" s="74">
        <f t="shared" ref="F4" si="6">F3/E2</f>
        <v>3.7245696400625979E-2</v>
      </c>
      <c r="G4" s="74">
        <f t="shared" ref="G4" si="7">G3/F2</f>
        <v>6.9100784550392272E-2</v>
      </c>
      <c r="H4" s="74">
        <f t="shared" ref="H4" si="8">H3/G2</f>
        <v>5.0804403048264179E-3</v>
      </c>
      <c r="I4" s="74">
        <f t="shared" ref="I4:L4" si="9">I3/H2</f>
        <v>2.218477955630441E-2</v>
      </c>
      <c r="J4" s="74">
        <f t="shared" si="9"/>
        <v>2.9395604395604395E-2</v>
      </c>
      <c r="K4" s="74">
        <f t="shared" si="9"/>
        <v>1.2009607686148919E-2</v>
      </c>
      <c r="L4" s="74">
        <f t="shared" si="9"/>
        <v>-1.8196202531645569E-2</v>
      </c>
      <c r="M4" s="98">
        <f>(L2/D2)^(1/(8))-1</f>
        <v>2.0625456495372285E-2</v>
      </c>
    </row>
    <row r="5" spans="1:22" ht="19" x14ac:dyDescent="0.25">
      <c r="C5" s="49"/>
      <c r="D5" s="104"/>
      <c r="E5" s="104"/>
      <c r="F5" s="104"/>
      <c r="G5" s="104"/>
      <c r="H5" s="104"/>
      <c r="I5" s="104"/>
      <c r="J5" s="104"/>
      <c r="K5" s="104"/>
      <c r="L5" s="104"/>
      <c r="M5" s="4"/>
      <c r="N5" s="4"/>
      <c r="O5" s="4"/>
      <c r="P5" s="4"/>
      <c r="Q5" s="4"/>
      <c r="R5" s="4"/>
      <c r="S5" s="4"/>
      <c r="T5" s="4"/>
      <c r="U5" s="4"/>
      <c r="V5" s="4"/>
    </row>
    <row r="6" spans="1:22" ht="19" x14ac:dyDescent="0.2">
      <c r="A6" s="68" t="s">
        <v>37</v>
      </c>
      <c r="B6" s="49"/>
    </row>
    <row r="7" spans="1:22" s="4" customFormat="1" ht="19" x14ac:dyDescent="0.25">
      <c r="B7" s="53"/>
      <c r="C7" s="53"/>
      <c r="D7" s="53"/>
      <c r="E7" s="53"/>
      <c r="F7" s="53"/>
      <c r="G7" s="53"/>
      <c r="H7" s="53"/>
      <c r="I7" s="53"/>
      <c r="J7" s="53"/>
      <c r="K7" s="53"/>
      <c r="L7" s="53"/>
    </row>
    <row r="8" spans="1:22" s="4" customFormat="1" ht="19" x14ac:dyDescent="0.25">
      <c r="C8" s="53"/>
      <c r="D8" s="53"/>
      <c r="E8" s="53"/>
      <c r="F8" s="53"/>
      <c r="G8" s="53"/>
      <c r="H8" s="53"/>
      <c r="I8" s="53"/>
      <c r="J8" s="53"/>
      <c r="K8" s="53"/>
      <c r="L8" s="53"/>
    </row>
    <row r="9" spans="1:22" ht="19" x14ac:dyDescent="0.25">
      <c r="B9" s="4"/>
      <c r="C9" s="4"/>
      <c r="D9" s="4"/>
      <c r="E9" s="4"/>
      <c r="F9" s="4"/>
      <c r="G9" s="4"/>
      <c r="H9" s="4"/>
      <c r="I9" s="4"/>
      <c r="J9" s="4"/>
      <c r="K9" s="4"/>
      <c r="L9" s="4"/>
      <c r="M9" s="6"/>
      <c r="N9" s="4"/>
      <c r="O9" s="4"/>
      <c r="P9" s="4"/>
      <c r="Q9" s="4"/>
      <c r="R9" s="4"/>
      <c r="S9" s="4"/>
      <c r="T9" s="4"/>
      <c r="U9" s="4"/>
      <c r="V9" s="4"/>
    </row>
    <row r="10" spans="1:22" ht="19" x14ac:dyDescent="0.25">
      <c r="M10" s="6"/>
    </row>
    <row r="11" spans="1:22" ht="19" x14ac:dyDescent="0.25">
      <c r="M11" s="6"/>
    </row>
    <row r="12" spans="1:22" ht="19" x14ac:dyDescent="0.25">
      <c r="M12"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77BA-8388-4C4B-9C9F-FCAF32F26943}">
  <sheetPr codeName="Sheet12"/>
  <dimension ref="A1:AJ35"/>
  <sheetViews>
    <sheetView workbookViewId="0">
      <selection activeCell="B1" sqref="B1"/>
    </sheetView>
  </sheetViews>
  <sheetFormatPr baseColWidth="10" defaultRowHeight="16" x14ac:dyDescent="0.2"/>
  <cols>
    <col min="1" max="1" width="4.83203125" style="33" customWidth="1"/>
    <col min="2" max="2" width="29.33203125" style="33" customWidth="1"/>
    <col min="3" max="3" width="10.83203125" style="33"/>
    <col min="4" max="20" width="9.83203125" style="33" customWidth="1"/>
    <col min="21" max="34" width="9.83203125" style="183" customWidth="1"/>
    <col min="35" max="35" width="18.83203125" style="33" customWidth="1"/>
    <col min="36" max="36" width="54" style="33" customWidth="1"/>
    <col min="37" max="16384" width="10.83203125" style="33"/>
  </cols>
  <sheetData>
    <row r="1" spans="1:36" s="30" customFormat="1" ht="21" x14ac:dyDescent="0.25">
      <c r="A1" s="15" t="s">
        <v>129</v>
      </c>
      <c r="B1" s="241" t="s">
        <v>884</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row>
    <row r="2" spans="1:36" s="30" customFormat="1" ht="20" x14ac:dyDescent="0.25">
      <c r="A2" s="4"/>
      <c r="B2" s="46"/>
      <c r="C2" s="17" t="s">
        <v>130</v>
      </c>
      <c r="D2" s="17">
        <v>2020</v>
      </c>
      <c r="E2" s="17">
        <f t="shared" ref="E2" si="0">D2+1</f>
        <v>2021</v>
      </c>
      <c r="F2" s="17">
        <f t="shared" ref="F2" si="1">E2+1</f>
        <v>2022</v>
      </c>
      <c r="G2" s="17">
        <f t="shared" ref="G2" si="2">F2+1</f>
        <v>2023</v>
      </c>
      <c r="H2" s="17">
        <f t="shared" ref="H2" si="3">G2+1</f>
        <v>2024</v>
      </c>
      <c r="I2" s="17">
        <f t="shared" ref="I2" si="4">H2+1</f>
        <v>2025</v>
      </c>
      <c r="J2" s="17">
        <f t="shared" ref="J2" si="5">I2+1</f>
        <v>2026</v>
      </c>
      <c r="K2" s="17">
        <f t="shared" ref="K2" si="6">J2+1</f>
        <v>2027</v>
      </c>
      <c r="L2" s="17">
        <f t="shared" ref="L2" si="7">K2+1</f>
        <v>2028</v>
      </c>
      <c r="M2" s="17">
        <f t="shared" ref="M2" si="8">L2+1</f>
        <v>2029</v>
      </c>
      <c r="N2" s="17">
        <f t="shared" ref="N2" si="9">M2+1</f>
        <v>2030</v>
      </c>
      <c r="O2" s="17">
        <f t="shared" ref="O2" si="10">N2+1</f>
        <v>2031</v>
      </c>
      <c r="P2" s="17">
        <f t="shared" ref="P2" si="11">O2+1</f>
        <v>2032</v>
      </c>
      <c r="Q2" s="17">
        <f t="shared" ref="Q2" si="12">P2+1</f>
        <v>2033</v>
      </c>
      <c r="R2" s="17">
        <f t="shared" ref="R2" si="13">Q2+1</f>
        <v>2034</v>
      </c>
      <c r="S2" s="17">
        <f t="shared" ref="S2" si="14">R2+1</f>
        <v>2035</v>
      </c>
      <c r="T2" s="17">
        <f t="shared" ref="T2" si="15">S2+1</f>
        <v>2036</v>
      </c>
      <c r="U2" s="17">
        <v>2037</v>
      </c>
      <c r="V2" s="17">
        <v>2038</v>
      </c>
      <c r="W2" s="17">
        <v>2039</v>
      </c>
      <c r="X2" s="17">
        <v>2040</v>
      </c>
      <c r="Y2" s="17">
        <v>2041</v>
      </c>
      <c r="Z2" s="17">
        <v>2042</v>
      </c>
      <c r="AA2" s="17">
        <v>2043</v>
      </c>
      <c r="AB2" s="17">
        <v>2044</v>
      </c>
      <c r="AC2" s="17">
        <v>2045</v>
      </c>
      <c r="AD2" s="17">
        <v>2046</v>
      </c>
      <c r="AE2" s="17">
        <v>2047</v>
      </c>
      <c r="AF2" s="17">
        <v>2048</v>
      </c>
      <c r="AG2" s="17">
        <v>2049</v>
      </c>
      <c r="AH2" s="17">
        <v>2050</v>
      </c>
      <c r="AI2" s="17" t="s">
        <v>881</v>
      </c>
      <c r="AJ2" s="17" t="s">
        <v>32</v>
      </c>
    </row>
    <row r="3" spans="1:36" s="10" customFormat="1" ht="20" x14ac:dyDescent="0.2">
      <c r="B3" s="73" t="s">
        <v>47</v>
      </c>
      <c r="C3" s="46" t="s">
        <v>883</v>
      </c>
      <c r="D3" s="78">
        <v>25616</v>
      </c>
      <c r="E3" s="78">
        <v>25955</v>
      </c>
      <c r="F3" s="78">
        <v>26217</v>
      </c>
      <c r="G3" s="78">
        <v>26568</v>
      </c>
      <c r="H3" s="78">
        <v>26885</v>
      </c>
      <c r="I3" s="78">
        <v>27092</v>
      </c>
      <c r="J3" s="78">
        <v>27383</v>
      </c>
      <c r="K3" s="78">
        <v>27633</v>
      </c>
      <c r="L3" s="78">
        <v>28027</v>
      </c>
      <c r="M3" s="78">
        <v>28428</v>
      </c>
      <c r="N3" s="78">
        <v>28792</v>
      </c>
      <c r="O3" s="78">
        <v>29223</v>
      </c>
      <c r="P3" s="78">
        <v>29599</v>
      </c>
      <c r="Q3" s="78">
        <v>30029</v>
      </c>
      <c r="R3" s="78">
        <v>30369</v>
      </c>
      <c r="S3" s="78">
        <v>30695</v>
      </c>
      <c r="T3" s="78">
        <v>31105</v>
      </c>
      <c r="U3" s="86"/>
      <c r="V3" s="86"/>
      <c r="W3" s="86"/>
      <c r="X3" s="86"/>
      <c r="Y3" s="86"/>
      <c r="Z3" s="86"/>
      <c r="AA3" s="86"/>
      <c r="AB3" s="86"/>
      <c r="AC3" s="86"/>
      <c r="AD3" s="86"/>
      <c r="AE3" s="86"/>
      <c r="AF3" s="86"/>
      <c r="AG3" s="86"/>
      <c r="AH3" s="86"/>
      <c r="AI3" s="46"/>
      <c r="AJ3" s="18"/>
    </row>
    <row r="4" spans="1:36" s="10" customFormat="1" ht="20" x14ac:dyDescent="0.2">
      <c r="B4" s="73" t="s">
        <v>48</v>
      </c>
      <c r="C4" s="46" t="s">
        <v>883</v>
      </c>
      <c r="D4" s="78">
        <v>25422</v>
      </c>
      <c r="E4" s="78">
        <v>25710</v>
      </c>
      <c r="F4" s="78">
        <v>25920</v>
      </c>
      <c r="G4" s="78">
        <v>26219</v>
      </c>
      <c r="H4" s="78">
        <v>26482</v>
      </c>
      <c r="I4" s="78">
        <v>26632</v>
      </c>
      <c r="J4" s="78">
        <v>26869</v>
      </c>
      <c r="K4" s="78">
        <v>27067</v>
      </c>
      <c r="L4" s="78">
        <v>27411</v>
      </c>
      <c r="M4" s="78">
        <v>27767</v>
      </c>
      <c r="N4" s="78">
        <v>28088</v>
      </c>
      <c r="O4" s="78">
        <v>28479</v>
      </c>
      <c r="P4" s="78">
        <v>28819</v>
      </c>
      <c r="Q4" s="78">
        <v>29213</v>
      </c>
      <c r="R4" s="78">
        <v>29524</v>
      </c>
      <c r="S4" s="78">
        <v>29825</v>
      </c>
      <c r="T4" s="78">
        <v>30214</v>
      </c>
      <c r="U4" s="86">
        <f>T4*(1+U5)</f>
        <v>30570.595385897632</v>
      </c>
      <c r="V4" s="86">
        <f t="shared" ref="V4:AH4" si="16">U4*(1+V5)</f>
        <v>30931.399425705487</v>
      </c>
      <c r="W4" s="86">
        <f t="shared" si="16"/>
        <v>31296.46179131624</v>
      </c>
      <c r="X4" s="86">
        <f t="shared" si="16"/>
        <v>31665.832740866281</v>
      </c>
      <c r="Y4" s="86">
        <f t="shared" si="16"/>
        <v>32039.56312565476</v>
      </c>
      <c r="Z4" s="86">
        <f t="shared" si="16"/>
        <v>32417.704397144284</v>
      </c>
      <c r="AA4" s="86">
        <f t="shared" si="16"/>
        <v>32800.308614044232</v>
      </c>
      <c r="AB4" s="86">
        <f t="shared" si="16"/>
        <v>33187.428449477688</v>
      </c>
      <c r="AC4" s="86">
        <f t="shared" si="16"/>
        <v>33579.117198232954</v>
      </c>
      <c r="AD4" s="86">
        <f t="shared" si="16"/>
        <v>33975.428784100623</v>
      </c>
      <c r="AE4" s="86">
        <f t="shared" si="16"/>
        <v>34376.41776729728</v>
      </c>
      <c r="AF4" s="86">
        <f t="shared" si="16"/>
        <v>34782.139351976817</v>
      </c>
      <c r="AG4" s="86">
        <f t="shared" si="16"/>
        <v>35192.649393830376</v>
      </c>
      <c r="AH4" s="86">
        <f t="shared" si="16"/>
        <v>35608.004407775996</v>
      </c>
      <c r="AI4" s="46" t="s">
        <v>882</v>
      </c>
      <c r="AJ4" s="18" t="s">
        <v>869</v>
      </c>
    </row>
    <row r="5" spans="1:36" s="10" customFormat="1" ht="20" x14ac:dyDescent="0.2">
      <c r="B5" s="73"/>
      <c r="C5" s="46"/>
      <c r="D5" s="98"/>
      <c r="E5" s="98">
        <f t="shared" ref="E5" si="17">(E4-D4)/D4</f>
        <v>1.1328770356384235E-2</v>
      </c>
      <c r="F5" s="98">
        <f t="shared" ref="F5" si="18">(F4-E4)/E4</f>
        <v>8.1680280046674443E-3</v>
      </c>
      <c r="G5" s="98">
        <f t="shared" ref="G5" si="19">(G4-F4)/F4</f>
        <v>1.1535493827160494E-2</v>
      </c>
      <c r="H5" s="98">
        <f t="shared" ref="H5" si="20">(H4-G4)/G4</f>
        <v>1.003089362675922E-2</v>
      </c>
      <c r="I5" s="98">
        <f t="shared" ref="I5" si="21">(I4-H4)/H4</f>
        <v>5.6642247564383354E-3</v>
      </c>
      <c r="J5" s="98">
        <f t="shared" ref="J5" si="22">(J4-I4)/I4</f>
        <v>8.8990687894262548E-3</v>
      </c>
      <c r="K5" s="98">
        <f t="shared" ref="K5" si="23">(K4-J4)/J4</f>
        <v>7.3690870519930035E-3</v>
      </c>
      <c r="L5" s="98">
        <f t="shared" ref="L5" si="24">(L4-K4)/K4</f>
        <v>1.2709203088631913E-2</v>
      </c>
      <c r="M5" s="98">
        <f t="shared" ref="M5" si="25">(M4-L4)/L4</f>
        <v>1.2987486775382145E-2</v>
      </c>
      <c r="N5" s="98">
        <f t="shared" ref="N5" si="26">(N4-M4)/M4</f>
        <v>1.1560485468361725E-2</v>
      </c>
      <c r="O5" s="98">
        <f t="shared" ref="O5" si="27">(O4-N4)/N4</f>
        <v>1.3920535459982911E-2</v>
      </c>
      <c r="P5" s="98">
        <f t="shared" ref="P5" si="28">(P4-O4)/O4</f>
        <v>1.1938621440359563E-2</v>
      </c>
      <c r="Q5" s="98">
        <f t="shared" ref="Q5" si="29">(Q4-P4)/P4</f>
        <v>1.367153613935251E-2</v>
      </c>
      <c r="R5" s="98">
        <f t="shared" ref="R5" si="30">(R4-Q4)/Q4</f>
        <v>1.0645945298326088E-2</v>
      </c>
      <c r="S5" s="98">
        <f t="shared" ref="S5" si="31">(S4-R4)/R4</f>
        <v>1.0195095515512804E-2</v>
      </c>
      <c r="T5" s="98">
        <f t="shared" ref="T5" si="32">(T4-S4)/S4</f>
        <v>1.3042749371332775E-2</v>
      </c>
      <c r="U5" s="98">
        <f>$AI5</f>
        <v>1.1802322959476808E-2</v>
      </c>
      <c r="V5" s="98">
        <f t="shared" ref="V5:AH5" si="33">$AI5</f>
        <v>1.1802322959476808E-2</v>
      </c>
      <c r="W5" s="98">
        <f t="shared" si="33"/>
        <v>1.1802322959476808E-2</v>
      </c>
      <c r="X5" s="98">
        <f t="shared" si="33"/>
        <v>1.1802322959476808E-2</v>
      </c>
      <c r="Y5" s="98">
        <f t="shared" si="33"/>
        <v>1.1802322959476808E-2</v>
      </c>
      <c r="Z5" s="98">
        <f t="shared" si="33"/>
        <v>1.1802322959476808E-2</v>
      </c>
      <c r="AA5" s="98">
        <f t="shared" si="33"/>
        <v>1.1802322959476808E-2</v>
      </c>
      <c r="AB5" s="98">
        <f t="shared" si="33"/>
        <v>1.1802322959476808E-2</v>
      </c>
      <c r="AC5" s="98">
        <f t="shared" si="33"/>
        <v>1.1802322959476808E-2</v>
      </c>
      <c r="AD5" s="98">
        <f t="shared" si="33"/>
        <v>1.1802322959476808E-2</v>
      </c>
      <c r="AE5" s="98">
        <f t="shared" si="33"/>
        <v>1.1802322959476808E-2</v>
      </c>
      <c r="AF5" s="98">
        <f t="shared" si="33"/>
        <v>1.1802322959476808E-2</v>
      </c>
      <c r="AG5" s="98">
        <f t="shared" si="33"/>
        <v>1.1802322959476808E-2</v>
      </c>
      <c r="AH5" s="98">
        <f t="shared" si="33"/>
        <v>1.1802322959476808E-2</v>
      </c>
      <c r="AI5" s="131">
        <f>(T4/J4)^(1/(10))-1</f>
        <v>1.1802322959476808E-2</v>
      </c>
      <c r="AJ5" s="240" t="s">
        <v>652</v>
      </c>
    </row>
    <row r="6" spans="1:36" s="10" customFormat="1" ht="19" x14ac:dyDescent="0.2">
      <c r="B6" s="73"/>
      <c r="C6" s="46"/>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98"/>
      <c r="AJ6" s="18"/>
    </row>
    <row r="7" spans="1:36" s="10" customFormat="1" ht="19" x14ac:dyDescent="0.2">
      <c r="B7" s="73"/>
      <c r="C7" s="46"/>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98"/>
      <c r="AJ7" s="18"/>
    </row>
    <row r="8" spans="1:36" s="10" customFormat="1" x14ac:dyDescent="0.2"/>
    <row r="9" spans="1:36" s="10" customFormat="1" ht="20" x14ac:dyDescent="0.2">
      <c r="B9" s="18" t="s">
        <v>718</v>
      </c>
      <c r="C9" s="242" t="s">
        <v>883</v>
      </c>
      <c r="D9" s="86">
        <f>D4</f>
        <v>25422</v>
      </c>
      <c r="E9" s="86">
        <f t="shared" ref="E9:AH9" si="34">E4</f>
        <v>25710</v>
      </c>
      <c r="F9" s="86">
        <f t="shared" si="34"/>
        <v>25920</v>
      </c>
      <c r="G9" s="86">
        <f t="shared" si="34"/>
        <v>26219</v>
      </c>
      <c r="H9" s="86">
        <f t="shared" si="34"/>
        <v>26482</v>
      </c>
      <c r="I9" s="86">
        <f t="shared" si="34"/>
        <v>26632</v>
      </c>
      <c r="J9" s="86">
        <f t="shared" si="34"/>
        <v>26869</v>
      </c>
      <c r="K9" s="86">
        <f t="shared" si="34"/>
        <v>27067</v>
      </c>
      <c r="L9" s="86">
        <f t="shared" si="34"/>
        <v>27411</v>
      </c>
      <c r="M9" s="86">
        <f t="shared" si="34"/>
        <v>27767</v>
      </c>
      <c r="N9" s="86">
        <f t="shared" si="34"/>
        <v>28088</v>
      </c>
      <c r="O9" s="86">
        <f t="shared" si="34"/>
        <v>28479</v>
      </c>
      <c r="P9" s="86">
        <f t="shared" si="34"/>
        <v>28819</v>
      </c>
      <c r="Q9" s="86">
        <f t="shared" si="34"/>
        <v>29213</v>
      </c>
      <c r="R9" s="86">
        <f t="shared" si="34"/>
        <v>29524</v>
      </c>
      <c r="S9" s="86">
        <f t="shared" si="34"/>
        <v>29825</v>
      </c>
      <c r="T9" s="86">
        <f t="shared" si="34"/>
        <v>30214</v>
      </c>
      <c r="U9" s="86">
        <f t="shared" si="34"/>
        <v>30570.595385897632</v>
      </c>
      <c r="V9" s="86">
        <f t="shared" si="34"/>
        <v>30931.399425705487</v>
      </c>
      <c r="W9" s="86">
        <f t="shared" si="34"/>
        <v>31296.46179131624</v>
      </c>
      <c r="X9" s="86">
        <f t="shared" si="34"/>
        <v>31665.832740866281</v>
      </c>
      <c r="Y9" s="86">
        <f t="shared" si="34"/>
        <v>32039.56312565476</v>
      </c>
      <c r="Z9" s="86">
        <f t="shared" si="34"/>
        <v>32417.704397144284</v>
      </c>
      <c r="AA9" s="86">
        <f t="shared" si="34"/>
        <v>32800.308614044232</v>
      </c>
      <c r="AB9" s="86">
        <f t="shared" si="34"/>
        <v>33187.428449477688</v>
      </c>
      <c r="AC9" s="86">
        <f t="shared" si="34"/>
        <v>33579.117198232954</v>
      </c>
      <c r="AD9" s="86">
        <f t="shared" si="34"/>
        <v>33975.428784100623</v>
      </c>
      <c r="AE9" s="86">
        <f t="shared" si="34"/>
        <v>34376.41776729728</v>
      </c>
      <c r="AF9" s="86">
        <f t="shared" si="34"/>
        <v>34782.139351976817</v>
      </c>
      <c r="AG9" s="86">
        <f t="shared" si="34"/>
        <v>35192.649393830376</v>
      </c>
      <c r="AH9" s="86">
        <f t="shared" si="34"/>
        <v>35608.004407775996</v>
      </c>
    </row>
    <row r="10" spans="1:36" s="10" customFormat="1" x14ac:dyDescent="0.2"/>
    <row r="11" spans="1:36" s="10" customFormat="1" x14ac:dyDescent="0.2"/>
    <row r="12" spans="1:36" s="10" customFormat="1" x14ac:dyDescent="0.2"/>
    <row r="13" spans="1:36" s="10" customFormat="1" ht="19" x14ac:dyDescent="0.25">
      <c r="A13" s="11" t="s">
        <v>37</v>
      </c>
      <c r="B13" s="49"/>
    </row>
    <row r="14" spans="1:36" s="10" customFormat="1" ht="19" x14ac:dyDescent="0.25">
      <c r="A14" s="4"/>
      <c r="B14" s="49"/>
      <c r="D14" s="82"/>
      <c r="E14" s="82"/>
      <c r="F14" s="82"/>
      <c r="G14" s="82"/>
      <c r="H14" s="82"/>
      <c r="I14" s="82"/>
      <c r="J14" s="82"/>
    </row>
    <row r="15" spans="1:36" s="10" customFormat="1" x14ac:dyDescent="0.2">
      <c r="B15" s="49"/>
    </row>
    <row r="16" spans="1:36" s="53" customFormat="1" x14ac:dyDescent="0.2">
      <c r="U16" s="183"/>
      <c r="V16" s="183"/>
      <c r="W16" s="183"/>
      <c r="X16" s="183"/>
      <c r="Y16" s="183"/>
      <c r="Z16" s="183"/>
      <c r="AA16" s="183"/>
      <c r="AB16" s="183"/>
      <c r="AC16" s="183"/>
      <c r="AD16" s="183"/>
      <c r="AE16" s="183"/>
      <c r="AF16" s="183"/>
      <c r="AG16" s="183"/>
      <c r="AH16" s="183"/>
    </row>
    <row r="17" spans="21:34" s="53" customFormat="1" x14ac:dyDescent="0.2">
      <c r="U17" s="183"/>
      <c r="V17" s="183"/>
      <c r="W17" s="183"/>
      <c r="X17" s="183"/>
      <c r="Y17" s="183"/>
      <c r="Z17" s="183"/>
      <c r="AA17" s="183"/>
      <c r="AB17" s="183"/>
      <c r="AC17" s="183"/>
      <c r="AD17" s="183"/>
      <c r="AE17" s="183"/>
      <c r="AF17" s="183"/>
      <c r="AG17" s="183"/>
      <c r="AH17" s="183"/>
    </row>
    <row r="18" spans="21:34" s="53" customFormat="1" x14ac:dyDescent="0.2">
      <c r="U18" s="183"/>
      <c r="V18" s="183"/>
      <c r="W18" s="183"/>
      <c r="X18" s="183"/>
      <c r="Y18" s="183"/>
      <c r="Z18" s="183"/>
      <c r="AA18" s="183"/>
      <c r="AB18" s="183"/>
      <c r="AC18" s="183"/>
      <c r="AD18" s="183"/>
      <c r="AE18" s="183"/>
      <c r="AF18" s="183"/>
      <c r="AG18" s="183"/>
      <c r="AH18" s="183"/>
    </row>
    <row r="19" spans="21:34" s="53" customFormat="1" x14ac:dyDescent="0.2">
      <c r="U19" s="183"/>
      <c r="V19" s="183"/>
      <c r="W19" s="183"/>
      <c r="X19" s="183"/>
      <c r="Y19" s="183"/>
      <c r="Z19" s="183"/>
      <c r="AA19" s="183"/>
      <c r="AB19" s="183"/>
      <c r="AC19" s="183"/>
      <c r="AD19" s="183"/>
      <c r="AE19" s="183"/>
      <c r="AF19" s="183"/>
      <c r="AG19" s="183"/>
      <c r="AH19" s="183"/>
    </row>
    <row r="20" spans="21:34" s="53" customFormat="1" x14ac:dyDescent="0.2">
      <c r="U20" s="183"/>
      <c r="V20" s="183"/>
      <c r="W20" s="183"/>
      <c r="X20" s="183"/>
      <c r="Y20" s="183"/>
      <c r="Z20" s="183"/>
      <c r="AA20" s="183"/>
      <c r="AB20" s="183"/>
      <c r="AC20" s="183"/>
      <c r="AD20" s="183"/>
      <c r="AE20" s="183"/>
      <c r="AF20" s="183"/>
      <c r="AG20" s="183"/>
      <c r="AH20" s="183"/>
    </row>
    <row r="21" spans="21:34" s="53" customFormat="1" x14ac:dyDescent="0.2">
      <c r="U21" s="183"/>
      <c r="V21" s="183"/>
      <c r="W21" s="183"/>
      <c r="X21" s="183"/>
      <c r="Y21" s="183"/>
      <c r="Z21" s="183"/>
      <c r="AA21" s="183"/>
      <c r="AB21" s="183"/>
      <c r="AC21" s="183"/>
      <c r="AD21" s="183"/>
      <c r="AE21" s="183"/>
      <c r="AF21" s="183"/>
      <c r="AG21" s="183"/>
      <c r="AH21" s="183"/>
    </row>
    <row r="22" spans="21:34" s="53" customFormat="1" x14ac:dyDescent="0.2">
      <c r="U22" s="183"/>
      <c r="V22" s="183"/>
      <c r="W22" s="183"/>
      <c r="X22" s="183"/>
      <c r="Y22" s="183"/>
      <c r="Z22" s="183"/>
      <c r="AA22" s="183"/>
      <c r="AB22" s="183"/>
      <c r="AC22" s="183"/>
      <c r="AD22" s="183"/>
      <c r="AE22" s="183"/>
      <c r="AF22" s="183"/>
      <c r="AG22" s="183"/>
      <c r="AH22" s="183"/>
    </row>
    <row r="23" spans="21:34" s="53" customFormat="1" x14ac:dyDescent="0.2">
      <c r="U23" s="183"/>
      <c r="V23" s="183"/>
      <c r="W23" s="183"/>
      <c r="X23" s="183"/>
      <c r="Y23" s="183"/>
      <c r="Z23" s="183"/>
      <c r="AA23" s="183"/>
      <c r="AB23" s="183"/>
      <c r="AC23" s="183"/>
      <c r="AD23" s="183"/>
      <c r="AE23" s="183"/>
      <c r="AF23" s="183"/>
      <c r="AG23" s="183"/>
      <c r="AH23" s="183"/>
    </row>
    <row r="24" spans="21:34" s="53" customFormat="1" x14ac:dyDescent="0.2">
      <c r="U24" s="183"/>
      <c r="V24" s="183"/>
      <c r="W24" s="183"/>
      <c r="X24" s="183"/>
      <c r="Y24" s="183"/>
      <c r="Z24" s="183"/>
      <c r="AA24" s="183"/>
      <c r="AB24" s="183"/>
      <c r="AC24" s="183"/>
      <c r="AD24" s="183"/>
      <c r="AE24" s="183"/>
      <c r="AF24" s="183"/>
      <c r="AG24" s="183"/>
      <c r="AH24" s="183"/>
    </row>
    <row r="25" spans="21:34" s="53" customFormat="1" x14ac:dyDescent="0.2">
      <c r="U25" s="183"/>
      <c r="V25" s="183"/>
      <c r="W25" s="183"/>
      <c r="X25" s="183"/>
      <c r="Y25" s="183"/>
      <c r="Z25" s="183"/>
      <c r="AA25" s="183"/>
      <c r="AB25" s="183"/>
      <c r="AC25" s="183"/>
      <c r="AD25" s="183"/>
      <c r="AE25" s="183"/>
      <c r="AF25" s="183"/>
      <c r="AG25" s="183"/>
      <c r="AH25" s="183"/>
    </row>
    <row r="26" spans="21:34" s="53" customFormat="1" x14ac:dyDescent="0.2">
      <c r="U26" s="183"/>
      <c r="V26" s="183"/>
      <c r="W26" s="183"/>
      <c r="X26" s="183"/>
      <c r="Y26" s="183"/>
      <c r="Z26" s="183"/>
      <c r="AA26" s="183"/>
      <c r="AB26" s="183"/>
      <c r="AC26" s="183"/>
      <c r="AD26" s="183"/>
      <c r="AE26" s="183"/>
      <c r="AF26" s="183"/>
      <c r="AG26" s="183"/>
      <c r="AH26" s="183"/>
    </row>
    <row r="27" spans="21:34" s="53" customFormat="1" x14ac:dyDescent="0.2">
      <c r="U27" s="183"/>
      <c r="V27" s="183"/>
      <c r="W27" s="183"/>
      <c r="X27" s="183"/>
      <c r="Y27" s="183"/>
      <c r="Z27" s="183"/>
      <c r="AA27" s="183"/>
      <c r="AB27" s="183"/>
      <c r="AC27" s="183"/>
      <c r="AD27" s="183"/>
      <c r="AE27" s="183"/>
      <c r="AF27" s="183"/>
      <c r="AG27" s="183"/>
      <c r="AH27" s="183"/>
    </row>
    <row r="28" spans="21:34" s="53" customFormat="1" x14ac:dyDescent="0.2">
      <c r="U28" s="183"/>
      <c r="V28" s="183"/>
      <c r="W28" s="183"/>
      <c r="X28" s="183"/>
      <c r="Y28" s="183"/>
      <c r="Z28" s="183"/>
      <c r="AA28" s="183"/>
      <c r="AB28" s="183"/>
      <c r="AC28" s="183"/>
      <c r="AD28" s="183"/>
      <c r="AE28" s="183"/>
      <c r="AF28" s="183"/>
      <c r="AG28" s="183"/>
      <c r="AH28" s="183"/>
    </row>
    <row r="29" spans="21:34" s="53" customFormat="1" x14ac:dyDescent="0.2">
      <c r="U29" s="183"/>
      <c r="V29" s="183"/>
      <c r="W29" s="183"/>
      <c r="X29" s="183"/>
      <c r="Y29" s="183"/>
      <c r="Z29" s="183"/>
      <c r="AA29" s="183"/>
      <c r="AB29" s="183"/>
      <c r="AC29" s="183"/>
      <c r="AD29" s="183"/>
      <c r="AE29" s="183"/>
      <c r="AF29" s="183"/>
      <c r="AG29" s="183"/>
      <c r="AH29" s="183"/>
    </row>
    <row r="30" spans="21:34" s="53" customFormat="1" x14ac:dyDescent="0.2">
      <c r="U30" s="183"/>
      <c r="V30" s="183"/>
      <c r="W30" s="183"/>
      <c r="X30" s="183"/>
      <c r="Y30" s="183"/>
      <c r="Z30" s="183"/>
      <c r="AA30" s="183"/>
      <c r="AB30" s="183"/>
      <c r="AC30" s="183"/>
      <c r="AD30" s="183"/>
      <c r="AE30" s="183"/>
      <c r="AF30" s="183"/>
      <c r="AG30" s="183"/>
      <c r="AH30" s="183"/>
    </row>
    <row r="31" spans="21:34" s="53" customFormat="1" x14ac:dyDescent="0.2">
      <c r="U31" s="183"/>
      <c r="V31" s="183"/>
      <c r="W31" s="183"/>
      <c r="X31" s="183"/>
      <c r="Y31" s="183"/>
      <c r="Z31" s="183"/>
      <c r="AA31" s="183"/>
      <c r="AB31" s="183"/>
      <c r="AC31" s="183"/>
      <c r="AD31" s="183"/>
      <c r="AE31" s="183"/>
      <c r="AF31" s="183"/>
      <c r="AG31" s="183"/>
      <c r="AH31" s="183"/>
    </row>
    <row r="32" spans="21:34" s="53" customFormat="1" x14ac:dyDescent="0.2">
      <c r="U32" s="183"/>
      <c r="V32" s="183"/>
      <c r="W32" s="183"/>
      <c r="X32" s="183"/>
      <c r="Y32" s="183"/>
      <c r="Z32" s="183"/>
      <c r="AA32" s="183"/>
      <c r="AB32" s="183"/>
      <c r="AC32" s="183"/>
      <c r="AD32" s="183"/>
      <c r="AE32" s="183"/>
      <c r="AF32" s="183"/>
      <c r="AG32" s="183"/>
      <c r="AH32" s="183"/>
    </row>
    <row r="33" spans="21:34" s="53" customFormat="1" x14ac:dyDescent="0.2">
      <c r="U33" s="183"/>
      <c r="V33" s="183"/>
      <c r="W33" s="183"/>
      <c r="X33" s="183"/>
      <c r="Y33" s="183"/>
      <c r="Z33" s="183"/>
      <c r="AA33" s="183"/>
      <c r="AB33" s="183"/>
      <c r="AC33" s="183"/>
      <c r="AD33" s="183"/>
      <c r="AE33" s="183"/>
      <c r="AF33" s="183"/>
      <c r="AG33" s="183"/>
      <c r="AH33" s="183"/>
    </row>
    <row r="34" spans="21:34" s="53" customFormat="1" x14ac:dyDescent="0.2">
      <c r="U34" s="183"/>
      <c r="V34" s="183"/>
      <c r="W34" s="183"/>
      <c r="X34" s="183"/>
      <c r="Y34" s="183"/>
      <c r="Z34" s="183"/>
      <c r="AA34" s="183"/>
      <c r="AB34" s="183"/>
      <c r="AC34" s="183"/>
      <c r="AD34" s="183"/>
      <c r="AE34" s="183"/>
      <c r="AF34" s="183"/>
      <c r="AG34" s="183"/>
      <c r="AH34" s="183"/>
    </row>
    <row r="35" spans="21:34" s="53" customFormat="1" x14ac:dyDescent="0.2">
      <c r="U35" s="183"/>
      <c r="V35" s="183"/>
      <c r="W35" s="183"/>
      <c r="X35" s="183"/>
      <c r="Y35" s="183"/>
      <c r="Z35" s="183"/>
      <c r="AA35" s="183"/>
      <c r="AB35" s="183"/>
      <c r="AC35" s="183"/>
      <c r="AD35" s="183"/>
      <c r="AE35" s="183"/>
      <c r="AF35" s="183"/>
      <c r="AG35" s="183"/>
      <c r="AH35" s="18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83782-23D8-E141-A8CB-8BEE67134E5D}">
  <dimension ref="A1:AJ15"/>
  <sheetViews>
    <sheetView workbookViewId="0">
      <selection activeCell="D15" sqref="D15"/>
    </sheetView>
  </sheetViews>
  <sheetFormatPr baseColWidth="10" defaultRowHeight="16" x14ac:dyDescent="0.2"/>
  <cols>
    <col min="1" max="1" width="4.83203125" style="183" customWidth="1"/>
    <col min="2" max="2" width="29.33203125" style="183" customWidth="1"/>
    <col min="3" max="3" width="10.83203125" style="183"/>
    <col min="4" max="34" width="9.83203125" style="183" customWidth="1"/>
    <col min="35" max="35" width="18.83203125" style="183" customWidth="1"/>
    <col min="36" max="36" width="54" style="183" customWidth="1"/>
    <col min="37" max="16384" width="10.83203125" style="183"/>
  </cols>
  <sheetData>
    <row r="1" spans="1:36" s="30" customFormat="1" ht="21" x14ac:dyDescent="0.25">
      <c r="A1" s="15" t="s">
        <v>129</v>
      </c>
      <c r="B1" s="241" t="s">
        <v>653</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row>
    <row r="2" spans="1:36" s="30" customFormat="1" ht="20" x14ac:dyDescent="0.25">
      <c r="A2" s="4"/>
      <c r="B2" s="46"/>
      <c r="C2" s="17" t="s">
        <v>130</v>
      </c>
      <c r="D2" s="17">
        <v>2020</v>
      </c>
      <c r="E2" s="17">
        <f t="shared" ref="E2:T2" si="0">D2+1</f>
        <v>2021</v>
      </c>
      <c r="F2" s="17">
        <f t="shared" si="0"/>
        <v>2022</v>
      </c>
      <c r="G2" s="17">
        <f t="shared" si="0"/>
        <v>2023</v>
      </c>
      <c r="H2" s="17">
        <f t="shared" si="0"/>
        <v>2024</v>
      </c>
      <c r="I2" s="17">
        <f t="shared" si="0"/>
        <v>2025</v>
      </c>
      <c r="J2" s="17">
        <f t="shared" si="0"/>
        <v>2026</v>
      </c>
      <c r="K2" s="17">
        <f t="shared" si="0"/>
        <v>2027</v>
      </c>
      <c r="L2" s="17">
        <f t="shared" si="0"/>
        <v>2028</v>
      </c>
      <c r="M2" s="17">
        <f t="shared" si="0"/>
        <v>2029</v>
      </c>
      <c r="N2" s="17">
        <f t="shared" si="0"/>
        <v>2030</v>
      </c>
      <c r="O2" s="17">
        <f t="shared" si="0"/>
        <v>2031</v>
      </c>
      <c r="P2" s="17">
        <f t="shared" si="0"/>
        <v>2032</v>
      </c>
      <c r="Q2" s="17">
        <f t="shared" si="0"/>
        <v>2033</v>
      </c>
      <c r="R2" s="17">
        <f t="shared" si="0"/>
        <v>2034</v>
      </c>
      <c r="S2" s="17">
        <f t="shared" si="0"/>
        <v>2035</v>
      </c>
      <c r="T2" s="17">
        <f t="shared" si="0"/>
        <v>2036</v>
      </c>
      <c r="U2" s="17">
        <v>2037</v>
      </c>
      <c r="V2" s="17">
        <v>2038</v>
      </c>
      <c r="W2" s="17">
        <v>2039</v>
      </c>
      <c r="X2" s="17">
        <v>2040</v>
      </c>
      <c r="Y2" s="17">
        <v>2041</v>
      </c>
      <c r="Z2" s="17">
        <v>2042</v>
      </c>
      <c r="AA2" s="17">
        <v>2043</v>
      </c>
      <c r="AB2" s="17">
        <v>2044</v>
      </c>
      <c r="AC2" s="17">
        <v>2045</v>
      </c>
      <c r="AD2" s="17">
        <v>2046</v>
      </c>
      <c r="AE2" s="17">
        <v>2047</v>
      </c>
      <c r="AF2" s="17">
        <v>2048</v>
      </c>
      <c r="AG2" s="17">
        <v>2049</v>
      </c>
      <c r="AH2" s="17">
        <v>2050</v>
      </c>
      <c r="AI2" s="17" t="s">
        <v>881</v>
      </c>
      <c r="AJ2" s="17" t="s">
        <v>32</v>
      </c>
    </row>
    <row r="3" spans="1:36" s="10" customFormat="1" ht="20" x14ac:dyDescent="0.2">
      <c r="B3" s="73" t="s">
        <v>47</v>
      </c>
      <c r="C3" s="46" t="s">
        <v>50</v>
      </c>
      <c r="D3" s="78">
        <v>4088</v>
      </c>
      <c r="E3" s="78">
        <v>4130</v>
      </c>
      <c r="F3" s="78">
        <v>4176</v>
      </c>
      <c r="G3" s="78">
        <v>4229</v>
      </c>
      <c r="H3" s="78">
        <v>4283</v>
      </c>
      <c r="I3" s="78">
        <v>4311</v>
      </c>
      <c r="J3" s="78">
        <v>4370</v>
      </c>
      <c r="K3" s="78">
        <v>4403</v>
      </c>
      <c r="L3" s="78">
        <v>4455</v>
      </c>
      <c r="M3" s="78">
        <v>4520</v>
      </c>
      <c r="N3" s="78">
        <v>4583</v>
      </c>
      <c r="O3" s="78">
        <v>4651</v>
      </c>
      <c r="P3" s="78">
        <v>4696</v>
      </c>
      <c r="Q3" s="78">
        <v>4767</v>
      </c>
      <c r="R3" s="78">
        <v>4831</v>
      </c>
      <c r="S3" s="78">
        <v>4881</v>
      </c>
      <c r="T3" s="78">
        <v>4934</v>
      </c>
      <c r="U3" s="86"/>
      <c r="V3" s="86"/>
      <c r="W3" s="86"/>
      <c r="X3" s="86"/>
      <c r="Y3" s="86"/>
      <c r="Z3" s="86"/>
      <c r="AA3" s="86"/>
      <c r="AB3" s="86"/>
      <c r="AC3" s="86"/>
      <c r="AD3" s="86"/>
      <c r="AE3" s="86"/>
      <c r="AF3" s="86"/>
      <c r="AG3" s="86"/>
      <c r="AH3" s="86"/>
      <c r="AI3" s="46"/>
      <c r="AJ3" s="18"/>
    </row>
    <row r="4" spans="1:36" s="10" customFormat="1" ht="20" x14ac:dyDescent="0.2">
      <c r="B4" s="73" t="s">
        <v>48</v>
      </c>
      <c r="C4" s="46" t="s">
        <v>50</v>
      </c>
      <c r="D4" s="78">
        <v>4050</v>
      </c>
      <c r="E4" s="78">
        <v>4082</v>
      </c>
      <c r="F4" s="78">
        <v>4119</v>
      </c>
      <c r="G4" s="78">
        <v>4162</v>
      </c>
      <c r="H4" s="78">
        <v>4207</v>
      </c>
      <c r="I4" s="78">
        <v>4225</v>
      </c>
      <c r="J4" s="78">
        <v>4275</v>
      </c>
      <c r="K4" s="78">
        <v>4299</v>
      </c>
      <c r="L4" s="78">
        <v>4343</v>
      </c>
      <c r="M4" s="78">
        <v>4401</v>
      </c>
      <c r="N4" s="78">
        <v>4457</v>
      </c>
      <c r="O4" s="78">
        <v>4518</v>
      </c>
      <c r="P4" s="78">
        <v>4557</v>
      </c>
      <c r="Q4" s="78">
        <v>4624</v>
      </c>
      <c r="R4" s="78">
        <v>4684</v>
      </c>
      <c r="S4" s="78">
        <v>4730</v>
      </c>
      <c r="T4" s="78">
        <v>4780</v>
      </c>
      <c r="U4" s="86">
        <f>T4*(1+U5)</f>
        <v>4833.6708575405273</v>
      </c>
      <c r="V4" s="86">
        <f t="shared" ref="V4:AH4" si="1">U4*(1+V5)</f>
        <v>4887.9443428946815</v>
      </c>
      <c r="W4" s="86">
        <f t="shared" si="1"/>
        <v>4942.8272224958382</v>
      </c>
      <c r="X4" s="86">
        <f t="shared" si="1"/>
        <v>4998.3263387523266</v>
      </c>
      <c r="Y4" s="86">
        <f t="shared" si="1"/>
        <v>5054.4486109004947</v>
      </c>
      <c r="Z4" s="86">
        <f t="shared" si="1"/>
        <v>5111.2010358673479</v>
      </c>
      <c r="AA4" s="86">
        <f t="shared" si="1"/>
        <v>5168.5906891428776</v>
      </c>
      <c r="AB4" s="86">
        <f t="shared" si="1"/>
        <v>5226.6247256621837</v>
      </c>
      <c r="AC4" s="86">
        <f t="shared" si="1"/>
        <v>5285.3103806975005</v>
      </c>
      <c r="AD4" s="86">
        <f t="shared" si="1"/>
        <v>5344.654970760238</v>
      </c>
      <c r="AE4" s="86">
        <f t="shared" si="1"/>
        <v>5404.6658945131549</v>
      </c>
      <c r="AF4" s="86">
        <f t="shared" si="1"/>
        <v>5465.3506336927703</v>
      </c>
      <c r="AG4" s="86">
        <f t="shared" si="1"/>
        <v>5526.7167540421333</v>
      </c>
      <c r="AH4" s="86">
        <f t="shared" si="1"/>
        <v>5588.7719062540664</v>
      </c>
      <c r="AI4" s="46" t="s">
        <v>882</v>
      </c>
      <c r="AJ4" s="18" t="s">
        <v>869</v>
      </c>
    </row>
    <row r="5" spans="1:36" s="10" customFormat="1" ht="20" x14ac:dyDescent="0.2">
      <c r="B5" s="73"/>
      <c r="C5" s="46"/>
      <c r="D5" s="98"/>
      <c r="E5" s="98">
        <f t="shared" ref="E5:T5" si="2">(E4-D4)/D4</f>
        <v>7.9012345679012348E-3</v>
      </c>
      <c r="F5" s="98">
        <f t="shared" si="2"/>
        <v>9.0641842234198914E-3</v>
      </c>
      <c r="G5" s="98">
        <f t="shared" si="2"/>
        <v>1.0439427045399369E-2</v>
      </c>
      <c r="H5" s="98">
        <f t="shared" si="2"/>
        <v>1.0812109562710235E-2</v>
      </c>
      <c r="I5" s="98">
        <f t="shared" si="2"/>
        <v>4.2785833135250773E-3</v>
      </c>
      <c r="J5" s="98">
        <f t="shared" si="2"/>
        <v>1.1834319526627219E-2</v>
      </c>
      <c r="K5" s="98">
        <f t="shared" si="2"/>
        <v>5.6140350877192978E-3</v>
      </c>
      <c r="L5" s="98">
        <f t="shared" si="2"/>
        <v>1.0234938357757618E-2</v>
      </c>
      <c r="M5" s="98">
        <f t="shared" si="2"/>
        <v>1.3354823854478471E-2</v>
      </c>
      <c r="N5" s="98">
        <f t="shared" si="2"/>
        <v>1.2724380822540331E-2</v>
      </c>
      <c r="O5" s="98">
        <f t="shared" si="2"/>
        <v>1.3686336100516042E-2</v>
      </c>
      <c r="P5" s="98">
        <f t="shared" si="2"/>
        <v>8.6321381142098266E-3</v>
      </c>
      <c r="Q5" s="98">
        <f t="shared" si="2"/>
        <v>1.4702655255650647E-2</v>
      </c>
      <c r="R5" s="98">
        <f t="shared" si="2"/>
        <v>1.2975778546712802E-2</v>
      </c>
      <c r="S5" s="98">
        <f t="shared" si="2"/>
        <v>9.8206660973526906E-3</v>
      </c>
      <c r="T5" s="98">
        <f t="shared" si="2"/>
        <v>1.0570824524312896E-2</v>
      </c>
      <c r="U5" s="98">
        <f>$AI5</f>
        <v>1.1228212874587307E-2</v>
      </c>
      <c r="V5" s="98">
        <f t="shared" ref="V5:AH5" si="3">$AI5</f>
        <v>1.1228212874587307E-2</v>
      </c>
      <c r="W5" s="98">
        <f t="shared" si="3"/>
        <v>1.1228212874587307E-2</v>
      </c>
      <c r="X5" s="98">
        <f t="shared" si="3"/>
        <v>1.1228212874587307E-2</v>
      </c>
      <c r="Y5" s="98">
        <f t="shared" si="3"/>
        <v>1.1228212874587307E-2</v>
      </c>
      <c r="Z5" s="98">
        <f t="shared" si="3"/>
        <v>1.1228212874587307E-2</v>
      </c>
      <c r="AA5" s="98">
        <f t="shared" si="3"/>
        <v>1.1228212874587307E-2</v>
      </c>
      <c r="AB5" s="98">
        <f t="shared" si="3"/>
        <v>1.1228212874587307E-2</v>
      </c>
      <c r="AC5" s="98">
        <f t="shared" si="3"/>
        <v>1.1228212874587307E-2</v>
      </c>
      <c r="AD5" s="98">
        <f t="shared" si="3"/>
        <v>1.1228212874587307E-2</v>
      </c>
      <c r="AE5" s="98">
        <f t="shared" si="3"/>
        <v>1.1228212874587307E-2</v>
      </c>
      <c r="AF5" s="98">
        <f t="shared" si="3"/>
        <v>1.1228212874587307E-2</v>
      </c>
      <c r="AG5" s="98">
        <f t="shared" si="3"/>
        <v>1.1228212874587307E-2</v>
      </c>
      <c r="AH5" s="98">
        <f t="shared" si="3"/>
        <v>1.1228212874587307E-2</v>
      </c>
      <c r="AI5" s="131">
        <f>(T4/J4)^(1/(10))-1</f>
        <v>1.1228212874587307E-2</v>
      </c>
      <c r="AJ5" s="240" t="s">
        <v>652</v>
      </c>
    </row>
    <row r="6" spans="1:36" s="10" customFormat="1" ht="19" x14ac:dyDescent="0.2">
      <c r="B6" s="73"/>
      <c r="C6" s="46"/>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98"/>
      <c r="AJ6" s="18"/>
    </row>
    <row r="7" spans="1:36" s="10" customFormat="1" ht="19" x14ac:dyDescent="0.2">
      <c r="B7" s="73"/>
      <c r="C7" s="46"/>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98"/>
      <c r="AJ7" s="18"/>
    </row>
    <row r="8" spans="1:36" s="10" customFormat="1" x14ac:dyDescent="0.2"/>
    <row r="9" spans="1:36" s="10" customFormat="1" ht="20" x14ac:dyDescent="0.2">
      <c r="B9" s="18" t="s">
        <v>718</v>
      </c>
      <c r="C9" s="242" t="s">
        <v>50</v>
      </c>
      <c r="D9" s="86">
        <f>D4</f>
        <v>4050</v>
      </c>
      <c r="E9" s="86">
        <f t="shared" ref="E9:AH9" si="4">E4</f>
        <v>4082</v>
      </c>
      <c r="F9" s="86">
        <f t="shared" si="4"/>
        <v>4119</v>
      </c>
      <c r="G9" s="86">
        <f t="shared" si="4"/>
        <v>4162</v>
      </c>
      <c r="H9" s="86">
        <f t="shared" si="4"/>
        <v>4207</v>
      </c>
      <c r="I9" s="86">
        <f t="shared" si="4"/>
        <v>4225</v>
      </c>
      <c r="J9" s="86">
        <f t="shared" si="4"/>
        <v>4275</v>
      </c>
      <c r="K9" s="86">
        <f t="shared" si="4"/>
        <v>4299</v>
      </c>
      <c r="L9" s="86">
        <f t="shared" si="4"/>
        <v>4343</v>
      </c>
      <c r="M9" s="86">
        <f t="shared" si="4"/>
        <v>4401</v>
      </c>
      <c r="N9" s="86">
        <f t="shared" si="4"/>
        <v>4457</v>
      </c>
      <c r="O9" s="86">
        <f t="shared" si="4"/>
        <v>4518</v>
      </c>
      <c r="P9" s="86">
        <f t="shared" si="4"/>
        <v>4557</v>
      </c>
      <c r="Q9" s="86">
        <f t="shared" si="4"/>
        <v>4624</v>
      </c>
      <c r="R9" s="86">
        <f t="shared" si="4"/>
        <v>4684</v>
      </c>
      <c r="S9" s="86">
        <f t="shared" si="4"/>
        <v>4730</v>
      </c>
      <c r="T9" s="86">
        <f t="shared" si="4"/>
        <v>4780</v>
      </c>
      <c r="U9" s="86">
        <f t="shared" si="4"/>
        <v>4833.6708575405273</v>
      </c>
      <c r="V9" s="86">
        <f t="shared" si="4"/>
        <v>4887.9443428946815</v>
      </c>
      <c r="W9" s="86">
        <f t="shared" si="4"/>
        <v>4942.8272224958382</v>
      </c>
      <c r="X9" s="86">
        <f t="shared" si="4"/>
        <v>4998.3263387523266</v>
      </c>
      <c r="Y9" s="86">
        <f t="shared" si="4"/>
        <v>5054.4486109004947</v>
      </c>
      <c r="Z9" s="86">
        <f t="shared" si="4"/>
        <v>5111.2010358673479</v>
      </c>
      <c r="AA9" s="86">
        <f t="shared" si="4"/>
        <v>5168.5906891428776</v>
      </c>
      <c r="AB9" s="86">
        <f t="shared" si="4"/>
        <v>5226.6247256621837</v>
      </c>
      <c r="AC9" s="86">
        <f t="shared" si="4"/>
        <v>5285.3103806975005</v>
      </c>
      <c r="AD9" s="86">
        <f t="shared" si="4"/>
        <v>5344.654970760238</v>
      </c>
      <c r="AE9" s="86">
        <f t="shared" si="4"/>
        <v>5404.6658945131549</v>
      </c>
      <c r="AF9" s="86">
        <f t="shared" si="4"/>
        <v>5465.3506336927703</v>
      </c>
      <c r="AG9" s="86">
        <f t="shared" si="4"/>
        <v>5526.7167540421333</v>
      </c>
      <c r="AH9" s="86">
        <f t="shared" si="4"/>
        <v>5588.7719062540664</v>
      </c>
    </row>
    <row r="10" spans="1:36" s="10" customFormat="1" x14ac:dyDescent="0.2"/>
    <row r="11" spans="1:36" s="10" customFormat="1" x14ac:dyDescent="0.2"/>
    <row r="12" spans="1:36" s="10" customFormat="1" x14ac:dyDescent="0.2"/>
    <row r="13" spans="1:36" s="10" customFormat="1" ht="19" x14ac:dyDescent="0.25">
      <c r="A13" s="11" t="s">
        <v>37</v>
      </c>
      <c r="B13" s="49"/>
    </row>
    <row r="14" spans="1:36" s="10" customFormat="1" ht="19" x14ac:dyDescent="0.25">
      <c r="A14" s="4"/>
      <c r="B14" s="49"/>
      <c r="D14" s="82"/>
      <c r="E14" s="82"/>
      <c r="F14" s="82"/>
      <c r="G14" s="82"/>
      <c r="H14" s="82"/>
      <c r="I14" s="82"/>
      <c r="J14" s="82"/>
    </row>
    <row r="15" spans="1:36" s="10" customFormat="1" x14ac:dyDescent="0.2">
      <c r="B15" s="4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C8921-AB6C-294E-B1FC-1F167F9F3BFD}">
  <sheetPr codeName="Sheet14"/>
  <dimension ref="A1:B3"/>
  <sheetViews>
    <sheetView workbookViewId="0">
      <selection activeCell="B3" sqref="B3"/>
    </sheetView>
  </sheetViews>
  <sheetFormatPr baseColWidth="10" defaultRowHeight="16" x14ac:dyDescent="0.2"/>
  <cols>
    <col min="1" max="1" width="4.83203125" style="53" customWidth="1"/>
    <col min="2" max="16384" width="10.83203125" style="53"/>
  </cols>
  <sheetData>
    <row r="1" spans="1:2" ht="21" x14ac:dyDescent="0.2">
      <c r="A1" s="21" t="s">
        <v>129</v>
      </c>
      <c r="B1" s="241" t="s">
        <v>253</v>
      </c>
    </row>
    <row r="3" spans="1:2" ht="19" x14ac:dyDescent="0.25">
      <c r="B3" s="4" t="s">
        <v>870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BC283-6708-4D4A-A8D9-8497E7FF909B}">
  <sheetPr codeName="Sheet15"/>
  <dimension ref="A1:AI107"/>
  <sheetViews>
    <sheetView workbookViewId="0">
      <selection activeCell="K5" sqref="K5"/>
    </sheetView>
  </sheetViews>
  <sheetFormatPr baseColWidth="10" defaultRowHeight="19" x14ac:dyDescent="0.2"/>
  <cols>
    <col min="1" max="1" width="4.83203125" style="183" customWidth="1"/>
    <col min="2" max="4" width="12.83203125" style="183" customWidth="1"/>
    <col min="5" max="5" width="4.83203125" style="183" customWidth="1"/>
    <col min="6" max="7" width="10.83203125" style="183"/>
    <col min="8" max="11" width="12.83203125" style="183" customWidth="1"/>
    <col min="12" max="12" width="4.83203125" style="183" customWidth="1"/>
    <col min="13" max="20" width="12.83203125" style="183" customWidth="1"/>
    <col min="21" max="21" width="33.83203125" style="183" customWidth="1"/>
    <col min="22" max="22" width="4.83203125" style="183" customWidth="1"/>
    <col min="23" max="23" width="18.83203125" style="183" customWidth="1"/>
    <col min="24" max="24" width="18.33203125" style="183" customWidth="1"/>
    <col min="25" max="25" width="10.83203125" style="183"/>
    <col min="26" max="26" width="4.83203125" style="183" customWidth="1"/>
    <col min="27" max="27" width="10.83203125" style="62"/>
    <col min="28" max="30" width="10.83203125" style="60"/>
    <col min="31" max="35" width="10.83203125" style="183"/>
    <col min="36" max="16384" width="10.83203125" style="53"/>
  </cols>
  <sheetData>
    <row r="1" spans="1:34" s="183" customFormat="1" ht="21" x14ac:dyDescent="0.2">
      <c r="A1" s="21" t="s">
        <v>129</v>
      </c>
      <c r="B1" s="21" t="s">
        <v>664</v>
      </c>
      <c r="AA1" s="62"/>
      <c r="AB1" s="60"/>
      <c r="AC1" s="60"/>
      <c r="AD1" s="60"/>
    </row>
    <row r="2" spans="1:34" s="183" customFormat="1" ht="21" x14ac:dyDescent="0.2">
      <c r="A2" s="21"/>
      <c r="AA2" s="62"/>
      <c r="AB2" s="60"/>
      <c r="AC2" s="60"/>
      <c r="AD2" s="60"/>
    </row>
    <row r="3" spans="1:34" ht="21" x14ac:dyDescent="0.2">
      <c r="B3" s="21" t="s">
        <v>629</v>
      </c>
      <c r="E3" s="21"/>
      <c r="F3" s="21" t="s">
        <v>612</v>
      </c>
      <c r="M3" s="21" t="s">
        <v>665</v>
      </c>
      <c r="N3" s="68"/>
      <c r="O3" s="68"/>
      <c r="P3" s="68"/>
      <c r="Q3" s="68"/>
      <c r="W3" s="21" t="s">
        <v>666</v>
      </c>
      <c r="X3" s="21"/>
      <c r="AA3" s="21" t="s">
        <v>628</v>
      </c>
    </row>
    <row r="4" spans="1:34" ht="60" x14ac:dyDescent="0.2">
      <c r="B4" s="17" t="s">
        <v>30</v>
      </c>
      <c r="C4" s="17" t="s">
        <v>30</v>
      </c>
      <c r="D4" s="17" t="s">
        <v>448</v>
      </c>
      <c r="F4" s="17" t="s">
        <v>30</v>
      </c>
      <c r="G4" s="17" t="s">
        <v>30</v>
      </c>
      <c r="H4" s="17" t="s">
        <v>613</v>
      </c>
      <c r="I4" s="17" t="s">
        <v>614</v>
      </c>
      <c r="J4" s="17" t="s">
        <v>615</v>
      </c>
      <c r="K4" s="17" t="s">
        <v>616</v>
      </c>
      <c r="M4" s="22" t="s">
        <v>30</v>
      </c>
      <c r="N4" s="22" t="s">
        <v>608</v>
      </c>
      <c r="O4" s="22" t="s">
        <v>609</v>
      </c>
      <c r="P4" s="22" t="s">
        <v>458</v>
      </c>
      <c r="Q4" s="22" t="s">
        <v>457</v>
      </c>
      <c r="R4" s="22" t="s">
        <v>667</v>
      </c>
      <c r="S4" s="22" t="s">
        <v>446</v>
      </c>
      <c r="T4" s="22" t="s">
        <v>445</v>
      </c>
      <c r="U4" s="22" t="s">
        <v>32</v>
      </c>
      <c r="W4" s="22" t="s">
        <v>668</v>
      </c>
      <c r="X4" s="22" t="s">
        <v>669</v>
      </c>
      <c r="Y4" s="22" t="s">
        <v>610</v>
      </c>
      <c r="AA4" s="22" t="s">
        <v>500</v>
      </c>
      <c r="AB4" s="22" t="s">
        <v>670</v>
      </c>
      <c r="AC4" s="22" t="s">
        <v>500</v>
      </c>
      <c r="AD4" s="22" t="s">
        <v>670</v>
      </c>
      <c r="AE4" s="22" t="s">
        <v>500</v>
      </c>
      <c r="AF4" s="22" t="s">
        <v>670</v>
      </c>
      <c r="AG4" s="22" t="s">
        <v>500</v>
      </c>
      <c r="AH4" s="22" t="s">
        <v>670</v>
      </c>
    </row>
    <row r="5" spans="1:34" ht="20" x14ac:dyDescent="0.2">
      <c r="B5" s="17" t="s">
        <v>617</v>
      </c>
      <c r="C5" s="17" t="s">
        <v>56</v>
      </c>
      <c r="D5" s="17" t="s">
        <v>630</v>
      </c>
      <c r="F5" s="17" t="s">
        <v>617</v>
      </c>
      <c r="G5" s="17" t="s">
        <v>56</v>
      </c>
      <c r="H5" s="17" t="s">
        <v>618</v>
      </c>
      <c r="I5" s="17" t="s">
        <v>618</v>
      </c>
      <c r="J5" s="17" t="s">
        <v>20</v>
      </c>
      <c r="K5" s="17" t="s">
        <v>20</v>
      </c>
      <c r="M5" s="17" t="s">
        <v>56</v>
      </c>
      <c r="N5" s="17" t="s">
        <v>57</v>
      </c>
      <c r="O5" s="17" t="s">
        <v>57</v>
      </c>
      <c r="P5" s="17" t="s">
        <v>459</v>
      </c>
      <c r="Q5" s="17" t="s">
        <v>459</v>
      </c>
      <c r="R5" s="17" t="s">
        <v>459</v>
      </c>
      <c r="S5" s="17" t="s">
        <v>20</v>
      </c>
      <c r="T5" s="17" t="s">
        <v>20</v>
      </c>
      <c r="U5" s="17"/>
      <c r="W5" s="17"/>
      <c r="X5" s="17"/>
      <c r="Y5" s="17"/>
    </row>
    <row r="6" spans="1:34" ht="20" x14ac:dyDescent="0.2">
      <c r="B6" s="193">
        <v>63000</v>
      </c>
      <c r="C6" s="193">
        <f t="shared" ref="C6:C23" si="0">B6/1000</f>
        <v>63</v>
      </c>
      <c r="D6" s="203">
        <v>0.38</v>
      </c>
      <c r="F6" s="190">
        <v>63000</v>
      </c>
      <c r="G6" s="190">
        <f t="shared" ref="G6:G23" si="1">F6/1000</f>
        <v>63</v>
      </c>
      <c r="H6" s="191">
        <v>400</v>
      </c>
      <c r="I6" s="191">
        <v>366</v>
      </c>
      <c r="J6" s="191">
        <f>$F6*$F6/H6/10^6</f>
        <v>9.9224999999999994</v>
      </c>
      <c r="K6" s="191">
        <f>$F6*$F6/I6/10^6</f>
        <v>10.844262295081968</v>
      </c>
      <c r="M6" s="213">
        <v>69</v>
      </c>
      <c r="N6" s="190">
        <v>500</v>
      </c>
      <c r="O6" s="190">
        <f>N6*$W$6</f>
        <v>650</v>
      </c>
      <c r="P6" s="190">
        <f t="shared" ref="P6:P17" si="2">(SQRT(3)*N6*M6)/1000</f>
        <v>59.755752861126261</v>
      </c>
      <c r="Q6" s="190">
        <f t="shared" ref="Q6:Q17" si="3">(SQRT(3)*O6*$M6)/1000</f>
        <v>77.682478719464143</v>
      </c>
      <c r="R6" s="214"/>
      <c r="S6" s="190">
        <f>P6*$Y$6</f>
        <v>53.780177575013639</v>
      </c>
      <c r="T6" s="190">
        <f>Q6*$Y$6</f>
        <v>69.914230847517729</v>
      </c>
      <c r="U6" s="18" t="s">
        <v>671</v>
      </c>
      <c r="W6" s="96">
        <v>1.3</v>
      </c>
      <c r="X6" s="96">
        <v>1.2</v>
      </c>
      <c r="Y6" s="96">
        <v>0.9</v>
      </c>
      <c r="AA6" s="17">
        <v>1980</v>
      </c>
      <c r="AB6" s="215">
        <v>44.033333333333331</v>
      </c>
      <c r="AC6" s="17">
        <v>1990</v>
      </c>
      <c r="AD6" s="215">
        <v>78.358333333333334</v>
      </c>
      <c r="AE6" s="17">
        <v>2000</v>
      </c>
      <c r="AF6" s="215">
        <v>95.375</v>
      </c>
      <c r="AG6" s="17">
        <v>2010</v>
      </c>
      <c r="AH6" s="215">
        <v>116.46666666666668</v>
      </c>
    </row>
    <row r="7" spans="1:34" x14ac:dyDescent="0.2">
      <c r="B7" s="193">
        <v>66000</v>
      </c>
      <c r="C7" s="193">
        <f t="shared" si="0"/>
        <v>66</v>
      </c>
      <c r="D7" s="203">
        <f>(D$14-D$6)*(C7-C$6)/(C$14-C$6)+D$6</f>
        <v>0.38214285714285717</v>
      </c>
      <c r="F7" s="190">
        <v>66000</v>
      </c>
      <c r="G7" s="190">
        <f t="shared" si="1"/>
        <v>66</v>
      </c>
      <c r="H7" s="191">
        <v>400</v>
      </c>
      <c r="I7" s="191">
        <v>366</v>
      </c>
      <c r="J7" s="191">
        <f>$F7*$F7/H7/10^6</f>
        <v>10.89</v>
      </c>
      <c r="K7" s="191">
        <f>$F7*$F7/I7/10^6</f>
        <v>11.901639344262295</v>
      </c>
      <c r="M7" s="190">
        <v>115</v>
      </c>
      <c r="N7" s="190">
        <v>600</v>
      </c>
      <c r="O7" s="190">
        <f t="shared" ref="O7:O17" si="4">N7*$W$6</f>
        <v>780</v>
      </c>
      <c r="P7" s="190">
        <f t="shared" si="2"/>
        <v>119.51150572225254</v>
      </c>
      <c r="Q7" s="190">
        <f t="shared" si="3"/>
        <v>155.36495743892829</v>
      </c>
      <c r="R7" s="214">
        <v>125</v>
      </c>
      <c r="S7" s="190">
        <f t="shared" ref="S7:T17" si="5">P7*$Y$6</f>
        <v>107.56035515002729</v>
      </c>
      <c r="T7" s="190">
        <f t="shared" si="5"/>
        <v>139.82846169503546</v>
      </c>
      <c r="U7" s="18"/>
      <c r="AA7" s="17">
        <v>1981</v>
      </c>
      <c r="AB7" s="215">
        <v>49.524999999999999</v>
      </c>
      <c r="AC7" s="17">
        <v>1991</v>
      </c>
      <c r="AD7" s="215">
        <v>82.766666666666666</v>
      </c>
      <c r="AE7" s="17">
        <v>2001</v>
      </c>
      <c r="AF7" s="215">
        <v>97.783333333333346</v>
      </c>
      <c r="AG7" s="17">
        <v>2011</v>
      </c>
      <c r="AH7" s="215">
        <v>119.85833333333333</v>
      </c>
    </row>
    <row r="8" spans="1:34" x14ac:dyDescent="0.2">
      <c r="B8" s="193">
        <v>69000</v>
      </c>
      <c r="C8" s="193">
        <f t="shared" si="0"/>
        <v>69</v>
      </c>
      <c r="D8" s="203">
        <f t="shared" ref="D8:D13" si="6">(D$14-D$6)*(C8-C$6)/(C$14-C$6)+D$6</f>
        <v>0.38428571428571429</v>
      </c>
      <c r="F8" s="204">
        <v>69000</v>
      </c>
      <c r="G8" s="204">
        <f t="shared" si="1"/>
        <v>69</v>
      </c>
      <c r="H8" s="204">
        <v>400</v>
      </c>
      <c r="I8" s="204">
        <v>366</v>
      </c>
      <c r="J8" s="204">
        <v>12</v>
      </c>
      <c r="K8" s="204">
        <v>13</v>
      </c>
      <c r="M8" s="190">
        <v>120</v>
      </c>
      <c r="N8" s="190">
        <v>610</v>
      </c>
      <c r="O8" s="190">
        <f t="shared" si="4"/>
        <v>793</v>
      </c>
      <c r="P8" s="190">
        <f t="shared" si="2"/>
        <v>126.78611911404181</v>
      </c>
      <c r="Q8" s="190">
        <f t="shared" si="3"/>
        <v>164.82195484825436</v>
      </c>
      <c r="R8" s="214"/>
      <c r="S8" s="190">
        <f t="shared" si="5"/>
        <v>114.10750720263763</v>
      </c>
      <c r="T8" s="190">
        <f t="shared" si="5"/>
        <v>148.33975936342893</v>
      </c>
      <c r="U8" s="18"/>
      <c r="AA8" s="17">
        <v>1982</v>
      </c>
      <c r="AB8" s="215">
        <v>54.858333333333341</v>
      </c>
      <c r="AC8" s="17">
        <v>1992</v>
      </c>
      <c r="AD8" s="215">
        <v>84.000000000000014</v>
      </c>
      <c r="AE8" s="17">
        <v>2002</v>
      </c>
      <c r="AF8" s="215">
        <v>99.991666666666674</v>
      </c>
      <c r="AG8" s="17">
        <v>2012</v>
      </c>
      <c r="AH8" s="215">
        <v>121.67500000000001</v>
      </c>
    </row>
    <row r="9" spans="1:34" x14ac:dyDescent="0.2">
      <c r="B9" s="193">
        <v>72000</v>
      </c>
      <c r="C9" s="193">
        <f t="shared" si="0"/>
        <v>72</v>
      </c>
      <c r="D9" s="203">
        <f t="shared" si="6"/>
        <v>0.38642857142857145</v>
      </c>
      <c r="F9" s="190">
        <v>72000</v>
      </c>
      <c r="G9" s="190">
        <f t="shared" si="1"/>
        <v>72</v>
      </c>
      <c r="H9" s="191">
        <v>400</v>
      </c>
      <c r="I9" s="191">
        <v>366</v>
      </c>
      <c r="J9" s="191">
        <f t="shared" ref="J9:K11" si="7">$F9*$F9/H9/10^6</f>
        <v>12.96</v>
      </c>
      <c r="K9" s="191">
        <f t="shared" si="7"/>
        <v>14.163934426229508</v>
      </c>
      <c r="M9" s="190">
        <v>138</v>
      </c>
      <c r="N9" s="190">
        <v>650</v>
      </c>
      <c r="O9" s="190">
        <f t="shared" si="4"/>
        <v>845</v>
      </c>
      <c r="P9" s="190">
        <f t="shared" si="2"/>
        <v>155.36495743892829</v>
      </c>
      <c r="Q9" s="190">
        <f t="shared" si="3"/>
        <v>201.97444467060674</v>
      </c>
      <c r="R9" s="214">
        <v>150</v>
      </c>
      <c r="S9" s="190">
        <f t="shared" si="5"/>
        <v>139.82846169503546</v>
      </c>
      <c r="T9" s="190">
        <f t="shared" si="5"/>
        <v>181.77700020354607</v>
      </c>
      <c r="U9" s="18"/>
      <c r="AA9" s="17">
        <v>1983</v>
      </c>
      <c r="AB9" s="215">
        <v>58.07500000000001</v>
      </c>
      <c r="AC9" s="17">
        <v>1993</v>
      </c>
      <c r="AD9" s="215">
        <v>85.566666666666663</v>
      </c>
      <c r="AE9" s="17">
        <v>2003</v>
      </c>
      <c r="AF9" s="215">
        <v>102.75</v>
      </c>
      <c r="AG9" s="17">
        <v>2013</v>
      </c>
      <c r="AH9" s="215">
        <v>122.81666666666666</v>
      </c>
    </row>
    <row r="10" spans="1:34" x14ac:dyDescent="0.2">
      <c r="B10" s="193">
        <v>115000</v>
      </c>
      <c r="C10" s="193">
        <f t="shared" si="0"/>
        <v>115</v>
      </c>
      <c r="D10" s="203">
        <f t="shared" si="6"/>
        <v>0.41714285714285715</v>
      </c>
      <c r="F10" s="190">
        <v>115000</v>
      </c>
      <c r="G10" s="190">
        <f t="shared" si="1"/>
        <v>115</v>
      </c>
      <c r="H10" s="191">
        <v>403</v>
      </c>
      <c r="I10" s="191">
        <v>366</v>
      </c>
      <c r="J10" s="191">
        <f t="shared" si="7"/>
        <v>32.816377171215883</v>
      </c>
      <c r="K10" s="191">
        <f t="shared" si="7"/>
        <v>36.133879781420767</v>
      </c>
      <c r="M10" s="190">
        <v>161</v>
      </c>
      <c r="N10" s="190">
        <v>700</v>
      </c>
      <c r="O10" s="190">
        <f t="shared" si="4"/>
        <v>910</v>
      </c>
      <c r="P10" s="190">
        <f t="shared" si="2"/>
        <v>195.20212601301245</v>
      </c>
      <c r="Q10" s="190">
        <f t="shared" si="3"/>
        <v>253.76276381691622</v>
      </c>
      <c r="R10" s="214"/>
      <c r="S10" s="190">
        <f t="shared" si="5"/>
        <v>175.68191341171121</v>
      </c>
      <c r="T10" s="190">
        <f t="shared" si="5"/>
        <v>228.38648743522461</v>
      </c>
      <c r="U10" s="18"/>
      <c r="AA10" s="17">
        <v>1984</v>
      </c>
      <c r="AB10" s="215">
        <v>60.574999999999996</v>
      </c>
      <c r="AC10" s="17">
        <v>1994</v>
      </c>
      <c r="AD10" s="215">
        <v>85.708333333333329</v>
      </c>
      <c r="AE10" s="17">
        <v>2004</v>
      </c>
      <c r="AF10" s="215">
        <v>104.65833333333335</v>
      </c>
      <c r="AG10" s="17">
        <v>2014</v>
      </c>
      <c r="AH10" s="215">
        <v>125.15833333333336</v>
      </c>
    </row>
    <row r="11" spans="1:34" x14ac:dyDescent="0.2">
      <c r="B11" s="193">
        <v>120000</v>
      </c>
      <c r="C11" s="193">
        <f t="shared" si="0"/>
        <v>120</v>
      </c>
      <c r="D11" s="203">
        <f t="shared" si="6"/>
        <v>0.42071428571428571</v>
      </c>
      <c r="F11" s="190">
        <v>120000</v>
      </c>
      <c r="G11" s="190">
        <f t="shared" si="1"/>
        <v>120</v>
      </c>
      <c r="H11" s="191">
        <v>403</v>
      </c>
      <c r="I11" s="191">
        <v>366</v>
      </c>
      <c r="J11" s="191">
        <f t="shared" si="7"/>
        <v>35.732009925558316</v>
      </c>
      <c r="K11" s="191">
        <f t="shared" si="7"/>
        <v>39.344262295081968</v>
      </c>
      <c r="M11" s="190">
        <v>230</v>
      </c>
      <c r="N11" s="190">
        <v>1000</v>
      </c>
      <c r="O11" s="190">
        <f t="shared" si="4"/>
        <v>1300</v>
      </c>
      <c r="P11" s="190">
        <f t="shared" si="2"/>
        <v>398.37168574084171</v>
      </c>
      <c r="Q11" s="190">
        <f t="shared" si="3"/>
        <v>517.88319146309425</v>
      </c>
      <c r="R11" s="214">
        <v>400</v>
      </c>
      <c r="S11" s="190">
        <f t="shared" si="5"/>
        <v>358.53451716675755</v>
      </c>
      <c r="T11" s="190">
        <f t="shared" si="5"/>
        <v>466.09487231678486</v>
      </c>
      <c r="U11" s="18"/>
      <c r="AA11" s="17">
        <v>1985</v>
      </c>
      <c r="AB11" s="215">
        <v>62.975000000000001</v>
      </c>
      <c r="AC11" s="17">
        <v>1995</v>
      </c>
      <c r="AD11" s="215">
        <v>87.550000000000011</v>
      </c>
      <c r="AE11" s="17">
        <v>2005</v>
      </c>
      <c r="AF11" s="215">
        <v>106.97500000000001</v>
      </c>
      <c r="AG11" s="17">
        <v>2015</v>
      </c>
      <c r="AH11" s="215">
        <v>126.6</v>
      </c>
    </row>
    <row r="12" spans="1:34" x14ac:dyDescent="0.2">
      <c r="B12" s="193">
        <v>138000</v>
      </c>
      <c r="C12" s="193">
        <f t="shared" si="0"/>
        <v>138</v>
      </c>
      <c r="D12" s="203">
        <f t="shared" si="6"/>
        <v>0.43357142857142861</v>
      </c>
      <c r="F12" s="204">
        <v>138000</v>
      </c>
      <c r="G12" s="204">
        <f t="shared" si="1"/>
        <v>138</v>
      </c>
      <c r="H12" s="204">
        <v>405</v>
      </c>
      <c r="I12" s="204">
        <v>366</v>
      </c>
      <c r="J12" s="204">
        <v>47</v>
      </c>
      <c r="K12" s="204">
        <v>52</v>
      </c>
      <c r="M12" s="190">
        <v>240</v>
      </c>
      <c r="N12" s="190">
        <v>1025</v>
      </c>
      <c r="O12" s="190">
        <f t="shared" si="4"/>
        <v>1332.5</v>
      </c>
      <c r="P12" s="190">
        <f t="shared" si="2"/>
        <v>426.08449866194377</v>
      </c>
      <c r="Q12" s="190">
        <f t="shared" si="3"/>
        <v>553.90984826052693</v>
      </c>
      <c r="R12" s="214"/>
      <c r="S12" s="190">
        <f t="shared" si="5"/>
        <v>383.47604879574942</v>
      </c>
      <c r="T12" s="190">
        <f t="shared" si="5"/>
        <v>498.51886343447427</v>
      </c>
      <c r="U12" s="18"/>
      <c r="AA12" s="17">
        <v>1986</v>
      </c>
      <c r="AB12" s="215">
        <v>65.61666666666666</v>
      </c>
      <c r="AC12" s="17">
        <v>1996</v>
      </c>
      <c r="AD12" s="215">
        <v>88.924999999999997</v>
      </c>
      <c r="AE12" s="17">
        <v>2006</v>
      </c>
      <c r="AF12" s="215">
        <v>109.11666666666667</v>
      </c>
      <c r="AG12" s="17">
        <v>2016</v>
      </c>
      <c r="AH12" s="215">
        <v>128.37499999999997</v>
      </c>
    </row>
    <row r="13" spans="1:34" x14ac:dyDescent="0.2">
      <c r="B13" s="193">
        <v>144000</v>
      </c>
      <c r="C13" s="193">
        <f t="shared" si="0"/>
        <v>144</v>
      </c>
      <c r="D13" s="203">
        <f t="shared" si="6"/>
        <v>0.43785714285714289</v>
      </c>
      <c r="F13" s="190">
        <v>144000</v>
      </c>
      <c r="G13" s="190">
        <f t="shared" si="1"/>
        <v>144</v>
      </c>
      <c r="H13" s="191">
        <v>405</v>
      </c>
      <c r="I13" s="191">
        <v>366</v>
      </c>
      <c r="J13" s="191">
        <f>$F13*$F13/H13/10^6</f>
        <v>51.2</v>
      </c>
      <c r="K13" s="191">
        <f>$F13*$F13/I13/10^6</f>
        <v>56.655737704918032</v>
      </c>
      <c r="M13" s="190">
        <v>315</v>
      </c>
      <c r="N13" s="190">
        <v>1150</v>
      </c>
      <c r="O13" s="190">
        <f t="shared" si="4"/>
        <v>1495</v>
      </c>
      <c r="P13" s="190">
        <f t="shared" si="2"/>
        <v>627.43540504182567</v>
      </c>
      <c r="Q13" s="190">
        <f t="shared" si="3"/>
        <v>815.6660265543735</v>
      </c>
      <c r="R13" s="214"/>
      <c r="S13" s="190">
        <f t="shared" si="5"/>
        <v>564.69186453764314</v>
      </c>
      <c r="T13" s="190">
        <f t="shared" si="5"/>
        <v>734.09942389893615</v>
      </c>
      <c r="U13" s="18"/>
      <c r="AA13" s="17">
        <v>1987</v>
      </c>
      <c r="AB13" s="215">
        <v>68.475000000000009</v>
      </c>
      <c r="AC13" s="17">
        <v>1997</v>
      </c>
      <c r="AD13" s="215">
        <v>90.366666666666674</v>
      </c>
      <c r="AE13" s="17">
        <v>2007</v>
      </c>
      <c r="AF13" s="215">
        <v>111.45</v>
      </c>
      <c r="AG13" s="17">
        <v>2017</v>
      </c>
      <c r="AH13" s="215">
        <v>130.42499999999998</v>
      </c>
    </row>
    <row r="14" spans="1:34" x14ac:dyDescent="0.2">
      <c r="B14" s="193">
        <v>161000</v>
      </c>
      <c r="C14" s="193">
        <f t="shared" si="0"/>
        <v>161</v>
      </c>
      <c r="D14" s="203">
        <v>0.45</v>
      </c>
      <c r="F14" s="190">
        <v>161000</v>
      </c>
      <c r="G14" s="190">
        <f t="shared" si="1"/>
        <v>161</v>
      </c>
      <c r="H14" s="191">
        <v>403</v>
      </c>
      <c r="I14" s="191">
        <v>366</v>
      </c>
      <c r="J14" s="191">
        <f>$F14*$F14/H14/10^6</f>
        <v>64.320099255583131</v>
      </c>
      <c r="K14" s="191">
        <f>$F14*$F14/I14/10^6</f>
        <v>70.822404371584696</v>
      </c>
      <c r="M14" s="190">
        <v>345</v>
      </c>
      <c r="N14" s="190">
        <v>1300</v>
      </c>
      <c r="O14" s="190">
        <f t="shared" si="4"/>
        <v>1690</v>
      </c>
      <c r="P14" s="190">
        <f t="shared" si="2"/>
        <v>776.82478719464143</v>
      </c>
      <c r="Q14" s="190">
        <f t="shared" si="3"/>
        <v>1009.8722233530337</v>
      </c>
      <c r="R14" s="214">
        <v>800</v>
      </c>
      <c r="S14" s="190">
        <f t="shared" si="5"/>
        <v>699.14230847517729</v>
      </c>
      <c r="T14" s="190">
        <f t="shared" si="5"/>
        <v>908.88500101773036</v>
      </c>
      <c r="U14" s="18"/>
      <c r="AA14" s="17">
        <v>1988</v>
      </c>
      <c r="AB14" s="215">
        <v>71.233333333333334</v>
      </c>
      <c r="AC14" s="17">
        <v>1998</v>
      </c>
      <c r="AD14" s="215">
        <v>91.266666666666666</v>
      </c>
      <c r="AE14" s="17">
        <v>2008</v>
      </c>
      <c r="AF14" s="215">
        <v>114.09166666666665</v>
      </c>
      <c r="AG14" s="17">
        <v>2018</v>
      </c>
      <c r="AH14" s="215">
        <v>133.38333333333335</v>
      </c>
    </row>
    <row r="15" spans="1:34" x14ac:dyDescent="0.2">
      <c r="B15" s="193">
        <v>230000</v>
      </c>
      <c r="C15" s="193">
        <f t="shared" si="0"/>
        <v>230</v>
      </c>
      <c r="D15" s="203">
        <v>0.48</v>
      </c>
      <c r="F15" s="204">
        <v>230000</v>
      </c>
      <c r="G15" s="204">
        <f t="shared" si="1"/>
        <v>230</v>
      </c>
      <c r="H15" s="204">
        <v>395</v>
      </c>
      <c r="I15" s="204">
        <v>365</v>
      </c>
      <c r="J15" s="204">
        <v>134</v>
      </c>
      <c r="K15" s="204">
        <v>145</v>
      </c>
      <c r="M15" s="190">
        <v>500</v>
      </c>
      <c r="N15" s="190">
        <v>1800</v>
      </c>
      <c r="O15" s="190">
        <f t="shared" si="4"/>
        <v>2340</v>
      </c>
      <c r="P15" s="190">
        <f t="shared" si="2"/>
        <v>1558.8457268119894</v>
      </c>
      <c r="Q15" s="190">
        <f t="shared" si="3"/>
        <v>2026.4994448555863</v>
      </c>
      <c r="R15" s="214">
        <v>1600</v>
      </c>
      <c r="S15" s="190">
        <f t="shared" si="5"/>
        <v>1402.9611541307904</v>
      </c>
      <c r="T15" s="190">
        <f t="shared" si="5"/>
        <v>1823.8495003700277</v>
      </c>
      <c r="U15" s="18"/>
      <c r="AA15" s="17">
        <v>1989</v>
      </c>
      <c r="AB15" s="215">
        <v>74.783333333333331</v>
      </c>
      <c r="AC15" s="17">
        <v>1999</v>
      </c>
      <c r="AD15" s="215">
        <v>92.850000000000009</v>
      </c>
      <c r="AE15" s="17">
        <v>2009</v>
      </c>
      <c r="AF15" s="215">
        <v>114.43333333333334</v>
      </c>
      <c r="AG15" s="17">
        <v>2019</v>
      </c>
      <c r="AH15" s="215">
        <v>136</v>
      </c>
    </row>
    <row r="16" spans="1:34" x14ac:dyDescent="0.2">
      <c r="B16" s="193">
        <v>240000</v>
      </c>
      <c r="C16" s="193">
        <f t="shared" si="0"/>
        <v>240</v>
      </c>
      <c r="D16" s="203">
        <f>(D$21-D$15)*(C16-C$15)/(C$21-C$15)+D$15</f>
        <v>0.47685185185185186</v>
      </c>
      <c r="F16" s="190">
        <v>240000</v>
      </c>
      <c r="G16" s="190">
        <f t="shared" si="1"/>
        <v>240</v>
      </c>
      <c r="H16" s="191">
        <v>394</v>
      </c>
      <c r="I16" s="191">
        <v>363</v>
      </c>
      <c r="J16" s="191">
        <f t="shared" ref="J16:K18" si="8">$F16*$F16/H16/10^6</f>
        <v>146.19289340101523</v>
      </c>
      <c r="K16" s="191">
        <f t="shared" si="8"/>
        <v>158.67768595041323</v>
      </c>
      <c r="M16" s="190">
        <v>735</v>
      </c>
      <c r="N16" s="190">
        <v>2500</v>
      </c>
      <c r="O16" s="190">
        <f t="shared" si="4"/>
        <v>3250</v>
      </c>
      <c r="P16" s="190">
        <f t="shared" si="2"/>
        <v>3182.6433589078119</v>
      </c>
      <c r="Q16" s="190">
        <f t="shared" si="3"/>
        <v>4137.4363665801557</v>
      </c>
      <c r="R16" s="214">
        <v>3200</v>
      </c>
      <c r="S16" s="190">
        <f t="shared" si="5"/>
        <v>2864.3790230170307</v>
      </c>
      <c r="T16" s="190">
        <f t="shared" si="5"/>
        <v>3723.6927299221402</v>
      </c>
      <c r="U16" s="18"/>
    </row>
    <row r="17" spans="1:30" x14ac:dyDescent="0.2">
      <c r="B17" s="193">
        <v>287000</v>
      </c>
      <c r="C17" s="193">
        <f t="shared" si="0"/>
        <v>287</v>
      </c>
      <c r="D17" s="203">
        <f t="shared" ref="D17:D20" si="9">(D$21-D$15)*(C17-C$15)/(C$21-C$15)+D$15</f>
        <v>0.46205555555555555</v>
      </c>
      <c r="F17" s="190">
        <v>287000</v>
      </c>
      <c r="G17" s="190">
        <f t="shared" si="1"/>
        <v>287</v>
      </c>
      <c r="H17" s="191">
        <v>385</v>
      </c>
      <c r="I17" s="191">
        <v>340</v>
      </c>
      <c r="J17" s="191">
        <f t="shared" si="8"/>
        <v>213.94545454545454</v>
      </c>
      <c r="K17" s="191">
        <f t="shared" si="8"/>
        <v>242.26176470588234</v>
      </c>
      <c r="M17" s="190">
        <v>765</v>
      </c>
      <c r="N17" s="190">
        <v>2600</v>
      </c>
      <c r="O17" s="190">
        <f t="shared" si="4"/>
        <v>3380</v>
      </c>
      <c r="P17" s="190">
        <f t="shared" si="2"/>
        <v>3445.0490562544969</v>
      </c>
      <c r="Q17" s="190">
        <f t="shared" si="3"/>
        <v>4478.5637731308452</v>
      </c>
      <c r="R17" s="214"/>
      <c r="S17" s="190">
        <f t="shared" si="5"/>
        <v>3100.5441506290472</v>
      </c>
      <c r="T17" s="190">
        <f t="shared" si="5"/>
        <v>4030.7073958177607</v>
      </c>
      <c r="U17" s="18"/>
      <c r="AA17" s="68" t="s">
        <v>37</v>
      </c>
    </row>
    <row r="18" spans="1:30" x14ac:dyDescent="0.25">
      <c r="B18" s="193">
        <v>315000</v>
      </c>
      <c r="C18" s="193">
        <f t="shared" si="0"/>
        <v>315</v>
      </c>
      <c r="D18" s="203">
        <f t="shared" si="9"/>
        <v>0.45324074074074072</v>
      </c>
      <c r="F18" s="190">
        <v>315000</v>
      </c>
      <c r="G18" s="190">
        <f t="shared" si="1"/>
        <v>315</v>
      </c>
      <c r="H18" s="191">
        <v>375</v>
      </c>
      <c r="I18" s="191">
        <v>310</v>
      </c>
      <c r="J18" s="191">
        <f t="shared" si="8"/>
        <v>264.60000000000002</v>
      </c>
      <c r="K18" s="191">
        <f t="shared" si="8"/>
        <v>320.08064516129036</v>
      </c>
      <c r="M18" s="10"/>
      <c r="N18" s="10"/>
      <c r="O18" s="10"/>
      <c r="P18" s="10"/>
      <c r="Q18" s="10"/>
      <c r="R18" s="10"/>
      <c r="S18" s="10"/>
      <c r="T18" s="10"/>
      <c r="U18" s="10"/>
      <c r="X18" s="10"/>
      <c r="AA18" s="4" t="s">
        <v>672</v>
      </c>
    </row>
    <row r="19" spans="1:30" x14ac:dyDescent="0.2">
      <c r="B19" s="193">
        <v>345000</v>
      </c>
      <c r="C19" s="193">
        <f t="shared" si="0"/>
        <v>345</v>
      </c>
      <c r="D19" s="203">
        <f t="shared" si="9"/>
        <v>0.4437962962962963</v>
      </c>
      <c r="F19" s="204">
        <v>345000</v>
      </c>
      <c r="G19" s="204">
        <f t="shared" si="1"/>
        <v>345</v>
      </c>
      <c r="H19" s="204">
        <v>366</v>
      </c>
      <c r="I19" s="204">
        <v>280</v>
      </c>
      <c r="J19" s="204">
        <v>325</v>
      </c>
      <c r="K19" s="204">
        <v>425</v>
      </c>
      <c r="M19" s="68" t="s">
        <v>308</v>
      </c>
      <c r="N19" s="10"/>
      <c r="O19" s="10"/>
      <c r="P19" s="10"/>
      <c r="Q19" s="10"/>
      <c r="R19" s="10"/>
      <c r="S19" s="10"/>
      <c r="T19" s="10"/>
      <c r="U19" s="10"/>
      <c r="X19" s="10"/>
    </row>
    <row r="20" spans="1:30" x14ac:dyDescent="0.25">
      <c r="B20" s="193">
        <v>360000</v>
      </c>
      <c r="C20" s="193">
        <f t="shared" si="0"/>
        <v>360</v>
      </c>
      <c r="D20" s="203">
        <f t="shared" si="9"/>
        <v>0.43907407407407406</v>
      </c>
      <c r="F20" s="190">
        <v>360000</v>
      </c>
      <c r="G20" s="190">
        <f t="shared" si="1"/>
        <v>360</v>
      </c>
      <c r="H20" s="191">
        <v>360</v>
      </c>
      <c r="I20" s="191">
        <v>275</v>
      </c>
      <c r="J20" s="191">
        <f>$F20*$F20/H20/10^6</f>
        <v>360</v>
      </c>
      <c r="K20" s="191">
        <f>$F20*$F20/I20/10^6</f>
        <v>471.27272727272725</v>
      </c>
      <c r="M20" s="4" t="s">
        <v>673</v>
      </c>
    </row>
    <row r="21" spans="1:30" x14ac:dyDescent="0.25">
      <c r="B21" s="193">
        <v>500000</v>
      </c>
      <c r="C21" s="193">
        <f t="shared" si="0"/>
        <v>500</v>
      </c>
      <c r="D21" s="203">
        <v>0.39500000000000002</v>
      </c>
      <c r="F21" s="204">
        <v>500000</v>
      </c>
      <c r="G21" s="204">
        <f t="shared" si="1"/>
        <v>500</v>
      </c>
      <c r="H21" s="204">
        <v>294</v>
      </c>
      <c r="I21" s="204">
        <v>233</v>
      </c>
      <c r="J21" s="204">
        <v>850</v>
      </c>
      <c r="K21" s="204">
        <v>1075</v>
      </c>
      <c r="M21" s="4" t="s">
        <v>674</v>
      </c>
    </row>
    <row r="22" spans="1:30" x14ac:dyDescent="0.2">
      <c r="B22" s="193">
        <v>735000</v>
      </c>
      <c r="C22" s="193">
        <f t="shared" si="0"/>
        <v>735</v>
      </c>
      <c r="D22" s="203">
        <v>0.38</v>
      </c>
      <c r="F22" s="190">
        <v>735000</v>
      </c>
      <c r="G22" s="190">
        <f t="shared" si="1"/>
        <v>735</v>
      </c>
      <c r="H22" s="191">
        <v>270</v>
      </c>
      <c r="I22" s="191">
        <v>250</v>
      </c>
      <c r="J22" s="191">
        <f>$F22*$F22/H22/10^6</f>
        <v>2000.8333333333333</v>
      </c>
      <c r="K22" s="191">
        <f>$F22*$F22/I22/10^6</f>
        <v>2160.9</v>
      </c>
    </row>
    <row r="23" spans="1:30" x14ac:dyDescent="0.2">
      <c r="B23" s="193">
        <v>765000</v>
      </c>
      <c r="C23" s="193">
        <f t="shared" si="0"/>
        <v>765</v>
      </c>
      <c r="D23" s="203">
        <f>((C$23-C$21)/(C$22-C$21))*(D$22-D$21)+D$21</f>
        <v>0.37808510638297871</v>
      </c>
      <c r="F23" s="204">
        <v>765000</v>
      </c>
      <c r="G23" s="204">
        <f t="shared" si="1"/>
        <v>765</v>
      </c>
      <c r="H23" s="204">
        <v>266</v>
      </c>
      <c r="I23" s="204">
        <v>254</v>
      </c>
      <c r="J23" s="204">
        <v>2200</v>
      </c>
      <c r="K23" s="204">
        <v>2300</v>
      </c>
    </row>
    <row r="25" spans="1:30" x14ac:dyDescent="0.2">
      <c r="A25" s="68" t="s">
        <v>37</v>
      </c>
      <c r="AA25" s="60"/>
      <c r="AB25" s="183"/>
      <c r="AC25" s="183"/>
      <c r="AD25" s="183"/>
    </row>
    <row r="26" spans="1:30" x14ac:dyDescent="0.25">
      <c r="A26" s="4" t="s">
        <v>619</v>
      </c>
      <c r="AA26" s="60"/>
      <c r="AB26" s="183"/>
      <c r="AC26" s="183"/>
      <c r="AD26" s="183"/>
    </row>
    <row r="27" spans="1:30" x14ac:dyDescent="0.25">
      <c r="A27" s="4" t="s">
        <v>620</v>
      </c>
    </row>
    <row r="28" spans="1:30" x14ac:dyDescent="0.25">
      <c r="A28" s="4" t="s">
        <v>621</v>
      </c>
    </row>
    <row r="29" spans="1:30" x14ac:dyDescent="0.25">
      <c r="A29" s="4" t="s">
        <v>622</v>
      </c>
    </row>
    <row r="30" spans="1:30" x14ac:dyDescent="0.25">
      <c r="A30" s="4" t="s">
        <v>623</v>
      </c>
    </row>
    <row r="32" spans="1:30" x14ac:dyDescent="0.25">
      <c r="B32" s="4"/>
      <c r="C32" s="4"/>
      <c r="F32" s="4"/>
    </row>
    <row r="46" spans="27:30" x14ac:dyDescent="0.25">
      <c r="AA46" s="4"/>
      <c r="AB46" s="4"/>
      <c r="AC46" s="4"/>
      <c r="AD46" s="4"/>
    </row>
    <row r="102" spans="1:31" x14ac:dyDescent="0.2">
      <c r="A102" s="61"/>
      <c r="AE102" s="61"/>
    </row>
    <row r="103" spans="1:31" s="183" customFormat="1" x14ac:dyDescent="0.2">
      <c r="A103" s="61"/>
      <c r="AA103" s="62"/>
      <c r="AB103" s="60"/>
      <c r="AC103" s="60"/>
      <c r="AD103" s="60"/>
      <c r="AE103" s="61"/>
    </row>
    <row r="104" spans="1:31" x14ac:dyDescent="0.25">
      <c r="Z104" s="4"/>
    </row>
    <row r="105" spans="1:31" x14ac:dyDescent="0.25">
      <c r="Z105" s="4"/>
    </row>
    <row r="106" spans="1:31" s="4" customFormat="1" x14ac:dyDescent="0.25">
      <c r="B106" s="183"/>
      <c r="C106" s="183"/>
      <c r="D106" s="183"/>
      <c r="E106" s="183"/>
      <c r="F106" s="183"/>
      <c r="G106" s="183"/>
      <c r="H106" s="183"/>
      <c r="I106" s="183"/>
      <c r="J106" s="183"/>
      <c r="K106" s="183"/>
      <c r="L106" s="183"/>
      <c r="M106" s="183"/>
      <c r="N106" s="183"/>
      <c r="O106" s="183"/>
      <c r="P106" s="183"/>
      <c r="Q106" s="183"/>
      <c r="R106" s="183"/>
      <c r="S106" s="183"/>
      <c r="T106" s="183"/>
      <c r="U106" s="183"/>
      <c r="W106" s="183"/>
      <c r="X106" s="183"/>
      <c r="Y106" s="183"/>
      <c r="Z106" s="183"/>
      <c r="AA106" s="62"/>
      <c r="AB106" s="60"/>
      <c r="AC106" s="60"/>
      <c r="AD106" s="60"/>
    </row>
    <row r="107" spans="1:31" s="4" customFormat="1" x14ac:dyDescent="0.25">
      <c r="B107" s="183"/>
      <c r="C107" s="183"/>
      <c r="D107" s="183"/>
      <c r="E107" s="183"/>
      <c r="F107" s="183"/>
      <c r="G107" s="183"/>
      <c r="H107" s="183"/>
      <c r="I107" s="183"/>
      <c r="J107" s="183"/>
      <c r="K107" s="183"/>
      <c r="L107" s="183"/>
      <c r="M107" s="183"/>
      <c r="N107" s="183"/>
      <c r="O107" s="183"/>
      <c r="P107" s="183"/>
      <c r="Q107" s="183"/>
      <c r="R107" s="183"/>
      <c r="S107" s="183"/>
      <c r="T107" s="183"/>
      <c r="U107" s="183"/>
      <c r="W107" s="183"/>
      <c r="X107" s="183"/>
      <c r="Y107" s="183"/>
      <c r="Z107" s="183"/>
      <c r="AA107" s="62"/>
      <c r="AB107" s="60"/>
      <c r="AC107" s="60"/>
      <c r="AD107" s="60"/>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README</vt:lpstr>
      <vt:lpstr>SK-Sources</vt:lpstr>
      <vt:lpstr>Generation</vt:lpstr>
      <vt:lpstr>Storage</vt:lpstr>
      <vt:lpstr>Transmission</vt:lpstr>
      <vt:lpstr>Nodes</vt:lpstr>
      <vt:lpstr>BLANK</vt:lpstr>
      <vt:lpstr>HydroExisting</vt:lpstr>
      <vt:lpstr>HydroRenewals</vt:lpstr>
      <vt:lpstr>HydroGreenfield</vt:lpstr>
      <vt:lpstr>HydroPS</vt:lpstr>
      <vt:lpstr>Distribution</vt:lpstr>
      <vt:lpstr>System</vt:lpstr>
      <vt:lpstr>HGWh</vt:lpstr>
      <vt:lpstr>HMW</vt:lpstr>
      <vt:lpstr>FGWh</vt:lpstr>
      <vt:lpstr>FMW</vt:lpstr>
      <vt:lpstr>Hourly</vt:lpstr>
      <vt:lpstr>Inputs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Collins</dc:creator>
  <cp:lastModifiedBy>Richard Hendriks</cp:lastModifiedBy>
  <cp:lastPrinted>2019-05-29T14:46:03Z</cp:lastPrinted>
  <dcterms:created xsi:type="dcterms:W3CDTF">2018-03-01T23:28:31Z</dcterms:created>
  <dcterms:modified xsi:type="dcterms:W3CDTF">2021-08-17T21:10:11Z</dcterms:modified>
</cp:coreProperties>
</file>