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Noah\Documents\(Local) Summer 2022 Co-op\SILVER\SILVER\SILVER_Data\user_inputs\"/>
    </mc:Choice>
  </mc:AlternateContent>
  <xr:revisionPtr revIDLastSave="0" documentId="13_ncr:1_{975365A4-9104-42B4-B34B-19337706A1F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ite independent" sheetId="1" r:id="rId1"/>
    <sheet name="modeled attributes" sheetId="2" r:id="rId2"/>
    <sheet name="scenario analysis" sheetId="3" r:id="rId3"/>
    <sheet name="vre plants" sheetId="4" r:id="rId4"/>
    <sheet name="non-vre plants" sheetId="5" r:id="rId5"/>
    <sheet name="storage" sheetId="6" r:id="rId6"/>
    <sheet name="EV_aggregator" sheetId="7" r:id="rId7"/>
    <sheet name="demand response" sheetId="8" r:id="rId8"/>
    <sheet name="demand centres" sheetId="9" r:id="rId9"/>
    <sheet name="existing transmission" sheetId="10" r:id="rId10"/>
    <sheet name="excel input instructions" sheetId="11" r:id="rId11"/>
    <sheet name="lists" sheetId="12" r:id="rId12"/>
  </sheets>
  <definedNames>
    <definedName name="code" localSheetId="4">#REF!</definedName>
    <definedName name="code">#REF!</definedName>
    <definedName name="mono_c_Si">lists!$F$9:$F$11</definedName>
    <definedName name="mono_tech">lists!$E$9:$E$11</definedName>
    <definedName name="multi_c_Si">lists!$D$9:$D$11</definedName>
    <definedName name="multi_tech">lists!$C$9:$C$11</definedName>
    <definedName name="_xlnm.Print_Area" localSheetId="0">'site independent'!$A$1:$O$138</definedName>
    <definedName name="renumber" localSheetId="4">#REF!</definedName>
    <definedName name="renumber">#REF!</definedName>
    <definedName name="rerank" localSheetId="4">#REF!</definedName>
    <definedName name="rerank">#REF!</definedName>
    <definedName name="Solar">lists!$C$4:$C$6</definedName>
    <definedName name="thin_film">lists!$E$9:$E$11</definedName>
    <definedName name="thin_tech">lists!$D$9:$D$11</definedName>
    <definedName name="total" localSheetId="4">#REF!</definedName>
    <definedName name="total">#REF!</definedName>
    <definedName name="user" localSheetId="4">#REF!</definedName>
    <definedName name="user">#REF!</definedName>
    <definedName name="VRE">lists!$B$3:$C$3</definedName>
    <definedName name="Wind">lists!$B$4:$B$5</definedName>
    <definedName name="wind_offshore">lists!$C$9</definedName>
    <definedName name="wind_onshore">lists!$B$9:$B$11</definedName>
    <definedName name="wind_tech">lists!$B$9:$B$11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8" l="1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L6" i="4"/>
  <c r="K6" i="4"/>
  <c r="L5" i="4"/>
  <c r="K5" i="4"/>
  <c r="L4" i="4"/>
  <c r="K4" i="4"/>
  <c r="L3" i="4"/>
  <c r="K3" i="4"/>
  <c r="L2" i="4"/>
  <c r="K2" i="4"/>
  <c r="D27" i="3"/>
  <c r="C27" i="3"/>
  <c r="B25" i="3"/>
  <c r="B24" i="3"/>
  <c r="B23" i="3"/>
  <c r="B22" i="3"/>
  <c r="E21" i="3"/>
  <c r="B21" i="3"/>
  <c r="B20" i="3"/>
  <c r="B19" i="3"/>
  <c r="A19" i="3"/>
  <c r="C19" i="3" s="1"/>
  <c r="A18" i="3"/>
  <c r="C18" i="3" s="1"/>
  <c r="B17" i="3"/>
  <c r="A17" i="3"/>
  <c r="E17" i="3" s="1"/>
  <c r="F17" i="3" s="1"/>
  <c r="A16" i="3"/>
  <c r="E16" i="3" s="1"/>
  <c r="B15" i="3"/>
  <c r="A15" i="3"/>
  <c r="D15" i="3" s="1"/>
  <c r="A14" i="3"/>
  <c r="E14" i="3" s="1"/>
  <c r="E13" i="3"/>
  <c r="C13" i="3"/>
  <c r="A13" i="3"/>
  <c r="D13" i="3" s="1"/>
  <c r="E12" i="3"/>
  <c r="D12" i="3"/>
  <c r="A12" i="3"/>
  <c r="C12" i="3" s="1"/>
  <c r="A11" i="3"/>
  <c r="E11" i="3" s="1"/>
  <c r="E10" i="3"/>
  <c r="A10" i="3"/>
  <c r="D10" i="3" s="1"/>
  <c r="B9" i="3"/>
  <c r="A9" i="3"/>
  <c r="E9" i="3" s="1"/>
  <c r="F9" i="3" s="1"/>
  <c r="A8" i="3"/>
  <c r="E8" i="3" s="1"/>
  <c r="E7" i="3"/>
  <c r="F7" i="3" s="1"/>
  <c r="B7" i="3"/>
  <c r="A7" i="3"/>
  <c r="D7" i="3" s="1"/>
  <c r="D6" i="3"/>
  <c r="A6" i="3"/>
  <c r="E6" i="3" s="1"/>
  <c r="E5" i="3"/>
  <c r="C5" i="3"/>
  <c r="A5" i="3"/>
  <c r="D5" i="3" s="1"/>
  <c r="E3" i="3"/>
  <c r="E22" i="3" s="1"/>
  <c r="D3" i="3"/>
  <c r="D22" i="3" s="1"/>
  <c r="C3" i="3"/>
  <c r="C22" i="3" s="1"/>
  <c r="I29" i="2"/>
  <c r="H29" i="2"/>
  <c r="G29" i="2"/>
  <c r="F29" i="2"/>
  <c r="E29" i="2"/>
  <c r="D29" i="2"/>
  <c r="C29" i="2"/>
  <c r="B29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F130" i="1"/>
  <c r="F129" i="1"/>
  <c r="F128" i="1"/>
  <c r="F127" i="1"/>
  <c r="F126" i="1"/>
  <c r="F125" i="1"/>
  <c r="F124" i="1"/>
  <c r="F123" i="1"/>
  <c r="F101" i="1"/>
  <c r="F100" i="1"/>
  <c r="F99" i="1"/>
  <c r="F98" i="1"/>
  <c r="F97" i="1"/>
  <c r="F96" i="1"/>
  <c r="F95" i="1"/>
  <c r="F94" i="1"/>
  <c r="F93" i="1"/>
  <c r="F92" i="1"/>
  <c r="F91" i="1"/>
  <c r="F90" i="1"/>
  <c r="B81" i="1"/>
  <c r="B80" i="1"/>
  <c r="B79" i="1"/>
  <c r="B78" i="1"/>
  <c r="B77" i="1"/>
  <c r="B75" i="1" s="1"/>
  <c r="B76" i="1"/>
  <c r="B74" i="1"/>
  <c r="H66" i="1"/>
  <c r="H65" i="1"/>
  <c r="H63" i="1"/>
  <c r="H62" i="1"/>
  <c r="H61" i="1"/>
  <c r="I61" i="1" s="1"/>
  <c r="C45" i="1"/>
  <c r="B45" i="1"/>
  <c r="K41" i="1"/>
  <c r="J41" i="1"/>
  <c r="C41" i="1"/>
  <c r="B41" i="1"/>
  <c r="J40" i="1"/>
  <c r="C40" i="1"/>
  <c r="B40" i="1"/>
  <c r="C39" i="1"/>
  <c r="B39" i="1"/>
  <c r="K38" i="1"/>
  <c r="J38" i="1"/>
  <c r="C38" i="1"/>
  <c r="B38" i="1"/>
  <c r="C37" i="1"/>
  <c r="B37" i="1"/>
  <c r="C36" i="1"/>
  <c r="B36" i="1"/>
  <c r="K35" i="1"/>
  <c r="J35" i="1"/>
  <c r="C35" i="1"/>
  <c r="B35" i="1"/>
  <c r="K33" i="1"/>
  <c r="J33" i="1"/>
  <c r="C33" i="1"/>
  <c r="B33" i="1"/>
  <c r="K32" i="1"/>
  <c r="J32" i="1"/>
  <c r="C32" i="1"/>
  <c r="B32" i="1"/>
  <c r="K31" i="1"/>
  <c r="J31" i="1"/>
  <c r="C31" i="1"/>
  <c r="B31" i="1"/>
  <c r="L22" i="1"/>
  <c r="G12" i="1"/>
  <c r="G11" i="1"/>
  <c r="D11" i="1"/>
  <c r="G10" i="1"/>
  <c r="P6" i="1"/>
  <c r="P7" i="1" s="1"/>
  <c r="P8" i="1" s="1"/>
  <c r="G5" i="1"/>
  <c r="P10" i="1" l="1"/>
  <c r="P11" i="1" s="1"/>
  <c r="P12" i="1" s="1"/>
  <c r="P13" i="1" s="1"/>
  <c r="P9" i="1"/>
  <c r="C15" i="3"/>
  <c r="B10" i="3"/>
  <c r="F10" i="3" s="1"/>
  <c r="B18" i="3"/>
  <c r="C23" i="3"/>
  <c r="C10" i="3"/>
  <c r="E15" i="3"/>
  <c r="F15" i="3" s="1"/>
  <c r="D23" i="3"/>
  <c r="C7" i="3"/>
  <c r="B5" i="3"/>
  <c r="F5" i="3" s="1"/>
  <c r="B13" i="3"/>
  <c r="F13" i="3" s="1"/>
  <c r="E23" i="3"/>
  <c r="B8" i="3"/>
  <c r="F8" i="3" s="1"/>
  <c r="B16" i="3"/>
  <c r="F16" i="3" s="1"/>
  <c r="C24" i="3"/>
  <c r="D24" i="3"/>
  <c r="C16" i="3"/>
  <c r="D8" i="3"/>
  <c r="B11" i="3"/>
  <c r="F11" i="3" s="1"/>
  <c r="D16" i="3"/>
  <c r="C20" i="3"/>
  <c r="E24" i="3"/>
  <c r="B6" i="3"/>
  <c r="F6" i="3" s="1"/>
  <c r="D11" i="3"/>
  <c r="B14" i="3"/>
  <c r="F14" i="3" s="1"/>
  <c r="C21" i="3"/>
  <c r="C25" i="3"/>
  <c r="C8" i="3"/>
  <c r="C11" i="3"/>
  <c r="C6" i="3"/>
  <c r="C14" i="3"/>
  <c r="D21" i="3"/>
  <c r="D25" i="3"/>
  <c r="E25" i="3"/>
  <c r="D14" i="3"/>
  <c r="C9" i="3"/>
  <c r="C17" i="3"/>
  <c r="D9" i="3"/>
  <c r="B12" i="3"/>
  <c r="F12" i="3" s="1"/>
  <c r="D17" i="3"/>
  <c r="P14" i="1" l="1"/>
  <c r="P15" i="1" s="1"/>
  <c r="P16" i="1" s="1"/>
  <c r="P17" i="1"/>
  <c r="P18" i="1" s="1"/>
  <c r="P19" i="1" s="1"/>
</calcChain>
</file>

<file path=xl/sharedStrings.xml><?xml version="1.0" encoding="utf-8"?>
<sst xmlns="http://schemas.openxmlformats.org/spreadsheetml/2006/main" count="1480" uniqueCount="751">
  <si>
    <t>USER: do not alter this sheet</t>
  </si>
  <si>
    <t>VRE generation types</t>
  </si>
  <si>
    <t>Wind</t>
  </si>
  <si>
    <t>Solar</t>
  </si>
  <si>
    <t>wind_onshore</t>
  </si>
  <si>
    <t>multi_c_Si</t>
  </si>
  <si>
    <t>wind_offshore</t>
  </si>
  <si>
    <t>thin_film</t>
  </si>
  <si>
    <t>mono_c_Si</t>
  </si>
  <si>
    <t>Technologies</t>
  </si>
  <si>
    <t>V_112-3.0</t>
  </si>
  <si>
    <t>TSM-PDG5-255</t>
  </si>
  <si>
    <t>FS395</t>
  </si>
  <si>
    <t>CS6V-225MM</t>
  </si>
  <si>
    <t>CHSM_6610P_250</t>
  </si>
  <si>
    <t>FS935</t>
  </si>
  <si>
    <t>CS6X_320P</t>
  </si>
  <si>
    <t>FS4122_2</t>
  </si>
  <si>
    <t>*create dropdown list with these options</t>
  </si>
  <si>
    <t>Generating Plant IDs</t>
  </si>
  <si>
    <t>Storage Plant IDs</t>
  </si>
  <si>
    <t>wind</t>
  </si>
  <si>
    <t>PHS</t>
  </si>
  <si>
    <t>wind offshore</t>
  </si>
  <si>
    <t>CAES</t>
  </si>
  <si>
    <t>solar PV multi c-Si</t>
  </si>
  <si>
    <t>FES</t>
  </si>
  <si>
    <t>solar PV mono c-Si</t>
  </si>
  <si>
    <t>Pb-acid</t>
  </si>
  <si>
    <t>solar PV thin film</t>
  </si>
  <si>
    <t>Ni-Cd</t>
  </si>
  <si>
    <t>solar thermal</t>
  </si>
  <si>
    <t>Na-S</t>
  </si>
  <si>
    <t>coal</t>
  </si>
  <si>
    <t>Li-ion</t>
  </si>
  <si>
    <t>NG combined</t>
  </si>
  <si>
    <t>vanadium</t>
  </si>
  <si>
    <t>NG simple</t>
  </si>
  <si>
    <t>hydrogen</t>
  </si>
  <si>
    <t>diesel</t>
  </si>
  <si>
    <t>flow battery</t>
  </si>
  <si>
    <t>fuel oil</t>
  </si>
  <si>
    <t>capacitor</t>
  </si>
  <si>
    <t>nuclear</t>
  </si>
  <si>
    <t>supercapacitor</t>
  </si>
  <si>
    <t>hydro</t>
  </si>
  <si>
    <t>SMES</t>
  </si>
  <si>
    <t>geothermal</t>
  </si>
  <si>
    <t>thermal</t>
  </si>
  <si>
    <t>biomass</t>
  </si>
  <si>
    <t>Trina TSM-PDG5-255</t>
  </si>
  <si>
    <t>multi c-Si</t>
  </si>
  <si>
    <t>TO DO: need to change 'vre plants' sheet so that the area [m^2] and # modules gets updated according to these values, given the module type</t>
  </si>
  <si>
    <t>nominal pwr at STC [Wp]</t>
  </si>
  <si>
    <t>area</t>
  </si>
  <si>
    <t>Canadian Solar CS6V-225MM</t>
  </si>
  <si>
    <t>mono c-Si</t>
  </si>
  <si>
    <t>First Solar FS395</t>
  </si>
  <si>
    <t>CdTe</t>
  </si>
  <si>
    <t>area [m^2]</t>
  </si>
  <si>
    <t>Each unique node must be listed at least once in the 'existing transmission' sheet under the 'from bus' category</t>
  </si>
  <si>
    <t xml:space="preserve">On the demand centres sheet, the dr_potential column needs to add to one. Also the dr_potential value for each city needs to be pro-rated by the percentage of load that that city consumes. The fomula in powersystems.py (Load constraints) for the second OPF is scheduled_load(time) - power(time) &gt;= dr_3 (UC dr) *dr_potential for each city. As such if the dr_3*dr_potenail is greater than the scheduled_load value for that city in that hour, then the OPF would have to have a negative power value, which is obviously impossible, and so it fails.  </t>
  </si>
  <si>
    <t>name</t>
  </si>
  <si>
    <t>from bus</t>
  </si>
  <si>
    <t>to bus</t>
  </si>
  <si>
    <t>voltage</t>
  </si>
  <si>
    <t>circuits</t>
  </si>
  <si>
    <t>length</t>
  </si>
  <si>
    <t>pmax</t>
  </si>
  <si>
    <t>reactance</t>
  </si>
  <si>
    <t>line cost</t>
  </si>
  <si>
    <t>L_1</t>
  </si>
  <si>
    <t>BRINTNELL876S</t>
  </si>
  <si>
    <t>WESLEYCREEK834S</t>
  </si>
  <si>
    <t>L_2</t>
  </si>
  <si>
    <t>WABASCA720S</t>
  </si>
  <si>
    <t>L_3</t>
  </si>
  <si>
    <t>MITSUE732S</t>
  </si>
  <si>
    <t>L_4</t>
  </si>
  <si>
    <t>LOUISECREEK809S</t>
  </si>
  <si>
    <t>LITTLESMOKY813S</t>
  </si>
  <si>
    <t>L_5</t>
  </si>
  <si>
    <t>L_6</t>
  </si>
  <si>
    <t>L_7</t>
  </si>
  <si>
    <t>L_8</t>
  </si>
  <si>
    <t>NORTHBARRHEAD69S</t>
  </si>
  <si>
    <t>L_9</t>
  </si>
  <si>
    <t>CHERHILL338S</t>
  </si>
  <si>
    <t>L_10</t>
  </si>
  <si>
    <t>WABAMUN19S</t>
  </si>
  <si>
    <t>L_11</t>
  </si>
  <si>
    <t>SUNDANCE310P</t>
  </si>
  <si>
    <t>L_12</t>
  </si>
  <si>
    <t>L_13</t>
  </si>
  <si>
    <t>BICKERDIKE39S</t>
  </si>
  <si>
    <t>L_14</t>
  </si>
  <si>
    <t>L_15</t>
  </si>
  <si>
    <t>SAGITAWAH77S</t>
  </si>
  <si>
    <t>L_16</t>
  </si>
  <si>
    <t>L_17</t>
  </si>
  <si>
    <t>L_18</t>
  </si>
  <si>
    <t>L_19</t>
  </si>
  <si>
    <t>SALTCREEK977S</t>
  </si>
  <si>
    <t>BLACKFLY934S</t>
  </si>
  <si>
    <t>L_20</t>
  </si>
  <si>
    <t>KINOSIS856S</t>
  </si>
  <si>
    <t>L_21</t>
  </si>
  <si>
    <t>KETTLERIVER2049S</t>
  </si>
  <si>
    <t>L_22</t>
  </si>
  <si>
    <t>LEISMER72S</t>
  </si>
  <si>
    <t>L_23</t>
  </si>
  <si>
    <t>HEARTLAKE898S</t>
  </si>
  <si>
    <t>L_24</t>
  </si>
  <si>
    <t>WHITEFISHLAKE825S</t>
  </si>
  <si>
    <t>L_26</t>
  </si>
  <si>
    <t>DEERLAND13S</t>
  </si>
  <si>
    <t>L_27</t>
  </si>
  <si>
    <t>L_28</t>
  </si>
  <si>
    <t>HEARTLAND12S</t>
  </si>
  <si>
    <t>L_29</t>
  </si>
  <si>
    <t>AMELIA108S</t>
  </si>
  <si>
    <t>L_30</t>
  </si>
  <si>
    <t>BANNERMAN681S</t>
  </si>
  <si>
    <t>L_31</t>
  </si>
  <si>
    <t>JOSEPHBURG410S</t>
  </si>
  <si>
    <t>L_32</t>
  </si>
  <si>
    <t>LAMOUREUX71S</t>
  </si>
  <si>
    <t>L_33</t>
  </si>
  <si>
    <t>L_34</t>
  </si>
  <si>
    <t>CASTLEDOWNS</t>
  </si>
  <si>
    <t>L_35</t>
  </si>
  <si>
    <t>CLOVERBAR987S</t>
  </si>
  <si>
    <t>L_36</t>
  </si>
  <si>
    <t>ROUNDHILL852S</t>
  </si>
  <si>
    <t>L_37</t>
  </si>
  <si>
    <t>MCMILLAN885S</t>
  </si>
  <si>
    <t>L_38</t>
  </si>
  <si>
    <t>DAWES2011S</t>
  </si>
  <si>
    <t>L_39</t>
  </si>
  <si>
    <t>THICKWOODHILLS951S</t>
  </si>
  <si>
    <t>L_40</t>
  </si>
  <si>
    <t>RUTHLAKE848S</t>
  </si>
  <si>
    <t>L_41</t>
  </si>
  <si>
    <t>DOVER888S</t>
  </si>
  <si>
    <t>L_42</t>
  </si>
  <si>
    <t>L_43</t>
  </si>
  <si>
    <t>L_44</t>
  </si>
  <si>
    <t>BIRCHWOODCREEK960S</t>
  </si>
  <si>
    <t>L_45</t>
  </si>
  <si>
    <t>LIVOCK939S</t>
  </si>
  <si>
    <t>L_46</t>
  </si>
  <si>
    <t>L_47</t>
  </si>
  <si>
    <t>L_48</t>
  </si>
  <si>
    <t>L_49</t>
  </si>
  <si>
    <t>SUNNYBROOK510S</t>
  </si>
  <si>
    <t>L_50</t>
  </si>
  <si>
    <t>HEATHFIELD2029S</t>
  </si>
  <si>
    <t>L_51</t>
  </si>
  <si>
    <t>L_52</t>
  </si>
  <si>
    <t>NEWELL2075S89S</t>
  </si>
  <si>
    <t>L_53</t>
  </si>
  <si>
    <t>ELLERSLIE89S</t>
  </si>
  <si>
    <t>L_54</t>
  </si>
  <si>
    <t>L_55</t>
  </si>
  <si>
    <t>NORTHCALDER37S</t>
  </si>
  <si>
    <t>L_56</t>
  </si>
  <si>
    <t>L_57</t>
  </si>
  <si>
    <t>EASTEDMONTON38S</t>
  </si>
  <si>
    <t>L_58</t>
  </si>
  <si>
    <t>L_59</t>
  </si>
  <si>
    <t>L_60</t>
  </si>
  <si>
    <t>PETROLIA</t>
  </si>
  <si>
    <t>L_61</t>
  </si>
  <si>
    <t>DOME</t>
  </si>
  <si>
    <t>L_62</t>
  </si>
  <si>
    <t>L_63</t>
  </si>
  <si>
    <t>JASPER805S</t>
  </si>
  <si>
    <t>L_64</t>
  </si>
  <si>
    <t>POUNDMAKER</t>
  </si>
  <si>
    <t>L_65</t>
  </si>
  <si>
    <t>L_66</t>
  </si>
  <si>
    <t>L_67</t>
  </si>
  <si>
    <t>KEEPHILLS320P</t>
  </si>
  <si>
    <t>BENALTO17S</t>
  </si>
  <si>
    <t>L_68</t>
  </si>
  <si>
    <t>L_69</t>
  </si>
  <si>
    <t>L_70</t>
  </si>
  <si>
    <t>L_71</t>
  </si>
  <si>
    <t>GENESEE330</t>
  </si>
  <si>
    <t>L_72</t>
  </si>
  <si>
    <t>L_73</t>
  </si>
  <si>
    <t>L_74</t>
  </si>
  <si>
    <t>L_75</t>
  </si>
  <si>
    <t>L_76</t>
  </si>
  <si>
    <t>CROSSINGS511S</t>
  </si>
  <si>
    <t>L_77</t>
  </si>
  <si>
    <t>SARCEE42S</t>
  </si>
  <si>
    <t>L_78</t>
  </si>
  <si>
    <t>L_79</t>
  </si>
  <si>
    <t>EASTCALGARY5S</t>
  </si>
  <si>
    <t>LANGDON102S</t>
  </si>
  <si>
    <t>L_80</t>
  </si>
  <si>
    <t>L_81</t>
  </si>
  <si>
    <t>L_82</t>
  </si>
  <si>
    <t>L_83</t>
  </si>
  <si>
    <t>BENNETT520S</t>
  </si>
  <si>
    <t>city</t>
  </si>
  <si>
    <t>frac pop</t>
  </si>
  <si>
    <t>bus</t>
  </si>
  <si>
    <t>dr_potential</t>
  </si>
  <si>
    <t>region</t>
  </si>
  <si>
    <t>Load_1</t>
  </si>
  <si>
    <t>Division No. 13</t>
  </si>
  <si>
    <t>Load_2</t>
  </si>
  <si>
    <t>Load_3</t>
  </si>
  <si>
    <t>Division No. 9</t>
  </si>
  <si>
    <t>Load_4</t>
  </si>
  <si>
    <t>Division No. 6</t>
  </si>
  <si>
    <t>Load_5</t>
  </si>
  <si>
    <t>Division No. 14</t>
  </si>
  <si>
    <t>Load_6</t>
  </si>
  <si>
    <t>Division No. 16</t>
  </si>
  <si>
    <t>Load_7</t>
  </si>
  <si>
    <t>Division No. 17</t>
  </si>
  <si>
    <t>Load_8</t>
  </si>
  <si>
    <t>Load_9</t>
  </si>
  <si>
    <t>Load_10</t>
  </si>
  <si>
    <t>Load_11</t>
  </si>
  <si>
    <t>Division No. 11</t>
  </si>
  <si>
    <t>Load_12</t>
  </si>
  <si>
    <t>Load_13</t>
  </si>
  <si>
    <t>Load_14</t>
  </si>
  <si>
    <t>Division No. 5</t>
  </si>
  <si>
    <t>Load_15</t>
  </si>
  <si>
    <t>Load_16</t>
  </si>
  <si>
    <t>Load_17</t>
  </si>
  <si>
    <t>Load_18</t>
  </si>
  <si>
    <t>Load_19</t>
  </si>
  <si>
    <t>Load_20</t>
  </si>
  <si>
    <t>Load_21</t>
  </si>
  <si>
    <t>Load_22</t>
  </si>
  <si>
    <t>Load_23</t>
  </si>
  <si>
    <t>Load_24</t>
  </si>
  <si>
    <t>Division No. 7</t>
  </si>
  <si>
    <t>Load_25</t>
  </si>
  <si>
    <t>Division No. 8</t>
  </si>
  <si>
    <t>Load_26</t>
  </si>
  <si>
    <t>Division No. 10</t>
  </si>
  <si>
    <t>Load_27</t>
  </si>
  <si>
    <t>Load_28</t>
  </si>
  <si>
    <t>Division No. 15</t>
  </si>
  <si>
    <t>Load_29</t>
  </si>
  <si>
    <t>Division No. 12</t>
  </si>
  <si>
    <t>Load_30</t>
  </si>
  <si>
    <t>Load_31</t>
  </si>
  <si>
    <t>Load_32</t>
  </si>
  <si>
    <t>Load_33</t>
  </si>
  <si>
    <t>Load_34</t>
  </si>
  <si>
    <t>Load_35</t>
  </si>
  <si>
    <t>Load_36</t>
  </si>
  <si>
    <t>Load_37</t>
  </si>
  <si>
    <t>Load_38</t>
  </si>
  <si>
    <t>Load_39</t>
  </si>
  <si>
    <t>Load_40</t>
  </si>
  <si>
    <t>Load_41</t>
  </si>
  <si>
    <t>Load_42</t>
  </si>
  <si>
    <t>Division No. 3</t>
  </si>
  <si>
    <t>Load_43</t>
  </si>
  <si>
    <t>Load_44</t>
  </si>
  <si>
    <t>Load_45</t>
  </si>
  <si>
    <t>Load_46</t>
  </si>
  <si>
    <t>Load_47</t>
  </si>
  <si>
    <t>Load_48</t>
  </si>
  <si>
    <t>Division No. 18</t>
  </si>
  <si>
    <t>Load_49</t>
  </si>
  <si>
    <t>Division No. 19</t>
  </si>
  <si>
    <t>Load_50</t>
  </si>
  <si>
    <t>Load_51</t>
  </si>
  <si>
    <t>Load_52</t>
  </si>
  <si>
    <t>Load_53</t>
  </si>
  <si>
    <t>Load_54</t>
  </si>
  <si>
    <t>Load_55</t>
  </si>
  <si>
    <t>Load_56</t>
  </si>
  <si>
    <t>Division No. 1</t>
  </si>
  <si>
    <t>Load_57</t>
  </si>
  <si>
    <t>Division No. 2</t>
  </si>
  <si>
    <t>Load_58</t>
  </si>
  <si>
    <t>Division No. 4</t>
  </si>
  <si>
    <t>Load_59</t>
  </si>
  <si>
    <t>Load_60</t>
  </si>
  <si>
    <t>Load_61</t>
  </si>
  <si>
    <t>Load_62</t>
  </si>
  <si>
    <t>Load_63</t>
  </si>
  <si>
    <t>Load_64</t>
  </si>
  <si>
    <t>Load_65</t>
  </si>
  <si>
    <t>Load_66</t>
  </si>
  <si>
    <t>Load_67</t>
  </si>
  <si>
    <t>Load_68</t>
  </si>
  <si>
    <t>Load_69</t>
  </si>
  <si>
    <t>Load_70</t>
  </si>
  <si>
    <t>Load_71</t>
  </si>
  <si>
    <t>Load_72</t>
  </si>
  <si>
    <t>Load_73</t>
  </si>
  <si>
    <t>Load_74</t>
  </si>
  <si>
    <t>Load_75</t>
  </si>
  <si>
    <t>Load_76</t>
  </si>
  <si>
    <t>Load_77</t>
  </si>
  <si>
    <t>Load_78</t>
  </si>
  <si>
    <t>Load_79</t>
  </si>
  <si>
    <t>Load_80</t>
  </si>
  <si>
    <t>Load_81</t>
  </si>
  <si>
    <t>Load_82</t>
  </si>
  <si>
    <t>index</t>
  </si>
  <si>
    <t>initial status</t>
  </si>
  <si>
    <t>hours in status</t>
  </si>
  <si>
    <t>initial values</t>
  </si>
  <si>
    <t>constraint:</t>
  </si>
  <si>
    <t>over-production</t>
  </si>
  <si>
    <t>under-production</t>
  </si>
  <si>
    <t>maximum hourly dr limit (% of schedule)</t>
  </si>
  <si>
    <t>maximum</t>
  </si>
  <si>
    <t>minimum</t>
  </si>
  <si>
    <t>absolute hourly dr limit (MW)</t>
  </si>
  <si>
    <t>maximum daily dr (MW)</t>
  </si>
  <si>
    <t>increasing_shed</t>
  </si>
  <si>
    <t>decreasing_shed</t>
  </si>
  <si>
    <t>ramping limiatations (MW)</t>
  </si>
  <si>
    <t>uptime</t>
  </si>
  <si>
    <t>downtime</t>
  </si>
  <si>
    <t>minimum up/down times (hours)</t>
  </si>
  <si>
    <t>plant ID</t>
  </si>
  <si>
    <t>kind</t>
  </si>
  <si>
    <t>[MW]</t>
  </si>
  <si>
    <t>storagecapacitymax</t>
  </si>
  <si>
    <t>pumprampmax</t>
  </si>
  <si>
    <t>unpluggedhours</t>
  </si>
  <si>
    <t>tripenergy</t>
  </si>
  <si>
    <t>initial power</t>
  </si>
  <si>
    <t>storage content</t>
  </si>
  <si>
    <t>cost curve equation</t>
  </si>
  <si>
    <t>pmin</t>
  </si>
  <si>
    <t>resevoir level</t>
  </si>
  <si>
    <t>cascade group name</t>
  </si>
  <si>
    <t>number</t>
  </si>
  <si>
    <t>min storage</t>
  </si>
  <si>
    <t>max storage</t>
  </si>
  <si>
    <t>min water discharge</t>
  </si>
  <si>
    <t>max water discharge</t>
  </si>
  <si>
    <t>h factor</t>
  </si>
  <si>
    <t>efficiency</t>
  </si>
  <si>
    <t>Biomass_1</t>
  </si>
  <si>
    <t>100P</t>
  </si>
  <si>
    <t>Biomass_2</t>
  </si>
  <si>
    <t>Biomass_3</t>
  </si>
  <si>
    <t>Biomass_4</t>
  </si>
  <si>
    <t>Biomass_5</t>
  </si>
  <si>
    <t>Biomass_6</t>
  </si>
  <si>
    <t>Biomass_7</t>
  </si>
  <si>
    <t>Biomass_8</t>
  </si>
  <si>
    <t>Biomass_9</t>
  </si>
  <si>
    <t>Biomass_12</t>
  </si>
  <si>
    <t>Biomass_14</t>
  </si>
  <si>
    <t>Biomass_15</t>
  </si>
  <si>
    <t>Biomass_16</t>
  </si>
  <si>
    <t>Coal_1</t>
  </si>
  <si>
    <t>104P</t>
  </si>
  <si>
    <t>Coal_3</t>
  </si>
  <si>
    <t>Coal_6</t>
  </si>
  <si>
    <t>Coal_7</t>
  </si>
  <si>
    <t>Coal_10</t>
  </si>
  <si>
    <t>Coal_12</t>
  </si>
  <si>
    <t>hydro_daily_1</t>
  </si>
  <si>
    <t>hydro_daily</t>
  </si>
  <si>
    <t>3.3P</t>
  </si>
  <si>
    <t>hydro_daily_2</t>
  </si>
  <si>
    <t>hydro_daily_3</t>
  </si>
  <si>
    <t>hydro_hourly_1</t>
  </si>
  <si>
    <t>hydro_hourly</t>
  </si>
  <si>
    <t>hydro_hourly_2</t>
  </si>
  <si>
    <t>hydro_hourly_3</t>
  </si>
  <si>
    <t>hydro_hourly_4</t>
  </si>
  <si>
    <t>hydro_hourly_5</t>
  </si>
  <si>
    <t>hydro_hourly_6</t>
  </si>
  <si>
    <t>hydro_hourly_7</t>
  </si>
  <si>
    <t>hydro_hourly_8</t>
  </si>
  <si>
    <t>hydro_hourly_9</t>
  </si>
  <si>
    <t>hydro_hourly_10</t>
  </si>
  <si>
    <t>NG_CT_1</t>
  </si>
  <si>
    <t>NG_CT</t>
  </si>
  <si>
    <t>136.5P</t>
  </si>
  <si>
    <t>NG_CT_3</t>
  </si>
  <si>
    <t>NG_CT_5</t>
  </si>
  <si>
    <t>NG_CT_6</t>
  </si>
  <si>
    <t>NG_CT_7</t>
  </si>
  <si>
    <t>NG_CT_8</t>
  </si>
  <si>
    <t>NG_CT_9</t>
  </si>
  <si>
    <t>NG_CT_11</t>
  </si>
  <si>
    <t>NG_CT_13</t>
  </si>
  <si>
    <t>NG_CT_18</t>
  </si>
  <si>
    <t>NG_CT_19</t>
  </si>
  <si>
    <t>NG_CT_20</t>
  </si>
  <si>
    <t>NG_CT_21</t>
  </si>
  <si>
    <t>NG_CT_22</t>
  </si>
  <si>
    <t>NG_CT_25</t>
  </si>
  <si>
    <t>NG_CT_27</t>
  </si>
  <si>
    <t>NG_CT_30</t>
  </si>
  <si>
    <t>NG_CT_31</t>
  </si>
  <si>
    <t>NG_CG_1</t>
  </si>
  <si>
    <t>NG_CG</t>
  </si>
  <si>
    <t>NG_CG_4</t>
  </si>
  <si>
    <t>NG_CG_5</t>
  </si>
  <si>
    <t>NG_CG_10</t>
  </si>
  <si>
    <t>NG_CG_11</t>
  </si>
  <si>
    <t>NG_CG_14</t>
  </si>
  <si>
    <t>NG_CG_17</t>
  </si>
  <si>
    <t>NG_CG_23</t>
  </si>
  <si>
    <t>NG_CG_26</t>
  </si>
  <si>
    <t>NG_CG_32</t>
  </si>
  <si>
    <t>NG_CG_38</t>
  </si>
  <si>
    <t>NG_CG_39</t>
  </si>
  <si>
    <t>NG_CG_40</t>
  </si>
  <si>
    <t>NG_CG_41</t>
  </si>
  <si>
    <t>NG_CG_44</t>
  </si>
  <si>
    <t>NG_CG_46</t>
  </si>
  <si>
    <t>NG_CG_47</t>
  </si>
  <si>
    <t>NG_CG_48</t>
  </si>
  <si>
    <t>NG_CG_50</t>
  </si>
  <si>
    <t>NG_CC_1</t>
  </si>
  <si>
    <t>NG_CC</t>
  </si>
  <si>
    <t>75.5P</t>
  </si>
  <si>
    <t>NG_CC_2</t>
  </si>
  <si>
    <t>NG_CC_5</t>
  </si>
  <si>
    <t>NG_CC_6</t>
  </si>
  <si>
    <t>NG_CC_8</t>
  </si>
  <si>
    <t>latitude</t>
  </si>
  <si>
    <t>longitude</t>
  </si>
  <si>
    <t>bus-old</t>
  </si>
  <si>
    <t>technology type</t>
  </si>
  <si>
    <t>unit capacity [kW]</t>
  </si>
  <si>
    <t>latitude_MERRA</t>
  </si>
  <si>
    <t>longitude_MERRA</t>
  </si>
  <si>
    <t>Solar_1</t>
  </si>
  <si>
    <t>Solar_PV</t>
  </si>
  <si>
    <t>Brooks 121S</t>
  </si>
  <si>
    <t>Wind_1</t>
  </si>
  <si>
    <t>Whitla 251S</t>
  </si>
  <si>
    <t>Wind_13</t>
  </si>
  <si>
    <t>Ghost Pine 114S</t>
  </si>
  <si>
    <t>V_112-3.12</t>
  </si>
  <si>
    <t>Wind_17</t>
  </si>
  <si>
    <t>Magrath 225S</t>
  </si>
  <si>
    <t>V_112-3.16</t>
  </si>
  <si>
    <t>Wind_26</t>
  </si>
  <si>
    <t>Pincher Creek 396S</t>
  </si>
  <si>
    <t>V_112-3.25</t>
  </si>
  <si>
    <t>Scenario analysis inputs</t>
  </si>
  <si>
    <t>Installed Capacity Metric</t>
  </si>
  <si>
    <t>Flexibility Factor Metric</t>
  </si>
  <si>
    <t>Investment Cost</t>
  </si>
  <si>
    <t xml:space="preserve">Transmission network capacity metric </t>
  </si>
  <si>
    <t xml:space="preserve"> VRE Resrouce Metric</t>
  </si>
  <si>
    <t>col.</t>
  </si>
  <si>
    <t>Installed capacity by type</t>
  </si>
  <si>
    <t>Cost</t>
  </si>
  <si>
    <t>bus number</t>
  </si>
  <si>
    <t>total installed capacity on bus</t>
  </si>
  <si>
    <t>fraction of load on bus</t>
  </si>
  <si>
    <t>total transmission capacity to/from bus</t>
  </si>
  <si>
    <t>transmission line cost</t>
  </si>
  <si>
    <t>Proposed wind capacity</t>
  </si>
  <si>
    <t>Proposed multi c-Si solar capacity</t>
  </si>
  <si>
    <t>Proposed mono c-Si solar capacity</t>
  </si>
  <si>
    <t>Proposed thin film solar capacity</t>
  </si>
  <si>
    <t>[fraction of installed capacity]</t>
  </si>
  <si>
    <t>[fraction on installed capacity]</t>
  </si>
  <si>
    <t>[$/kW installed]</t>
  </si>
  <si>
    <t>[$]</t>
  </si>
  <si>
    <t>[percentage]</t>
  </si>
  <si>
    <t>Imports</t>
  </si>
  <si>
    <t>solar PV</t>
  </si>
  <si>
    <t>batteries</t>
  </si>
  <si>
    <t>EV</t>
  </si>
  <si>
    <t>Col number</t>
  </si>
  <si>
    <t xml:space="preserve">Notes: </t>
  </si>
  <si>
    <t>Non-vre  technology assumptions</t>
  </si>
  <si>
    <t xml:space="preserve">Cost - related Technology Characteristics </t>
  </si>
  <si>
    <t>Operating Characteristics</t>
  </si>
  <si>
    <t>Ramping Characteristics</t>
  </si>
  <si>
    <t>start up cost</t>
  </si>
  <si>
    <t>shut down cost</t>
  </si>
  <si>
    <t>min up time</t>
  </si>
  <si>
    <t>min down time</t>
  </si>
  <si>
    <t>ramp rate max</t>
  </si>
  <si>
    <t>ramp rate min</t>
  </si>
  <si>
    <t>start up ramp limit</t>
  </si>
  <si>
    <t>shut down ramp limit</t>
  </si>
  <si>
    <t>[$ / MWcap]</t>
  </si>
  <si>
    <t>[hours]</t>
  </si>
  <si>
    <t>[MW/hr p MWcap]</t>
  </si>
  <si>
    <t>solar</t>
  </si>
  <si>
    <t>battery</t>
  </si>
  <si>
    <t>importexport</t>
  </si>
  <si>
    <t>combination of variable cost (P^1) and spinning cost (P^0)</t>
  </si>
  <si>
    <t>cost to commit the unit ($)</t>
  </si>
  <si>
    <t>minimum time for which a unit must be on (status =1) after it is committed [hours]</t>
  </si>
  <si>
    <t xml:space="preserve">minimum time for which a unit must be off (status = 0) after it is de-commited [hours] </t>
  </si>
  <si>
    <t>positive change in real power over 1 hour (MW/hr) for a spinning unit (with status = 1)</t>
  </si>
  <si>
    <t>negative change in real power over 1 hou (MW/hr) for a spinning unit (with status =1)</t>
  </si>
  <si>
    <t>maximum positive change in real power over the first hour after startup (MW/hr)</t>
  </si>
  <si>
    <t>maximum negative change in real power over the last hor before shutdown (MW/hr)</t>
  </si>
  <si>
    <t>MW At Marginal Cost</t>
  </si>
  <si>
    <t>technology assumptions</t>
  </si>
  <si>
    <t>references colour coded</t>
  </si>
  <si>
    <t>estimated start up times (notice to full load)</t>
  </si>
  <si>
    <t>cycling costs</t>
  </si>
  <si>
    <t>research these value and add it here</t>
  </si>
  <si>
    <t>non-vre sources</t>
  </si>
  <si>
    <t>levelized capital cost</t>
  </si>
  <si>
    <t>fixed o&amp;m cost</t>
  </si>
  <si>
    <t>variable o&amp;m cost (inc. fuel)</t>
  </si>
  <si>
    <t>transmission investment</t>
  </si>
  <si>
    <t>total system LCOE</t>
  </si>
  <si>
    <t>GHG emissions</t>
  </si>
  <si>
    <t>hot start</t>
  </si>
  <si>
    <t>warm start</t>
  </si>
  <si>
    <t>cold start</t>
  </si>
  <si>
    <t>spin ramp rate</t>
  </si>
  <si>
    <t>spinning cost</t>
  </si>
  <si>
    <t>minimum up time</t>
  </si>
  <si>
    <t>minimum down time</t>
  </si>
  <si>
    <t>negative change in power for spinning unit</t>
  </si>
  <si>
    <t>Operating reserve coeff.</t>
  </si>
  <si>
    <t>Max capacity value</t>
  </si>
  <si>
    <t>Total overnight cost in 2014</t>
  </si>
  <si>
    <t>2012 $/MWh</t>
  </si>
  <si>
    <t>kg CO2e/MWh</t>
  </si>
  <si>
    <t>hours</t>
  </si>
  <si>
    <t>%/min</t>
  </si>
  <si>
    <t>$/MW cap.</t>
  </si>
  <si>
    <t>[$ per hour committed]</t>
  </si>
  <si>
    <t>[Fraction of installed capacity]</t>
  </si>
  <si>
    <t>$/kW</t>
  </si>
  <si>
    <r>
      <t xml:space="preserve">"Levelized cost and levelized avoided cost of new generation resources in the Annual Energy Outlook 2014" </t>
    </r>
    <r>
      <rPr>
        <i/>
        <sz val="11"/>
        <color rgb="FF000000"/>
        <rFont val="Calibri"/>
        <family val="2"/>
        <scheme val="minor"/>
      </rPr>
      <t>US Energy Information Administration</t>
    </r>
  </si>
  <si>
    <t>Natural gas</t>
  </si>
  <si>
    <r>
      <t xml:space="preserve">"FAQ: What is the efficiency of different types of power plants?" </t>
    </r>
    <r>
      <rPr>
        <i/>
        <sz val="11"/>
        <color rgb="FF000000"/>
        <rFont val="Calibri"/>
        <family val="2"/>
        <scheme val="minor"/>
      </rPr>
      <t>US Energy Information Administration</t>
    </r>
  </si>
  <si>
    <r>
      <t xml:space="preserve">Table 8.1. Average Operating Heat Rate for Selected Energy Sources, 2003-2013. </t>
    </r>
    <r>
      <rPr>
        <i/>
        <sz val="11"/>
        <color rgb="FF000000"/>
        <rFont val="Calibri"/>
        <family val="2"/>
        <scheme val="minor"/>
      </rPr>
      <t>US Energy Information Administration</t>
    </r>
  </si>
  <si>
    <r>
      <t xml:space="preserve">Annual Energy Review 2010. Appendix F: Alternatives for Estimating Energy Consumption. Table F1. Conversion Efficiencies of noncombustible Renewable Energy Sources. </t>
    </r>
    <r>
      <rPr>
        <i/>
        <sz val="11"/>
        <color rgb="FF000000"/>
        <rFont val="Calibri"/>
        <family val="2"/>
        <scheme val="minor"/>
      </rPr>
      <t>US Energy Information Administration.</t>
    </r>
  </si>
  <si>
    <r>
      <t xml:space="preserve">"Biomass Energy Economics" </t>
    </r>
    <r>
      <rPr>
        <i/>
        <sz val="11"/>
        <color rgb="FF000000"/>
        <rFont val="Calibri"/>
        <family val="2"/>
        <scheme val="minor"/>
      </rPr>
      <t>Pacific Energy Systems, Inc.</t>
    </r>
  </si>
  <si>
    <t>Climate Change 2014: Mitigation of Climate Change. Contribution of Working Group III to the Fifth Assessment Report of the Intergovernmental Panel on Climate Change. Annex III: Technology-specific cost and performance parameters. Table A.III.2 Emissions of selected electricity supply technologies</t>
  </si>
  <si>
    <t>hydro_monthly</t>
  </si>
  <si>
    <t>"Technical Assessment of the Operation of Coal and Gas Fired Plants" Report to the DECC</t>
  </si>
  <si>
    <t>"the westinghouse pressurized water reactor nuclear power plant" Table 16-1 Estimated Startup Time in Hours Required by NSSS</t>
  </si>
  <si>
    <t>biogas</t>
  </si>
  <si>
    <t>http://www.powerauthority.on.ca/current-electricity-contracts/sc-cc</t>
  </si>
  <si>
    <t>variable renewable energy sources</t>
  </si>
  <si>
    <r>
      <t xml:space="preserve">"Cost and Performance Data for Power Generation Technologies" </t>
    </r>
    <r>
      <rPr>
        <i/>
        <sz val="11"/>
        <color rgb="FF000000"/>
        <rFont val="Calibri"/>
        <family val="2"/>
        <scheme val="minor"/>
      </rPr>
      <t>Prepared for the National Renewable Energy Laboratory</t>
    </r>
  </si>
  <si>
    <t>given by power curves</t>
  </si>
  <si>
    <r>
      <t xml:space="preserve">"Power Plant Cycling Costs" </t>
    </r>
    <r>
      <rPr>
        <i/>
        <sz val="11"/>
        <color rgb="FF000000"/>
        <rFont val="Calibri"/>
        <family val="2"/>
        <scheme val="minor"/>
      </rPr>
      <t>Prepared for the National Renewable Energy Laboratory</t>
    </r>
  </si>
  <si>
    <t>wind - offshore</t>
  </si>
  <si>
    <t>*(likely conservative) estimate based on the fact that simple cycle is less efficient</t>
  </si>
  <si>
    <t>Trends in GHG Emissions in the Alberta Electricity Market</t>
  </si>
  <si>
    <t>diesel costs: Lazard LCOE version 8.0</t>
  </si>
  <si>
    <t>balancing technologies</t>
  </si>
  <si>
    <t>assumed fuel oil costs are ~60% of diesel costs based on  http://asian-power.com/regulation/commentary/reducing-diesel-power-plant-hfo-bill</t>
  </si>
  <si>
    <t>"Comparison of Lifecycle Greenhouse Gas Emissions of Various Electricity Generation Sources" WNA</t>
  </si>
  <si>
    <t>storage</t>
  </si>
  <si>
    <t>capital cost power</t>
  </si>
  <si>
    <t>capital cost capacity</t>
  </si>
  <si>
    <t>annual operating costs</t>
  </si>
  <si>
    <t>applicable grid system size (MW)</t>
  </si>
  <si>
    <t>storage capacity (kWh)</t>
  </si>
  <si>
    <t>charge rate</t>
  </si>
  <si>
    <t>discharge rate</t>
  </si>
  <si>
    <t>(avg) $/kW</t>
  </si>
  <si>
    <t>(avg) $/kWh</t>
  </si>
  <si>
    <t>$/kWyr</t>
  </si>
  <si>
    <t>(max)</t>
  </si>
  <si>
    <t>min</t>
  </si>
  <si>
    <t>max</t>
  </si>
  <si>
    <t>kW</t>
  </si>
  <si>
    <t>"Electricity Storage and Renewables for Island Power" IRENA 2012</t>
  </si>
  <si>
    <t>Kousksou et al. "Energy storage: Applications and challenges" Solar Energy Materials &amp; Solar Cells 2014</t>
  </si>
  <si>
    <t>"Energy Technology Perspectives" IEA 2014</t>
  </si>
  <si>
    <t>Nils's Paper (Submitted to Energy Economics)</t>
  </si>
  <si>
    <t xml:space="preserve">EIA AEO2015 Table 8.2" Cost and Performance characteristics of new central station electricity generating technologies </t>
  </si>
  <si>
    <t>My storage paper with Nils (YSSP report)</t>
  </si>
  <si>
    <t>capacitors</t>
  </si>
  <si>
    <t>supercapacitors</t>
  </si>
  <si>
    <t>sector integration - transportation</t>
  </si>
  <si>
    <t>demand response - shifting</t>
  </si>
  <si>
    <t>shreddability (%)</t>
  </si>
  <si>
    <t>controllability (%)</t>
  </si>
  <si>
    <t>acceptability (%)</t>
  </si>
  <si>
    <t>S*P</t>
  </si>
  <si>
    <t>"Grid Integration of Aggregated Demand Response, Part 1: Load Availability Profiles and Constraints for the Western Interconnection." NREL</t>
  </si>
  <si>
    <t>assume x% flexibility - user input</t>
  </si>
  <si>
    <t>commercial</t>
  </si>
  <si>
    <t>assume different flexibilities during different hours</t>
  </si>
  <si>
    <t xml:space="preserve"> - cooling</t>
  </si>
  <si>
    <t>41-49</t>
  </si>
  <si>
    <t>15-25</t>
  </si>
  <si>
    <t>3-77</t>
  </si>
  <si>
    <t>0.45*0.20=0.09</t>
  </si>
  <si>
    <t>summer = 9%</t>
  </si>
  <si>
    <t>cooling peaks from 12-8pm</t>
  </si>
  <si>
    <t xml:space="preserve"> - heating</t>
  </si>
  <si>
    <t>46-51</t>
  </si>
  <si>
    <t>10-25</t>
  </si>
  <si>
    <t>0-77</t>
  </si>
  <si>
    <t>g</t>
  </si>
  <si>
    <t>winter = 8.6 %</t>
  </si>
  <si>
    <t>heating peaks from 7-9 am</t>
  </si>
  <si>
    <t>DR capacity = load * participation rate * sheddability</t>
  </si>
  <si>
    <t>residential</t>
  </si>
  <si>
    <t>participation = min (controllability, acceptability)</t>
  </si>
  <si>
    <t>20-70</t>
  </si>
  <si>
    <t>2-52</t>
  </si>
  <si>
    <t>13-39</t>
  </si>
  <si>
    <t>0.45*0.26=0.117</t>
  </si>
  <si>
    <t>summer = 8.35%</t>
  </si>
  <si>
    <t>20-30</t>
  </si>
  <si>
    <t>2-48</t>
  </si>
  <si>
    <t>0-1.5</t>
  </si>
  <si>
    <t>0.25*0.01=0.0025</t>
  </si>
  <si>
    <t>winter = 2.5%</t>
  </si>
  <si>
    <t>lighting and ventilation are not easily shiftable!</t>
  </si>
  <si>
    <t xml:space="preserve"> - water heating</t>
  </si>
  <si>
    <t>25</t>
  </si>
  <si>
    <t>13-26</t>
  </si>
  <si>
    <t>0.25*0.20=0.05</t>
  </si>
  <si>
    <t>peaks 7am, 6pm</t>
  </si>
  <si>
    <t>** would need demand data by sector</t>
  </si>
  <si>
    <t>industrial</t>
  </si>
  <si>
    <t>sheddability (%)</t>
  </si>
  <si>
    <t>participation (%)</t>
  </si>
  <si>
    <t>average</t>
  </si>
  <si>
    <t>ind/mun fairly flat over day</t>
  </si>
  <si>
    <t>divide year into heating/cooling, keep others year round</t>
  </si>
  <si>
    <t xml:space="preserve"> - agricultural water pumping</t>
  </si>
  <si>
    <t>for multiple end uses, take average of shed * participation?</t>
  </si>
  <si>
    <t xml:space="preserve"> - data centres</t>
  </si>
  <si>
    <t>for zeros, use a small non-zero number…</t>
  </si>
  <si>
    <t xml:space="preserve"> - regrigerated warehouses</t>
  </si>
  <si>
    <t>for ranges, take midpoint?</t>
  </si>
  <si>
    <t>municipal</t>
  </si>
  <si>
    <t xml:space="preserve"> - fresh water pumping</t>
  </si>
  <si>
    <t xml:space="preserve"> - waste water pumping</t>
  </si>
  <si>
    <t>transmission</t>
  </si>
  <si>
    <t>$ / kWh</t>
  </si>
  <si>
    <t xml:space="preserve"> - using existing lines</t>
  </si>
  <si>
    <t>AEO 2015 table 8</t>
  </si>
  <si>
    <t>assumptions: aluminum conductor steel reinforced (ACSR), Tubular (230 kV)/Lattice (345 kV - 600 kV), &gt;10 miles</t>
  </si>
  <si>
    <t xml:space="preserve"> - building new lines</t>
  </si>
  <si>
    <t>$ / km</t>
  </si>
  <si>
    <t>source gives in $/mile. 1 mile = 1.60934 km</t>
  </si>
  <si>
    <t xml:space="preserve"> -- 115 kV single circuit</t>
  </si>
  <si>
    <t>"Capital Costs for Transmission and Substations" prepared for the Western Electricity Coordinating Council</t>
  </si>
  <si>
    <t xml:space="preserve"> -- 115 kV double circuit</t>
  </si>
  <si>
    <t xml:space="preserve"> -- 230 kV single circuit</t>
  </si>
  <si>
    <t xml:space="preserve"> -- 230 kV double circuit</t>
  </si>
  <si>
    <t xml:space="preserve"> -- 500 kV single circuit</t>
  </si>
  <si>
    <t xml:space="preserve"> -- 500 kV double circuit</t>
  </si>
  <si>
    <t xml:space="preserve"> -- 500 kV HVDC Bi-pole</t>
  </si>
  <si>
    <t xml:space="preserve"> -- 600 kV HVDC Bi-pole</t>
  </si>
  <si>
    <t>backup generation</t>
  </si>
  <si>
    <t>depends on sources data</t>
  </si>
  <si>
    <t>curtailment</t>
  </si>
  <si>
    <t>output - last resort</t>
  </si>
  <si>
    <t xml:space="preserve"> -- electric vehicles</t>
  </si>
  <si>
    <t>base msrp</t>
  </si>
  <si>
    <t>est. tax credit (US)</t>
  </si>
  <si>
    <t>body type</t>
  </si>
  <si>
    <t>seats</t>
  </si>
  <si>
    <t>EPA range (miles conv to km)</t>
  </si>
  <si>
    <t>batt size [kWh]</t>
  </si>
  <si>
    <t>charge rate [kW]</t>
  </si>
  <si>
    <t>http://www.plugincars.com/cars</t>
  </si>
  <si>
    <t>bmw i3</t>
  </si>
  <si>
    <t>sedan</t>
  </si>
  <si>
    <t>chevrolet spark</t>
  </si>
  <si>
    <t>coupe</t>
  </si>
  <si>
    <t>fiat 500 e</t>
  </si>
  <si>
    <t>ford focus electric</t>
  </si>
  <si>
    <t>kia soul ev</t>
  </si>
  <si>
    <t>mercedes B-class electric</t>
  </si>
  <si>
    <t>mitsubishi i-MiEV</t>
  </si>
  <si>
    <t>nissan LEAF</t>
  </si>
  <si>
    <t>smart electric drive</t>
  </si>
  <si>
    <t>tesla model s</t>
  </si>
  <si>
    <t>volkswagen E-golf</t>
  </si>
  <si>
    <t>tesla model X</t>
  </si>
  <si>
    <t>SUV</t>
  </si>
  <si>
    <t xml:space="preserve"> -- comparison with gas vehicles</t>
  </si>
  <si>
    <t>no tax credits</t>
  </si>
  <si>
    <t>fuel consumption (city/hwy/combined) [L/100km]</t>
  </si>
  <si>
    <t>ghg emissions</t>
  </si>
  <si>
    <t>smart</t>
  </si>
  <si>
    <t>6.9/5.7/6.3</t>
  </si>
  <si>
    <t>130g/km</t>
  </si>
  <si>
    <t>http://www.thesmart.ca/ca/en/index.html</t>
  </si>
  <si>
    <t>fiat 500</t>
  </si>
  <si>
    <t>8.7/6.9</t>
  </si>
  <si>
    <t>http://www.fiatcanada.com/en/2015/500/</t>
  </si>
  <si>
    <t>ford focus</t>
  </si>
  <si>
    <t>9.3/6.7/8.1</t>
  </si>
  <si>
    <t>http://www.ford.ca/cars/focus/specifications/</t>
  </si>
  <si>
    <t>ford explorer</t>
  </si>
  <si>
    <t>suv</t>
  </si>
  <si>
    <t>13.7/9.7</t>
  </si>
  <si>
    <t>vehicle class</t>
  </si>
  <si>
    <t>required battery size [kWh]</t>
  </si>
  <si>
    <t>"Impacts Assessment of PHEV on Electric Utilities and Regional US Power Grids Part 1: Technical Analysis" PNNL</t>
  </si>
  <si>
    <t xml:space="preserve"> --plug-in hybrid</t>
  </si>
  <si>
    <t>assume average vehicle travels about 50 km/day - battery could easily displace fuel for such distance</t>
  </si>
  <si>
    <t>compact sedan</t>
  </si>
  <si>
    <t>mid-size sedan</t>
  </si>
  <si>
    <t>mid-size SUV</t>
  </si>
  <si>
    <t>full-size SUV</t>
  </si>
  <si>
    <t>costs</t>
  </si>
  <si>
    <t>HEV cost premium avg $4000</t>
  </si>
  <si>
    <t>Sovacool, B. and Hirsh, R. "Beyond batteries: an examination of the benefits and barriers to PHEVs and a V2G transition"</t>
  </si>
  <si>
    <t>annual revenue for V2G ancillary services (grid regulation) $4000/vehicle</t>
  </si>
  <si>
    <t>** cost savings dependent on electricity pricing - current avg 110 c/L for gas, 8.0 c/kWh off peak (CAD)</t>
  </si>
  <si>
    <t>ghg emission reductions</t>
  </si>
  <si>
    <t>assuming 50% penetration, reduces GHG emissions by 27%</t>
  </si>
  <si>
    <t>petroleum displacement</t>
  </si>
  <si>
    <t>up to 6.5 million boe/day</t>
  </si>
  <si>
    <t>benefits to grid</t>
  </si>
  <si>
    <t>cars can serve as distributed generators</t>
  </si>
  <si>
    <t>storage support - particularly for wind when generation at night corresponds with typical charge time</t>
  </si>
  <si>
    <t>est. tax credit</t>
  </si>
  <si>
    <t>epa range (elec only)</t>
  </si>
  <si>
    <t>battery size</t>
  </si>
  <si>
    <t>cadillac ELR</t>
  </si>
  <si>
    <t>chevy volt</t>
  </si>
  <si>
    <t>ford c-max energi</t>
  </si>
  <si>
    <t>wagon</t>
  </si>
  <si>
    <t>ford fusion energi</t>
  </si>
  <si>
    <t>honda accord PH</t>
  </si>
  <si>
    <t>porsche cayenne s e-hybrid</t>
  </si>
  <si>
    <t>porsche panamera s e-hybrid</t>
  </si>
  <si>
    <t>toyota prius PH</t>
  </si>
  <si>
    <t xml:space="preserve"> -- hybrid buses</t>
  </si>
  <si>
    <t>cost premium avg 200 000 (~500 000 compared to 300 000) - mostly offset by govt</t>
  </si>
  <si>
    <t>"Hybrid Buses Costs and Benefits" EESI</t>
  </si>
  <si>
    <t>30% ghg reduction</t>
  </si>
  <si>
    <t>37% improvement in fuel economy</t>
  </si>
  <si>
    <t>88% improvement in fuel efficiency</t>
  </si>
  <si>
    <t>O&amp;M (inc. fuel) costs 15% lower</t>
  </si>
  <si>
    <t>orion VII can carry average 51 passengers at peak times - vehicle displacement?</t>
  </si>
  <si>
    <t>https://www.ttc.ca/Routes/General_Information/General_Information.jsp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</si>
</sst>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%"/>
    <numFmt numFmtId="165" formatCode="#,##0%"/>
    <numFmt numFmtId="166" formatCode="#,##0.0"/>
    <numFmt numFmtId="167" formatCode="#,##0.0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5B9BD5"/>
      <name val="Calibri"/>
      <family val="2"/>
    </font>
    <font>
      <sz val="11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  <font>
      <sz val="11"/>
      <color rgb="FF7030A0"/>
      <name val="Calibri"/>
      <family val="2"/>
    </font>
    <font>
      <sz val="11"/>
      <color rgb="FF0D0D0D"/>
      <name val="Calibri"/>
      <family val="2"/>
    </font>
    <font>
      <sz val="11"/>
      <color rgb="FF0070C0"/>
      <name val="Calibri"/>
      <family val="2"/>
    </font>
    <font>
      <sz val="11"/>
      <color rgb="FF002060"/>
      <name val="Calibri"/>
      <family val="2"/>
    </font>
    <font>
      <b/>
      <sz val="14"/>
      <color rgb="FF5B9BD5"/>
      <name val="Calibri"/>
      <family val="2"/>
    </font>
    <font>
      <sz val="9"/>
      <color rgb="FFC55A11"/>
      <name val="Calibri"/>
      <family val="2"/>
    </font>
    <font>
      <sz val="9"/>
      <color rgb="FF9999FF"/>
      <name val="Calibri"/>
      <family val="2"/>
    </font>
    <font>
      <sz val="9"/>
      <color rgb="FF7030A0"/>
      <name val="Calibri"/>
      <family val="2"/>
    </font>
    <font>
      <sz val="9"/>
      <color rgb="FF0099CC"/>
      <name val="Calibri"/>
      <family val="2"/>
    </font>
    <font>
      <sz val="9"/>
      <color rgb="FF00B050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8"/>
      <color rgb="FFC55A11"/>
      <name val="Calibri"/>
      <family val="2"/>
    </font>
    <font>
      <sz val="8"/>
      <color rgb="FF9999FF"/>
      <name val="Calibri"/>
      <family val="2"/>
    </font>
    <font>
      <sz val="8"/>
      <color rgb="FF7030A0"/>
      <name val="Calibri"/>
      <family val="2"/>
    </font>
    <font>
      <sz val="8"/>
      <color rgb="FF0099CC"/>
      <name val="Calibri"/>
      <family val="2"/>
    </font>
    <font>
      <sz val="8"/>
      <color rgb="FF00B050"/>
      <name val="Calibri"/>
      <family val="2"/>
    </font>
    <font>
      <sz val="8"/>
      <color rgb="FF000000"/>
      <name val="Calibri"/>
      <family val="2"/>
    </font>
    <font>
      <sz val="11"/>
      <color rgb="FFC55A11"/>
      <name val="Calibri"/>
      <family val="2"/>
    </font>
    <font>
      <sz val="11"/>
      <color rgb="FF9999FF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i/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DEEBF7"/>
      </patternFill>
    </fill>
    <fill>
      <patternFill patternType="solid">
        <fgColor rgb="FFFBE5D6"/>
      </patternFill>
    </fill>
    <fill>
      <patternFill patternType="solid">
        <fgColor rgb="FFE2F0D9"/>
      </patternFill>
    </fill>
    <fill>
      <patternFill patternType="solid">
        <fgColor rgb="FF009999"/>
      </patternFill>
    </fill>
    <fill>
      <patternFill patternType="solid">
        <fgColor rgb="FF00FFFF"/>
      </patternFill>
    </fill>
    <fill>
      <patternFill patternType="solid">
        <fgColor rgb="FFFF0000"/>
      </patternFill>
    </fill>
    <fill>
      <patternFill patternType="solid">
        <fgColor rgb="FF0099CC"/>
      </patternFill>
    </fill>
    <fill>
      <patternFill patternType="solid">
        <fgColor rgb="FFC5E0B4"/>
      </patternFill>
    </fill>
    <fill>
      <patternFill patternType="solid">
        <fgColor rgb="FFB4C7E7"/>
      </patternFill>
    </fill>
    <fill>
      <patternFill patternType="solid">
        <fgColor rgb="FFBDD7EE"/>
      </patternFill>
    </fill>
    <fill>
      <patternFill patternType="solid">
        <fgColor rgb="FFADB9CA"/>
      </patternFill>
    </fill>
    <fill>
      <patternFill patternType="solid">
        <fgColor rgb="FF99FFCC"/>
      </patternFill>
    </fill>
    <fill>
      <patternFill patternType="solid">
        <fgColor rgb="FF66FFFF"/>
      </patternFill>
    </fill>
    <fill>
      <patternFill patternType="solid">
        <fgColor rgb="FF00B050"/>
      </patternFill>
    </fill>
    <fill>
      <patternFill patternType="solid">
        <fgColor rgb="FFFF9999"/>
      </patternFill>
    </fill>
    <fill>
      <patternFill patternType="solid">
        <fgColor rgb="FFF8CBAD"/>
      </patternFill>
    </fill>
    <fill>
      <patternFill patternType="solid">
        <fgColor rgb="FFCC99FF"/>
      </patternFill>
    </fill>
    <fill>
      <patternFill patternType="solid">
        <fgColor rgb="FFFFCCFF"/>
      </patternFill>
    </fill>
    <fill>
      <patternFill patternType="solid">
        <fgColor rgb="FFFFE699"/>
      </patternFill>
    </fill>
    <fill>
      <patternFill patternType="solid">
        <fgColor rgb="FFCC9900"/>
      </patternFill>
    </fill>
    <fill>
      <patternFill patternType="solid">
        <fgColor rgb="FF9999FF"/>
      </patternFill>
    </fill>
    <fill>
      <patternFill patternType="solid">
        <fgColor rgb="FFFFFF66"/>
      </patternFill>
    </fill>
    <fill>
      <patternFill patternType="solid">
        <fgColor rgb="FFE7E6E6"/>
      </patternFill>
    </fill>
    <fill>
      <patternFill patternType="solid">
        <fgColor rgb="FFFFFF9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4" fontId="0" fillId="0" borderId="0" xfId="0" applyNumberFormat="1" applyAlignment="1"/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0" fillId="0" borderId="0" xfId="0" applyNumberFormat="1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5" fillId="0" borderId="1" xfId="0" applyFont="1" applyBorder="1" applyAlignment="1">
      <alignment horizontal="left"/>
    </xf>
    <xf numFmtId="4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left"/>
    </xf>
    <xf numFmtId="164" fontId="0" fillId="0" borderId="0" xfId="0" applyNumberFormat="1" applyAlignment="1"/>
    <xf numFmtId="3" fontId="2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2" fillId="6" borderId="2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3" fontId="2" fillId="6" borderId="2" xfId="0" applyNumberFormat="1" applyFont="1" applyFill="1" applyBorder="1" applyAlignment="1">
      <alignment horizontal="center"/>
    </xf>
    <xf numFmtId="3" fontId="2" fillId="7" borderId="2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4" fontId="8" fillId="0" borderId="1" xfId="0" applyNumberFormat="1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3" fontId="0" fillId="0" borderId="0" xfId="0" applyNumberFormat="1" applyAlignment="1"/>
    <xf numFmtId="0" fontId="1" fillId="0" borderId="1" xfId="0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7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  <xf numFmtId="3" fontId="0" fillId="0" borderId="0" xfId="0" applyNumberFormat="1" applyAlignment="1"/>
    <xf numFmtId="0" fontId="2" fillId="0" borderId="3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 wrapText="1"/>
    </xf>
    <xf numFmtId="1" fontId="2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7" fontId="8" fillId="0" borderId="1" xfId="0" applyNumberFormat="1" applyFont="1" applyBorder="1" applyAlignment="1">
      <alignment horizontal="left"/>
    </xf>
    <xf numFmtId="167" fontId="8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0" fontId="12" fillId="0" borderId="1" xfId="0" applyFont="1" applyBorder="1" applyAlignment="1">
      <alignment horizontal="left"/>
    </xf>
    <xf numFmtId="3" fontId="12" fillId="0" borderId="1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3" fontId="2" fillId="0" borderId="5" xfId="0" applyNumberFormat="1" applyFont="1" applyBorder="1" applyAlignment="1">
      <alignment horizontal="left"/>
    </xf>
    <xf numFmtId="3" fontId="13" fillId="0" borderId="5" xfId="0" applyNumberFormat="1" applyFont="1" applyBorder="1" applyAlignment="1">
      <alignment horizontal="center" wrapText="1"/>
    </xf>
    <xf numFmtId="3" fontId="14" fillId="0" borderId="5" xfId="0" applyNumberFormat="1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left"/>
    </xf>
    <xf numFmtId="3" fontId="18" fillId="0" borderId="1" xfId="0" applyNumberFormat="1" applyFont="1" applyBorder="1" applyAlignment="1">
      <alignment horizontal="center" wrapText="1"/>
    </xf>
    <xf numFmtId="3" fontId="13" fillId="0" borderId="1" xfId="0" applyNumberFormat="1" applyFont="1" applyBorder="1" applyAlignment="1">
      <alignment horizontal="center" wrapText="1"/>
    </xf>
    <xf numFmtId="3" fontId="14" fillId="0" borderId="1" xfId="0" applyNumberFormat="1" applyFont="1" applyBorder="1" applyAlignment="1">
      <alignment horizontal="center" wrapText="1"/>
    </xf>
    <xf numFmtId="3" fontId="15" fillId="0" borderId="1" xfId="0" applyNumberFormat="1" applyFont="1" applyBorder="1" applyAlignment="1">
      <alignment horizontal="center" wrapText="1"/>
    </xf>
    <xf numFmtId="3" fontId="15" fillId="0" borderId="8" xfId="0" applyNumberFormat="1" applyFont="1" applyBorder="1" applyAlignment="1">
      <alignment horizontal="center" wrapText="1"/>
    </xf>
    <xf numFmtId="0" fontId="16" fillId="0" borderId="7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3" fontId="19" fillId="0" borderId="9" xfId="0" applyNumberFormat="1" applyFont="1" applyBorder="1" applyAlignment="1">
      <alignment horizontal="center" wrapText="1"/>
    </xf>
    <xf numFmtId="3" fontId="20" fillId="0" borderId="9" xfId="0" applyNumberFormat="1" applyFont="1" applyBorder="1" applyAlignment="1">
      <alignment horizontal="center" wrapText="1"/>
    </xf>
    <xf numFmtId="3" fontId="21" fillId="0" borderId="9" xfId="0" applyNumberFormat="1" applyFont="1" applyBorder="1" applyAlignment="1">
      <alignment horizontal="center" wrapText="1"/>
    </xf>
    <xf numFmtId="3" fontId="22" fillId="0" borderId="9" xfId="0" applyNumberFormat="1" applyFont="1" applyBorder="1" applyAlignment="1">
      <alignment horizontal="center" wrapText="1"/>
    </xf>
    <xf numFmtId="3" fontId="22" fillId="0" borderId="10" xfId="0" applyNumberFormat="1" applyFont="1" applyBorder="1" applyAlignment="1">
      <alignment horizontal="center" wrapText="1"/>
    </xf>
    <xf numFmtId="0" fontId="23" fillId="0" borderId="11" xfId="0" applyFont="1" applyBorder="1" applyAlignment="1">
      <alignment horizontal="center" wrapText="1"/>
    </xf>
    <xf numFmtId="0" fontId="23" fillId="0" borderId="9" xfId="0" applyFont="1" applyBorder="1" applyAlignment="1">
      <alignment horizontal="center" wrapText="1"/>
    </xf>
    <xf numFmtId="0" fontId="23" fillId="0" borderId="10" xfId="0" applyFont="1" applyBorder="1" applyAlignment="1">
      <alignment horizontal="center" wrapText="1"/>
    </xf>
    <xf numFmtId="0" fontId="24" fillId="0" borderId="9" xfId="0" applyFont="1" applyBorder="1" applyAlignment="1">
      <alignment horizontal="center" wrapText="1"/>
    </xf>
    <xf numFmtId="0" fontId="2" fillId="0" borderId="7" xfId="0" applyFont="1" applyBorder="1" applyAlignment="1">
      <alignment horizontal="left"/>
    </xf>
    <xf numFmtId="3" fontId="25" fillId="0" borderId="1" xfId="0" applyNumberFormat="1" applyFont="1" applyBorder="1" applyAlignment="1">
      <alignment horizontal="center"/>
    </xf>
    <xf numFmtId="4" fontId="25" fillId="0" borderId="1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3" fontId="25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3" fontId="26" fillId="0" borderId="1" xfId="0" applyNumberFormat="1" applyFont="1" applyBorder="1" applyAlignment="1">
      <alignment horizontal="left"/>
    </xf>
    <xf numFmtId="3" fontId="2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3" fontId="7" fillId="0" borderId="8" xfId="0" applyNumberFormat="1" applyFont="1" applyBorder="1" applyAlignment="1">
      <alignment horizontal="left"/>
    </xf>
    <xf numFmtId="3" fontId="26" fillId="0" borderId="9" xfId="0" applyNumberFormat="1" applyFont="1" applyBorder="1" applyAlignment="1">
      <alignment horizontal="left"/>
    </xf>
    <xf numFmtId="3" fontId="27" fillId="0" borderId="9" xfId="0" applyNumberFormat="1" applyFont="1" applyBorder="1" applyAlignment="1">
      <alignment horizontal="left"/>
    </xf>
    <xf numFmtId="3" fontId="7" fillId="0" borderId="9" xfId="0" applyNumberFormat="1" applyFont="1" applyBorder="1" applyAlignment="1">
      <alignment horizontal="left"/>
    </xf>
    <xf numFmtId="3" fontId="7" fillId="0" borderId="10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center"/>
    </xf>
    <xf numFmtId="4" fontId="2" fillId="0" borderId="8" xfId="0" applyNumberFormat="1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3" fontId="10" fillId="0" borderId="9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28" fillId="0" borderId="1" xfId="0" applyNumberFormat="1" applyFont="1" applyBorder="1" applyAlignment="1">
      <alignment horizontal="center"/>
    </xf>
    <xf numFmtId="165" fontId="0" fillId="0" borderId="0" xfId="0" applyNumberFormat="1" applyAlignment="1"/>
    <xf numFmtId="4" fontId="0" fillId="0" borderId="0" xfId="0" applyNumberFormat="1" applyAlignment="1">
      <alignment wrapText="1"/>
    </xf>
    <xf numFmtId="4" fontId="2" fillId="0" borderId="1" xfId="0" applyNumberFormat="1" applyFont="1" applyBorder="1" applyAlignment="1">
      <alignment horizontal="left" wrapText="1"/>
    </xf>
    <xf numFmtId="3" fontId="2" fillId="8" borderId="2" xfId="0" applyNumberFormat="1" applyFont="1" applyFill="1" applyBorder="1" applyAlignment="1">
      <alignment horizontal="left" wrapText="1"/>
    </xf>
    <xf numFmtId="0" fontId="2" fillId="8" borderId="2" xfId="0" applyFont="1" applyFill="1" applyBorder="1" applyAlignment="1">
      <alignment horizontal="left" wrapText="1"/>
    </xf>
    <xf numFmtId="3" fontId="2" fillId="9" borderId="2" xfId="0" applyNumberFormat="1" applyFont="1" applyFill="1" applyBorder="1" applyAlignment="1">
      <alignment horizontal="left" wrapText="1"/>
    </xf>
    <xf numFmtId="165" fontId="2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3" fontId="2" fillId="10" borderId="2" xfId="0" applyNumberFormat="1" applyFont="1" applyFill="1" applyBorder="1" applyAlignment="1">
      <alignment horizontal="center"/>
    </xf>
    <xf numFmtId="4" fontId="2" fillId="10" borderId="2" xfId="0" applyNumberFormat="1" applyFont="1" applyFill="1" applyBorder="1" applyAlignment="1">
      <alignment horizontal="center"/>
    </xf>
    <xf numFmtId="4" fontId="2" fillId="11" borderId="2" xfId="0" applyNumberFormat="1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center"/>
    </xf>
    <xf numFmtId="3" fontId="2" fillId="13" borderId="2" xfId="0" applyNumberFormat="1" applyFont="1" applyFill="1" applyBorder="1" applyAlignment="1">
      <alignment horizontal="center"/>
    </xf>
    <xf numFmtId="4" fontId="2" fillId="13" borderId="2" xfId="0" applyNumberFormat="1" applyFont="1" applyFill="1" applyBorder="1" applyAlignment="1">
      <alignment horizontal="center"/>
    </xf>
    <xf numFmtId="3" fontId="2" fillId="14" borderId="2" xfId="0" applyNumberFormat="1" applyFont="1" applyFill="1" applyBorder="1" applyAlignment="1">
      <alignment horizontal="center"/>
    </xf>
    <xf numFmtId="3" fontId="2" fillId="15" borderId="2" xfId="0" applyNumberFormat="1" applyFont="1" applyFill="1" applyBorder="1" applyAlignment="1">
      <alignment horizontal="center"/>
    </xf>
    <xf numFmtId="3" fontId="2" fillId="8" borderId="2" xfId="0" applyNumberFormat="1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4" fontId="2" fillId="9" borderId="2" xfId="0" applyNumberFormat="1" applyFont="1" applyFill="1" applyBorder="1" applyAlignment="1">
      <alignment horizontal="center"/>
    </xf>
    <xf numFmtId="3" fontId="4" fillId="16" borderId="2" xfId="0" applyNumberFormat="1" applyFont="1" applyFill="1" applyBorder="1" applyAlignment="1">
      <alignment horizontal="center"/>
    </xf>
    <xf numFmtId="0" fontId="2" fillId="10" borderId="2" xfId="0" applyFont="1" applyFill="1" applyBorder="1" applyAlignment="1">
      <alignment horizontal="left"/>
    </xf>
    <xf numFmtId="3" fontId="2" fillId="9" borderId="2" xfId="0" applyNumberFormat="1" applyFont="1" applyFill="1" applyBorder="1" applyAlignment="1">
      <alignment horizontal="center"/>
    </xf>
    <xf numFmtId="4" fontId="2" fillId="17" borderId="2" xfId="0" applyNumberFormat="1" applyFont="1" applyFill="1" applyBorder="1" applyAlignment="1">
      <alignment horizontal="center"/>
    </xf>
    <xf numFmtId="0" fontId="2" fillId="11" borderId="2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2" fillId="18" borderId="2" xfId="0" applyFont="1" applyFill="1" applyBorder="1" applyAlignment="1">
      <alignment horizontal="left"/>
    </xf>
    <xf numFmtId="3" fontId="2" fillId="19" borderId="2" xfId="0" applyNumberFormat="1" applyFont="1" applyFill="1" applyBorder="1" applyAlignment="1">
      <alignment horizontal="center"/>
    </xf>
    <xf numFmtId="3" fontId="2" fillId="20" borderId="2" xfId="0" applyNumberFormat="1" applyFont="1" applyFill="1" applyBorder="1" applyAlignment="1">
      <alignment horizontal="center"/>
    </xf>
    <xf numFmtId="0" fontId="2" fillId="21" borderId="2" xfId="0" applyFont="1" applyFill="1" applyBorder="1" applyAlignment="1">
      <alignment horizontal="left"/>
    </xf>
    <xf numFmtId="4" fontId="2" fillId="18" borderId="2" xfId="0" applyNumberFormat="1" applyFont="1" applyFill="1" applyBorder="1" applyAlignment="1">
      <alignment horizontal="center"/>
    </xf>
    <xf numFmtId="0" fontId="2" fillId="12" borderId="2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/>
    </xf>
    <xf numFmtId="4" fontId="2" fillId="21" borderId="2" xfId="0" applyNumberFormat="1" applyFont="1" applyFill="1" applyBorder="1" applyAlignment="1">
      <alignment horizontal="center"/>
    </xf>
    <xf numFmtId="0" fontId="2" fillId="20" borderId="2" xfId="0" applyFont="1" applyFill="1" applyBorder="1" applyAlignment="1">
      <alignment horizontal="left"/>
    </xf>
    <xf numFmtId="0" fontId="2" fillId="17" borderId="2" xfId="0" applyFont="1" applyFill="1" applyBorder="1" applyAlignment="1">
      <alignment horizontal="left"/>
    </xf>
    <xf numFmtId="0" fontId="2" fillId="14" borderId="2" xfId="0" applyFont="1" applyFill="1" applyBorder="1" applyAlignment="1">
      <alignment horizontal="left"/>
    </xf>
    <xf numFmtId="0" fontId="2" fillId="15" borderId="2" xfId="0" applyFont="1" applyFill="1" applyBorder="1" applyAlignment="1">
      <alignment horizontal="left"/>
    </xf>
    <xf numFmtId="4" fontId="2" fillId="10" borderId="2" xfId="0" applyNumberFormat="1" applyFont="1" applyFill="1" applyBorder="1" applyAlignment="1">
      <alignment horizontal="right"/>
    </xf>
    <xf numFmtId="3" fontId="2" fillId="10" borderId="2" xfId="0" applyNumberFormat="1" applyFont="1" applyFill="1" applyBorder="1" applyAlignment="1">
      <alignment horizontal="right"/>
    </xf>
    <xf numFmtId="165" fontId="2" fillId="9" borderId="2" xfId="0" applyNumberFormat="1" applyFont="1" applyFill="1" applyBorder="1" applyAlignment="1">
      <alignment horizontal="center"/>
    </xf>
    <xf numFmtId="166" fontId="2" fillId="10" borderId="2" xfId="0" applyNumberFormat="1" applyFont="1" applyFill="1" applyBorder="1" applyAlignment="1">
      <alignment horizontal="right"/>
    </xf>
    <xf numFmtId="0" fontId="2" fillId="19" borderId="2" xfId="0" applyFont="1" applyFill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" fillId="22" borderId="2" xfId="0" applyFont="1" applyFill="1" applyBorder="1" applyAlignment="1">
      <alignment horizontal="left"/>
    </xf>
    <xf numFmtId="3" fontId="2" fillId="22" borderId="2" xfId="0" applyNumberFormat="1" applyFont="1" applyFill="1" applyBorder="1" applyAlignment="1">
      <alignment horizontal="right"/>
    </xf>
    <xf numFmtId="4" fontId="2" fillId="22" borderId="2" xfId="0" applyNumberFormat="1" applyFont="1" applyFill="1" applyBorder="1" applyAlignment="1">
      <alignment horizontal="right"/>
    </xf>
    <xf numFmtId="3" fontId="2" fillId="23" borderId="2" xfId="0" applyNumberFormat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2" fillId="23" borderId="2" xfId="0" applyFont="1" applyFill="1" applyBorder="1" applyAlignment="1">
      <alignment horizontal="left"/>
    </xf>
    <xf numFmtId="0" fontId="2" fillId="24" borderId="2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16" borderId="2" xfId="0" applyFont="1" applyFill="1" applyBorder="1" applyAlignment="1">
      <alignment horizontal="left"/>
    </xf>
    <xf numFmtId="4" fontId="2" fillId="23" borderId="2" xfId="0" applyNumberFormat="1" applyFont="1" applyFill="1" applyBorder="1" applyAlignment="1">
      <alignment horizontal="right"/>
    </xf>
    <xf numFmtId="3" fontId="2" fillId="24" borderId="2" xfId="0" applyNumberFormat="1" applyFont="1" applyFill="1" applyBorder="1" applyAlignment="1">
      <alignment horizontal="right"/>
    </xf>
    <xf numFmtId="4" fontId="2" fillId="24" borderId="2" xfId="0" applyNumberFormat="1" applyFont="1" applyFill="1" applyBorder="1" applyAlignment="1">
      <alignment horizontal="right"/>
    </xf>
    <xf numFmtId="3" fontId="2" fillId="23" borderId="2" xfId="0" applyNumberFormat="1" applyFont="1" applyFill="1" applyBorder="1" applyAlignment="1">
      <alignment horizontal="left"/>
    </xf>
    <xf numFmtId="4" fontId="2" fillId="23" borderId="2" xfId="0" applyNumberFormat="1" applyFont="1" applyFill="1" applyBorder="1" applyAlignment="1">
      <alignment horizontal="left"/>
    </xf>
    <xf numFmtId="3" fontId="2" fillId="25" borderId="2" xfId="0" applyNumberFormat="1" applyFont="1" applyFill="1" applyBorder="1" applyAlignment="1">
      <alignment horizontal="left"/>
    </xf>
    <xf numFmtId="4" fontId="2" fillId="25" borderId="2" xfId="0" applyNumberFormat="1" applyFont="1" applyFill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4" fontId="2" fillId="25" borderId="12" xfId="0" applyNumberFormat="1" applyFont="1" applyFill="1" applyBorder="1" applyAlignment="1">
      <alignment horizontal="left"/>
    </xf>
    <xf numFmtId="4" fontId="2" fillId="25" borderId="13" xfId="0" applyNumberFormat="1" applyFont="1" applyFill="1" applyBorder="1" applyAlignment="1">
      <alignment horizontal="left"/>
    </xf>
    <xf numFmtId="3" fontId="2" fillId="25" borderId="2" xfId="0" applyNumberFormat="1" applyFont="1" applyFill="1" applyBorder="1" applyAlignment="1">
      <alignment horizontal="right"/>
    </xf>
    <xf numFmtId="49" fontId="2" fillId="0" borderId="1" xfId="0" applyNumberFormat="1" applyFont="1" applyBorder="1" applyAlignment="1">
      <alignment horizontal="left"/>
    </xf>
    <xf numFmtId="4" fontId="2" fillId="25" borderId="12" xfId="0" applyNumberFormat="1" applyFont="1" applyFill="1" applyBorder="1" applyAlignment="1">
      <alignment horizontal="center"/>
    </xf>
    <xf numFmtId="165" fontId="2" fillId="25" borderId="2" xfId="0" applyNumberFormat="1" applyFont="1" applyFill="1" applyBorder="1" applyAlignment="1">
      <alignment horizontal="right"/>
    </xf>
    <xf numFmtId="165" fontId="2" fillId="25" borderId="13" xfId="0" applyNumberFormat="1" applyFont="1" applyFill="1" applyBorder="1" applyAlignment="1">
      <alignment horizontal="center"/>
    </xf>
    <xf numFmtId="164" fontId="2" fillId="25" borderId="14" xfId="0" applyNumberFormat="1" applyFont="1" applyFill="1" applyBorder="1" applyAlignment="1">
      <alignment horizontal="right"/>
    </xf>
    <xf numFmtId="164" fontId="2" fillId="25" borderId="2" xfId="0" applyNumberFormat="1" applyFont="1" applyFill="1" applyBorder="1" applyAlignment="1">
      <alignment horizontal="right"/>
    </xf>
    <xf numFmtId="4" fontId="2" fillId="19" borderId="2" xfId="0" applyNumberFormat="1" applyFont="1" applyFill="1" applyBorder="1" applyAlignment="1">
      <alignment horizontal="right"/>
    </xf>
    <xf numFmtId="4" fontId="2" fillId="8" borderId="2" xfId="0" applyNumberFormat="1" applyFont="1" applyFill="1" applyBorder="1" applyAlignment="1">
      <alignment horizontal="right"/>
    </xf>
    <xf numFmtId="0" fontId="2" fillId="26" borderId="2" xfId="0" applyFont="1" applyFill="1" applyBorder="1" applyAlignment="1">
      <alignment horizontal="left"/>
    </xf>
    <xf numFmtId="4" fontId="2" fillId="26" borderId="2" xfId="0" applyNumberFormat="1" applyFont="1" applyFill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0" fontId="29" fillId="0" borderId="1" xfId="0" applyFont="1" applyBorder="1" applyAlignment="1">
      <alignment horizontal="left"/>
    </xf>
    <xf numFmtId="165" fontId="0" fillId="0" borderId="0" xfId="0" applyNumberFormat="1" applyAlignment="1"/>
    <xf numFmtId="3" fontId="26" fillId="0" borderId="5" xfId="0" applyNumberFormat="1" applyFont="1" applyBorder="1" applyAlignment="1">
      <alignment horizontal="center" wrapText="1"/>
    </xf>
    <xf numFmtId="3" fontId="27" fillId="0" borderId="5" xfId="0" applyNumberFormat="1" applyFont="1" applyBorder="1" applyAlignment="1">
      <alignment horizontal="center" wrapText="1"/>
    </xf>
    <xf numFmtId="3" fontId="7" fillId="0" borderId="5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3" fontId="15" fillId="0" borderId="5" xfId="0" applyNumberFormat="1" applyFont="1" applyBorder="1" applyAlignment="1">
      <alignment horizontal="center" wrapText="1"/>
    </xf>
    <xf numFmtId="3" fontId="15" fillId="0" borderId="6" xfId="0" applyNumberFormat="1" applyFont="1" applyBorder="1" applyAlignment="1">
      <alignment horizontal="center" wrapText="1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138"/>
  <sheetViews>
    <sheetView workbookViewId="0">
      <pane ySplit="4" topLeftCell="A5" activePane="bottomLeft" state="frozen"/>
      <selection pane="bottomLeft"/>
    </sheetView>
  </sheetViews>
  <sheetFormatPr defaultRowHeight="14.4" x14ac:dyDescent="0.3"/>
  <cols>
    <col min="1" max="1" width="33.109375" style="9" bestFit="1" customWidth="1"/>
    <col min="2" max="2" width="15" style="71" bestFit="1" customWidth="1"/>
    <col min="3" max="3" width="14.109375" style="71" bestFit="1" customWidth="1"/>
    <col min="4" max="4" width="13.88671875" style="71" bestFit="1" customWidth="1"/>
    <col min="5" max="5" width="15.33203125" style="71" bestFit="1" customWidth="1"/>
    <col min="6" max="6" width="15.5546875" style="18" bestFit="1" customWidth="1"/>
    <col min="7" max="7" width="15.88671875" style="71" bestFit="1" customWidth="1"/>
    <col min="8" max="8" width="16.109375" style="18" bestFit="1" customWidth="1"/>
    <col min="9" max="9" width="14.44140625" style="18" bestFit="1" customWidth="1"/>
    <col min="10" max="10" width="15.44140625" style="18" bestFit="1" customWidth="1"/>
    <col min="11" max="16" width="14.44140625" style="71" bestFit="1" customWidth="1"/>
    <col min="17" max="17" width="9.109375" style="71" bestFit="1" customWidth="1"/>
    <col min="18" max="18" width="9.6640625" style="71" bestFit="1" customWidth="1"/>
    <col min="19" max="19" width="7.44140625" style="71" bestFit="1" customWidth="1"/>
    <col min="20" max="20" width="14.44140625" style="9" bestFit="1" customWidth="1"/>
    <col min="21" max="21" width="11.6640625" style="9" bestFit="1" customWidth="1"/>
    <col min="22" max="22" width="14.44140625" style="71" bestFit="1" customWidth="1"/>
    <col min="23" max="23" width="14.44140625" style="219" bestFit="1" customWidth="1"/>
    <col min="24" max="24" width="14.44140625" style="18" bestFit="1" customWidth="1"/>
    <col min="25" max="25" width="16.109375" style="9" bestFit="1" customWidth="1"/>
    <col min="26" max="26" width="13.5546875" style="9" bestFit="1" customWidth="1"/>
  </cols>
  <sheetData>
    <row r="1" spans="1:26" ht="18.75" customHeight="1" x14ac:dyDescent="0.3">
      <c r="A1" s="2" t="s">
        <v>511</v>
      </c>
      <c r="B1" s="143">
        <v>0</v>
      </c>
      <c r="C1" s="143">
        <v>1</v>
      </c>
      <c r="D1" s="143">
        <v>2</v>
      </c>
      <c r="E1" s="143">
        <v>3</v>
      </c>
      <c r="F1" s="143">
        <v>4</v>
      </c>
      <c r="G1" s="143">
        <v>5</v>
      </c>
      <c r="H1" s="143">
        <v>6</v>
      </c>
      <c r="I1" s="143">
        <v>7</v>
      </c>
      <c r="J1" s="143">
        <v>8</v>
      </c>
      <c r="K1" s="143">
        <v>9</v>
      </c>
      <c r="L1" s="143">
        <v>10</v>
      </c>
      <c r="M1" s="143">
        <v>11</v>
      </c>
      <c r="N1" s="143">
        <v>12</v>
      </c>
      <c r="O1" s="143">
        <v>13</v>
      </c>
      <c r="P1" s="63"/>
      <c r="Q1" s="63"/>
      <c r="R1" s="63"/>
      <c r="S1" s="63"/>
      <c r="T1" s="2"/>
      <c r="U1" s="2"/>
      <c r="V1" s="63"/>
      <c r="W1" s="144"/>
      <c r="X1" s="10"/>
      <c r="Y1" s="2" t="s">
        <v>512</v>
      </c>
      <c r="Z1" s="2"/>
    </row>
    <row r="2" spans="1:26" s="43" customFormat="1" ht="15" customHeight="1" x14ac:dyDescent="0.3">
      <c r="A2" s="67"/>
      <c r="B2" s="66"/>
      <c r="C2" s="66"/>
      <c r="D2" s="66"/>
      <c r="E2" s="66"/>
      <c r="F2" s="145"/>
      <c r="G2" s="66"/>
      <c r="H2" s="145"/>
      <c r="I2" s="146" t="s">
        <v>513</v>
      </c>
      <c r="J2" s="145"/>
      <c r="K2" s="66"/>
      <c r="L2" s="66"/>
      <c r="M2" s="126" t="s">
        <v>514</v>
      </c>
      <c r="N2" s="66"/>
      <c r="O2" s="66"/>
      <c r="P2" s="147" t="s">
        <v>515</v>
      </c>
      <c r="Q2" s="147"/>
      <c r="R2" s="147"/>
      <c r="S2" s="147"/>
      <c r="T2" s="148"/>
      <c r="U2" s="148"/>
      <c r="V2" s="149"/>
      <c r="W2" s="150"/>
      <c r="X2" s="146"/>
      <c r="Y2" s="67"/>
      <c r="Z2" s="67"/>
    </row>
    <row r="3" spans="1:26" s="43" customFormat="1" ht="18.75" customHeight="1" x14ac:dyDescent="0.3">
      <c r="A3" s="151" t="s">
        <v>516</v>
      </c>
      <c r="B3" s="126" t="s">
        <v>517</v>
      </c>
      <c r="C3" s="126" t="s">
        <v>518</v>
      </c>
      <c r="D3" s="126" t="s">
        <v>519</v>
      </c>
      <c r="E3" s="126" t="s">
        <v>520</v>
      </c>
      <c r="F3" s="146" t="s">
        <v>521</v>
      </c>
      <c r="G3" s="126" t="s">
        <v>349</v>
      </c>
      <c r="H3" s="146" t="s">
        <v>522</v>
      </c>
      <c r="I3" s="146" t="s">
        <v>523</v>
      </c>
      <c r="J3" s="146" t="s">
        <v>524</v>
      </c>
      <c r="K3" s="126" t="s">
        <v>525</v>
      </c>
      <c r="L3" s="126" t="s">
        <v>526</v>
      </c>
      <c r="M3" s="126" t="s">
        <v>523</v>
      </c>
      <c r="N3" s="126" t="s">
        <v>524</v>
      </c>
      <c r="O3" s="126" t="s">
        <v>525</v>
      </c>
      <c r="P3" s="147" t="s">
        <v>527</v>
      </c>
      <c r="Q3" s="147" t="s">
        <v>528</v>
      </c>
      <c r="R3" s="147" t="s">
        <v>529</v>
      </c>
      <c r="S3" s="147" t="s">
        <v>489</v>
      </c>
      <c r="T3" s="148" t="s">
        <v>530</v>
      </c>
      <c r="U3" s="148" t="s">
        <v>495</v>
      </c>
      <c r="V3" s="149" t="s">
        <v>531</v>
      </c>
      <c r="W3" s="150" t="s">
        <v>532</v>
      </c>
      <c r="X3" s="146" t="s">
        <v>533</v>
      </c>
      <c r="Y3" s="67"/>
      <c r="Z3" s="67"/>
    </row>
    <row r="4" spans="1:26" s="43" customFormat="1" ht="18.75" customHeight="1" x14ac:dyDescent="0.3">
      <c r="A4" s="67"/>
      <c r="B4" s="66" t="s">
        <v>534</v>
      </c>
      <c r="C4" s="66" t="s">
        <v>534</v>
      </c>
      <c r="D4" s="66" t="s">
        <v>534</v>
      </c>
      <c r="E4" s="66" t="s">
        <v>534</v>
      </c>
      <c r="F4" s="145" t="s">
        <v>534</v>
      </c>
      <c r="G4" s="66"/>
      <c r="H4" s="145" t="s">
        <v>535</v>
      </c>
      <c r="I4" s="145" t="s">
        <v>536</v>
      </c>
      <c r="J4" s="145"/>
      <c r="K4" s="66"/>
      <c r="L4" s="66" t="s">
        <v>537</v>
      </c>
      <c r="M4" s="66" t="s">
        <v>538</v>
      </c>
      <c r="N4" s="66"/>
      <c r="O4" s="66"/>
      <c r="P4" s="66" t="s">
        <v>539</v>
      </c>
      <c r="Q4" s="66" t="s">
        <v>497</v>
      </c>
      <c r="R4" s="66" t="s">
        <v>497</v>
      </c>
      <c r="S4" s="66"/>
      <c r="T4" s="67"/>
      <c r="U4" s="67"/>
      <c r="V4" s="149" t="s">
        <v>540</v>
      </c>
      <c r="W4" s="150" t="s">
        <v>540</v>
      </c>
      <c r="X4" s="146" t="s">
        <v>541</v>
      </c>
      <c r="Y4" s="67"/>
      <c r="Z4" s="67"/>
    </row>
    <row r="5" spans="1:26" ht="18.75" customHeight="1" x14ac:dyDescent="0.3">
      <c r="A5" s="2" t="s">
        <v>33</v>
      </c>
      <c r="B5" s="152">
        <v>60</v>
      </c>
      <c r="C5" s="153">
        <v>4.2</v>
      </c>
      <c r="D5" s="153">
        <v>30.3</v>
      </c>
      <c r="E5" s="153">
        <v>1.2</v>
      </c>
      <c r="F5" s="153">
        <v>95.6</v>
      </c>
      <c r="G5" s="154">
        <f>3412/10459</f>
        <v>0.32622621665551199</v>
      </c>
      <c r="H5" s="155">
        <v>820</v>
      </c>
      <c r="I5" s="156">
        <v>3</v>
      </c>
      <c r="J5" s="157">
        <v>6.5</v>
      </c>
      <c r="K5" s="156">
        <v>10</v>
      </c>
      <c r="L5" s="158">
        <v>2</v>
      </c>
      <c r="M5" s="159">
        <v>59</v>
      </c>
      <c r="N5" s="159">
        <v>65</v>
      </c>
      <c r="O5" s="159">
        <v>105</v>
      </c>
      <c r="P5" s="160">
        <v>10000</v>
      </c>
      <c r="Q5" s="160">
        <v>3</v>
      </c>
      <c r="R5" s="160">
        <v>3</v>
      </c>
      <c r="S5" s="160">
        <v>0</v>
      </c>
      <c r="T5" s="161"/>
      <c r="U5" s="161"/>
      <c r="V5" s="162">
        <v>0.53</v>
      </c>
      <c r="W5" s="36">
        <v>1</v>
      </c>
      <c r="X5" s="163">
        <v>2917</v>
      </c>
      <c r="Y5" s="164" t="s">
        <v>542</v>
      </c>
      <c r="Z5" s="2"/>
    </row>
    <row r="6" spans="1:26" ht="18.75" customHeight="1" x14ac:dyDescent="0.3">
      <c r="A6" s="2" t="s">
        <v>543</v>
      </c>
      <c r="B6" s="36"/>
      <c r="C6" s="36"/>
      <c r="D6" s="36"/>
      <c r="E6" s="36"/>
      <c r="F6" s="137"/>
      <c r="G6" s="36"/>
      <c r="H6" s="137"/>
      <c r="I6" s="137"/>
      <c r="J6" s="137"/>
      <c r="K6" s="36"/>
      <c r="L6" s="36"/>
      <c r="M6" s="36"/>
      <c r="N6" s="36"/>
      <c r="O6" s="36"/>
      <c r="P6" s="160">
        <f>P5</f>
        <v>10000</v>
      </c>
      <c r="Q6" s="160">
        <v>4</v>
      </c>
      <c r="R6" s="160">
        <v>3</v>
      </c>
      <c r="S6" s="160">
        <v>0</v>
      </c>
      <c r="T6" s="161"/>
      <c r="U6" s="161"/>
      <c r="V6" s="165"/>
      <c r="W6" s="36">
        <v>1</v>
      </c>
      <c r="X6" s="163"/>
      <c r="Y6" s="2" t="s">
        <v>544</v>
      </c>
      <c r="Z6" s="2"/>
    </row>
    <row r="7" spans="1:26" ht="18.75" customHeight="1" x14ac:dyDescent="0.3">
      <c r="A7" s="2" t="s">
        <v>428</v>
      </c>
      <c r="B7" s="153">
        <v>14.3</v>
      </c>
      <c r="C7" s="153">
        <v>1.7</v>
      </c>
      <c r="D7" s="153">
        <v>49.1</v>
      </c>
      <c r="E7" s="153">
        <v>1.2</v>
      </c>
      <c r="F7" s="153">
        <v>66.3</v>
      </c>
      <c r="G7" s="166">
        <v>0.55000000000000004</v>
      </c>
      <c r="H7" s="155">
        <v>490</v>
      </c>
      <c r="I7" s="156">
        <v>1</v>
      </c>
      <c r="J7" s="156">
        <v>2</v>
      </c>
      <c r="K7" s="156">
        <v>4</v>
      </c>
      <c r="L7" s="158">
        <v>5</v>
      </c>
      <c r="M7" s="159">
        <v>35</v>
      </c>
      <c r="N7" s="159">
        <v>55</v>
      </c>
      <c r="O7" s="159">
        <v>79</v>
      </c>
      <c r="P7" s="160">
        <f>P6</f>
        <v>10000</v>
      </c>
      <c r="Q7" s="160">
        <v>4</v>
      </c>
      <c r="R7" s="160">
        <v>3</v>
      </c>
      <c r="S7" s="160">
        <v>0</v>
      </c>
      <c r="T7" s="161"/>
      <c r="U7" s="161"/>
      <c r="V7" s="162">
        <v>0.53</v>
      </c>
      <c r="W7" s="36">
        <v>1</v>
      </c>
      <c r="X7" s="163">
        <v>671</v>
      </c>
      <c r="Y7" s="2"/>
      <c r="Z7" s="167" t="s">
        <v>545</v>
      </c>
    </row>
    <row r="8" spans="1:26" ht="18.75" customHeight="1" x14ac:dyDescent="0.3">
      <c r="A8" s="2" t="s">
        <v>388</v>
      </c>
      <c r="B8" s="153">
        <v>40.200000000000003</v>
      </c>
      <c r="C8" s="153">
        <v>2.8</v>
      </c>
      <c r="D8" s="152">
        <v>82</v>
      </c>
      <c r="E8" s="153">
        <v>3.4</v>
      </c>
      <c r="F8" s="153">
        <v>128.4</v>
      </c>
      <c r="G8" s="166">
        <v>0.35</v>
      </c>
      <c r="H8" s="168">
        <v>530</v>
      </c>
      <c r="I8" s="157">
        <v>0.5</v>
      </c>
      <c r="J8" s="157">
        <v>0.5</v>
      </c>
      <c r="K8" s="157">
        <v>0.5</v>
      </c>
      <c r="L8" s="158">
        <v>8</v>
      </c>
      <c r="M8" s="159">
        <v>32</v>
      </c>
      <c r="N8" s="159">
        <v>126</v>
      </c>
      <c r="O8" s="159">
        <v>103</v>
      </c>
      <c r="P8" s="160">
        <f>P7</f>
        <v>10000</v>
      </c>
      <c r="Q8" s="160">
        <v>4</v>
      </c>
      <c r="R8" s="160">
        <v>3</v>
      </c>
      <c r="S8" s="160">
        <v>0</v>
      </c>
      <c r="T8" s="161"/>
      <c r="U8" s="161"/>
      <c r="V8" s="165">
        <v>1</v>
      </c>
      <c r="W8" s="36">
        <v>1</v>
      </c>
      <c r="X8" s="163">
        <v>968</v>
      </c>
      <c r="Y8" s="2"/>
      <c r="Z8" s="169" t="s">
        <v>546</v>
      </c>
    </row>
    <row r="9" spans="1:26" ht="18.75" customHeight="1" x14ac:dyDescent="0.3">
      <c r="A9" s="2" t="s">
        <v>408</v>
      </c>
      <c r="B9" s="153">
        <v>40.200000000000003</v>
      </c>
      <c r="C9" s="153">
        <v>2.8</v>
      </c>
      <c r="D9" s="152">
        <v>82</v>
      </c>
      <c r="E9" s="153">
        <v>3.4</v>
      </c>
      <c r="F9" s="153">
        <v>128.4</v>
      </c>
      <c r="G9" s="166">
        <v>0.35</v>
      </c>
      <c r="H9" s="168">
        <v>530</v>
      </c>
      <c r="I9" s="157">
        <v>0.5</v>
      </c>
      <c r="J9" s="157">
        <v>0.5</v>
      </c>
      <c r="K9" s="157">
        <v>0.5</v>
      </c>
      <c r="L9" s="158">
        <v>8</v>
      </c>
      <c r="M9" s="159">
        <v>32</v>
      </c>
      <c r="N9" s="159">
        <v>126</v>
      </c>
      <c r="O9" s="159">
        <v>103</v>
      </c>
      <c r="P9" s="160">
        <f>P8</f>
        <v>10000</v>
      </c>
      <c r="Q9" s="160">
        <v>4</v>
      </c>
      <c r="R9" s="160">
        <v>3</v>
      </c>
      <c r="S9" s="160">
        <v>0</v>
      </c>
      <c r="T9" s="161"/>
      <c r="U9" s="161"/>
      <c r="V9" s="165">
        <v>1</v>
      </c>
      <c r="W9" s="36">
        <v>1</v>
      </c>
      <c r="X9" s="163">
        <v>968</v>
      </c>
      <c r="Y9" s="2"/>
      <c r="Z9" s="169"/>
    </row>
    <row r="10" spans="1:26" ht="18.75" customHeight="1" x14ac:dyDescent="0.3">
      <c r="A10" s="2" t="s">
        <v>39</v>
      </c>
      <c r="B10" s="36">
        <v>8</v>
      </c>
      <c r="C10" s="36">
        <v>2</v>
      </c>
      <c r="D10" s="36">
        <v>288</v>
      </c>
      <c r="E10" s="36"/>
      <c r="F10" s="137"/>
      <c r="G10" s="154">
        <f>3412/10713</f>
        <v>0.31849155231961168</v>
      </c>
      <c r="H10" s="170">
        <v>733</v>
      </c>
      <c r="I10" s="137"/>
      <c r="J10" s="137"/>
      <c r="K10" s="36"/>
      <c r="L10" s="36"/>
      <c r="M10" s="36"/>
      <c r="N10" s="36"/>
      <c r="O10" s="36">
        <v>10000000</v>
      </c>
      <c r="P10" s="160">
        <f>P8</f>
        <v>10000</v>
      </c>
      <c r="Q10" s="160"/>
      <c r="R10" s="160"/>
      <c r="S10" s="160">
        <v>0</v>
      </c>
      <c r="T10" s="161"/>
      <c r="U10" s="161"/>
      <c r="V10" s="162">
        <v>0.86</v>
      </c>
      <c r="W10" s="36">
        <v>1</v>
      </c>
      <c r="X10" s="163"/>
      <c r="Y10" s="2"/>
      <c r="Z10" s="2"/>
    </row>
    <row r="11" spans="1:26" ht="18.75" customHeight="1" x14ac:dyDescent="0.3">
      <c r="A11" s="2" t="s">
        <v>41</v>
      </c>
      <c r="B11" s="36">
        <v>8</v>
      </c>
      <c r="C11" s="36">
        <v>2</v>
      </c>
      <c r="D11" s="137">
        <f>0.6*D10</f>
        <v>172.79999999999998</v>
      </c>
      <c r="E11" s="36"/>
      <c r="F11" s="137"/>
      <c r="G11" s="154">
        <f>3412/10713</f>
        <v>0.31849155231961168</v>
      </c>
      <c r="H11" s="170">
        <v>733</v>
      </c>
      <c r="I11" s="137"/>
      <c r="J11" s="137"/>
      <c r="K11" s="36"/>
      <c r="L11" s="36"/>
      <c r="M11" s="36"/>
      <c r="N11" s="36"/>
      <c r="O11" s="36">
        <v>10000000</v>
      </c>
      <c r="P11" s="160">
        <f t="shared" ref="P11:P16" si="0">P10</f>
        <v>10000</v>
      </c>
      <c r="Q11" s="160"/>
      <c r="R11" s="160"/>
      <c r="S11" s="160">
        <v>0</v>
      </c>
      <c r="T11" s="161"/>
      <c r="U11" s="161"/>
      <c r="V11" s="162">
        <v>0.86</v>
      </c>
      <c r="W11" s="36">
        <v>1</v>
      </c>
      <c r="X11" s="163"/>
      <c r="Y11" s="2"/>
      <c r="Z11" s="2"/>
    </row>
    <row r="12" spans="1:26" ht="18.75" customHeight="1" x14ac:dyDescent="0.3">
      <c r="A12" s="2" t="s">
        <v>43</v>
      </c>
      <c r="B12" s="153">
        <v>71.400000000000006</v>
      </c>
      <c r="C12" s="153">
        <v>11.8</v>
      </c>
      <c r="D12" s="153">
        <v>11.8</v>
      </c>
      <c r="E12" s="153">
        <v>1.1000000000000001</v>
      </c>
      <c r="F12" s="153">
        <v>96.1</v>
      </c>
      <c r="G12" s="154">
        <f>3412/10449</f>
        <v>0.32653842472963918</v>
      </c>
      <c r="H12" s="155">
        <v>12</v>
      </c>
      <c r="I12" s="171">
        <v>1</v>
      </c>
      <c r="J12" s="137"/>
      <c r="K12" s="171">
        <v>13</v>
      </c>
      <c r="L12" s="158">
        <v>5</v>
      </c>
      <c r="M12" s="36"/>
      <c r="N12" s="36"/>
      <c r="O12" s="36">
        <v>500</v>
      </c>
      <c r="P12" s="160">
        <f t="shared" si="0"/>
        <v>10000</v>
      </c>
      <c r="Q12" s="160">
        <v>10</v>
      </c>
      <c r="R12" s="160">
        <v>3</v>
      </c>
      <c r="S12" s="160">
        <v>0</v>
      </c>
      <c r="T12" s="161"/>
      <c r="U12" s="161"/>
      <c r="V12" s="162">
        <v>0.2</v>
      </c>
      <c r="W12" s="36">
        <v>1</v>
      </c>
      <c r="X12" s="163">
        <v>5366</v>
      </c>
      <c r="Y12" s="172" t="s">
        <v>547</v>
      </c>
      <c r="Z12" s="2"/>
    </row>
    <row r="13" spans="1:26" ht="18.75" customHeight="1" x14ac:dyDescent="0.3">
      <c r="A13" s="2" t="s">
        <v>45</v>
      </c>
      <c r="B13" s="152">
        <v>72</v>
      </c>
      <c r="C13" s="153">
        <v>4.0999999999999996</v>
      </c>
      <c r="D13" s="153">
        <v>6.4</v>
      </c>
      <c r="E13" s="152">
        <v>2</v>
      </c>
      <c r="F13" s="153">
        <v>84.5</v>
      </c>
      <c r="G13" s="173">
        <v>0.9</v>
      </c>
      <c r="H13" s="155">
        <v>24</v>
      </c>
      <c r="I13" s="137"/>
      <c r="J13" s="10"/>
      <c r="K13" s="63"/>
      <c r="L13" s="63"/>
      <c r="M13" s="63"/>
      <c r="N13" s="63"/>
      <c r="O13" s="63"/>
      <c r="P13" s="160">
        <f t="shared" si="0"/>
        <v>10000</v>
      </c>
      <c r="Q13" s="63"/>
      <c r="R13" s="63"/>
      <c r="S13" s="63"/>
      <c r="T13" s="2"/>
      <c r="U13" s="2"/>
      <c r="V13" s="162">
        <v>0.66</v>
      </c>
      <c r="W13" s="36">
        <v>1</v>
      </c>
      <c r="X13" s="163">
        <v>2651</v>
      </c>
      <c r="Y13" s="174" t="s">
        <v>548</v>
      </c>
      <c r="Z13" s="2"/>
    </row>
    <row r="14" spans="1:26" ht="18.75" customHeight="1" x14ac:dyDescent="0.3">
      <c r="A14" s="2" t="s">
        <v>377</v>
      </c>
      <c r="B14" s="152">
        <v>72</v>
      </c>
      <c r="C14" s="153">
        <v>4.0999999999999996</v>
      </c>
      <c r="D14" s="153">
        <v>6.4</v>
      </c>
      <c r="E14" s="152">
        <v>2</v>
      </c>
      <c r="F14" s="153">
        <v>84.5</v>
      </c>
      <c r="G14" s="173">
        <v>0.9</v>
      </c>
      <c r="H14" s="155">
        <v>24</v>
      </c>
      <c r="I14" s="137"/>
      <c r="J14" s="10"/>
      <c r="K14" s="63"/>
      <c r="L14" s="63"/>
      <c r="M14" s="63"/>
      <c r="N14" s="63"/>
      <c r="O14" s="63"/>
      <c r="P14" s="160">
        <f t="shared" si="0"/>
        <v>10000</v>
      </c>
      <c r="Q14" s="63"/>
      <c r="R14" s="63"/>
      <c r="S14" s="63"/>
      <c r="T14" s="2"/>
      <c r="U14" s="2"/>
      <c r="V14" s="162">
        <v>0.66</v>
      </c>
      <c r="W14" s="36">
        <v>1</v>
      </c>
      <c r="X14" s="163">
        <v>2651</v>
      </c>
      <c r="Y14" s="174"/>
      <c r="Z14" s="2"/>
    </row>
    <row r="15" spans="1:26" ht="18.75" customHeight="1" x14ac:dyDescent="0.3">
      <c r="A15" s="2" t="s">
        <v>372</v>
      </c>
      <c r="B15" s="152">
        <v>72</v>
      </c>
      <c r="C15" s="153">
        <v>4.0999999999999996</v>
      </c>
      <c r="D15" s="153">
        <v>6.4</v>
      </c>
      <c r="E15" s="152">
        <v>2</v>
      </c>
      <c r="F15" s="153">
        <v>84.5</v>
      </c>
      <c r="G15" s="173">
        <v>0.9</v>
      </c>
      <c r="H15" s="155">
        <v>24</v>
      </c>
      <c r="I15" s="137"/>
      <c r="J15" s="10"/>
      <c r="K15" s="63"/>
      <c r="L15" s="63"/>
      <c r="M15" s="63"/>
      <c r="N15" s="63"/>
      <c r="O15" s="63"/>
      <c r="P15" s="160">
        <f t="shared" si="0"/>
        <v>10000</v>
      </c>
      <c r="Q15" s="63"/>
      <c r="R15" s="63"/>
      <c r="S15" s="63"/>
      <c r="T15" s="2"/>
      <c r="U15" s="2"/>
      <c r="V15" s="162">
        <v>0.66</v>
      </c>
      <c r="W15" s="36">
        <v>1</v>
      </c>
      <c r="X15" s="163">
        <v>2651</v>
      </c>
      <c r="Y15" s="174"/>
      <c r="Z15" s="2"/>
    </row>
    <row r="16" spans="1:26" ht="18.75" customHeight="1" x14ac:dyDescent="0.3">
      <c r="A16" s="2" t="s">
        <v>549</v>
      </c>
      <c r="B16" s="152">
        <v>72</v>
      </c>
      <c r="C16" s="153">
        <v>4.0999999999999996</v>
      </c>
      <c r="D16" s="153">
        <v>6.4</v>
      </c>
      <c r="E16" s="152">
        <v>2</v>
      </c>
      <c r="F16" s="153">
        <v>84.5</v>
      </c>
      <c r="G16" s="173">
        <v>0.9</v>
      </c>
      <c r="H16" s="155">
        <v>24</v>
      </c>
      <c r="I16" s="137"/>
      <c r="J16" s="10"/>
      <c r="K16" s="63"/>
      <c r="L16" s="63"/>
      <c r="M16" s="63"/>
      <c r="N16" s="63"/>
      <c r="O16" s="63"/>
      <c r="P16" s="160">
        <f t="shared" si="0"/>
        <v>10000</v>
      </c>
      <c r="Q16" s="63"/>
      <c r="R16" s="63"/>
      <c r="S16" s="63"/>
      <c r="T16" s="2"/>
      <c r="U16" s="2"/>
      <c r="V16" s="162">
        <v>0.66</v>
      </c>
      <c r="W16" s="36">
        <v>1</v>
      </c>
      <c r="X16" s="163">
        <v>2651</v>
      </c>
      <c r="Y16" s="174"/>
      <c r="Z16" s="2"/>
    </row>
    <row r="17" spans="1:26" ht="18.75" customHeight="1" x14ac:dyDescent="0.3">
      <c r="A17" s="2" t="s">
        <v>47</v>
      </c>
      <c r="B17" s="153">
        <v>34.200000000000003</v>
      </c>
      <c r="C17" s="153">
        <v>12.2</v>
      </c>
      <c r="D17" s="152">
        <v>0</v>
      </c>
      <c r="E17" s="153">
        <v>1.4</v>
      </c>
      <c r="F17" s="153">
        <v>47.9</v>
      </c>
      <c r="G17" s="173">
        <v>0.16</v>
      </c>
      <c r="H17" s="155">
        <v>38</v>
      </c>
      <c r="I17" s="137"/>
      <c r="J17" s="10"/>
      <c r="K17" s="63"/>
      <c r="L17" s="63"/>
      <c r="M17" s="63"/>
      <c r="N17" s="63"/>
      <c r="O17" s="63"/>
      <c r="P17" s="160">
        <f>P13</f>
        <v>10000</v>
      </c>
      <c r="Q17" s="63"/>
      <c r="R17" s="63"/>
      <c r="S17" s="63"/>
      <c r="T17" s="2"/>
      <c r="U17" s="2"/>
      <c r="V17" s="162">
        <v>0.32</v>
      </c>
      <c r="W17" s="36">
        <v>1</v>
      </c>
      <c r="X17" s="163">
        <v>2448</v>
      </c>
      <c r="Y17" s="175" t="s">
        <v>550</v>
      </c>
      <c r="Z17" s="2"/>
    </row>
    <row r="18" spans="1:26" ht="18.75" customHeight="1" x14ac:dyDescent="0.3">
      <c r="A18" s="2" t="s">
        <v>49</v>
      </c>
      <c r="B18" s="153">
        <v>47.4</v>
      </c>
      <c r="C18" s="153">
        <v>14.5</v>
      </c>
      <c r="D18" s="153">
        <v>39.5</v>
      </c>
      <c r="E18" s="153">
        <v>1.2</v>
      </c>
      <c r="F18" s="153">
        <v>102.6</v>
      </c>
      <c r="G18" s="176">
        <v>0.23</v>
      </c>
      <c r="H18" s="155">
        <v>230</v>
      </c>
      <c r="I18" s="137"/>
      <c r="J18" s="10"/>
      <c r="K18" s="63"/>
      <c r="L18" s="63"/>
      <c r="M18" s="63"/>
      <c r="N18" s="63"/>
      <c r="O18" s="63"/>
      <c r="P18" s="160">
        <f>P17</f>
        <v>10000</v>
      </c>
      <c r="Q18" s="63"/>
      <c r="R18" s="63"/>
      <c r="S18" s="63"/>
      <c r="T18" s="2"/>
      <c r="U18" s="2"/>
      <c r="V18" s="162">
        <v>0.53</v>
      </c>
      <c r="W18" s="36">
        <v>1</v>
      </c>
      <c r="X18" s="163">
        <v>3659</v>
      </c>
      <c r="Y18" s="177" t="s">
        <v>551</v>
      </c>
      <c r="Z18" s="2"/>
    </row>
    <row r="19" spans="1:26" ht="15" customHeight="1" x14ac:dyDescent="0.3">
      <c r="A19" s="2" t="s">
        <v>552</v>
      </c>
      <c r="B19" s="153">
        <v>47.4</v>
      </c>
      <c r="C19" s="153">
        <v>14.5</v>
      </c>
      <c r="D19" s="153">
        <v>39.5</v>
      </c>
      <c r="E19" s="153">
        <v>1.2</v>
      </c>
      <c r="F19" s="153">
        <v>102.6</v>
      </c>
      <c r="G19" s="176">
        <v>0.23</v>
      </c>
      <c r="H19" s="155">
        <v>230</v>
      </c>
      <c r="I19" s="137"/>
      <c r="J19" s="10"/>
      <c r="K19" s="63"/>
      <c r="L19" s="63"/>
      <c r="M19" s="63"/>
      <c r="N19" s="63"/>
      <c r="O19" s="63"/>
      <c r="P19" s="160">
        <f>P18</f>
        <v>10000</v>
      </c>
      <c r="Q19" s="63"/>
      <c r="R19" s="63"/>
      <c r="S19" s="63"/>
      <c r="T19" s="2"/>
      <c r="U19" s="2"/>
      <c r="V19" s="162">
        <v>0.53</v>
      </c>
      <c r="W19" s="36">
        <v>1</v>
      </c>
      <c r="X19" s="163">
        <v>3659</v>
      </c>
      <c r="Y19" s="178" t="s">
        <v>553</v>
      </c>
      <c r="Z19" s="2"/>
    </row>
    <row r="20" spans="1:26" ht="18.75" customHeight="1" x14ac:dyDescent="0.3">
      <c r="A20" s="27" t="s">
        <v>554</v>
      </c>
      <c r="B20" s="63" t="s">
        <v>517</v>
      </c>
      <c r="C20" s="63" t="s">
        <v>518</v>
      </c>
      <c r="D20" s="63" t="s">
        <v>519</v>
      </c>
      <c r="E20" s="63" t="s">
        <v>520</v>
      </c>
      <c r="F20" s="10" t="s">
        <v>521</v>
      </c>
      <c r="G20" s="63" t="s">
        <v>349</v>
      </c>
      <c r="H20" s="10"/>
      <c r="I20" s="10"/>
      <c r="J20" s="10"/>
      <c r="K20" s="63"/>
      <c r="L20" s="63"/>
      <c r="M20" s="63"/>
      <c r="N20" s="63"/>
      <c r="O20" s="63"/>
      <c r="P20" s="63"/>
      <c r="Q20" s="63"/>
      <c r="R20" s="63"/>
      <c r="S20" s="63"/>
      <c r="T20" s="2"/>
      <c r="U20" s="2"/>
      <c r="V20" s="63"/>
      <c r="W20" s="144"/>
      <c r="X20" s="163"/>
      <c r="Y20" s="179" t="s">
        <v>555</v>
      </c>
      <c r="Z20" s="2"/>
    </row>
    <row r="21" spans="1:26" ht="18.75" customHeight="1" x14ac:dyDescent="0.3">
      <c r="A21" s="2"/>
      <c r="B21" s="63" t="s">
        <v>534</v>
      </c>
      <c r="C21" s="63" t="s">
        <v>534</v>
      </c>
      <c r="D21" s="63" t="s">
        <v>534</v>
      </c>
      <c r="E21" s="63" t="s">
        <v>534</v>
      </c>
      <c r="F21" s="10" t="s">
        <v>534</v>
      </c>
      <c r="G21" s="63" t="s">
        <v>556</v>
      </c>
      <c r="H21" s="10"/>
      <c r="I21" s="10"/>
      <c r="J21" s="10"/>
      <c r="K21" s="63"/>
      <c r="L21" s="63"/>
      <c r="M21" s="63"/>
      <c r="N21" s="63"/>
      <c r="O21" s="63"/>
      <c r="P21" s="63"/>
      <c r="Q21" s="63"/>
      <c r="R21" s="63"/>
      <c r="S21" s="63"/>
      <c r="T21" s="2"/>
      <c r="U21" s="2"/>
      <c r="V21" s="63"/>
      <c r="W21" s="144"/>
      <c r="X21" s="163"/>
      <c r="Y21" s="180" t="s">
        <v>557</v>
      </c>
      <c r="Z21" s="2"/>
    </row>
    <row r="22" spans="1:26" ht="18.75" customHeight="1" x14ac:dyDescent="0.3">
      <c r="A22" s="2" t="s">
        <v>21</v>
      </c>
      <c r="B22" s="181">
        <v>64.099999999999994</v>
      </c>
      <c r="C22" s="182">
        <v>13</v>
      </c>
      <c r="D22" s="182">
        <v>0</v>
      </c>
      <c r="E22" s="181">
        <v>3.2</v>
      </c>
      <c r="F22" s="181">
        <v>80.3</v>
      </c>
      <c r="G22" s="63"/>
      <c r="H22" s="10"/>
      <c r="I22" s="10"/>
      <c r="J22" s="10"/>
      <c r="K22" s="63"/>
      <c r="L22" s="63" t="b">
        <f>ISBLANK(L6)</f>
        <v>1</v>
      </c>
      <c r="M22" s="63"/>
      <c r="N22" s="63"/>
      <c r="O22" s="63"/>
      <c r="P22" s="63"/>
      <c r="Q22" s="63"/>
      <c r="R22" s="63"/>
      <c r="S22" s="63"/>
      <c r="T22" s="2"/>
      <c r="U22" s="2"/>
      <c r="V22" s="36"/>
      <c r="W22" s="183">
        <v>0.2</v>
      </c>
      <c r="X22" s="163">
        <v>19.8</v>
      </c>
      <c r="Y22" s="2"/>
      <c r="Z22" s="2"/>
    </row>
    <row r="23" spans="1:26" ht="18.75" customHeight="1" x14ac:dyDescent="0.3">
      <c r="A23" s="2" t="s">
        <v>558</v>
      </c>
      <c r="B23" s="181">
        <v>175.4</v>
      </c>
      <c r="C23" s="181">
        <v>22.8</v>
      </c>
      <c r="D23" s="182">
        <v>0</v>
      </c>
      <c r="E23" s="181">
        <v>5.8</v>
      </c>
      <c r="F23" s="181">
        <v>204.1</v>
      </c>
      <c r="G23" s="63"/>
      <c r="H23" s="10"/>
      <c r="I23" s="10"/>
      <c r="J23" s="10"/>
      <c r="K23" s="63"/>
      <c r="L23" s="63"/>
      <c r="M23" s="63"/>
      <c r="N23" s="63"/>
      <c r="O23" s="63"/>
      <c r="P23" s="63"/>
      <c r="Q23" s="63"/>
      <c r="R23" s="63"/>
      <c r="S23" s="63"/>
      <c r="T23" s="2"/>
      <c r="U23" s="2"/>
      <c r="V23" s="36"/>
      <c r="W23" s="183"/>
      <c r="X23" s="163">
        <v>6154</v>
      </c>
      <c r="Y23" s="1" t="s">
        <v>559</v>
      </c>
      <c r="Z23" s="2"/>
    </row>
    <row r="24" spans="1:26" ht="18.75" customHeight="1" x14ac:dyDescent="0.3">
      <c r="A24" s="2" t="s">
        <v>479</v>
      </c>
      <c r="B24" s="181">
        <v>114.5</v>
      </c>
      <c r="C24" s="181">
        <v>11.4</v>
      </c>
      <c r="D24" s="182">
        <v>0</v>
      </c>
      <c r="E24" s="181">
        <v>4.0999999999999996</v>
      </c>
      <c r="F24" s="182">
        <v>130</v>
      </c>
      <c r="G24" s="63"/>
      <c r="H24" s="10"/>
      <c r="I24" s="10"/>
      <c r="J24" s="10"/>
      <c r="K24" s="63"/>
      <c r="L24" s="63"/>
      <c r="M24" s="63"/>
      <c r="N24" s="63"/>
      <c r="O24" s="63"/>
      <c r="P24" s="63"/>
      <c r="Q24" s="63"/>
      <c r="R24" s="63"/>
      <c r="S24" s="63"/>
      <c r="T24" s="2"/>
      <c r="U24" s="2"/>
      <c r="V24" s="36"/>
      <c r="W24" s="183">
        <v>0.6</v>
      </c>
      <c r="X24" s="163">
        <v>3279</v>
      </c>
      <c r="Y24" s="2" t="s">
        <v>560</v>
      </c>
      <c r="Z24" s="2"/>
    </row>
    <row r="25" spans="1:26" ht="18.75" customHeight="1" x14ac:dyDescent="0.3">
      <c r="A25" s="2" t="s">
        <v>31</v>
      </c>
      <c r="B25" s="182">
        <v>195</v>
      </c>
      <c r="C25" s="181">
        <v>42.1</v>
      </c>
      <c r="D25" s="182">
        <v>0</v>
      </c>
      <c r="E25" s="184">
        <v>6</v>
      </c>
      <c r="F25" s="181">
        <v>243.1</v>
      </c>
      <c r="G25" s="63"/>
      <c r="H25" s="10"/>
      <c r="I25" s="10"/>
      <c r="J25" s="10"/>
      <c r="K25" s="63"/>
      <c r="L25" s="63"/>
      <c r="M25" s="63"/>
      <c r="N25" s="63"/>
      <c r="O25" s="63"/>
      <c r="P25" s="63"/>
      <c r="Q25" s="63"/>
      <c r="R25" s="63"/>
      <c r="S25" s="63"/>
      <c r="T25" s="2"/>
      <c r="U25" s="2"/>
      <c r="V25" s="36"/>
      <c r="W25" s="183"/>
      <c r="X25" s="163">
        <v>4052</v>
      </c>
      <c r="Y25" s="2"/>
      <c r="Z25" s="2"/>
    </row>
    <row r="26" spans="1:26" ht="18.75" customHeight="1" x14ac:dyDescent="0.3">
      <c r="A26" s="2"/>
      <c r="B26" s="63"/>
      <c r="C26" s="63"/>
      <c r="D26" s="63"/>
      <c r="E26" s="63"/>
      <c r="F26" s="10"/>
      <c r="G26" s="63"/>
      <c r="H26" s="10"/>
      <c r="I26" s="10"/>
      <c r="J26" s="10"/>
      <c r="K26" s="63"/>
      <c r="L26" s="63"/>
      <c r="M26" s="63"/>
      <c r="N26" s="63"/>
      <c r="O26" s="63"/>
      <c r="P26" s="63"/>
      <c r="Q26" s="63"/>
      <c r="R26" s="63"/>
      <c r="S26" s="63"/>
      <c r="T26" s="2"/>
      <c r="U26" s="2"/>
      <c r="V26" s="36"/>
      <c r="W26" s="39"/>
      <c r="X26" s="36"/>
      <c r="Y26" s="2" t="s">
        <v>561</v>
      </c>
      <c r="Z26" s="2"/>
    </row>
    <row r="27" spans="1:26" ht="18.75" customHeight="1" x14ac:dyDescent="0.3">
      <c r="A27" s="27" t="s">
        <v>562</v>
      </c>
      <c r="B27" s="63"/>
      <c r="C27" s="63"/>
      <c r="D27" s="63"/>
      <c r="E27" s="63"/>
      <c r="F27" s="10"/>
      <c r="G27" s="63"/>
      <c r="H27" s="10"/>
      <c r="I27" s="10"/>
      <c r="J27" s="10"/>
      <c r="K27" s="63"/>
      <c r="L27" s="63"/>
      <c r="M27" s="63"/>
      <c r="N27" s="63"/>
      <c r="O27" s="63"/>
      <c r="P27" s="63"/>
      <c r="Q27" s="63"/>
      <c r="R27" s="63"/>
      <c r="S27" s="63"/>
      <c r="T27" s="2"/>
      <c r="U27" s="2"/>
      <c r="V27" s="36"/>
      <c r="W27" s="144"/>
      <c r="X27" s="10"/>
      <c r="Y27" s="2" t="s">
        <v>563</v>
      </c>
      <c r="Z27" s="2"/>
    </row>
    <row r="28" spans="1:26" ht="18.75" customHeight="1" x14ac:dyDescent="0.3">
      <c r="A28" s="2"/>
      <c r="B28" s="63"/>
      <c r="C28" s="63"/>
      <c r="D28" s="63"/>
      <c r="E28" s="63"/>
      <c r="F28" s="10"/>
      <c r="G28" s="63"/>
      <c r="H28" s="10"/>
      <c r="I28" s="10"/>
      <c r="J28" s="10"/>
      <c r="K28" s="63"/>
      <c r="L28" s="63"/>
      <c r="M28" s="63"/>
      <c r="N28" s="63"/>
      <c r="O28" s="63"/>
      <c r="P28" s="63"/>
      <c r="Q28" s="63"/>
      <c r="R28" s="63"/>
      <c r="S28" s="63"/>
      <c r="T28" s="2"/>
      <c r="U28" s="2"/>
      <c r="V28" s="36"/>
      <c r="W28" s="144"/>
      <c r="X28" s="10"/>
      <c r="Y28" s="185" t="s">
        <v>564</v>
      </c>
      <c r="Z28" s="2"/>
    </row>
    <row r="29" spans="1:26" ht="18.75" customHeight="1" x14ac:dyDescent="0.3">
      <c r="A29" s="186" t="s">
        <v>565</v>
      </c>
      <c r="B29" s="63" t="s">
        <v>566</v>
      </c>
      <c r="C29" s="63" t="s">
        <v>567</v>
      </c>
      <c r="D29" s="63" t="s">
        <v>568</v>
      </c>
      <c r="E29" s="63" t="s">
        <v>349</v>
      </c>
      <c r="F29" s="10" t="s">
        <v>569</v>
      </c>
      <c r="G29" s="63"/>
      <c r="H29" s="10" t="s">
        <v>570</v>
      </c>
      <c r="I29" s="10"/>
      <c r="J29" s="10" t="s">
        <v>571</v>
      </c>
      <c r="K29" s="63" t="s">
        <v>572</v>
      </c>
      <c r="L29" s="63"/>
      <c r="M29" s="63"/>
      <c r="N29" s="63"/>
      <c r="O29" s="63"/>
      <c r="P29" s="63"/>
      <c r="Q29" s="63"/>
      <c r="R29" s="63"/>
      <c r="S29" s="63"/>
      <c r="T29" s="2"/>
      <c r="U29" s="2"/>
      <c r="V29" s="36"/>
      <c r="W29" s="144"/>
      <c r="X29" s="10"/>
      <c r="Y29" s="2"/>
      <c r="Z29" s="2"/>
    </row>
    <row r="30" spans="1:26" ht="18.75" customHeight="1" x14ac:dyDescent="0.3">
      <c r="A30" s="2"/>
      <c r="B30" s="63" t="s">
        <v>573</v>
      </c>
      <c r="C30" s="63" t="s">
        <v>574</v>
      </c>
      <c r="D30" s="63" t="s">
        <v>575</v>
      </c>
      <c r="E30" s="63" t="s">
        <v>576</v>
      </c>
      <c r="F30" s="10" t="s">
        <v>577</v>
      </c>
      <c r="G30" s="63" t="s">
        <v>578</v>
      </c>
      <c r="H30" s="10" t="s">
        <v>577</v>
      </c>
      <c r="I30" s="10" t="s">
        <v>578</v>
      </c>
      <c r="J30" s="10" t="s">
        <v>579</v>
      </c>
      <c r="K30" s="63" t="s">
        <v>579</v>
      </c>
      <c r="L30" s="63"/>
      <c r="M30" s="63"/>
      <c r="N30" s="63"/>
      <c r="O30" s="63"/>
      <c r="P30" s="63"/>
      <c r="Q30" s="63"/>
      <c r="R30" s="63"/>
      <c r="S30" s="63"/>
      <c r="T30" s="2"/>
      <c r="U30" s="2"/>
      <c r="V30" s="36"/>
      <c r="W30" s="144"/>
      <c r="X30" s="22"/>
      <c r="Y30" s="187" t="s">
        <v>580</v>
      </c>
      <c r="Z30" s="2"/>
    </row>
    <row r="31" spans="1:26" ht="18.75" customHeight="1" x14ac:dyDescent="0.3">
      <c r="A31" s="2" t="s">
        <v>22</v>
      </c>
      <c r="B31" s="188">
        <f>AVERAGE(1000, 4000)</f>
        <v>2500</v>
      </c>
      <c r="C31" s="188">
        <f>AVERAGE(100, 250)</f>
        <v>175</v>
      </c>
      <c r="D31" s="188">
        <v>5</v>
      </c>
      <c r="E31" s="189">
        <v>0.85</v>
      </c>
      <c r="F31" s="188">
        <v>200</v>
      </c>
      <c r="G31" s="190">
        <v>5000</v>
      </c>
      <c r="H31" s="10"/>
      <c r="I31" s="10"/>
      <c r="J31" s="188">
        <f>AVERAGE(5000, 4000000)</f>
        <v>2002500</v>
      </c>
      <c r="K31" s="188">
        <f>AVERAGE(5000, 4000000)</f>
        <v>2002500</v>
      </c>
      <c r="L31" s="63"/>
      <c r="M31" s="63"/>
      <c r="N31" s="63"/>
      <c r="O31" s="63"/>
      <c r="P31" s="63"/>
      <c r="Q31" s="63"/>
      <c r="R31" s="63"/>
      <c r="S31" s="63"/>
      <c r="T31" s="2"/>
      <c r="U31" s="2"/>
      <c r="V31" s="165">
        <v>1</v>
      </c>
      <c r="W31" s="191">
        <v>0.5</v>
      </c>
      <c r="X31" s="189">
        <v>1000</v>
      </c>
      <c r="Y31" s="192" t="s">
        <v>581</v>
      </c>
      <c r="Z31" s="2"/>
    </row>
    <row r="32" spans="1:26" ht="18.75" customHeight="1" x14ac:dyDescent="0.3">
      <c r="A32" s="2" t="s">
        <v>24</v>
      </c>
      <c r="B32" s="188">
        <f>AVERAGE(800, 1000)</f>
        <v>900</v>
      </c>
      <c r="C32" s="188">
        <f>AVERAGE(50, 150)</f>
        <v>100</v>
      </c>
      <c r="D32" s="188">
        <v>5</v>
      </c>
      <c r="E32" s="189">
        <v>0.6</v>
      </c>
      <c r="F32" s="190">
        <v>3</v>
      </c>
      <c r="G32" s="190">
        <v>400</v>
      </c>
      <c r="H32" s="10"/>
      <c r="I32" s="10"/>
      <c r="J32" s="188">
        <f>AVERAGE(50000, 300000)</f>
        <v>175000</v>
      </c>
      <c r="K32" s="188">
        <f>AVERAGE(100000, 500000)</f>
        <v>300000</v>
      </c>
      <c r="L32" s="63"/>
      <c r="M32" s="63"/>
      <c r="N32" s="63"/>
      <c r="O32" s="63"/>
      <c r="P32" s="63"/>
      <c r="Q32" s="63"/>
      <c r="R32" s="63"/>
      <c r="S32" s="63"/>
      <c r="T32" s="2"/>
      <c r="U32" s="2"/>
      <c r="V32" s="165">
        <v>1</v>
      </c>
      <c r="W32" s="191">
        <v>0.5</v>
      </c>
      <c r="X32" s="189">
        <v>650</v>
      </c>
      <c r="Y32" s="193" t="s">
        <v>582</v>
      </c>
      <c r="Z32" s="2"/>
    </row>
    <row r="33" spans="1:26" ht="18.75" customHeight="1" x14ac:dyDescent="0.3">
      <c r="A33" s="2" t="s">
        <v>26</v>
      </c>
      <c r="B33" s="188">
        <f>AVERAGE(2000, 4000)</f>
        <v>3000</v>
      </c>
      <c r="C33" s="188">
        <f>AVERAGE(1500, 3000)</f>
        <v>2250</v>
      </c>
      <c r="D33" s="188">
        <v>15</v>
      </c>
      <c r="E33" s="189">
        <v>0.95</v>
      </c>
      <c r="F33" s="189">
        <v>0.1</v>
      </c>
      <c r="G33" s="188">
        <v>200</v>
      </c>
      <c r="H33" s="188">
        <v>1</v>
      </c>
      <c r="I33" s="188">
        <v>25</v>
      </c>
      <c r="J33" s="188">
        <f>AVERAGE(100, 300)</f>
        <v>200</v>
      </c>
      <c r="K33" s="188">
        <f>AVERAGE(100, 300)</f>
        <v>200</v>
      </c>
      <c r="L33" s="63"/>
      <c r="M33" s="63"/>
      <c r="N33" s="63"/>
      <c r="O33" s="63"/>
      <c r="P33" s="63"/>
      <c r="Q33" s="63"/>
      <c r="R33" s="63"/>
      <c r="S33" s="63"/>
      <c r="T33" s="2"/>
      <c r="U33" s="2"/>
      <c r="V33" s="36"/>
      <c r="W33" s="144"/>
      <c r="X33" s="189"/>
      <c r="Y33" s="194" t="s">
        <v>583</v>
      </c>
      <c r="Z33" s="2"/>
    </row>
    <row r="34" spans="1:26" ht="18.75" customHeight="1" x14ac:dyDescent="0.3">
      <c r="A34" s="2" t="s">
        <v>480</v>
      </c>
      <c r="B34" s="63"/>
      <c r="C34" s="63"/>
      <c r="D34" s="63"/>
      <c r="E34" s="22"/>
      <c r="F34" s="10"/>
      <c r="G34" s="63"/>
      <c r="H34" s="10"/>
      <c r="I34" s="10"/>
      <c r="J34" s="10"/>
      <c r="K34" s="63"/>
      <c r="L34" s="63"/>
      <c r="M34" s="63"/>
      <c r="N34" s="63"/>
      <c r="O34" s="63"/>
      <c r="P34" s="63"/>
      <c r="Q34" s="63"/>
      <c r="R34" s="63"/>
      <c r="S34" s="63"/>
      <c r="T34" s="2"/>
      <c r="U34" s="2"/>
      <c r="V34" s="165">
        <v>1</v>
      </c>
      <c r="W34" s="191">
        <v>0.5</v>
      </c>
      <c r="X34" s="189">
        <v>1500</v>
      </c>
      <c r="Y34" s="195" t="s">
        <v>584</v>
      </c>
      <c r="Z34" s="2"/>
    </row>
    <row r="35" spans="1:26" ht="18.75" customHeight="1" x14ac:dyDescent="0.3">
      <c r="A35" s="2" t="s">
        <v>28</v>
      </c>
      <c r="B35" s="188">
        <f>AVERAGE(300, 800)</f>
        <v>550</v>
      </c>
      <c r="C35" s="188">
        <f>AVERAGE(150, 500)</f>
        <v>325</v>
      </c>
      <c r="D35" s="188">
        <v>30</v>
      </c>
      <c r="E35" s="189">
        <v>0.9</v>
      </c>
      <c r="F35" s="188">
        <v>0</v>
      </c>
      <c r="G35" s="188">
        <v>10</v>
      </c>
      <c r="H35" s="189">
        <v>0.5</v>
      </c>
      <c r="I35" s="188">
        <v>10</v>
      </c>
      <c r="J35" s="189">
        <f>AVERAGE(0.1, 1.5)</f>
        <v>0.8</v>
      </c>
      <c r="K35" s="189">
        <f>AVERAGE(0.5, 2)</f>
        <v>1.25</v>
      </c>
      <c r="L35" s="63"/>
      <c r="M35" s="63"/>
      <c r="N35" s="63"/>
      <c r="O35" s="63"/>
      <c r="P35" s="63"/>
      <c r="Q35" s="63"/>
      <c r="R35" s="63"/>
      <c r="S35" s="63"/>
      <c r="T35" s="2"/>
      <c r="U35" s="2"/>
      <c r="V35" s="63"/>
      <c r="W35" s="144"/>
      <c r="X35" s="22"/>
      <c r="Y35" s="187" t="s">
        <v>585</v>
      </c>
      <c r="Z35" s="2"/>
    </row>
    <row r="36" spans="1:26" ht="18.75" customHeight="1" x14ac:dyDescent="0.3">
      <c r="A36" s="2" t="s">
        <v>30</v>
      </c>
      <c r="B36" s="190">
        <f>AVERAGE(500, 1500)</f>
        <v>1000</v>
      </c>
      <c r="C36" s="190">
        <f>AVERAGE(800, 1500)</f>
        <v>1150</v>
      </c>
      <c r="D36" s="63"/>
      <c r="E36" s="196">
        <v>0.65</v>
      </c>
      <c r="F36" s="190">
        <v>0</v>
      </c>
      <c r="G36" s="190">
        <v>40</v>
      </c>
      <c r="H36" s="10"/>
      <c r="I36" s="10"/>
      <c r="J36" s="10"/>
      <c r="K36" s="63"/>
      <c r="L36" s="63"/>
      <c r="M36" s="63"/>
      <c r="N36" s="63"/>
      <c r="O36" s="63"/>
      <c r="P36" s="63"/>
      <c r="Q36" s="63"/>
      <c r="R36" s="63"/>
      <c r="S36" s="63"/>
      <c r="T36" s="2"/>
      <c r="U36" s="2"/>
      <c r="V36" s="63"/>
      <c r="W36" s="144"/>
      <c r="X36" s="10"/>
      <c r="Y36" s="2"/>
      <c r="Z36" s="2"/>
    </row>
    <row r="37" spans="1:26" ht="18.75" customHeight="1" x14ac:dyDescent="0.3">
      <c r="A37" s="2" t="s">
        <v>32</v>
      </c>
      <c r="B37" s="188">
        <f>AVERAGE(1000, 2000)</f>
        <v>1500</v>
      </c>
      <c r="C37" s="189">
        <f>AVERAGE(125, 250)</f>
        <v>187.5</v>
      </c>
      <c r="D37" s="188">
        <v>15</v>
      </c>
      <c r="E37" s="189">
        <v>0.9</v>
      </c>
      <c r="F37" s="196">
        <v>0.05</v>
      </c>
      <c r="G37" s="190">
        <v>8</v>
      </c>
      <c r="H37" s="10"/>
      <c r="I37" s="10"/>
      <c r="J37" s="188">
        <v>50</v>
      </c>
      <c r="K37" s="188">
        <v>50</v>
      </c>
      <c r="L37" s="63"/>
      <c r="M37" s="63"/>
      <c r="N37" s="63"/>
      <c r="O37" s="63"/>
      <c r="P37" s="63"/>
      <c r="Q37" s="63"/>
      <c r="R37" s="63"/>
      <c r="S37" s="63"/>
      <c r="T37" s="2"/>
      <c r="U37" s="2"/>
      <c r="V37" s="63"/>
      <c r="W37" s="144"/>
      <c r="X37" s="10"/>
      <c r="Y37" s="2"/>
      <c r="Z37" s="2"/>
    </row>
    <row r="38" spans="1:26" ht="18.75" customHeight="1" x14ac:dyDescent="0.3">
      <c r="A38" s="2" t="s">
        <v>34</v>
      </c>
      <c r="B38" s="188">
        <f>AVERAGE(400, 1000)</f>
        <v>700</v>
      </c>
      <c r="C38" s="188">
        <f>AVERAGE(500, 1500)</f>
        <v>1000</v>
      </c>
      <c r="D38" s="188">
        <v>25</v>
      </c>
      <c r="E38" s="189">
        <v>0.95</v>
      </c>
      <c r="F38" s="188">
        <v>0</v>
      </c>
      <c r="G38" s="188">
        <v>10</v>
      </c>
      <c r="H38" s="189">
        <v>0.5</v>
      </c>
      <c r="I38" s="188">
        <v>10</v>
      </c>
      <c r="J38" s="189">
        <f>AVERAGE(0.2, 2)</f>
        <v>1.1000000000000001</v>
      </c>
      <c r="K38" s="189">
        <f>AVERAGE(0.5, 10)</f>
        <v>5.25</v>
      </c>
      <c r="L38" s="63"/>
      <c r="M38" s="63"/>
      <c r="N38" s="63"/>
      <c r="O38" s="63"/>
      <c r="P38" s="63"/>
      <c r="Q38" s="63"/>
      <c r="R38" s="63"/>
      <c r="S38" s="63"/>
      <c r="T38" s="2"/>
      <c r="U38" s="2"/>
      <c r="V38" s="63"/>
      <c r="W38" s="144"/>
      <c r="X38" s="10"/>
      <c r="Y38" s="2"/>
      <c r="Z38" s="2"/>
    </row>
    <row r="39" spans="1:26" ht="18.75" customHeight="1" x14ac:dyDescent="0.3">
      <c r="A39" s="2" t="s">
        <v>36</v>
      </c>
      <c r="B39" s="197">
        <f>AVERAGE(1000, 4000)</f>
        <v>2500</v>
      </c>
      <c r="C39" s="197">
        <f>AVERAGE(350, 800)</f>
        <v>575</v>
      </c>
      <c r="D39" s="63"/>
      <c r="E39" s="198">
        <v>0.85</v>
      </c>
      <c r="F39" s="22">
        <v>0.05</v>
      </c>
      <c r="G39" s="21">
        <v>10</v>
      </c>
      <c r="H39" s="21">
        <v>20</v>
      </c>
      <c r="I39" s="21">
        <v>50</v>
      </c>
      <c r="J39" s="10"/>
      <c r="K39" s="63"/>
      <c r="L39" s="63"/>
      <c r="M39" s="63"/>
      <c r="N39" s="63"/>
      <c r="O39" s="63"/>
      <c r="P39" s="63"/>
      <c r="Q39" s="63"/>
      <c r="R39" s="63"/>
      <c r="S39" s="63"/>
      <c r="T39" s="2"/>
      <c r="U39" s="2"/>
      <c r="V39" s="63"/>
      <c r="W39" s="144"/>
      <c r="X39" s="10"/>
      <c r="Y39" s="2"/>
      <c r="Z39" s="2"/>
    </row>
    <row r="40" spans="1:26" ht="18.75" customHeight="1" x14ac:dyDescent="0.3">
      <c r="A40" s="2" t="s">
        <v>38</v>
      </c>
      <c r="B40" s="190">
        <f>AVERAGE(500, 1500)</f>
        <v>1000</v>
      </c>
      <c r="C40" s="190">
        <f>AVERAGE(10, 20)</f>
        <v>15</v>
      </c>
      <c r="D40" s="63"/>
      <c r="E40" s="196">
        <v>0.5</v>
      </c>
      <c r="F40" s="189">
        <v>0.1</v>
      </c>
      <c r="G40" s="188">
        <v>10</v>
      </c>
      <c r="H40" s="10"/>
      <c r="I40" s="10"/>
      <c r="J40" s="189">
        <f>AVERAGE(0.01, 5)</f>
        <v>2.5049999999999999</v>
      </c>
      <c r="K40" s="63"/>
      <c r="L40" s="63"/>
      <c r="M40" s="63"/>
      <c r="N40" s="63"/>
      <c r="O40" s="63"/>
      <c r="P40" s="63"/>
      <c r="Q40" s="63"/>
      <c r="R40" s="63"/>
      <c r="S40" s="63"/>
      <c r="T40" s="2"/>
      <c r="U40" s="2"/>
      <c r="V40" s="63"/>
      <c r="W40" s="144"/>
      <c r="X40" s="10"/>
      <c r="Y40" s="2"/>
      <c r="Z40" s="2"/>
    </row>
    <row r="41" spans="1:26" ht="18.75" customHeight="1" x14ac:dyDescent="0.3">
      <c r="A41" s="2" t="s">
        <v>40</v>
      </c>
      <c r="B41" s="188">
        <f>AVERAGE(1200, 2000)</f>
        <v>1600</v>
      </c>
      <c r="C41" s="188">
        <f>AVERAGE(350, 800)</f>
        <v>575</v>
      </c>
      <c r="D41" s="188">
        <v>30</v>
      </c>
      <c r="E41" s="189">
        <v>0.85</v>
      </c>
      <c r="F41" s="189">
        <v>2.5000000000000001E-2</v>
      </c>
      <c r="G41" s="188">
        <v>10</v>
      </c>
      <c r="H41" s="188">
        <v>20</v>
      </c>
      <c r="I41" s="188">
        <v>50</v>
      </c>
      <c r="J41" s="189">
        <f>AVERAGE(5, 20)</f>
        <v>12.5</v>
      </c>
      <c r="K41" s="188">
        <f>AVERAGE(5, 25)</f>
        <v>15</v>
      </c>
      <c r="L41" s="63"/>
      <c r="M41" s="63"/>
      <c r="N41" s="63"/>
      <c r="O41" s="63"/>
      <c r="P41" s="63"/>
      <c r="Q41" s="63"/>
      <c r="R41" s="63"/>
      <c r="S41" s="63"/>
      <c r="T41" s="2"/>
      <c r="U41" s="2"/>
      <c r="V41" s="63"/>
      <c r="W41" s="144"/>
      <c r="X41" s="10"/>
      <c r="Y41" s="2"/>
      <c r="Z41" s="2"/>
    </row>
    <row r="42" spans="1:26" ht="18.75" customHeight="1" x14ac:dyDescent="0.3">
      <c r="A42" s="2" t="s">
        <v>586</v>
      </c>
      <c r="B42" s="190">
        <v>400</v>
      </c>
      <c r="C42" s="190">
        <v>1000</v>
      </c>
      <c r="D42" s="63"/>
      <c r="E42" s="196">
        <v>0.65</v>
      </c>
      <c r="F42" s="21">
        <v>0</v>
      </c>
      <c r="G42" s="196">
        <v>0.05</v>
      </c>
      <c r="H42" s="10"/>
      <c r="I42" s="10"/>
      <c r="J42" s="10"/>
      <c r="K42" s="63"/>
      <c r="L42" s="63"/>
      <c r="M42" s="63"/>
      <c r="N42" s="63"/>
      <c r="O42" s="63"/>
      <c r="P42" s="63"/>
      <c r="Q42" s="63"/>
      <c r="R42" s="63"/>
      <c r="S42" s="63"/>
      <c r="T42" s="2"/>
      <c r="U42" s="2"/>
      <c r="V42" s="63"/>
      <c r="W42" s="144"/>
      <c r="X42" s="10"/>
      <c r="Y42" s="2"/>
      <c r="Z42" s="2"/>
    </row>
    <row r="43" spans="1:26" ht="18.75" customHeight="1" x14ac:dyDescent="0.3">
      <c r="A43" s="2" t="s">
        <v>587</v>
      </c>
      <c r="B43" s="190">
        <v>300</v>
      </c>
      <c r="C43" s="190">
        <v>2000</v>
      </c>
      <c r="D43" s="63"/>
      <c r="E43" s="196">
        <v>0.95</v>
      </c>
      <c r="F43" s="21">
        <v>0</v>
      </c>
      <c r="G43" s="196">
        <v>0.3</v>
      </c>
      <c r="H43" s="10"/>
      <c r="I43" s="10"/>
      <c r="J43" s="10"/>
      <c r="K43" s="63"/>
      <c r="L43" s="63"/>
      <c r="M43" s="63"/>
      <c r="N43" s="63"/>
      <c r="O43" s="63"/>
      <c r="P43" s="63"/>
      <c r="Q43" s="63"/>
      <c r="R43" s="63"/>
      <c r="S43" s="63"/>
      <c r="T43" s="2"/>
      <c r="U43" s="2"/>
      <c r="V43" s="63"/>
      <c r="W43" s="144"/>
      <c r="X43" s="10"/>
      <c r="Y43" s="2"/>
      <c r="Z43" s="2"/>
    </row>
    <row r="44" spans="1:26" ht="18.75" customHeight="1" x14ac:dyDescent="0.3">
      <c r="A44" s="2" t="s">
        <v>46</v>
      </c>
      <c r="B44" s="190">
        <v>300</v>
      </c>
      <c r="C44" s="190">
        <v>10000</v>
      </c>
      <c r="D44" s="63"/>
      <c r="E44" s="198">
        <v>0.95</v>
      </c>
      <c r="F44" s="196">
        <v>0.1</v>
      </c>
      <c r="G44" s="190">
        <v>10</v>
      </c>
      <c r="H44" s="10"/>
      <c r="I44" s="10"/>
      <c r="J44" s="10"/>
      <c r="K44" s="63"/>
      <c r="L44" s="63"/>
      <c r="M44" s="63"/>
      <c r="N44" s="63"/>
      <c r="O44" s="63"/>
      <c r="P44" s="63"/>
      <c r="Q44" s="63"/>
      <c r="R44" s="63"/>
      <c r="S44" s="63"/>
      <c r="T44" s="2"/>
      <c r="U44" s="2"/>
      <c r="V44" s="63"/>
      <c r="W44" s="144"/>
      <c r="X44" s="10"/>
      <c r="Y44" s="2"/>
      <c r="Z44" s="2"/>
    </row>
    <row r="45" spans="1:26" ht="18.75" customHeight="1" x14ac:dyDescent="0.3">
      <c r="A45" s="2" t="s">
        <v>48</v>
      </c>
      <c r="B45" s="190">
        <f>AVERAGE(200, 300)</f>
        <v>250</v>
      </c>
      <c r="C45" s="196">
        <f>AVERAGE(3, 50)</f>
        <v>26.5</v>
      </c>
      <c r="D45" s="63"/>
      <c r="E45" s="196">
        <v>0.6</v>
      </c>
      <c r="F45" s="190">
        <v>0</v>
      </c>
      <c r="G45" s="190">
        <v>300</v>
      </c>
      <c r="H45" s="10"/>
      <c r="I45" s="10"/>
      <c r="J45" s="10"/>
      <c r="K45" s="63"/>
      <c r="L45" s="63"/>
      <c r="M45" s="63"/>
      <c r="N45" s="63"/>
      <c r="O45" s="63"/>
      <c r="P45" s="63"/>
      <c r="Q45" s="63"/>
      <c r="R45" s="63"/>
      <c r="S45" s="63"/>
      <c r="T45" s="2"/>
      <c r="U45" s="2"/>
      <c r="V45" s="63"/>
      <c r="W45" s="144"/>
      <c r="X45" s="10"/>
      <c r="Y45" s="2"/>
      <c r="Z45" s="2"/>
    </row>
    <row r="46" spans="1:26" ht="18.75" customHeight="1" x14ac:dyDescent="0.3">
      <c r="A46" s="2"/>
      <c r="B46" s="199"/>
      <c r="C46" s="199"/>
      <c r="D46" s="63"/>
      <c r="E46" s="196"/>
      <c r="F46" s="200"/>
      <c r="G46" s="199"/>
      <c r="H46" s="10"/>
      <c r="I46" s="10"/>
      <c r="J46" s="10"/>
      <c r="K46" s="63"/>
      <c r="L46" s="63"/>
      <c r="M46" s="63"/>
      <c r="N46" s="63"/>
      <c r="O46" s="63"/>
      <c r="P46" s="63"/>
      <c r="Q46" s="63"/>
      <c r="R46" s="63"/>
      <c r="S46" s="63"/>
      <c r="T46" s="2"/>
      <c r="U46" s="2"/>
      <c r="V46" s="63"/>
      <c r="W46" s="144"/>
      <c r="X46" s="10"/>
      <c r="Y46" s="2"/>
      <c r="Z46" s="2"/>
    </row>
    <row r="47" spans="1:26" ht="18.75" customHeight="1" x14ac:dyDescent="0.3">
      <c r="A47" s="186" t="s">
        <v>588</v>
      </c>
      <c r="B47" s="199"/>
      <c r="C47" s="199"/>
      <c r="D47" s="63"/>
      <c r="E47" s="196"/>
      <c r="F47" s="200"/>
      <c r="G47" s="199"/>
      <c r="H47" s="10"/>
      <c r="I47" s="10"/>
      <c r="J47" s="10"/>
      <c r="K47" s="63"/>
      <c r="L47" s="63"/>
      <c r="M47" s="63"/>
      <c r="N47" s="63"/>
      <c r="O47" s="63"/>
      <c r="P47" s="63"/>
      <c r="Q47" s="63"/>
      <c r="R47" s="63"/>
      <c r="S47" s="63"/>
      <c r="T47" s="2"/>
      <c r="U47" s="2"/>
      <c r="V47" s="63"/>
      <c r="W47" s="144"/>
      <c r="X47" s="10"/>
      <c r="Y47" s="2"/>
      <c r="Z47" s="2"/>
    </row>
    <row r="48" spans="1:26" ht="18.75" customHeight="1" x14ac:dyDescent="0.3">
      <c r="A48" s="2" t="s">
        <v>481</v>
      </c>
      <c r="B48" s="199"/>
      <c r="C48" s="199"/>
      <c r="D48" s="63"/>
      <c r="E48" s="196">
        <v>0.9</v>
      </c>
      <c r="F48" s="200"/>
      <c r="G48" s="199"/>
      <c r="H48" s="10"/>
      <c r="I48" s="10"/>
      <c r="J48" s="10"/>
      <c r="K48" s="63"/>
      <c r="L48" s="63"/>
      <c r="M48" s="63"/>
      <c r="N48" s="63"/>
      <c r="O48" s="63"/>
      <c r="P48" s="63"/>
      <c r="Q48" s="63"/>
      <c r="R48" s="63"/>
      <c r="S48" s="63"/>
      <c r="T48" s="2"/>
      <c r="U48" s="2"/>
      <c r="V48" s="21">
        <v>1</v>
      </c>
      <c r="W48" s="191">
        <v>0.5</v>
      </c>
      <c r="X48" s="191"/>
      <c r="Y48" s="2"/>
      <c r="Z48" s="2"/>
    </row>
    <row r="49" spans="1:26" ht="18.75" customHeight="1" x14ac:dyDescent="0.3">
      <c r="A49" s="2"/>
      <c r="B49" s="63"/>
      <c r="C49" s="63"/>
      <c r="D49" s="63"/>
      <c r="E49" s="63"/>
      <c r="F49" s="10"/>
      <c r="G49" s="63"/>
      <c r="H49" s="10"/>
      <c r="I49" s="10"/>
      <c r="J49" s="10"/>
      <c r="K49" s="63"/>
      <c r="L49" s="63"/>
      <c r="M49" s="63"/>
      <c r="N49" s="63"/>
      <c r="O49" s="63"/>
      <c r="P49" s="63"/>
      <c r="Q49" s="63"/>
      <c r="R49" s="63"/>
      <c r="S49" s="63"/>
      <c r="T49" s="2"/>
      <c r="U49" s="2"/>
      <c r="V49" s="63"/>
      <c r="W49" s="144"/>
      <c r="X49" s="10"/>
      <c r="Y49" s="2"/>
      <c r="Z49" s="2"/>
    </row>
    <row r="50" spans="1:26" ht="18.75" customHeight="1" x14ac:dyDescent="0.3">
      <c r="A50" s="186" t="s">
        <v>589</v>
      </c>
      <c r="B50" s="63"/>
      <c r="C50" s="63"/>
      <c r="D50" s="63"/>
      <c r="E50" s="63"/>
      <c r="F50" s="10"/>
      <c r="G50" s="63"/>
      <c r="H50" s="10"/>
      <c r="I50" s="10"/>
      <c r="J50" s="10"/>
      <c r="K50" s="63"/>
      <c r="L50" s="63"/>
      <c r="M50" s="63"/>
      <c r="N50" s="63"/>
      <c r="O50" s="63"/>
      <c r="P50" s="63"/>
      <c r="Q50" s="63"/>
      <c r="R50" s="63"/>
      <c r="S50" s="63"/>
      <c r="T50" s="2"/>
      <c r="U50" s="2"/>
      <c r="V50" s="63"/>
      <c r="W50" s="144"/>
      <c r="X50" s="10"/>
      <c r="Y50" s="2"/>
      <c r="Z50" s="2"/>
    </row>
    <row r="51" spans="1:26" ht="18.75" customHeight="1" x14ac:dyDescent="0.3">
      <c r="A51" s="2"/>
      <c r="B51" s="63"/>
      <c r="C51" s="63"/>
      <c r="D51" s="63"/>
      <c r="E51" s="63"/>
      <c r="F51" s="10" t="s">
        <v>590</v>
      </c>
      <c r="G51" s="201" t="s">
        <v>591</v>
      </c>
      <c r="H51" s="202" t="s">
        <v>592</v>
      </c>
      <c r="I51" s="202" t="s">
        <v>593</v>
      </c>
      <c r="J51" s="202"/>
      <c r="K51" s="201"/>
      <c r="L51" s="63"/>
      <c r="M51" s="63"/>
      <c r="N51" s="63"/>
      <c r="O51" s="63"/>
      <c r="P51" s="63"/>
      <c r="Q51" s="63"/>
      <c r="R51" s="63"/>
      <c r="S51" s="63"/>
      <c r="T51" s="2"/>
      <c r="U51" s="2"/>
      <c r="V51" s="63"/>
      <c r="W51" s="144"/>
      <c r="X51" s="10"/>
      <c r="Y51" s="2" t="s">
        <v>594</v>
      </c>
      <c r="Z51" s="2"/>
    </row>
    <row r="52" spans="1:26" ht="18.75" customHeight="1" x14ac:dyDescent="0.3">
      <c r="A52" s="2" t="s">
        <v>595</v>
      </c>
      <c r="B52" s="63"/>
      <c r="C52" s="63"/>
      <c r="D52" s="63" t="s">
        <v>596</v>
      </c>
      <c r="E52" s="63"/>
      <c r="F52" s="10"/>
      <c r="G52" s="201"/>
      <c r="H52" s="202"/>
      <c r="I52" s="202"/>
      <c r="J52" s="202"/>
      <c r="K52" s="201"/>
      <c r="L52" s="63"/>
      <c r="M52" s="63"/>
      <c r="N52" s="63"/>
      <c r="O52" s="63"/>
      <c r="P52" s="63"/>
      <c r="Q52" s="63"/>
      <c r="R52" s="63"/>
      <c r="S52" s="63"/>
      <c r="T52" s="2"/>
      <c r="U52" s="2"/>
      <c r="V52" s="63"/>
      <c r="W52" s="144"/>
      <c r="X52" s="10"/>
      <c r="Y52" s="2"/>
      <c r="Z52" s="2"/>
    </row>
    <row r="53" spans="1:26" ht="18.75" customHeight="1" x14ac:dyDescent="0.3">
      <c r="A53" s="2" t="s">
        <v>597</v>
      </c>
      <c r="B53" s="63"/>
      <c r="C53" s="63"/>
      <c r="D53" s="63" t="s">
        <v>598</v>
      </c>
      <c r="E53" s="63"/>
      <c r="F53" s="203" t="s">
        <v>599</v>
      </c>
      <c r="G53" s="201" t="s">
        <v>600</v>
      </c>
      <c r="H53" s="202" t="s">
        <v>601</v>
      </c>
      <c r="I53" s="202" t="s">
        <v>602</v>
      </c>
      <c r="J53" s="204" t="s">
        <v>603</v>
      </c>
      <c r="K53" s="201" t="s">
        <v>604</v>
      </c>
      <c r="L53" s="63"/>
      <c r="M53" s="63"/>
      <c r="N53" s="63"/>
      <c r="O53" s="63"/>
      <c r="P53" s="63"/>
      <c r="Q53" s="63"/>
      <c r="R53" s="63"/>
      <c r="S53" s="63"/>
      <c r="T53" s="2"/>
      <c r="U53" s="2"/>
      <c r="V53" s="63"/>
      <c r="W53" s="144"/>
      <c r="X53" s="10"/>
      <c r="Y53" s="2"/>
      <c r="Z53" s="2"/>
    </row>
    <row r="54" spans="1:26" ht="18.75" customHeight="1" x14ac:dyDescent="0.3">
      <c r="A54" s="2"/>
      <c r="B54" s="63"/>
      <c r="C54" s="63"/>
      <c r="D54" s="63" t="s">
        <v>605</v>
      </c>
      <c r="E54" s="63"/>
      <c r="F54" s="203" t="s">
        <v>606</v>
      </c>
      <c r="G54" s="201" t="s">
        <v>607</v>
      </c>
      <c r="H54" s="202" t="s">
        <v>608</v>
      </c>
      <c r="I54" s="202" t="s">
        <v>609</v>
      </c>
      <c r="J54" s="205" t="s">
        <v>610</v>
      </c>
      <c r="K54" s="201" t="s">
        <v>611</v>
      </c>
      <c r="L54" s="63"/>
      <c r="M54" s="63"/>
      <c r="N54" s="63"/>
      <c r="O54" s="63"/>
      <c r="P54" s="63"/>
      <c r="Q54" s="63"/>
      <c r="R54" s="63"/>
      <c r="S54" s="63"/>
      <c r="T54" s="2"/>
      <c r="U54" s="2"/>
      <c r="V54" s="63"/>
      <c r="W54" s="144"/>
      <c r="X54" s="10"/>
      <c r="Y54" s="2"/>
      <c r="Z54" s="2"/>
    </row>
    <row r="55" spans="1:26" ht="18.75" customHeight="1" x14ac:dyDescent="0.3">
      <c r="A55" s="2" t="s">
        <v>612</v>
      </c>
      <c r="B55" s="63"/>
      <c r="C55" s="63"/>
      <c r="D55" s="63" t="s">
        <v>613</v>
      </c>
      <c r="E55" s="63"/>
      <c r="F55" s="21"/>
      <c r="G55" s="206"/>
      <c r="H55" s="206"/>
      <c r="I55" s="202"/>
      <c r="J55" s="202"/>
      <c r="K55" s="201"/>
      <c r="L55" s="63"/>
      <c r="M55" s="63"/>
      <c r="N55" s="63"/>
      <c r="O55" s="63"/>
      <c r="P55" s="63"/>
      <c r="Q55" s="63"/>
      <c r="R55" s="63"/>
      <c r="S55" s="63"/>
      <c r="T55" s="2"/>
      <c r="U55" s="2"/>
      <c r="V55" s="63"/>
      <c r="W55" s="144"/>
      <c r="X55" s="10"/>
      <c r="Y55" s="2"/>
      <c r="Z55" s="2"/>
    </row>
    <row r="56" spans="1:26" ht="18.75" customHeight="1" x14ac:dyDescent="0.3">
      <c r="A56" s="2" t="s">
        <v>614</v>
      </c>
      <c r="B56" s="63"/>
      <c r="C56" s="63"/>
      <c r="D56" s="63" t="s">
        <v>598</v>
      </c>
      <c r="E56" s="63"/>
      <c r="F56" s="203" t="s">
        <v>615</v>
      </c>
      <c r="G56" s="201" t="s">
        <v>616</v>
      </c>
      <c r="H56" s="202" t="s">
        <v>617</v>
      </c>
      <c r="I56" s="202" t="s">
        <v>618</v>
      </c>
      <c r="J56" s="204" t="s">
        <v>619</v>
      </c>
      <c r="K56" s="201"/>
      <c r="L56" s="63"/>
      <c r="M56" s="63"/>
      <c r="N56" s="63"/>
      <c r="O56" s="63"/>
      <c r="P56" s="63"/>
      <c r="Q56" s="63"/>
      <c r="R56" s="63"/>
      <c r="S56" s="63"/>
      <c r="T56" s="2"/>
      <c r="U56" s="2"/>
      <c r="V56" s="63"/>
      <c r="W56" s="144"/>
      <c r="X56" s="10"/>
      <c r="Y56" s="2"/>
      <c r="Z56" s="2"/>
    </row>
    <row r="57" spans="1:26" ht="18.75" customHeight="1" x14ac:dyDescent="0.3">
      <c r="A57" s="2"/>
      <c r="B57" s="63"/>
      <c r="C57" s="63"/>
      <c r="D57" s="63" t="s">
        <v>605</v>
      </c>
      <c r="E57" s="63"/>
      <c r="F57" s="203" t="s">
        <v>620</v>
      </c>
      <c r="G57" s="201" t="s">
        <v>621</v>
      </c>
      <c r="H57" s="202" t="s">
        <v>622</v>
      </c>
      <c r="I57" s="202" t="s">
        <v>623</v>
      </c>
      <c r="J57" s="205" t="s">
        <v>624</v>
      </c>
      <c r="K57" s="201"/>
      <c r="L57" s="63"/>
      <c r="M57" s="63"/>
      <c r="N57" s="63"/>
      <c r="O57" s="63"/>
      <c r="P57" s="63"/>
      <c r="Q57" s="63"/>
      <c r="R57" s="63"/>
      <c r="S57" s="63"/>
      <c r="T57" s="2"/>
      <c r="U57" s="2"/>
      <c r="V57" s="63"/>
      <c r="W57" s="144"/>
      <c r="X57" s="10"/>
      <c r="Y57" s="2"/>
      <c r="Z57" s="2"/>
    </row>
    <row r="58" spans="1:26" ht="18.75" customHeight="1" x14ac:dyDescent="0.3">
      <c r="A58" s="2" t="s">
        <v>625</v>
      </c>
      <c r="B58" s="63"/>
      <c r="C58" s="63"/>
      <c r="D58" s="63" t="s">
        <v>626</v>
      </c>
      <c r="E58" s="63"/>
      <c r="F58" s="207" t="s">
        <v>627</v>
      </c>
      <c r="G58" s="201" t="s">
        <v>628</v>
      </c>
      <c r="H58" s="202" t="s">
        <v>617</v>
      </c>
      <c r="I58" s="202" t="s">
        <v>629</v>
      </c>
      <c r="J58" s="202"/>
      <c r="K58" s="201" t="s">
        <v>630</v>
      </c>
      <c r="L58" s="63"/>
      <c r="M58" s="63"/>
      <c r="N58" s="63"/>
      <c r="O58" s="63"/>
      <c r="P58" s="63"/>
      <c r="Q58" s="63"/>
      <c r="R58" s="63"/>
      <c r="S58" s="63"/>
      <c r="T58" s="2"/>
      <c r="U58" s="2"/>
      <c r="V58" s="63"/>
      <c r="W58" s="144"/>
      <c r="X58" s="10"/>
      <c r="Y58" s="2"/>
      <c r="Z58" s="2"/>
    </row>
    <row r="59" spans="1:26" ht="18.75" customHeight="1" x14ac:dyDescent="0.3">
      <c r="A59" s="2"/>
      <c r="B59" s="63"/>
      <c r="C59" s="63"/>
      <c r="D59" s="63"/>
      <c r="E59" s="63"/>
      <c r="F59" s="21"/>
      <c r="G59" s="206"/>
      <c r="H59" s="206"/>
      <c r="I59" s="202"/>
      <c r="J59" s="202"/>
      <c r="K59" s="201"/>
      <c r="L59" s="63"/>
      <c r="M59" s="63"/>
      <c r="N59" s="63"/>
      <c r="O59" s="63"/>
      <c r="P59" s="63"/>
      <c r="Q59" s="63"/>
      <c r="R59" s="63"/>
      <c r="S59" s="63"/>
      <c r="T59" s="2"/>
      <c r="U59" s="2"/>
      <c r="V59" s="63"/>
      <c r="W59" s="144"/>
      <c r="X59" s="10"/>
      <c r="Y59" s="2"/>
      <c r="Z59" s="2"/>
    </row>
    <row r="60" spans="1:26" ht="18.75" customHeight="1" x14ac:dyDescent="0.3">
      <c r="A60" s="2" t="s">
        <v>631</v>
      </c>
      <c r="B60" s="63"/>
      <c r="C60" s="63"/>
      <c r="D60" s="63" t="s">
        <v>632</v>
      </c>
      <c r="E60" s="63"/>
      <c r="F60" s="10" t="s">
        <v>633</v>
      </c>
      <c r="G60" s="201" t="s">
        <v>634</v>
      </c>
      <c r="H60" s="202" t="s">
        <v>593</v>
      </c>
      <c r="I60" s="208" t="s">
        <v>635</v>
      </c>
      <c r="J60" s="202"/>
      <c r="K60" s="201" t="s">
        <v>636</v>
      </c>
      <c r="L60" s="63"/>
      <c r="M60" s="63"/>
      <c r="N60" s="63"/>
      <c r="O60" s="63"/>
      <c r="P60" s="63"/>
      <c r="Q60" s="63"/>
      <c r="R60" s="63"/>
      <c r="S60" s="63"/>
      <c r="T60" s="2"/>
      <c r="U60" s="2"/>
      <c r="V60" s="63"/>
      <c r="W60" s="144"/>
      <c r="X60" s="10"/>
      <c r="Y60" s="2"/>
      <c r="Z60" s="2"/>
    </row>
    <row r="61" spans="1:26" ht="18.75" customHeight="1" x14ac:dyDescent="0.3">
      <c r="A61" s="2" t="s">
        <v>637</v>
      </c>
      <c r="B61" s="63"/>
      <c r="C61" s="63"/>
      <c r="D61" s="63" t="s">
        <v>638</v>
      </c>
      <c r="E61" s="63"/>
      <c r="F61" s="21">
        <v>100</v>
      </c>
      <c r="G61" s="206">
        <v>10</v>
      </c>
      <c r="H61" s="209">
        <f>F61%*G61%</f>
        <v>0.1</v>
      </c>
      <c r="I61" s="210">
        <f>AVERAGE(H61:H63)</f>
        <v>0.06</v>
      </c>
      <c r="J61" s="202"/>
      <c r="K61" s="201"/>
      <c r="L61" s="63"/>
      <c r="M61" s="63"/>
      <c r="N61" s="63"/>
      <c r="O61" s="63"/>
      <c r="P61" s="63"/>
      <c r="Q61" s="63"/>
      <c r="R61" s="63"/>
      <c r="S61" s="63"/>
      <c r="T61" s="2"/>
      <c r="U61" s="2"/>
      <c r="V61" s="63"/>
      <c r="W61" s="144"/>
      <c r="X61" s="10"/>
      <c r="Y61" s="2"/>
      <c r="Z61" s="2"/>
    </row>
    <row r="62" spans="1:26" ht="18.75" customHeight="1" x14ac:dyDescent="0.3">
      <c r="A62" s="2" t="s">
        <v>639</v>
      </c>
      <c r="B62" s="63"/>
      <c r="C62" s="63"/>
      <c r="D62" s="63" t="s">
        <v>640</v>
      </c>
      <c r="E62" s="63"/>
      <c r="F62" s="21">
        <v>3</v>
      </c>
      <c r="G62" s="206">
        <v>100</v>
      </c>
      <c r="H62" s="209">
        <f>F62%*G62%</f>
        <v>0.03</v>
      </c>
      <c r="I62" s="202"/>
      <c r="J62" s="206"/>
      <c r="K62" s="201"/>
      <c r="L62" s="63"/>
      <c r="M62" s="63"/>
      <c r="N62" s="63"/>
      <c r="O62" s="63"/>
      <c r="P62" s="63"/>
      <c r="Q62" s="63"/>
      <c r="R62" s="63"/>
      <c r="S62" s="63"/>
      <c r="T62" s="2"/>
      <c r="U62" s="2"/>
      <c r="V62" s="63"/>
      <c r="W62" s="144"/>
      <c r="X62" s="10"/>
      <c r="Y62" s="2"/>
      <c r="Z62" s="2"/>
    </row>
    <row r="63" spans="1:26" ht="18.75" customHeight="1" x14ac:dyDescent="0.3">
      <c r="A63" s="2" t="s">
        <v>641</v>
      </c>
      <c r="B63" s="63"/>
      <c r="C63" s="63"/>
      <c r="D63" s="63" t="s">
        <v>642</v>
      </c>
      <c r="E63" s="63"/>
      <c r="F63" s="21">
        <v>5</v>
      </c>
      <c r="G63" s="206">
        <v>100</v>
      </c>
      <c r="H63" s="209">
        <f>F63%*G63%</f>
        <v>0.05</v>
      </c>
      <c r="I63" s="202"/>
      <c r="J63" s="202"/>
      <c r="K63" s="201"/>
      <c r="L63" s="63"/>
      <c r="M63" s="63"/>
      <c r="N63" s="63"/>
      <c r="O63" s="63"/>
      <c r="P63" s="63"/>
      <c r="Q63" s="63"/>
      <c r="R63" s="63"/>
      <c r="S63" s="63"/>
      <c r="T63" s="2"/>
      <c r="U63" s="2"/>
      <c r="V63" s="63"/>
      <c r="W63" s="144"/>
      <c r="X63" s="10"/>
      <c r="Y63" s="2"/>
      <c r="Z63" s="2"/>
    </row>
    <row r="64" spans="1:26" ht="18.75" customHeight="1" x14ac:dyDescent="0.3">
      <c r="A64" s="2" t="s">
        <v>643</v>
      </c>
      <c r="B64" s="63"/>
      <c r="C64" s="63"/>
      <c r="D64" s="63" t="s">
        <v>644</v>
      </c>
      <c r="E64" s="63"/>
      <c r="F64" s="21"/>
      <c r="G64" s="206"/>
      <c r="H64" s="209"/>
      <c r="I64" s="202"/>
      <c r="J64" s="202"/>
      <c r="K64" s="201"/>
      <c r="L64" s="63"/>
      <c r="M64" s="63"/>
      <c r="N64" s="63"/>
      <c r="O64" s="63"/>
      <c r="P64" s="63"/>
      <c r="Q64" s="63"/>
      <c r="R64" s="63"/>
      <c r="S64" s="63"/>
      <c r="T64" s="2"/>
      <c r="U64" s="2"/>
      <c r="V64" s="63"/>
      <c r="W64" s="144"/>
      <c r="X64" s="10"/>
      <c r="Y64" s="2"/>
      <c r="Z64" s="2"/>
    </row>
    <row r="65" spans="1:26" ht="18.75" customHeight="1" x14ac:dyDescent="0.3">
      <c r="A65" s="2"/>
      <c r="B65" s="63"/>
      <c r="C65" s="63"/>
      <c r="D65" s="63" t="s">
        <v>645</v>
      </c>
      <c r="E65" s="63"/>
      <c r="F65" s="21">
        <v>5</v>
      </c>
      <c r="G65" s="206">
        <v>25</v>
      </c>
      <c r="H65" s="211">
        <f>F65%*G65%</f>
        <v>1.2500000000000001E-2</v>
      </c>
      <c r="I65" s="202"/>
      <c r="J65" s="202"/>
      <c r="K65" s="201"/>
      <c r="L65" s="63"/>
      <c r="M65" s="63"/>
      <c r="N65" s="63"/>
      <c r="O65" s="63"/>
      <c r="P65" s="63"/>
      <c r="Q65" s="63"/>
      <c r="R65" s="63"/>
      <c r="S65" s="63"/>
      <c r="T65" s="2"/>
      <c r="U65" s="2"/>
      <c r="V65" s="63"/>
      <c r="W65" s="144"/>
      <c r="X65" s="10"/>
      <c r="Y65" s="2"/>
      <c r="Z65" s="2"/>
    </row>
    <row r="66" spans="1:26" ht="18.75" customHeight="1" x14ac:dyDescent="0.3">
      <c r="A66" s="2"/>
      <c r="B66" s="63"/>
      <c r="C66" s="63"/>
      <c r="D66" s="63" t="s">
        <v>646</v>
      </c>
      <c r="E66" s="63"/>
      <c r="F66" s="21">
        <v>5</v>
      </c>
      <c r="G66" s="206">
        <v>25</v>
      </c>
      <c r="H66" s="212">
        <f>F66%*G66%</f>
        <v>1.2500000000000001E-2</v>
      </c>
      <c r="I66" s="202"/>
      <c r="J66" s="202"/>
      <c r="K66" s="201"/>
      <c r="L66" s="63"/>
      <c r="M66" s="63"/>
      <c r="N66" s="63"/>
      <c r="O66" s="63"/>
      <c r="P66" s="63"/>
      <c r="Q66" s="63"/>
      <c r="R66" s="63"/>
      <c r="S66" s="63"/>
      <c r="T66" s="2"/>
      <c r="U66" s="2"/>
      <c r="V66" s="63"/>
      <c r="W66" s="144"/>
      <c r="X66" s="10"/>
      <c r="Y66" s="2"/>
      <c r="Z66" s="2"/>
    </row>
    <row r="67" spans="1:26" ht="18.75" customHeight="1" x14ac:dyDescent="0.3">
      <c r="A67" s="2"/>
      <c r="B67" s="63"/>
      <c r="C67" s="63"/>
      <c r="D67" s="63"/>
      <c r="E67" s="63"/>
      <c r="F67" s="10"/>
      <c r="G67" s="63"/>
      <c r="H67" s="10"/>
      <c r="I67" s="10"/>
      <c r="J67" s="10"/>
      <c r="K67" s="63"/>
      <c r="L67" s="63"/>
      <c r="M67" s="63"/>
      <c r="N67" s="63"/>
      <c r="O67" s="63"/>
      <c r="P67" s="63"/>
      <c r="Q67" s="63"/>
      <c r="R67" s="63"/>
      <c r="S67" s="63"/>
      <c r="T67" s="2"/>
      <c r="U67" s="2"/>
      <c r="V67" s="63"/>
      <c r="W67" s="144"/>
      <c r="X67" s="10"/>
      <c r="Y67" s="2"/>
      <c r="Z67" s="2"/>
    </row>
    <row r="68" spans="1:26" ht="18.75" customHeight="1" x14ac:dyDescent="0.3">
      <c r="A68" s="186" t="s">
        <v>647</v>
      </c>
      <c r="B68" s="63"/>
      <c r="C68" s="63"/>
      <c r="D68" s="63"/>
      <c r="E68" s="63"/>
      <c r="F68" s="10"/>
      <c r="G68" s="63"/>
      <c r="H68" s="10"/>
      <c r="I68" s="10"/>
      <c r="J68" s="10"/>
      <c r="K68" s="63"/>
      <c r="L68" s="63"/>
      <c r="M68" s="63"/>
      <c r="N68" s="63"/>
      <c r="O68" s="63"/>
      <c r="P68" s="63"/>
      <c r="Q68" s="63"/>
      <c r="R68" s="63"/>
      <c r="S68" s="63"/>
      <c r="T68" s="2"/>
      <c r="U68" s="2"/>
      <c r="V68" s="63"/>
      <c r="W68" s="144"/>
      <c r="X68" s="10"/>
      <c r="Y68" s="2"/>
      <c r="Z68" s="2"/>
    </row>
    <row r="69" spans="1:26" ht="18.75" customHeight="1" x14ac:dyDescent="0.3">
      <c r="A69" s="2"/>
      <c r="B69" s="63" t="s">
        <v>648</v>
      </c>
      <c r="C69" s="63"/>
      <c r="D69" s="63"/>
      <c r="E69" s="63"/>
      <c r="F69" s="10"/>
      <c r="G69" s="63"/>
      <c r="H69" s="10"/>
      <c r="I69" s="10"/>
      <c r="J69" s="10"/>
      <c r="K69" s="63"/>
      <c r="L69" s="63"/>
      <c r="M69" s="63"/>
      <c r="N69" s="63"/>
      <c r="O69" s="63"/>
      <c r="P69" s="63"/>
      <c r="Q69" s="63"/>
      <c r="R69" s="63"/>
      <c r="S69" s="63"/>
      <c r="T69" s="2"/>
      <c r="U69" s="2"/>
      <c r="V69" s="63"/>
      <c r="W69" s="144"/>
      <c r="X69" s="10"/>
      <c r="Y69" s="2"/>
      <c r="Z69" s="2"/>
    </row>
    <row r="70" spans="1:26" ht="18.75" customHeight="1" x14ac:dyDescent="0.3">
      <c r="A70" s="2" t="s">
        <v>649</v>
      </c>
      <c r="B70" s="213">
        <v>8.9999999999999993E-3</v>
      </c>
      <c r="C70" s="63"/>
      <c r="D70" s="63"/>
      <c r="E70" s="63"/>
      <c r="F70" s="10"/>
      <c r="G70" s="63"/>
      <c r="H70" s="10"/>
      <c r="I70" s="10"/>
      <c r="J70" s="10"/>
      <c r="K70" s="63"/>
      <c r="L70" s="63"/>
      <c r="M70" s="63"/>
      <c r="N70" s="63"/>
      <c r="O70" s="63"/>
      <c r="P70" s="63"/>
      <c r="Q70" s="63"/>
      <c r="R70" s="63"/>
      <c r="S70" s="63"/>
      <c r="T70" s="2"/>
      <c r="U70" s="2"/>
      <c r="V70" s="63"/>
      <c r="W70" s="144"/>
      <c r="X70" s="10"/>
      <c r="Y70" s="185" t="s">
        <v>650</v>
      </c>
      <c r="Z70" s="2"/>
    </row>
    <row r="71" spans="1:26" ht="18.75" customHeight="1" x14ac:dyDescent="0.3">
      <c r="A71" s="2"/>
      <c r="B71" s="63"/>
      <c r="C71" s="63"/>
      <c r="D71" s="63"/>
      <c r="E71" s="63"/>
      <c r="F71" s="10"/>
      <c r="G71" s="63"/>
      <c r="H71" s="10"/>
      <c r="I71" s="10"/>
      <c r="J71" s="10"/>
      <c r="K71" s="63"/>
      <c r="L71" s="63"/>
      <c r="M71" s="63"/>
      <c r="N71" s="63"/>
      <c r="O71" s="63"/>
      <c r="P71" s="63"/>
      <c r="Q71" s="63"/>
      <c r="R71" s="63"/>
      <c r="S71" s="63"/>
      <c r="T71" s="2"/>
      <c r="U71" s="2"/>
      <c r="V71" s="63"/>
      <c r="W71" s="144"/>
      <c r="X71" s="10"/>
      <c r="Y71" s="2"/>
      <c r="Z71" s="2"/>
    </row>
    <row r="72" spans="1:26" ht="18.75" customHeight="1" x14ac:dyDescent="0.3">
      <c r="A72" s="2"/>
      <c r="B72" s="63"/>
      <c r="C72" s="63" t="s">
        <v>651</v>
      </c>
      <c r="D72" s="63"/>
      <c r="E72" s="63"/>
      <c r="F72" s="10"/>
      <c r="G72" s="63"/>
      <c r="H72" s="10"/>
      <c r="I72" s="10"/>
      <c r="J72" s="10"/>
      <c r="K72" s="63"/>
      <c r="L72" s="63"/>
      <c r="M72" s="63"/>
      <c r="N72" s="63"/>
      <c r="O72" s="63"/>
      <c r="P72" s="63"/>
      <c r="Q72" s="63"/>
      <c r="R72" s="63"/>
      <c r="S72" s="63"/>
      <c r="T72" s="2"/>
      <c r="U72" s="2"/>
      <c r="V72" s="63"/>
      <c r="W72" s="144"/>
      <c r="X72" s="10"/>
      <c r="Y72" s="2"/>
      <c r="Z72" s="2"/>
    </row>
    <row r="73" spans="1:26" ht="18.75" customHeight="1" x14ac:dyDescent="0.3">
      <c r="A73" s="2" t="s">
        <v>652</v>
      </c>
      <c r="B73" s="63" t="s">
        <v>653</v>
      </c>
      <c r="C73" s="63" t="s">
        <v>654</v>
      </c>
      <c r="D73" s="63"/>
      <c r="E73" s="63"/>
      <c r="F73" s="10"/>
      <c r="G73" s="63"/>
      <c r="H73" s="10"/>
      <c r="I73" s="10"/>
      <c r="J73" s="10"/>
      <c r="K73" s="63"/>
      <c r="L73" s="63"/>
      <c r="M73" s="63"/>
      <c r="N73" s="63"/>
      <c r="O73" s="63"/>
      <c r="P73" s="63"/>
      <c r="Q73" s="63"/>
      <c r="R73" s="63"/>
      <c r="S73" s="63"/>
      <c r="T73" s="2"/>
      <c r="U73" s="2"/>
      <c r="V73" s="63"/>
      <c r="W73" s="144"/>
      <c r="X73" s="10"/>
      <c r="Y73" s="2"/>
      <c r="Z73" s="2"/>
    </row>
    <row r="74" spans="1:26" ht="18.75" customHeight="1" x14ac:dyDescent="0.3">
      <c r="A74" s="2" t="s">
        <v>655</v>
      </c>
      <c r="B74" s="214">
        <f>B76</f>
        <v>596331.41536281956</v>
      </c>
      <c r="C74" s="63"/>
      <c r="D74" s="63"/>
      <c r="E74" s="63"/>
      <c r="F74" s="10"/>
      <c r="G74" s="63"/>
      <c r="H74" s="10"/>
      <c r="I74" s="10"/>
      <c r="J74" s="10"/>
      <c r="K74" s="63"/>
      <c r="L74" s="63"/>
      <c r="M74" s="63"/>
      <c r="N74" s="63"/>
      <c r="O74" s="63"/>
      <c r="P74" s="63"/>
      <c r="Q74" s="63"/>
      <c r="R74" s="63"/>
      <c r="S74" s="63"/>
      <c r="T74" s="2"/>
      <c r="U74" s="2"/>
      <c r="V74" s="63"/>
      <c r="W74" s="144"/>
      <c r="X74" s="10"/>
      <c r="Y74" s="215" t="s">
        <v>656</v>
      </c>
      <c r="Z74" s="2"/>
    </row>
    <row r="75" spans="1:26" ht="18.75" customHeight="1" x14ac:dyDescent="0.3">
      <c r="A75" s="2" t="s">
        <v>657</v>
      </c>
      <c r="B75" s="214">
        <f>B77</f>
        <v>954677.07258876308</v>
      </c>
      <c r="C75" s="63"/>
      <c r="D75" s="63"/>
      <c r="E75" s="63"/>
      <c r="F75" s="10"/>
      <c r="G75" s="63"/>
      <c r="H75" s="10"/>
      <c r="I75" s="10"/>
      <c r="J75" s="10"/>
      <c r="K75" s="63"/>
      <c r="L75" s="63"/>
      <c r="M75" s="63"/>
      <c r="N75" s="63"/>
      <c r="O75" s="63"/>
      <c r="P75" s="63"/>
      <c r="Q75" s="63"/>
      <c r="R75" s="63"/>
      <c r="S75" s="63"/>
      <c r="T75" s="2"/>
      <c r="U75" s="2"/>
      <c r="V75" s="63"/>
      <c r="W75" s="144"/>
      <c r="X75" s="10"/>
      <c r="Y75" s="2"/>
      <c r="Z75" s="2"/>
    </row>
    <row r="76" spans="1:26" ht="18.75" customHeight="1" x14ac:dyDescent="0.3">
      <c r="A76" s="2" t="s">
        <v>658</v>
      </c>
      <c r="B76" s="216">
        <f>959700/1.60934</f>
        <v>596331.41536281956</v>
      </c>
      <c r="C76" s="63"/>
      <c r="D76" s="63"/>
      <c r="E76" s="63"/>
      <c r="F76" s="10"/>
      <c r="G76" s="63"/>
      <c r="H76" s="10"/>
      <c r="I76" s="10"/>
      <c r="J76" s="10"/>
      <c r="K76" s="63"/>
      <c r="L76" s="63"/>
      <c r="M76" s="63"/>
      <c r="N76" s="63"/>
      <c r="O76" s="63"/>
      <c r="P76" s="63"/>
      <c r="Q76" s="63"/>
      <c r="R76" s="63"/>
      <c r="S76" s="63"/>
      <c r="T76" s="2"/>
      <c r="U76" s="2"/>
      <c r="V76" s="63"/>
      <c r="W76" s="144"/>
      <c r="X76" s="10"/>
      <c r="Y76" s="2"/>
      <c r="Z76" s="2"/>
    </row>
    <row r="77" spans="1:26" ht="18.75" customHeight="1" x14ac:dyDescent="0.3">
      <c r="A77" s="2" t="s">
        <v>659</v>
      </c>
      <c r="B77" s="216">
        <f>1536400/1.60934</f>
        <v>954677.07258876308</v>
      </c>
      <c r="C77" s="63"/>
      <c r="D77" s="63"/>
      <c r="E77" s="63"/>
      <c r="F77" s="10"/>
      <c r="G77" s="63"/>
      <c r="H77" s="10"/>
      <c r="I77" s="10"/>
      <c r="J77" s="10"/>
      <c r="K77" s="63"/>
      <c r="L77" s="63"/>
      <c r="M77" s="63"/>
      <c r="N77" s="63"/>
      <c r="O77" s="63"/>
      <c r="P77" s="63"/>
      <c r="Q77" s="63"/>
      <c r="R77" s="63"/>
      <c r="S77" s="63"/>
      <c r="T77" s="2"/>
      <c r="U77" s="2"/>
      <c r="V77" s="63"/>
      <c r="W77" s="144"/>
      <c r="X77" s="10"/>
      <c r="Y77" s="2"/>
      <c r="Z77" s="2"/>
    </row>
    <row r="78" spans="1:26" ht="18.75" customHeight="1" x14ac:dyDescent="0.3">
      <c r="A78" s="2" t="s">
        <v>660</v>
      </c>
      <c r="B78" s="216">
        <f>1919450/1.60934</f>
        <v>1192693.8993624717</v>
      </c>
      <c r="C78" s="63"/>
      <c r="D78" s="63"/>
      <c r="E78" s="63"/>
      <c r="F78" s="10"/>
      <c r="G78" s="63"/>
      <c r="H78" s="10"/>
      <c r="I78" s="10"/>
      <c r="J78" s="10"/>
      <c r="K78" s="63"/>
      <c r="L78" s="63"/>
      <c r="M78" s="63"/>
      <c r="N78" s="63"/>
      <c r="O78" s="63"/>
      <c r="P78" s="63"/>
      <c r="Q78" s="63"/>
      <c r="R78" s="63"/>
      <c r="S78" s="63"/>
      <c r="T78" s="2"/>
      <c r="U78" s="2"/>
      <c r="V78" s="63"/>
      <c r="W78" s="144"/>
      <c r="X78" s="10"/>
      <c r="Y78" s="2"/>
      <c r="Z78" s="2"/>
    </row>
    <row r="79" spans="1:26" ht="18.75" customHeight="1" x14ac:dyDescent="0.3">
      <c r="A79" s="2" t="s">
        <v>661</v>
      </c>
      <c r="B79" s="216">
        <f>3071750/1.60934</f>
        <v>1908701.7038040438</v>
      </c>
      <c r="C79" s="63"/>
      <c r="D79" s="63"/>
      <c r="E79" s="63"/>
      <c r="F79" s="10"/>
      <c r="G79" s="63"/>
      <c r="H79" s="10"/>
      <c r="I79" s="10"/>
      <c r="J79" s="10"/>
      <c r="K79" s="63"/>
      <c r="L79" s="63"/>
      <c r="M79" s="63"/>
      <c r="N79" s="63"/>
      <c r="O79" s="63"/>
      <c r="P79" s="63"/>
      <c r="Q79" s="63"/>
      <c r="R79" s="63"/>
      <c r="S79" s="63"/>
      <c r="T79" s="2"/>
      <c r="U79" s="2"/>
      <c r="V79" s="63"/>
      <c r="W79" s="144"/>
      <c r="X79" s="10"/>
      <c r="Y79" s="2"/>
      <c r="Z79" s="2"/>
    </row>
    <row r="80" spans="1:26" ht="18.75" customHeight="1" x14ac:dyDescent="0.3">
      <c r="A80" s="2" t="s">
        <v>662</v>
      </c>
      <c r="B80" s="216">
        <f>1536400/1.60934</f>
        <v>954677.07258876308</v>
      </c>
      <c r="C80" s="63"/>
      <c r="D80" s="63"/>
      <c r="E80" s="63"/>
      <c r="F80" s="10"/>
      <c r="G80" s="63"/>
      <c r="H80" s="10"/>
      <c r="I80" s="10"/>
      <c r="J80" s="10"/>
      <c r="K80" s="63"/>
      <c r="L80" s="63"/>
      <c r="M80" s="63"/>
      <c r="N80" s="63"/>
      <c r="O80" s="63"/>
      <c r="P80" s="63"/>
      <c r="Q80" s="63"/>
      <c r="R80" s="63"/>
      <c r="S80" s="63"/>
      <c r="T80" s="2"/>
      <c r="U80" s="2"/>
      <c r="V80" s="63"/>
      <c r="W80" s="144"/>
      <c r="X80" s="10"/>
      <c r="Y80" s="2"/>
      <c r="Z80" s="2"/>
    </row>
    <row r="81" spans="1:26" ht="18.75" customHeight="1" x14ac:dyDescent="0.3">
      <c r="A81" s="2" t="s">
        <v>663</v>
      </c>
      <c r="B81" s="216">
        <f>1613200/1.60934</f>
        <v>1002398.4987634682</v>
      </c>
      <c r="C81" s="63"/>
      <c r="D81" s="63"/>
      <c r="E81" s="63"/>
      <c r="F81" s="10"/>
      <c r="G81" s="63"/>
      <c r="H81" s="10"/>
      <c r="I81" s="10"/>
      <c r="J81" s="10"/>
      <c r="K81" s="63"/>
      <c r="L81" s="63"/>
      <c r="M81" s="63"/>
      <c r="N81" s="63"/>
      <c r="O81" s="63"/>
      <c r="P81" s="63"/>
      <c r="Q81" s="63"/>
      <c r="R81" s="63"/>
      <c r="S81" s="63"/>
      <c r="T81" s="2"/>
      <c r="U81" s="2"/>
      <c r="V81" s="63"/>
      <c r="W81" s="144"/>
      <c r="X81" s="10"/>
      <c r="Y81" s="2"/>
      <c r="Z81" s="2"/>
    </row>
    <row r="82" spans="1:26" ht="18.75" customHeight="1" x14ac:dyDescent="0.3">
      <c r="A82" s="2"/>
      <c r="B82" s="63"/>
      <c r="C82" s="63"/>
      <c r="D82" s="63"/>
      <c r="E82" s="63"/>
      <c r="F82" s="10"/>
      <c r="G82" s="63"/>
      <c r="H82" s="10"/>
      <c r="I82" s="10"/>
      <c r="J82" s="10"/>
      <c r="K82" s="63"/>
      <c r="L82" s="63"/>
      <c r="M82" s="63"/>
      <c r="N82" s="63"/>
      <c r="O82" s="63"/>
      <c r="P82" s="63"/>
      <c r="Q82" s="63"/>
      <c r="R82" s="63"/>
      <c r="S82" s="63"/>
      <c r="T82" s="2"/>
      <c r="U82" s="2"/>
      <c r="V82" s="63"/>
      <c r="W82" s="144"/>
      <c r="X82" s="10"/>
      <c r="Y82" s="2"/>
      <c r="Z82" s="2"/>
    </row>
    <row r="83" spans="1:26" ht="18.75" customHeight="1" x14ac:dyDescent="0.3">
      <c r="A83" s="186" t="s">
        <v>664</v>
      </c>
      <c r="B83" s="63" t="s">
        <v>665</v>
      </c>
      <c r="C83" s="63"/>
      <c r="D83" s="63"/>
      <c r="E83" s="63"/>
      <c r="F83" s="10"/>
      <c r="G83" s="63"/>
      <c r="H83" s="10"/>
      <c r="I83" s="10"/>
      <c r="J83" s="10"/>
      <c r="K83" s="63"/>
      <c r="L83" s="63"/>
      <c r="M83" s="63"/>
      <c r="N83" s="63"/>
      <c r="O83" s="63"/>
      <c r="P83" s="63"/>
      <c r="Q83" s="63"/>
      <c r="R83" s="63"/>
      <c r="S83" s="63"/>
      <c r="T83" s="2"/>
      <c r="U83" s="2"/>
      <c r="V83" s="63"/>
      <c r="W83" s="144"/>
      <c r="X83" s="10"/>
      <c r="Y83" s="2"/>
      <c r="Z83" s="2"/>
    </row>
    <row r="84" spans="1:26" ht="18.75" customHeight="1" x14ac:dyDescent="0.3">
      <c r="A84" s="2"/>
      <c r="B84" s="63"/>
      <c r="C84" s="63"/>
      <c r="D84" s="63"/>
      <c r="E84" s="63"/>
      <c r="F84" s="10"/>
      <c r="G84" s="63"/>
      <c r="H84" s="10"/>
      <c r="I84" s="10"/>
      <c r="J84" s="10"/>
      <c r="K84" s="63"/>
      <c r="L84" s="63"/>
      <c r="M84" s="63"/>
      <c r="N84" s="63"/>
      <c r="O84" s="63"/>
      <c r="P84" s="63"/>
      <c r="Q84" s="63"/>
      <c r="R84" s="63"/>
      <c r="S84" s="63"/>
      <c r="T84" s="2"/>
      <c r="U84" s="2"/>
      <c r="V84" s="63"/>
      <c r="W84" s="144"/>
      <c r="X84" s="10"/>
      <c r="Y84" s="2"/>
      <c r="Z84" s="2"/>
    </row>
    <row r="85" spans="1:26" ht="18.75" customHeight="1" x14ac:dyDescent="0.3">
      <c r="A85" s="186" t="s">
        <v>666</v>
      </c>
      <c r="B85" s="63" t="s">
        <v>667</v>
      </c>
      <c r="C85" s="63"/>
      <c r="D85" s="63"/>
      <c r="E85" s="63"/>
      <c r="F85" s="10"/>
      <c r="G85" s="63"/>
      <c r="H85" s="10"/>
      <c r="I85" s="10"/>
      <c r="J85" s="10"/>
      <c r="K85" s="63"/>
      <c r="L85" s="63"/>
      <c r="M85" s="63"/>
      <c r="N85" s="63"/>
      <c r="O85" s="63"/>
      <c r="P85" s="63"/>
      <c r="Q85" s="63"/>
      <c r="R85" s="63"/>
      <c r="S85" s="63"/>
      <c r="T85" s="2"/>
      <c r="U85" s="2"/>
      <c r="V85" s="63"/>
      <c r="W85" s="144"/>
      <c r="X85" s="10"/>
      <c r="Y85" s="2"/>
      <c r="Z85" s="2"/>
    </row>
    <row r="86" spans="1:26" ht="18.75" customHeight="1" x14ac:dyDescent="0.3">
      <c r="A86" s="2"/>
      <c r="B86" s="63"/>
      <c r="C86" s="63"/>
      <c r="D86" s="63"/>
      <c r="E86" s="63"/>
      <c r="F86" s="10"/>
      <c r="G86" s="63"/>
      <c r="H86" s="10"/>
      <c r="I86" s="10"/>
      <c r="J86" s="10"/>
      <c r="K86" s="63"/>
      <c r="L86" s="63"/>
      <c r="M86" s="63"/>
      <c r="N86" s="63"/>
      <c r="O86" s="63"/>
      <c r="P86" s="63"/>
      <c r="Q86" s="63"/>
      <c r="R86" s="63"/>
      <c r="S86" s="63"/>
      <c r="T86" s="2"/>
      <c r="U86" s="2"/>
      <c r="V86" s="63"/>
      <c r="W86" s="144"/>
      <c r="X86" s="10"/>
      <c r="Y86" s="2"/>
      <c r="Z86" s="2"/>
    </row>
    <row r="87" spans="1:26" ht="18.75" customHeight="1" x14ac:dyDescent="0.3">
      <c r="A87" s="186" t="s">
        <v>588</v>
      </c>
      <c r="B87" s="63"/>
      <c r="C87" s="63"/>
      <c r="D87" s="63"/>
      <c r="E87" s="63"/>
      <c r="F87" s="10"/>
      <c r="G87" s="63"/>
      <c r="H87" s="10"/>
      <c r="I87" s="10"/>
      <c r="J87" s="10"/>
      <c r="K87" s="63"/>
      <c r="L87" s="63"/>
      <c r="M87" s="63"/>
      <c r="N87" s="63"/>
      <c r="O87" s="63"/>
      <c r="P87" s="63"/>
      <c r="Q87" s="63"/>
      <c r="R87" s="63"/>
      <c r="S87" s="63"/>
      <c r="T87" s="2"/>
      <c r="U87" s="2"/>
      <c r="V87" s="63"/>
      <c r="W87" s="144"/>
      <c r="X87" s="10"/>
      <c r="Y87" s="2"/>
      <c r="Z87" s="2"/>
    </row>
    <row r="88" spans="1:26" ht="18.75" customHeight="1" x14ac:dyDescent="0.3">
      <c r="A88" s="2"/>
      <c r="B88" s="63"/>
      <c r="C88" s="63"/>
      <c r="D88" s="63"/>
      <c r="E88" s="63"/>
      <c r="F88" s="10"/>
      <c r="G88" s="63"/>
      <c r="H88" s="10"/>
      <c r="I88" s="10"/>
      <c r="J88" s="10"/>
      <c r="K88" s="63"/>
      <c r="L88" s="63"/>
      <c r="M88" s="63"/>
      <c r="N88" s="63"/>
      <c r="O88" s="63"/>
      <c r="P88" s="63"/>
      <c r="Q88" s="63"/>
      <c r="R88" s="63"/>
      <c r="S88" s="63"/>
      <c r="T88" s="2"/>
      <c r="U88" s="2"/>
      <c r="V88" s="63"/>
      <c r="W88" s="144"/>
      <c r="X88" s="10"/>
      <c r="Y88" s="2"/>
      <c r="Z88" s="2"/>
    </row>
    <row r="89" spans="1:26" ht="18.75" customHeight="1" x14ac:dyDescent="0.3">
      <c r="A89" s="2" t="s">
        <v>668</v>
      </c>
      <c r="B89" s="63" t="s">
        <v>669</v>
      </c>
      <c r="C89" s="63" t="s">
        <v>670</v>
      </c>
      <c r="D89" s="63" t="s">
        <v>671</v>
      </c>
      <c r="E89" s="63" t="s">
        <v>672</v>
      </c>
      <c r="F89" s="10" t="s">
        <v>673</v>
      </c>
      <c r="G89" s="63" t="s">
        <v>674</v>
      </c>
      <c r="H89" s="10" t="s">
        <v>675</v>
      </c>
      <c r="I89" s="10"/>
      <c r="J89" s="10"/>
      <c r="K89" s="63"/>
      <c r="L89" s="63"/>
      <c r="M89" s="63"/>
      <c r="N89" s="63"/>
      <c r="O89" s="63"/>
      <c r="P89" s="63"/>
      <c r="Q89" s="63"/>
      <c r="R89" s="63"/>
      <c r="S89" s="63"/>
      <c r="T89" s="2"/>
      <c r="U89" s="2"/>
      <c r="V89" s="63"/>
      <c r="W89" s="144"/>
      <c r="X89" s="10"/>
      <c r="Y89" s="2" t="s">
        <v>676</v>
      </c>
      <c r="Z89" s="2"/>
    </row>
    <row r="90" spans="1:26" ht="18.75" customHeight="1" x14ac:dyDescent="0.3">
      <c r="A90" s="2" t="s">
        <v>677</v>
      </c>
      <c r="B90" s="21">
        <v>43300</v>
      </c>
      <c r="C90" s="21">
        <v>7500</v>
      </c>
      <c r="D90" s="63" t="s">
        <v>678</v>
      </c>
      <c r="E90" s="21">
        <v>4</v>
      </c>
      <c r="F90" s="22">
        <f>81*1.60934</f>
        <v>130.35654</v>
      </c>
      <c r="G90" s="21">
        <v>22</v>
      </c>
      <c r="H90" s="22">
        <v>6.6</v>
      </c>
      <c r="I90" s="10"/>
      <c r="J90" s="10"/>
      <c r="K90" s="63"/>
      <c r="L90" s="63"/>
      <c r="M90" s="63"/>
      <c r="N90" s="63"/>
      <c r="O90" s="63"/>
      <c r="P90" s="63"/>
      <c r="Q90" s="63"/>
      <c r="R90" s="63"/>
      <c r="S90" s="63"/>
      <c r="T90" s="2"/>
      <c r="U90" s="2"/>
      <c r="V90" s="63"/>
      <c r="W90" s="144"/>
      <c r="X90" s="10"/>
      <c r="Y90" s="2"/>
      <c r="Z90" s="2"/>
    </row>
    <row r="91" spans="1:26" ht="18.75" customHeight="1" x14ac:dyDescent="0.3">
      <c r="A91" s="2" t="s">
        <v>679</v>
      </c>
      <c r="B91" s="21">
        <v>26000</v>
      </c>
      <c r="C91" s="21">
        <v>7500</v>
      </c>
      <c r="D91" s="63" t="s">
        <v>680</v>
      </c>
      <c r="E91" s="21">
        <v>4</v>
      </c>
      <c r="F91" s="22">
        <f>82*1.60934</f>
        <v>131.96588</v>
      </c>
      <c r="G91" s="21">
        <v>19</v>
      </c>
      <c r="H91" s="22">
        <v>3.3</v>
      </c>
      <c r="I91" s="10"/>
      <c r="J91" s="10"/>
      <c r="K91" s="63"/>
      <c r="L91" s="63"/>
      <c r="M91" s="63"/>
      <c r="N91" s="63"/>
      <c r="O91" s="63"/>
      <c r="P91" s="63"/>
      <c r="Q91" s="63"/>
      <c r="R91" s="63"/>
      <c r="S91" s="63"/>
      <c r="T91" s="2"/>
      <c r="U91" s="2"/>
      <c r="V91" s="63"/>
      <c r="W91" s="144"/>
      <c r="X91" s="10"/>
      <c r="Y91" s="2"/>
      <c r="Z91" s="2"/>
    </row>
    <row r="92" spans="1:26" ht="18.75" customHeight="1" x14ac:dyDescent="0.3">
      <c r="A92" s="2" t="s">
        <v>681</v>
      </c>
      <c r="B92" s="21">
        <v>32600</v>
      </c>
      <c r="C92" s="21">
        <v>7500</v>
      </c>
      <c r="D92" s="63" t="s">
        <v>678</v>
      </c>
      <c r="E92" s="21">
        <v>4</v>
      </c>
      <c r="F92" s="22">
        <f>87*1.60934</f>
        <v>140.01257999999999</v>
      </c>
      <c r="G92" s="21">
        <v>24</v>
      </c>
      <c r="H92" s="22">
        <v>6.6</v>
      </c>
      <c r="I92" s="10"/>
      <c r="J92" s="10"/>
      <c r="K92" s="63"/>
      <c r="L92" s="63"/>
      <c r="M92" s="63"/>
      <c r="N92" s="63"/>
      <c r="O92" s="63"/>
      <c r="P92" s="63"/>
      <c r="Q92" s="63"/>
      <c r="R92" s="63"/>
      <c r="S92" s="63"/>
      <c r="T92" s="2"/>
      <c r="U92" s="2"/>
      <c r="V92" s="63"/>
      <c r="W92" s="144"/>
      <c r="X92" s="10"/>
      <c r="Y92" s="2"/>
      <c r="Z92" s="2"/>
    </row>
    <row r="93" spans="1:26" ht="18.75" customHeight="1" x14ac:dyDescent="0.3">
      <c r="A93" s="2" t="s">
        <v>682</v>
      </c>
      <c r="B93" s="21">
        <v>30000</v>
      </c>
      <c r="C93" s="21">
        <v>7500</v>
      </c>
      <c r="D93" s="63" t="s">
        <v>678</v>
      </c>
      <c r="E93" s="21">
        <v>5</v>
      </c>
      <c r="F93" s="22">
        <f>76*1.60934</f>
        <v>122.30983999999999</v>
      </c>
      <c r="G93" s="21">
        <v>23</v>
      </c>
      <c r="H93" s="22">
        <v>6.6</v>
      </c>
      <c r="I93" s="10"/>
      <c r="J93" s="10"/>
      <c r="K93" s="63"/>
      <c r="L93" s="63"/>
      <c r="M93" s="63"/>
      <c r="N93" s="63"/>
      <c r="O93" s="63"/>
      <c r="P93" s="63"/>
      <c r="Q93" s="63"/>
      <c r="R93" s="63"/>
      <c r="S93" s="63"/>
      <c r="T93" s="2"/>
      <c r="U93" s="2"/>
      <c r="V93" s="63"/>
      <c r="W93" s="144"/>
      <c r="X93" s="10"/>
      <c r="Y93" s="2"/>
      <c r="Z93" s="2"/>
    </row>
    <row r="94" spans="1:26" ht="18.75" customHeight="1" x14ac:dyDescent="0.3">
      <c r="A94" s="2" t="s">
        <v>683</v>
      </c>
      <c r="B94" s="21">
        <v>34500</v>
      </c>
      <c r="C94" s="21">
        <v>7500</v>
      </c>
      <c r="D94" s="63" t="s">
        <v>678</v>
      </c>
      <c r="E94" s="21">
        <v>5</v>
      </c>
      <c r="F94" s="22">
        <f>93*1.60934</f>
        <v>149.66862</v>
      </c>
      <c r="G94" s="21">
        <v>27</v>
      </c>
      <c r="H94" s="22">
        <v>6.6</v>
      </c>
      <c r="I94" s="10"/>
      <c r="J94" s="10"/>
      <c r="K94" s="63"/>
      <c r="L94" s="63"/>
      <c r="M94" s="63"/>
      <c r="N94" s="63"/>
      <c r="O94" s="63"/>
      <c r="P94" s="63"/>
      <c r="Q94" s="63"/>
      <c r="R94" s="63"/>
      <c r="S94" s="63"/>
      <c r="T94" s="2"/>
      <c r="U94" s="2"/>
      <c r="V94" s="63"/>
      <c r="W94" s="144"/>
      <c r="X94" s="10"/>
      <c r="Y94" s="2"/>
      <c r="Z94" s="2"/>
    </row>
    <row r="95" spans="1:26" ht="18.75" customHeight="1" x14ac:dyDescent="0.3">
      <c r="A95" s="2" t="s">
        <v>684</v>
      </c>
      <c r="B95" s="21">
        <v>42400</v>
      </c>
      <c r="C95" s="21">
        <v>7500</v>
      </c>
      <c r="D95" s="63" t="s">
        <v>678</v>
      </c>
      <c r="E95" s="21">
        <v>5</v>
      </c>
      <c r="F95" s="22">
        <f>85*1.60934</f>
        <v>136.79390000000001</v>
      </c>
      <c r="G95" s="21">
        <v>28</v>
      </c>
      <c r="H95" s="217">
        <v>10</v>
      </c>
      <c r="I95" s="10"/>
      <c r="J95" s="10"/>
      <c r="K95" s="63"/>
      <c r="L95" s="63"/>
      <c r="M95" s="63"/>
      <c r="N95" s="63"/>
      <c r="O95" s="63"/>
      <c r="P95" s="63"/>
      <c r="Q95" s="63"/>
      <c r="R95" s="63"/>
      <c r="S95" s="63"/>
      <c r="T95" s="2"/>
      <c r="U95" s="2"/>
      <c r="V95" s="63"/>
      <c r="W95" s="144"/>
      <c r="X95" s="10"/>
      <c r="Y95" s="2"/>
      <c r="Z95" s="2"/>
    </row>
    <row r="96" spans="1:26" ht="18.75" customHeight="1" x14ac:dyDescent="0.3">
      <c r="A96" s="2" t="s">
        <v>685</v>
      </c>
      <c r="B96" s="21">
        <v>23800</v>
      </c>
      <c r="C96" s="21">
        <v>7500</v>
      </c>
      <c r="D96" s="63" t="s">
        <v>678</v>
      </c>
      <c r="E96" s="21">
        <v>4</v>
      </c>
      <c r="F96" s="22">
        <f>62*1.60934</f>
        <v>99.779079999999993</v>
      </c>
      <c r="G96" s="21">
        <v>16</v>
      </c>
      <c r="H96" s="22">
        <v>3.3</v>
      </c>
      <c r="I96" s="10"/>
      <c r="J96" s="10"/>
      <c r="K96" s="63"/>
      <c r="L96" s="63"/>
      <c r="M96" s="63"/>
      <c r="N96" s="63"/>
      <c r="O96" s="63"/>
      <c r="P96" s="63"/>
      <c r="Q96" s="63"/>
      <c r="R96" s="63"/>
      <c r="S96" s="63"/>
      <c r="T96" s="2"/>
      <c r="U96" s="2"/>
      <c r="V96" s="63"/>
      <c r="W96" s="144"/>
      <c r="X96" s="10"/>
      <c r="Y96" s="2"/>
      <c r="Z96" s="2"/>
    </row>
    <row r="97" spans="1:26" ht="18.75" customHeight="1" x14ac:dyDescent="0.3">
      <c r="A97" s="2" t="s">
        <v>686</v>
      </c>
      <c r="B97" s="21">
        <v>29800</v>
      </c>
      <c r="C97" s="21">
        <v>7500</v>
      </c>
      <c r="D97" s="63" t="s">
        <v>678</v>
      </c>
      <c r="E97" s="21">
        <v>5</v>
      </c>
      <c r="F97" s="22">
        <f>84*1.60934</f>
        <v>135.18456</v>
      </c>
      <c r="G97" s="21">
        <v>24</v>
      </c>
      <c r="H97" s="22">
        <v>6.6</v>
      </c>
      <c r="I97" s="10"/>
      <c r="J97" s="10"/>
      <c r="K97" s="63"/>
      <c r="L97" s="63"/>
      <c r="M97" s="63"/>
      <c r="N97" s="63"/>
      <c r="O97" s="63"/>
      <c r="P97" s="63"/>
      <c r="Q97" s="63"/>
      <c r="R97" s="63"/>
      <c r="S97" s="63"/>
      <c r="T97" s="2"/>
      <c r="U97" s="2"/>
      <c r="V97" s="63"/>
      <c r="W97" s="144"/>
      <c r="X97" s="10"/>
      <c r="Y97" s="2"/>
      <c r="Z97" s="2"/>
    </row>
    <row r="98" spans="1:26" ht="18.75" customHeight="1" x14ac:dyDescent="0.3">
      <c r="A98" s="2" t="s">
        <v>687</v>
      </c>
      <c r="B98" s="21">
        <v>25700</v>
      </c>
      <c r="C98" s="21">
        <v>7500</v>
      </c>
      <c r="D98" s="63" t="s">
        <v>680</v>
      </c>
      <c r="E98" s="21">
        <v>2</v>
      </c>
      <c r="F98" s="22">
        <f>68*1.60934</f>
        <v>109.43512</v>
      </c>
      <c r="G98" s="21">
        <v>17</v>
      </c>
      <c r="H98" s="22">
        <v>3.3</v>
      </c>
      <c r="I98" s="10"/>
      <c r="J98" s="10"/>
      <c r="K98" s="63"/>
      <c r="L98" s="63"/>
      <c r="M98" s="63"/>
      <c r="N98" s="63"/>
      <c r="O98" s="63"/>
      <c r="P98" s="63"/>
      <c r="Q98" s="63"/>
      <c r="R98" s="63"/>
      <c r="S98" s="63"/>
      <c r="T98" s="2"/>
      <c r="U98" s="2"/>
      <c r="V98" s="63"/>
      <c r="W98" s="144"/>
      <c r="X98" s="10"/>
      <c r="Y98" s="2"/>
      <c r="Z98" s="2"/>
    </row>
    <row r="99" spans="1:26" ht="18.75" customHeight="1" x14ac:dyDescent="0.3">
      <c r="A99" s="2" t="s">
        <v>688</v>
      </c>
      <c r="B99" s="21">
        <v>71000</v>
      </c>
      <c r="C99" s="21">
        <v>7500</v>
      </c>
      <c r="D99" s="63" t="s">
        <v>678</v>
      </c>
      <c r="E99" s="21">
        <v>5</v>
      </c>
      <c r="F99" s="22">
        <f>265*1.60934</f>
        <v>426.4751</v>
      </c>
      <c r="G99" s="21">
        <v>85</v>
      </c>
      <c r="H99" s="217">
        <v>10</v>
      </c>
      <c r="I99" s="10"/>
      <c r="J99" s="10"/>
      <c r="K99" s="63"/>
      <c r="L99" s="63"/>
      <c r="M99" s="63"/>
      <c r="N99" s="63"/>
      <c r="O99" s="63"/>
      <c r="P99" s="63"/>
      <c r="Q99" s="63"/>
      <c r="R99" s="63"/>
      <c r="S99" s="63"/>
      <c r="T99" s="2"/>
      <c r="U99" s="2"/>
      <c r="V99" s="63"/>
      <c r="W99" s="144"/>
      <c r="X99" s="10"/>
      <c r="Y99" s="2"/>
      <c r="Z99" s="2"/>
    </row>
    <row r="100" spans="1:26" ht="18.75" customHeight="1" x14ac:dyDescent="0.3">
      <c r="A100" s="2" t="s">
        <v>689</v>
      </c>
      <c r="B100" s="21">
        <v>36300</v>
      </c>
      <c r="C100" s="21">
        <v>7500</v>
      </c>
      <c r="D100" s="63" t="s">
        <v>678</v>
      </c>
      <c r="E100" s="21">
        <v>5</v>
      </c>
      <c r="F100" s="22">
        <f>83*1.60934</f>
        <v>133.57522</v>
      </c>
      <c r="G100" s="21">
        <v>24</v>
      </c>
      <c r="H100" s="22">
        <v>7.2</v>
      </c>
      <c r="I100" s="10"/>
      <c r="J100" s="10"/>
      <c r="K100" s="63"/>
      <c r="L100" s="63"/>
      <c r="M100" s="63"/>
      <c r="N100" s="63"/>
      <c r="O100" s="63"/>
      <c r="P100" s="63"/>
      <c r="Q100" s="63"/>
      <c r="R100" s="63"/>
      <c r="S100" s="63"/>
      <c r="T100" s="2"/>
      <c r="U100" s="2"/>
      <c r="V100" s="63"/>
      <c r="W100" s="144"/>
      <c r="X100" s="10"/>
      <c r="Y100" s="2"/>
      <c r="Z100" s="2"/>
    </row>
    <row r="101" spans="1:26" ht="18.75" customHeight="1" x14ac:dyDescent="0.3">
      <c r="A101" s="2" t="s">
        <v>690</v>
      </c>
      <c r="B101" s="21">
        <v>80000</v>
      </c>
      <c r="C101" s="21">
        <v>7500</v>
      </c>
      <c r="D101" s="63" t="s">
        <v>691</v>
      </c>
      <c r="E101" s="21">
        <v>7</v>
      </c>
      <c r="F101" s="22">
        <f>230*1.60934</f>
        <v>370.14819999999997</v>
      </c>
      <c r="G101" s="21">
        <v>85</v>
      </c>
      <c r="H101" s="217">
        <v>10</v>
      </c>
      <c r="I101" s="10"/>
      <c r="J101" s="10"/>
      <c r="K101" s="63"/>
      <c r="L101" s="63"/>
      <c r="M101" s="63"/>
      <c r="N101" s="63"/>
      <c r="O101" s="63"/>
      <c r="P101" s="63"/>
      <c r="Q101" s="63"/>
      <c r="R101" s="63"/>
      <c r="S101" s="63"/>
      <c r="T101" s="2"/>
      <c r="U101" s="2"/>
      <c r="V101" s="63"/>
      <c r="W101" s="144"/>
      <c r="X101" s="10"/>
      <c r="Y101" s="2"/>
      <c r="Z101" s="2"/>
    </row>
    <row r="102" spans="1:26" ht="18.75" customHeight="1" x14ac:dyDescent="0.3">
      <c r="A102" s="2"/>
      <c r="B102" s="63"/>
      <c r="C102" s="63"/>
      <c r="D102" s="63"/>
      <c r="E102" s="63"/>
      <c r="F102" s="10"/>
      <c r="G102" s="63"/>
      <c r="H102" s="10"/>
      <c r="I102" s="10"/>
      <c r="J102" s="10"/>
      <c r="K102" s="63"/>
      <c r="L102" s="63"/>
      <c r="M102" s="63"/>
      <c r="N102" s="63"/>
      <c r="O102" s="63"/>
      <c r="P102" s="63"/>
      <c r="Q102" s="63"/>
      <c r="R102" s="63"/>
      <c r="S102" s="63"/>
      <c r="T102" s="2"/>
      <c r="U102" s="2"/>
      <c r="V102" s="63"/>
      <c r="W102" s="144"/>
      <c r="X102" s="10"/>
      <c r="Y102" s="2"/>
      <c r="Z102" s="2"/>
    </row>
    <row r="103" spans="1:26" ht="18.75" customHeight="1" x14ac:dyDescent="0.3">
      <c r="A103" s="2" t="s">
        <v>692</v>
      </c>
      <c r="B103" s="63" t="s">
        <v>669</v>
      </c>
      <c r="C103" s="63" t="s">
        <v>693</v>
      </c>
      <c r="D103" s="63" t="s">
        <v>671</v>
      </c>
      <c r="E103" s="63" t="s">
        <v>672</v>
      </c>
      <c r="F103" s="10" t="s">
        <v>694</v>
      </c>
      <c r="G103" s="63" t="s">
        <v>695</v>
      </c>
      <c r="H103" s="10"/>
      <c r="I103" s="10"/>
      <c r="J103" s="10"/>
      <c r="K103" s="63"/>
      <c r="L103" s="63"/>
      <c r="M103" s="63"/>
      <c r="N103" s="63"/>
      <c r="O103" s="63"/>
      <c r="P103" s="63"/>
      <c r="Q103" s="63"/>
      <c r="R103" s="63"/>
      <c r="S103" s="63"/>
      <c r="T103" s="2"/>
      <c r="U103" s="2"/>
      <c r="V103" s="63"/>
      <c r="W103" s="144"/>
      <c r="X103" s="10"/>
      <c r="Y103" s="2"/>
      <c r="Z103" s="2"/>
    </row>
    <row r="104" spans="1:26" ht="18.75" customHeight="1" x14ac:dyDescent="0.3">
      <c r="A104" s="2" t="s">
        <v>696</v>
      </c>
      <c r="B104" s="21">
        <v>14930</v>
      </c>
      <c r="C104" s="63"/>
      <c r="D104" s="63" t="s">
        <v>680</v>
      </c>
      <c r="E104" s="21">
        <v>2</v>
      </c>
      <c r="F104" s="10" t="s">
        <v>697</v>
      </c>
      <c r="G104" s="63" t="s">
        <v>698</v>
      </c>
      <c r="H104" s="10"/>
      <c r="I104" s="10"/>
      <c r="J104" s="10"/>
      <c r="K104" s="63"/>
      <c r="L104" s="63"/>
      <c r="M104" s="63"/>
      <c r="N104" s="63"/>
      <c r="O104" s="63"/>
      <c r="P104" s="63"/>
      <c r="Q104" s="63"/>
      <c r="R104" s="63"/>
      <c r="S104" s="63"/>
      <c r="T104" s="2"/>
      <c r="U104" s="2"/>
      <c r="V104" s="63"/>
      <c r="W104" s="144"/>
      <c r="X104" s="10"/>
      <c r="Y104" s="2" t="s">
        <v>699</v>
      </c>
      <c r="Z104" s="2"/>
    </row>
    <row r="105" spans="1:26" ht="18.75" customHeight="1" x14ac:dyDescent="0.3">
      <c r="A105" s="2" t="s">
        <v>700</v>
      </c>
      <c r="B105" s="21">
        <v>16745</v>
      </c>
      <c r="C105" s="63"/>
      <c r="D105" s="63" t="s">
        <v>678</v>
      </c>
      <c r="E105" s="21">
        <v>4</v>
      </c>
      <c r="F105" s="10" t="s">
        <v>701</v>
      </c>
      <c r="G105" s="63"/>
      <c r="H105" s="10"/>
      <c r="I105" s="10"/>
      <c r="J105" s="10"/>
      <c r="K105" s="63"/>
      <c r="L105" s="63"/>
      <c r="M105" s="63"/>
      <c r="N105" s="63"/>
      <c r="O105" s="63"/>
      <c r="P105" s="63"/>
      <c r="Q105" s="63"/>
      <c r="R105" s="63"/>
      <c r="S105" s="63"/>
      <c r="T105" s="2"/>
      <c r="U105" s="2"/>
      <c r="V105" s="63"/>
      <c r="W105" s="144"/>
      <c r="X105" s="10"/>
      <c r="Y105" s="2" t="s">
        <v>702</v>
      </c>
      <c r="Z105" s="2"/>
    </row>
    <row r="106" spans="1:26" ht="18.75" customHeight="1" x14ac:dyDescent="0.3">
      <c r="A106" s="2" t="s">
        <v>703</v>
      </c>
      <c r="B106" s="21">
        <v>17170</v>
      </c>
      <c r="C106" s="63"/>
      <c r="D106" s="63" t="s">
        <v>678</v>
      </c>
      <c r="E106" s="21">
        <v>5</v>
      </c>
      <c r="F106" s="10" t="s">
        <v>704</v>
      </c>
      <c r="G106" s="63"/>
      <c r="H106" s="10"/>
      <c r="I106" s="10"/>
      <c r="J106" s="10"/>
      <c r="K106" s="63"/>
      <c r="L106" s="63"/>
      <c r="M106" s="63"/>
      <c r="N106" s="63"/>
      <c r="O106" s="63"/>
      <c r="P106" s="63"/>
      <c r="Q106" s="63"/>
      <c r="R106" s="63"/>
      <c r="S106" s="63"/>
      <c r="T106" s="2"/>
      <c r="U106" s="2"/>
      <c r="V106" s="63"/>
      <c r="W106" s="144"/>
      <c r="X106" s="10"/>
      <c r="Y106" s="2" t="s">
        <v>705</v>
      </c>
      <c r="Z106" s="2"/>
    </row>
    <row r="107" spans="1:26" ht="18.75" customHeight="1" x14ac:dyDescent="0.3">
      <c r="A107" s="2" t="s">
        <v>706</v>
      </c>
      <c r="B107" s="21">
        <v>30700</v>
      </c>
      <c r="C107" s="63"/>
      <c r="D107" s="63" t="s">
        <v>707</v>
      </c>
      <c r="E107" s="21">
        <v>7</v>
      </c>
      <c r="F107" s="10" t="s">
        <v>708</v>
      </c>
      <c r="G107" s="63"/>
      <c r="H107" s="10"/>
      <c r="I107" s="10"/>
      <c r="J107" s="10"/>
      <c r="K107" s="63"/>
      <c r="L107" s="63"/>
      <c r="M107" s="63"/>
      <c r="N107" s="63"/>
      <c r="O107" s="63"/>
      <c r="P107" s="63"/>
      <c r="Q107" s="63"/>
      <c r="R107" s="63"/>
      <c r="S107" s="63"/>
      <c r="T107" s="2"/>
      <c r="U107" s="2"/>
      <c r="V107" s="63"/>
      <c r="W107" s="144"/>
      <c r="X107" s="10"/>
      <c r="Y107" s="2" t="s">
        <v>699</v>
      </c>
      <c r="Z107" s="2"/>
    </row>
    <row r="108" spans="1:26" ht="18.75" customHeight="1" x14ac:dyDescent="0.3">
      <c r="A108" s="2"/>
      <c r="B108" s="63"/>
      <c r="C108" s="63"/>
      <c r="D108" s="63"/>
      <c r="E108" s="63"/>
      <c r="F108" s="10"/>
      <c r="G108" s="63"/>
      <c r="H108" s="10"/>
      <c r="I108" s="10"/>
      <c r="J108" s="10"/>
      <c r="K108" s="63"/>
      <c r="L108" s="63"/>
      <c r="M108" s="63"/>
      <c r="N108" s="63"/>
      <c r="O108" s="63"/>
      <c r="P108" s="63"/>
      <c r="Q108" s="63"/>
      <c r="R108" s="63"/>
      <c r="S108" s="63"/>
      <c r="T108" s="2"/>
      <c r="U108" s="2"/>
      <c r="V108" s="63"/>
      <c r="W108" s="144"/>
      <c r="X108" s="10"/>
      <c r="Y108" s="2"/>
      <c r="Z108" s="2"/>
    </row>
    <row r="109" spans="1:26" ht="18.75" customHeight="1" x14ac:dyDescent="0.3">
      <c r="A109" s="2"/>
      <c r="B109" s="63"/>
      <c r="C109" s="63"/>
      <c r="D109" s="63"/>
      <c r="E109" s="63"/>
      <c r="F109" s="10"/>
      <c r="G109" s="63"/>
      <c r="H109" s="10" t="s">
        <v>709</v>
      </c>
      <c r="I109" s="10" t="s">
        <v>710</v>
      </c>
      <c r="J109" s="10"/>
      <c r="K109" s="63"/>
      <c r="L109" s="63"/>
      <c r="M109" s="63"/>
      <c r="N109" s="63"/>
      <c r="O109" s="63"/>
      <c r="P109" s="63"/>
      <c r="Q109" s="63"/>
      <c r="R109" s="63"/>
      <c r="S109" s="63"/>
      <c r="T109" s="2"/>
      <c r="U109" s="2"/>
      <c r="V109" s="63"/>
      <c r="W109" s="144"/>
      <c r="X109" s="10"/>
      <c r="Y109" s="2" t="s">
        <v>711</v>
      </c>
      <c r="Z109" s="2"/>
    </row>
    <row r="110" spans="1:26" ht="18.75" customHeight="1" x14ac:dyDescent="0.3">
      <c r="A110" s="2" t="s">
        <v>712</v>
      </c>
      <c r="B110" s="63" t="s">
        <v>713</v>
      </c>
      <c r="C110" s="63"/>
      <c r="D110" s="63"/>
      <c r="E110" s="63"/>
      <c r="F110" s="10"/>
      <c r="G110" s="63"/>
      <c r="H110" s="10" t="s">
        <v>714</v>
      </c>
      <c r="I110" s="22">
        <v>8.6</v>
      </c>
      <c r="J110" s="10"/>
      <c r="K110" s="63"/>
      <c r="L110" s="63"/>
      <c r="M110" s="63"/>
      <c r="N110" s="63"/>
      <c r="O110" s="63"/>
      <c r="P110" s="63"/>
      <c r="Q110" s="63"/>
      <c r="R110" s="63"/>
      <c r="S110" s="63"/>
      <c r="T110" s="2"/>
      <c r="U110" s="2"/>
      <c r="V110" s="63"/>
      <c r="W110" s="144"/>
      <c r="X110" s="10"/>
      <c r="Y110" s="2"/>
      <c r="Z110" s="2"/>
    </row>
    <row r="111" spans="1:26" ht="18.75" customHeight="1" x14ac:dyDescent="0.3">
      <c r="A111" s="2"/>
      <c r="B111" s="63"/>
      <c r="C111" s="63"/>
      <c r="D111" s="63"/>
      <c r="E111" s="63"/>
      <c r="F111" s="10"/>
      <c r="G111" s="63"/>
      <c r="H111" s="10" t="s">
        <v>715</v>
      </c>
      <c r="I111" s="22">
        <v>9.9</v>
      </c>
      <c r="J111" s="10"/>
      <c r="K111" s="63"/>
      <c r="L111" s="63"/>
      <c r="M111" s="63"/>
      <c r="N111" s="63"/>
      <c r="O111" s="63"/>
      <c r="P111" s="63"/>
      <c r="Q111" s="63"/>
      <c r="R111" s="63"/>
      <c r="S111" s="63"/>
      <c r="T111" s="2"/>
      <c r="U111" s="2"/>
      <c r="V111" s="63"/>
      <c r="W111" s="144"/>
      <c r="X111" s="10"/>
      <c r="Y111" s="2"/>
      <c r="Z111" s="2"/>
    </row>
    <row r="112" spans="1:26" ht="18.75" customHeight="1" x14ac:dyDescent="0.3">
      <c r="A112" s="2"/>
      <c r="B112" s="63"/>
      <c r="C112" s="63"/>
      <c r="D112" s="63"/>
      <c r="E112" s="63"/>
      <c r="F112" s="10"/>
      <c r="G112" s="63"/>
      <c r="H112" s="10" t="s">
        <v>716</v>
      </c>
      <c r="I112" s="22">
        <v>12.5</v>
      </c>
      <c r="J112" s="10"/>
      <c r="K112" s="63"/>
      <c r="L112" s="63"/>
      <c r="M112" s="63"/>
      <c r="N112" s="63"/>
      <c r="O112" s="63"/>
      <c r="P112" s="63"/>
      <c r="Q112" s="63"/>
      <c r="R112" s="63"/>
      <c r="S112" s="63"/>
      <c r="T112" s="2"/>
      <c r="U112" s="2"/>
      <c r="V112" s="63"/>
      <c r="W112" s="144"/>
      <c r="X112" s="10"/>
      <c r="Y112" s="2"/>
      <c r="Z112" s="2"/>
    </row>
    <row r="113" spans="1:26" ht="18.75" customHeight="1" x14ac:dyDescent="0.3">
      <c r="A113" s="2"/>
      <c r="B113" s="63"/>
      <c r="C113" s="63"/>
      <c r="D113" s="63"/>
      <c r="E113" s="63"/>
      <c r="F113" s="10"/>
      <c r="G113" s="63"/>
      <c r="H113" s="10" t="s">
        <v>717</v>
      </c>
      <c r="I113" s="22">
        <v>15.2</v>
      </c>
      <c r="J113" s="10"/>
      <c r="K113" s="63"/>
      <c r="L113" s="63"/>
      <c r="M113" s="63"/>
      <c r="N113" s="63"/>
      <c r="O113" s="63"/>
      <c r="P113" s="63"/>
      <c r="Q113" s="63"/>
      <c r="R113" s="63"/>
      <c r="S113" s="63"/>
      <c r="T113" s="2"/>
      <c r="U113" s="2"/>
      <c r="V113" s="63"/>
      <c r="W113" s="144"/>
      <c r="X113" s="10"/>
      <c r="Y113" s="2"/>
      <c r="Z113" s="2"/>
    </row>
    <row r="114" spans="1:26" ht="18.75" customHeight="1" x14ac:dyDescent="0.3">
      <c r="A114" s="2"/>
      <c r="B114" s="63" t="s">
        <v>718</v>
      </c>
      <c r="C114" s="63"/>
      <c r="D114" s="63" t="s">
        <v>719</v>
      </c>
      <c r="E114" s="63"/>
      <c r="F114" s="10"/>
      <c r="G114" s="63"/>
      <c r="H114" s="10"/>
      <c r="I114" s="10"/>
      <c r="J114" s="10"/>
      <c r="K114" s="63"/>
      <c r="L114" s="63"/>
      <c r="M114" s="63"/>
      <c r="N114" s="63"/>
      <c r="O114" s="63"/>
      <c r="P114" s="63"/>
      <c r="Q114" s="63"/>
      <c r="R114" s="63"/>
      <c r="S114" s="63"/>
      <c r="T114" s="2"/>
      <c r="U114" s="2"/>
      <c r="V114" s="63"/>
      <c r="W114" s="144"/>
      <c r="X114" s="10"/>
      <c r="Y114" s="2" t="s">
        <v>720</v>
      </c>
      <c r="Z114" s="2"/>
    </row>
    <row r="115" spans="1:26" ht="18.75" customHeight="1" x14ac:dyDescent="0.3">
      <c r="A115" s="2"/>
      <c r="B115" s="63"/>
      <c r="C115" s="63"/>
      <c r="D115" s="63" t="s">
        <v>721</v>
      </c>
      <c r="E115" s="63"/>
      <c r="F115" s="10"/>
      <c r="G115" s="63"/>
      <c r="H115" s="10"/>
      <c r="I115" s="10"/>
      <c r="J115" s="10"/>
      <c r="K115" s="63"/>
      <c r="L115" s="63"/>
      <c r="M115" s="63"/>
      <c r="N115" s="63"/>
      <c r="O115" s="63"/>
      <c r="P115" s="63"/>
      <c r="Q115" s="63"/>
      <c r="R115" s="63"/>
      <c r="S115" s="63"/>
      <c r="T115" s="2"/>
      <c r="U115" s="2"/>
      <c r="V115" s="63"/>
      <c r="W115" s="144"/>
      <c r="X115" s="10"/>
      <c r="Y115" s="2"/>
      <c r="Z115" s="2"/>
    </row>
    <row r="116" spans="1:26" ht="18.75" customHeight="1" x14ac:dyDescent="0.3">
      <c r="A116" s="2"/>
      <c r="B116" s="63"/>
      <c r="C116" s="63"/>
      <c r="D116" s="63" t="s">
        <v>722</v>
      </c>
      <c r="E116" s="63"/>
      <c r="F116" s="10"/>
      <c r="G116" s="63"/>
      <c r="H116" s="10"/>
      <c r="I116" s="10"/>
      <c r="J116" s="10"/>
      <c r="K116" s="63"/>
      <c r="L116" s="63"/>
      <c r="M116" s="63"/>
      <c r="N116" s="63"/>
      <c r="O116" s="63"/>
      <c r="P116" s="63"/>
      <c r="Q116" s="63"/>
      <c r="R116" s="63"/>
      <c r="S116" s="63"/>
      <c r="T116" s="2"/>
      <c r="U116" s="2"/>
      <c r="V116" s="63"/>
      <c r="W116" s="144"/>
      <c r="X116" s="10"/>
      <c r="Y116" s="2"/>
      <c r="Z116" s="2"/>
    </row>
    <row r="117" spans="1:26" ht="18.75" customHeight="1" x14ac:dyDescent="0.3">
      <c r="A117" s="2"/>
      <c r="B117" s="63" t="s">
        <v>723</v>
      </c>
      <c r="C117" s="63"/>
      <c r="D117" s="63" t="s">
        <v>724</v>
      </c>
      <c r="E117" s="63"/>
      <c r="F117" s="10"/>
      <c r="G117" s="63"/>
      <c r="H117" s="10"/>
      <c r="I117" s="10"/>
      <c r="J117" s="10"/>
      <c r="K117" s="63"/>
      <c r="L117" s="63"/>
      <c r="M117" s="63"/>
      <c r="N117" s="63"/>
      <c r="O117" s="63"/>
      <c r="P117" s="63"/>
      <c r="Q117" s="63"/>
      <c r="R117" s="63"/>
      <c r="S117" s="63"/>
      <c r="T117" s="2"/>
      <c r="U117" s="2"/>
      <c r="V117" s="63"/>
      <c r="W117" s="144"/>
      <c r="X117" s="10"/>
      <c r="Y117" s="2"/>
      <c r="Z117" s="2"/>
    </row>
    <row r="118" spans="1:26" ht="18.75" customHeight="1" x14ac:dyDescent="0.3">
      <c r="A118" s="2"/>
      <c r="B118" s="63" t="s">
        <v>725</v>
      </c>
      <c r="C118" s="63"/>
      <c r="D118" s="63" t="s">
        <v>726</v>
      </c>
      <c r="E118" s="63"/>
      <c r="F118" s="10"/>
      <c r="G118" s="63"/>
      <c r="H118" s="10"/>
      <c r="I118" s="10"/>
      <c r="J118" s="10"/>
      <c r="K118" s="63"/>
      <c r="L118" s="63"/>
      <c r="M118" s="63"/>
      <c r="N118" s="63"/>
      <c r="O118" s="63"/>
      <c r="P118" s="63"/>
      <c r="Q118" s="63"/>
      <c r="R118" s="63"/>
      <c r="S118" s="63"/>
      <c r="T118" s="2"/>
      <c r="U118" s="2"/>
      <c r="V118" s="63"/>
      <c r="W118" s="144"/>
      <c r="X118" s="10"/>
      <c r="Y118" s="2"/>
      <c r="Z118" s="2"/>
    </row>
    <row r="119" spans="1:26" ht="18.75" customHeight="1" x14ac:dyDescent="0.3">
      <c r="A119" s="2"/>
      <c r="B119" s="63" t="s">
        <v>727</v>
      </c>
      <c r="C119" s="63"/>
      <c r="D119" s="63" t="s">
        <v>728</v>
      </c>
      <c r="E119" s="63"/>
      <c r="F119" s="10"/>
      <c r="G119" s="63"/>
      <c r="H119" s="10"/>
      <c r="I119" s="10"/>
      <c r="J119" s="10"/>
      <c r="K119" s="63"/>
      <c r="L119" s="63"/>
      <c r="M119" s="63"/>
      <c r="N119" s="63"/>
      <c r="O119" s="63"/>
      <c r="P119" s="63"/>
      <c r="Q119" s="63"/>
      <c r="R119" s="63"/>
      <c r="S119" s="63"/>
      <c r="T119" s="2"/>
      <c r="U119" s="2"/>
      <c r="V119" s="63"/>
      <c r="W119" s="144"/>
      <c r="X119" s="10"/>
      <c r="Y119" s="2"/>
      <c r="Z119" s="2"/>
    </row>
    <row r="120" spans="1:26" ht="18.75" customHeight="1" x14ac:dyDescent="0.3">
      <c r="A120" s="2"/>
      <c r="B120" s="63"/>
      <c r="C120" s="63"/>
      <c r="D120" s="63" t="s">
        <v>729</v>
      </c>
      <c r="E120" s="63"/>
      <c r="F120" s="10"/>
      <c r="G120" s="63"/>
      <c r="H120" s="10"/>
      <c r="I120" s="10"/>
      <c r="J120" s="10"/>
      <c r="K120" s="63"/>
      <c r="L120" s="63"/>
      <c r="M120" s="63"/>
      <c r="N120" s="63"/>
      <c r="O120" s="63"/>
      <c r="P120" s="63"/>
      <c r="Q120" s="63"/>
      <c r="R120" s="63"/>
      <c r="S120" s="63"/>
      <c r="T120" s="2"/>
      <c r="U120" s="2"/>
      <c r="V120" s="63"/>
      <c r="W120" s="144"/>
      <c r="X120" s="10"/>
      <c r="Y120" s="2"/>
      <c r="Z120" s="2"/>
    </row>
    <row r="121" spans="1:26" ht="18.75" customHeight="1" x14ac:dyDescent="0.3">
      <c r="A121" s="2"/>
      <c r="B121" s="63"/>
      <c r="C121" s="63"/>
      <c r="D121" s="63"/>
      <c r="E121" s="63"/>
      <c r="F121" s="10"/>
      <c r="G121" s="63"/>
      <c r="H121" s="10"/>
      <c r="I121" s="10"/>
      <c r="J121" s="10"/>
      <c r="K121" s="63"/>
      <c r="L121" s="63"/>
      <c r="M121" s="63"/>
      <c r="N121" s="63"/>
      <c r="O121" s="63"/>
      <c r="P121" s="63"/>
      <c r="Q121" s="63"/>
      <c r="R121" s="63"/>
      <c r="S121" s="63"/>
      <c r="T121" s="2"/>
      <c r="U121" s="2"/>
      <c r="V121" s="63"/>
      <c r="W121" s="144"/>
      <c r="X121" s="10"/>
      <c r="Y121" s="2"/>
      <c r="Z121" s="2"/>
    </row>
    <row r="122" spans="1:26" ht="18.75" customHeight="1" x14ac:dyDescent="0.3">
      <c r="A122" s="2"/>
      <c r="B122" s="63" t="s">
        <v>669</v>
      </c>
      <c r="C122" s="63" t="s">
        <v>730</v>
      </c>
      <c r="D122" s="63" t="s">
        <v>671</v>
      </c>
      <c r="E122" s="63" t="s">
        <v>672</v>
      </c>
      <c r="F122" s="10" t="s">
        <v>731</v>
      </c>
      <c r="G122" s="63" t="s">
        <v>732</v>
      </c>
      <c r="H122" s="10" t="s">
        <v>571</v>
      </c>
      <c r="I122" s="10"/>
      <c r="J122" s="10"/>
      <c r="K122" s="63"/>
      <c r="L122" s="63"/>
      <c r="M122" s="63"/>
      <c r="N122" s="63"/>
      <c r="O122" s="63"/>
      <c r="P122" s="63"/>
      <c r="Q122" s="63"/>
      <c r="R122" s="63"/>
      <c r="S122" s="63"/>
      <c r="T122" s="2"/>
      <c r="U122" s="2"/>
      <c r="V122" s="63"/>
      <c r="W122" s="144"/>
      <c r="X122" s="10"/>
      <c r="Y122" s="2" t="s">
        <v>676</v>
      </c>
      <c r="Z122" s="2"/>
    </row>
    <row r="123" spans="1:26" ht="18.75" customHeight="1" x14ac:dyDescent="0.3">
      <c r="A123" s="2" t="s">
        <v>733</v>
      </c>
      <c r="B123" s="21">
        <v>76000</v>
      </c>
      <c r="C123" s="21">
        <v>7500</v>
      </c>
      <c r="D123" s="63" t="s">
        <v>680</v>
      </c>
      <c r="E123" s="21">
        <v>4</v>
      </c>
      <c r="F123" s="22">
        <f>37*1.60934</f>
        <v>59.545580000000001</v>
      </c>
      <c r="G123" s="21">
        <v>17</v>
      </c>
      <c r="H123" s="22">
        <v>3.3</v>
      </c>
      <c r="I123" s="10"/>
      <c r="J123" s="10"/>
      <c r="K123" s="63"/>
      <c r="L123" s="63"/>
      <c r="M123" s="63"/>
      <c r="N123" s="63"/>
      <c r="O123" s="63"/>
      <c r="P123" s="63"/>
      <c r="Q123" s="63"/>
      <c r="R123" s="63"/>
      <c r="S123" s="63"/>
      <c r="T123" s="2"/>
      <c r="U123" s="2"/>
      <c r="V123" s="63"/>
      <c r="W123" s="144"/>
      <c r="X123" s="10"/>
      <c r="Y123" s="2"/>
      <c r="Z123" s="2"/>
    </row>
    <row r="124" spans="1:26" ht="18.75" customHeight="1" x14ac:dyDescent="0.3">
      <c r="A124" s="2" t="s">
        <v>734</v>
      </c>
      <c r="B124" s="21">
        <v>35200</v>
      </c>
      <c r="C124" s="21">
        <v>7500</v>
      </c>
      <c r="D124" s="63" t="s">
        <v>678</v>
      </c>
      <c r="E124" s="21">
        <v>4</v>
      </c>
      <c r="F124" s="22">
        <f>38*1.60934</f>
        <v>61.154919999999997</v>
      </c>
      <c r="G124" s="21">
        <v>17</v>
      </c>
      <c r="H124" s="22">
        <v>3.3</v>
      </c>
      <c r="I124" s="10"/>
      <c r="J124" s="10"/>
      <c r="K124" s="63"/>
      <c r="L124" s="63"/>
      <c r="M124" s="63"/>
      <c r="N124" s="63"/>
      <c r="O124" s="63"/>
      <c r="P124" s="63"/>
      <c r="Q124" s="63"/>
      <c r="R124" s="63"/>
      <c r="S124" s="63"/>
      <c r="T124" s="2"/>
      <c r="U124" s="2"/>
      <c r="V124" s="63"/>
      <c r="W124" s="144"/>
      <c r="X124" s="10"/>
      <c r="Y124" s="2"/>
      <c r="Z124" s="2"/>
    </row>
    <row r="125" spans="1:26" ht="18.75" customHeight="1" x14ac:dyDescent="0.3">
      <c r="A125" s="2" t="s">
        <v>735</v>
      </c>
      <c r="B125" s="21">
        <v>32600</v>
      </c>
      <c r="C125" s="21">
        <v>3700</v>
      </c>
      <c r="D125" s="63" t="s">
        <v>736</v>
      </c>
      <c r="E125" s="21">
        <v>5</v>
      </c>
      <c r="F125" s="22">
        <f>20*1.60934</f>
        <v>32.186799999999998</v>
      </c>
      <c r="G125" s="21">
        <v>8</v>
      </c>
      <c r="H125" s="22">
        <v>3.3</v>
      </c>
      <c r="I125" s="10"/>
      <c r="J125" s="10"/>
      <c r="K125" s="63"/>
      <c r="L125" s="63"/>
      <c r="M125" s="63"/>
      <c r="N125" s="63"/>
      <c r="O125" s="63"/>
      <c r="P125" s="63"/>
      <c r="Q125" s="63"/>
      <c r="R125" s="63"/>
      <c r="S125" s="63"/>
      <c r="T125" s="2"/>
      <c r="U125" s="2"/>
      <c r="V125" s="63"/>
      <c r="W125" s="144"/>
      <c r="X125" s="10"/>
      <c r="Y125" s="2"/>
      <c r="Z125" s="2"/>
    </row>
    <row r="126" spans="1:26" ht="18.75" customHeight="1" x14ac:dyDescent="0.3">
      <c r="A126" s="2" t="s">
        <v>737</v>
      </c>
      <c r="B126" s="21">
        <v>35600</v>
      </c>
      <c r="C126" s="21">
        <v>3700</v>
      </c>
      <c r="D126" s="63" t="s">
        <v>678</v>
      </c>
      <c r="E126" s="21">
        <v>5</v>
      </c>
      <c r="F126" s="22">
        <f>20*1.60934</f>
        <v>32.186799999999998</v>
      </c>
      <c r="G126" s="21">
        <v>7</v>
      </c>
      <c r="H126" s="22">
        <v>3.3</v>
      </c>
      <c r="I126" s="10"/>
      <c r="J126" s="10"/>
      <c r="K126" s="63"/>
      <c r="L126" s="63"/>
      <c r="M126" s="63"/>
      <c r="N126" s="63"/>
      <c r="O126" s="63"/>
      <c r="P126" s="63"/>
      <c r="Q126" s="63"/>
      <c r="R126" s="63"/>
      <c r="S126" s="63"/>
      <c r="T126" s="2"/>
      <c r="U126" s="2"/>
      <c r="V126" s="63"/>
      <c r="W126" s="144"/>
      <c r="X126" s="10"/>
      <c r="Y126" s="2"/>
      <c r="Z126" s="2"/>
    </row>
    <row r="127" spans="1:26" ht="18.75" customHeight="1" x14ac:dyDescent="0.3">
      <c r="A127" s="2" t="s">
        <v>738</v>
      </c>
      <c r="B127" s="21">
        <v>40700</v>
      </c>
      <c r="C127" s="21">
        <v>3700</v>
      </c>
      <c r="D127" s="63" t="s">
        <v>678</v>
      </c>
      <c r="E127" s="21">
        <v>2</v>
      </c>
      <c r="F127" s="22">
        <f>13*1.60934</f>
        <v>20.921420000000001</v>
      </c>
      <c r="G127" s="21">
        <v>7</v>
      </c>
      <c r="H127" s="22">
        <v>6.6</v>
      </c>
      <c r="I127" s="10"/>
      <c r="J127" s="10"/>
      <c r="K127" s="63"/>
      <c r="L127" s="63"/>
      <c r="M127" s="63"/>
      <c r="N127" s="63"/>
      <c r="O127" s="63"/>
      <c r="P127" s="63"/>
      <c r="Q127" s="63"/>
      <c r="R127" s="63"/>
      <c r="S127" s="63"/>
      <c r="T127" s="2"/>
      <c r="U127" s="2"/>
      <c r="V127" s="63"/>
      <c r="W127" s="144"/>
      <c r="X127" s="10"/>
      <c r="Y127" s="2"/>
      <c r="Z127" s="2"/>
    </row>
    <row r="128" spans="1:26" ht="18.75" customHeight="1" x14ac:dyDescent="0.3">
      <c r="A128" s="2" t="s">
        <v>739</v>
      </c>
      <c r="B128" s="21">
        <v>78000</v>
      </c>
      <c r="C128" s="21">
        <v>5300</v>
      </c>
      <c r="D128" s="63" t="s">
        <v>691</v>
      </c>
      <c r="E128" s="21">
        <v>5</v>
      </c>
      <c r="F128" s="22">
        <f>14*1.60934</f>
        <v>22.530760000000001</v>
      </c>
      <c r="G128" s="21">
        <v>11</v>
      </c>
      <c r="H128" s="22">
        <v>3.6</v>
      </c>
      <c r="I128" s="10"/>
      <c r="J128" s="10"/>
      <c r="K128" s="63"/>
      <c r="L128" s="63"/>
      <c r="M128" s="63"/>
      <c r="N128" s="63"/>
      <c r="O128" s="63"/>
      <c r="P128" s="63"/>
      <c r="Q128" s="63"/>
      <c r="R128" s="63"/>
      <c r="S128" s="63"/>
      <c r="T128" s="2"/>
      <c r="U128" s="2"/>
      <c r="V128" s="63"/>
      <c r="W128" s="144"/>
      <c r="X128" s="10"/>
      <c r="Y128" s="2"/>
      <c r="Z128" s="2"/>
    </row>
    <row r="129" spans="1:26" ht="18.75" customHeight="1" x14ac:dyDescent="0.3">
      <c r="A129" s="2" t="s">
        <v>740</v>
      </c>
      <c r="B129" s="21">
        <v>100000</v>
      </c>
      <c r="C129" s="21">
        <v>4700</v>
      </c>
      <c r="D129" s="63" t="s">
        <v>691</v>
      </c>
      <c r="E129" s="21">
        <v>4</v>
      </c>
      <c r="F129" s="22">
        <f>15*1.60934</f>
        <v>24.1401</v>
      </c>
      <c r="G129" s="21">
        <v>9</v>
      </c>
      <c r="H129" s="217">
        <v>3</v>
      </c>
      <c r="I129" s="10"/>
      <c r="J129" s="10"/>
      <c r="K129" s="63"/>
      <c r="L129" s="63"/>
      <c r="M129" s="63"/>
      <c r="N129" s="63"/>
      <c r="O129" s="63"/>
      <c r="P129" s="63"/>
      <c r="Q129" s="63"/>
      <c r="R129" s="63"/>
      <c r="S129" s="63"/>
      <c r="T129" s="2"/>
      <c r="U129" s="2"/>
      <c r="V129" s="63"/>
      <c r="W129" s="144"/>
      <c r="X129" s="10"/>
      <c r="Y129" s="2"/>
      <c r="Z129" s="2"/>
    </row>
    <row r="130" spans="1:26" ht="18.75" customHeight="1" x14ac:dyDescent="0.3">
      <c r="A130" s="2" t="s">
        <v>741</v>
      </c>
      <c r="B130" s="21">
        <v>30800</v>
      </c>
      <c r="C130" s="21">
        <v>2500</v>
      </c>
      <c r="D130" s="63" t="s">
        <v>678</v>
      </c>
      <c r="E130" s="21">
        <v>5</v>
      </c>
      <c r="F130" s="22">
        <f>11*1.60934</f>
        <v>17.702739999999999</v>
      </c>
      <c r="G130" s="21">
        <v>4</v>
      </c>
      <c r="H130" s="22">
        <v>3.3</v>
      </c>
      <c r="I130" s="10"/>
      <c r="J130" s="10"/>
      <c r="K130" s="63"/>
      <c r="L130" s="63"/>
      <c r="M130" s="63"/>
      <c r="N130" s="63"/>
      <c r="O130" s="63"/>
      <c r="P130" s="63"/>
      <c r="Q130" s="63"/>
      <c r="R130" s="63"/>
      <c r="S130" s="63"/>
      <c r="T130" s="2"/>
      <c r="U130" s="2"/>
      <c r="V130" s="63"/>
      <c r="W130" s="144"/>
      <c r="X130" s="10"/>
      <c r="Y130" s="2"/>
      <c r="Z130" s="2"/>
    </row>
    <row r="131" spans="1:26" ht="18.75" customHeight="1" x14ac:dyDescent="0.3">
      <c r="A131" s="2"/>
      <c r="B131" s="63"/>
      <c r="C131" s="63"/>
      <c r="D131" s="63"/>
      <c r="E131" s="63"/>
      <c r="F131" s="10"/>
      <c r="G131" s="63"/>
      <c r="H131" s="10"/>
      <c r="I131" s="10"/>
      <c r="J131" s="10"/>
      <c r="K131" s="63"/>
      <c r="L131" s="63"/>
      <c r="M131" s="63"/>
      <c r="N131" s="63"/>
      <c r="O131" s="63"/>
      <c r="P131" s="63"/>
      <c r="Q131" s="63"/>
      <c r="R131" s="63"/>
      <c r="S131" s="63"/>
      <c r="T131" s="2"/>
      <c r="U131" s="2"/>
      <c r="V131" s="63"/>
      <c r="W131" s="144"/>
      <c r="X131" s="10"/>
      <c r="Y131" s="2"/>
      <c r="Z131" s="2"/>
    </row>
    <row r="132" spans="1:26" ht="18.75" customHeight="1" x14ac:dyDescent="0.3">
      <c r="A132" s="2" t="s">
        <v>742</v>
      </c>
      <c r="B132" s="63" t="s">
        <v>743</v>
      </c>
      <c r="C132" s="63"/>
      <c r="D132" s="63"/>
      <c r="E132" s="63"/>
      <c r="F132" s="10"/>
      <c r="G132" s="63"/>
      <c r="H132" s="10"/>
      <c r="I132" s="10"/>
      <c r="J132" s="10"/>
      <c r="K132" s="63"/>
      <c r="L132" s="63"/>
      <c r="M132" s="63"/>
      <c r="N132" s="63"/>
      <c r="O132" s="63"/>
      <c r="P132" s="63"/>
      <c r="Q132" s="63"/>
      <c r="R132" s="63"/>
      <c r="S132" s="63"/>
      <c r="T132" s="2"/>
      <c r="U132" s="2"/>
      <c r="V132" s="63"/>
      <c r="W132" s="144"/>
      <c r="X132" s="10"/>
      <c r="Y132" s="2" t="s">
        <v>744</v>
      </c>
      <c r="Z132" s="2"/>
    </row>
    <row r="133" spans="1:26" ht="18.75" customHeight="1" x14ac:dyDescent="0.3">
      <c r="A133" s="2"/>
      <c r="B133" s="63" t="s">
        <v>745</v>
      </c>
      <c r="C133" s="63"/>
      <c r="D133" s="63"/>
      <c r="E133" s="63"/>
      <c r="F133" s="10"/>
      <c r="G133" s="63"/>
      <c r="H133" s="10"/>
      <c r="I133" s="10"/>
      <c r="J133" s="10"/>
      <c r="K133" s="63"/>
      <c r="L133" s="63"/>
      <c r="M133" s="63"/>
      <c r="N133" s="63"/>
      <c r="O133" s="63"/>
      <c r="P133" s="63"/>
      <c r="Q133" s="63"/>
      <c r="R133" s="63"/>
      <c r="S133" s="63"/>
      <c r="T133" s="2"/>
      <c r="U133" s="2"/>
      <c r="V133" s="63"/>
      <c r="W133" s="144"/>
      <c r="X133" s="10"/>
      <c r="Y133" s="2"/>
      <c r="Z133" s="2"/>
    </row>
    <row r="134" spans="1:26" ht="18.75" customHeight="1" x14ac:dyDescent="0.3">
      <c r="A134" s="2"/>
      <c r="B134" s="63" t="s">
        <v>746</v>
      </c>
      <c r="C134" s="63"/>
      <c r="D134" s="63"/>
      <c r="E134" s="63"/>
      <c r="F134" s="10"/>
      <c r="G134" s="63"/>
      <c r="H134" s="10"/>
      <c r="I134" s="10"/>
      <c r="J134" s="10"/>
      <c r="K134" s="63"/>
      <c r="L134" s="63"/>
      <c r="M134" s="63"/>
      <c r="N134" s="63"/>
      <c r="O134" s="63"/>
      <c r="P134" s="63"/>
      <c r="Q134" s="63"/>
      <c r="R134" s="63"/>
      <c r="S134" s="63"/>
      <c r="T134" s="2"/>
      <c r="U134" s="2"/>
      <c r="V134" s="63"/>
      <c r="W134" s="144"/>
      <c r="X134" s="10"/>
      <c r="Y134" s="2"/>
      <c r="Z134" s="2"/>
    </row>
    <row r="135" spans="1:26" ht="18.75" customHeight="1" x14ac:dyDescent="0.3">
      <c r="A135" s="2"/>
      <c r="B135" s="63" t="s">
        <v>747</v>
      </c>
      <c r="C135" s="63"/>
      <c r="D135" s="63"/>
      <c r="E135" s="63"/>
      <c r="F135" s="10"/>
      <c r="G135" s="63"/>
      <c r="H135" s="10"/>
      <c r="I135" s="10"/>
      <c r="J135" s="10"/>
      <c r="K135" s="63"/>
      <c r="L135" s="63"/>
      <c r="M135" s="63"/>
      <c r="N135" s="63"/>
      <c r="O135" s="63"/>
      <c r="P135" s="63"/>
      <c r="Q135" s="63"/>
      <c r="R135" s="63"/>
      <c r="S135" s="63"/>
      <c r="T135" s="2"/>
      <c r="U135" s="2"/>
      <c r="V135" s="63"/>
      <c r="W135" s="144"/>
      <c r="X135" s="10"/>
      <c r="Y135" s="2"/>
      <c r="Z135" s="2"/>
    </row>
    <row r="136" spans="1:26" ht="18.75" customHeight="1" x14ac:dyDescent="0.3">
      <c r="A136" s="2"/>
      <c r="B136" s="63" t="s">
        <v>748</v>
      </c>
      <c r="C136" s="63"/>
      <c r="D136" s="63"/>
      <c r="E136" s="63"/>
      <c r="F136" s="10"/>
      <c r="G136" s="63"/>
      <c r="H136" s="10"/>
      <c r="I136" s="10"/>
      <c r="J136" s="10"/>
      <c r="K136" s="63"/>
      <c r="L136" s="63"/>
      <c r="M136" s="63"/>
      <c r="N136" s="63"/>
      <c r="O136" s="63"/>
      <c r="P136" s="63"/>
      <c r="Q136" s="63"/>
      <c r="R136" s="63"/>
      <c r="S136" s="63"/>
      <c r="T136" s="2"/>
      <c r="U136" s="2"/>
      <c r="V136" s="63"/>
      <c r="W136" s="144"/>
      <c r="X136" s="10"/>
      <c r="Y136" s="2"/>
      <c r="Z136" s="2"/>
    </row>
    <row r="137" spans="1:26" ht="18.75" customHeight="1" x14ac:dyDescent="0.3">
      <c r="A137" s="2"/>
      <c r="B137" s="63"/>
      <c r="C137" s="63"/>
      <c r="D137" s="63"/>
      <c r="E137" s="63"/>
      <c r="F137" s="10"/>
      <c r="G137" s="63"/>
      <c r="H137" s="10"/>
      <c r="I137" s="10"/>
      <c r="J137" s="10"/>
      <c r="K137" s="63"/>
      <c r="L137" s="63"/>
      <c r="M137" s="63"/>
      <c r="N137" s="63"/>
      <c r="O137" s="63"/>
      <c r="P137" s="63"/>
      <c r="Q137" s="63"/>
      <c r="R137" s="63"/>
      <c r="S137" s="63"/>
      <c r="T137" s="2"/>
      <c r="U137" s="2"/>
      <c r="V137" s="63"/>
      <c r="W137" s="144"/>
      <c r="X137" s="10"/>
      <c r="Y137" s="2"/>
      <c r="Z137" s="2"/>
    </row>
    <row r="138" spans="1:26" ht="18.75" customHeight="1" x14ac:dyDescent="0.3">
      <c r="A138" s="2"/>
      <c r="B138" s="63" t="s">
        <v>749</v>
      </c>
      <c r="C138" s="63"/>
      <c r="D138" s="63"/>
      <c r="E138" s="63"/>
      <c r="F138" s="10"/>
      <c r="G138" s="63"/>
      <c r="H138" s="10"/>
      <c r="I138" s="10"/>
      <c r="J138" s="10"/>
      <c r="K138" s="63"/>
      <c r="L138" s="63"/>
      <c r="M138" s="63"/>
      <c r="N138" s="63"/>
      <c r="O138" s="63"/>
      <c r="P138" s="63"/>
      <c r="Q138" s="63"/>
      <c r="R138" s="63"/>
      <c r="S138" s="63"/>
      <c r="T138" s="2"/>
      <c r="U138" s="2"/>
      <c r="V138" s="63"/>
      <c r="W138" s="144"/>
      <c r="X138" s="10"/>
      <c r="Y138" s="218" t="s">
        <v>750</v>
      </c>
      <c r="Z138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I84"/>
  <sheetViews>
    <sheetView workbookViewId="0"/>
  </sheetViews>
  <sheetFormatPr defaultRowHeight="14.4" x14ac:dyDescent="0.3"/>
  <cols>
    <col min="1" max="1" width="27.88671875" style="9" bestFit="1" customWidth="1"/>
    <col min="2" max="2" width="23.44140625" style="9" bestFit="1" customWidth="1"/>
    <col min="3" max="3" width="29.33203125" style="9" bestFit="1" customWidth="1"/>
    <col min="4" max="4" width="11.88671875" style="23" bestFit="1" customWidth="1"/>
    <col min="5" max="5" width="12.44140625" style="9" bestFit="1" customWidth="1"/>
    <col min="6" max="6" width="20.88671875" style="24" bestFit="1" customWidth="1"/>
    <col min="7" max="7" width="15.88671875" style="9" bestFit="1" customWidth="1"/>
    <col min="8" max="8" width="13.5546875" style="24" bestFit="1" customWidth="1"/>
    <col min="9" max="9" width="13.5546875" style="9" bestFit="1" customWidth="1"/>
  </cols>
  <sheetData>
    <row r="1" spans="1:9" ht="18.75" customHeight="1" x14ac:dyDescent="0.3">
      <c r="A1" s="2" t="s">
        <v>62</v>
      </c>
      <c r="B1" s="2" t="s">
        <v>63</v>
      </c>
      <c r="C1" s="2" t="s">
        <v>64</v>
      </c>
      <c r="D1" s="19" t="s">
        <v>65</v>
      </c>
      <c r="E1" s="2" t="s">
        <v>66</v>
      </c>
      <c r="F1" s="20" t="s">
        <v>67</v>
      </c>
      <c r="G1" s="2" t="s">
        <v>68</v>
      </c>
      <c r="H1" s="20" t="s">
        <v>69</v>
      </c>
      <c r="I1" s="2" t="s">
        <v>70</v>
      </c>
    </row>
    <row r="2" spans="1:9" ht="18.75" customHeight="1" x14ac:dyDescent="0.3">
      <c r="A2" s="2" t="s">
        <v>71</v>
      </c>
      <c r="B2" s="2" t="s">
        <v>72</v>
      </c>
      <c r="C2" s="2" t="s">
        <v>73</v>
      </c>
      <c r="D2" s="21">
        <v>240</v>
      </c>
      <c r="E2" s="2"/>
      <c r="F2" s="22">
        <v>152.29079999999999</v>
      </c>
      <c r="G2" s="2"/>
      <c r="H2" s="22">
        <v>6.0916320000000003E-2</v>
      </c>
      <c r="I2" s="2"/>
    </row>
    <row r="3" spans="1:9" ht="18.75" customHeight="1" x14ac:dyDescent="0.3">
      <c r="A3" s="2" t="s">
        <v>74</v>
      </c>
      <c r="B3" s="2" t="s">
        <v>72</v>
      </c>
      <c r="C3" s="2" t="s">
        <v>75</v>
      </c>
      <c r="D3" s="21">
        <v>240</v>
      </c>
      <c r="E3" s="2"/>
      <c r="F3" s="22">
        <v>22.5855</v>
      </c>
      <c r="G3" s="2"/>
      <c r="H3" s="22">
        <v>9.0342000000000009E-3</v>
      </c>
      <c r="I3" s="2"/>
    </row>
    <row r="4" spans="1:9" ht="18.75" customHeight="1" x14ac:dyDescent="0.3">
      <c r="A4" s="2" t="s">
        <v>76</v>
      </c>
      <c r="B4" s="2" t="s">
        <v>77</v>
      </c>
      <c r="C4" s="2" t="s">
        <v>75</v>
      </c>
      <c r="D4" s="21">
        <v>240</v>
      </c>
      <c r="E4" s="2"/>
      <c r="F4" s="22">
        <v>70.983000000000004</v>
      </c>
      <c r="G4" s="2"/>
      <c r="H4" s="22">
        <v>2.8393200000000004E-2</v>
      </c>
      <c r="I4" s="2"/>
    </row>
    <row r="5" spans="1:9" ht="18.75" customHeight="1" x14ac:dyDescent="0.3">
      <c r="A5" s="2" t="s">
        <v>78</v>
      </c>
      <c r="B5" s="2" t="s">
        <v>79</v>
      </c>
      <c r="C5" s="2" t="s">
        <v>80</v>
      </c>
      <c r="D5" s="21">
        <v>240</v>
      </c>
      <c r="E5" s="2"/>
      <c r="F5" s="22">
        <v>79.371899999999997</v>
      </c>
      <c r="G5" s="2"/>
      <c r="H5" s="22">
        <v>3.1748760000000001E-2</v>
      </c>
      <c r="I5" s="2"/>
    </row>
    <row r="6" spans="1:9" ht="18.75" customHeight="1" x14ac:dyDescent="0.3">
      <c r="A6" s="2" t="s">
        <v>81</v>
      </c>
      <c r="B6" s="2" t="s">
        <v>79</v>
      </c>
      <c r="C6" s="2" t="s">
        <v>80</v>
      </c>
      <c r="D6" s="21">
        <v>240</v>
      </c>
      <c r="E6" s="2"/>
      <c r="F6" s="22">
        <v>79.371899999999997</v>
      </c>
      <c r="G6" s="2"/>
      <c r="H6" s="22">
        <v>3.1748760000000001E-2</v>
      </c>
      <c r="I6" s="2"/>
    </row>
    <row r="7" spans="1:9" ht="18.75" customHeight="1" x14ac:dyDescent="0.3">
      <c r="A7" s="2" t="s">
        <v>82</v>
      </c>
      <c r="B7" s="2" t="s">
        <v>73</v>
      </c>
      <c r="C7" s="2" t="s">
        <v>80</v>
      </c>
      <c r="D7" s="21">
        <v>240</v>
      </c>
      <c r="E7" s="2"/>
      <c r="F7" s="22">
        <v>103.248</v>
      </c>
      <c r="G7" s="2"/>
      <c r="H7" s="22">
        <v>4.1299200000000008E-2</v>
      </c>
      <c r="I7" s="2"/>
    </row>
    <row r="8" spans="1:9" ht="18.75" customHeight="1" x14ac:dyDescent="0.3">
      <c r="A8" s="2" t="s">
        <v>83</v>
      </c>
      <c r="B8" s="2" t="s">
        <v>77</v>
      </c>
      <c r="C8" s="2" t="s">
        <v>79</v>
      </c>
      <c r="D8" s="21">
        <v>240</v>
      </c>
      <c r="E8" s="2"/>
      <c r="F8" s="22">
        <v>67.111199999999997</v>
      </c>
      <c r="G8" s="2"/>
      <c r="H8" s="22">
        <v>2.684448E-2</v>
      </c>
      <c r="I8" s="2"/>
    </row>
    <row r="9" spans="1:9" ht="18.75" customHeight="1" x14ac:dyDescent="0.3">
      <c r="A9" s="2" t="s">
        <v>84</v>
      </c>
      <c r="B9" s="2" t="s">
        <v>77</v>
      </c>
      <c r="C9" s="2" t="s">
        <v>85</v>
      </c>
      <c r="D9" s="21">
        <v>240</v>
      </c>
      <c r="E9" s="2"/>
      <c r="F9" s="22">
        <v>131.6412</v>
      </c>
      <c r="G9" s="2"/>
      <c r="H9" s="22">
        <v>5.2656479999999999E-2</v>
      </c>
      <c r="I9" s="2"/>
    </row>
    <row r="10" spans="1:9" ht="18.75" customHeight="1" x14ac:dyDescent="0.3">
      <c r="A10" s="2" t="s">
        <v>86</v>
      </c>
      <c r="B10" s="2" t="s">
        <v>87</v>
      </c>
      <c r="C10" s="2" t="s">
        <v>85</v>
      </c>
      <c r="D10" s="21">
        <v>240</v>
      </c>
      <c r="E10" s="2"/>
      <c r="F10" s="22">
        <v>83.88900000000001</v>
      </c>
      <c r="G10" s="2"/>
      <c r="H10" s="22">
        <v>3.3555600000000005E-2</v>
      </c>
      <c r="I10" s="2"/>
    </row>
    <row r="11" spans="1:9" ht="18.75" customHeight="1" x14ac:dyDescent="0.3">
      <c r="A11" s="2" t="s">
        <v>88</v>
      </c>
      <c r="B11" s="2" t="s">
        <v>87</v>
      </c>
      <c r="C11" s="2" t="s">
        <v>89</v>
      </c>
      <c r="D11" s="21">
        <v>240</v>
      </c>
      <c r="E11" s="2"/>
      <c r="F11" s="22">
        <v>49.688099999999999</v>
      </c>
      <c r="G11" s="2"/>
      <c r="H11" s="22">
        <v>1.9875240000000002E-2</v>
      </c>
      <c r="I11" s="2"/>
    </row>
    <row r="12" spans="1:9" ht="18.75" customHeight="1" x14ac:dyDescent="0.3">
      <c r="A12" s="2" t="s">
        <v>90</v>
      </c>
      <c r="B12" s="2" t="s">
        <v>91</v>
      </c>
      <c r="C12" s="2" t="s">
        <v>89</v>
      </c>
      <c r="D12" s="21">
        <v>240</v>
      </c>
      <c r="E12" s="2"/>
      <c r="F12" s="22">
        <v>9.6794999999999991</v>
      </c>
      <c r="G12" s="2"/>
      <c r="H12" s="22">
        <v>3.8717999999999999E-3</v>
      </c>
      <c r="I12" s="2"/>
    </row>
    <row r="13" spans="1:9" ht="18.75" customHeight="1" x14ac:dyDescent="0.3">
      <c r="A13" s="2" t="s">
        <v>92</v>
      </c>
      <c r="B13" s="2" t="s">
        <v>91</v>
      </c>
      <c r="C13" s="2" t="s">
        <v>89</v>
      </c>
      <c r="D13" s="21">
        <v>240</v>
      </c>
      <c r="E13" s="2"/>
      <c r="F13" s="22">
        <v>9.6794999999999991</v>
      </c>
      <c r="G13" s="2"/>
      <c r="H13" s="22">
        <v>3.8717999999999999E-3</v>
      </c>
      <c r="I13" s="2"/>
    </row>
    <row r="14" spans="1:9" ht="18.75" customHeight="1" x14ac:dyDescent="0.3">
      <c r="A14" s="2" t="s">
        <v>93</v>
      </c>
      <c r="B14" s="2" t="s">
        <v>91</v>
      </c>
      <c r="C14" s="2" t="s">
        <v>94</v>
      </c>
      <c r="D14" s="21">
        <v>240</v>
      </c>
      <c r="E14" s="2"/>
      <c r="F14" s="22">
        <v>167.77800000000002</v>
      </c>
      <c r="G14" s="2"/>
      <c r="H14" s="22">
        <v>6.711120000000001E-2</v>
      </c>
      <c r="I14" s="2"/>
    </row>
    <row r="15" spans="1:9" ht="18.75" customHeight="1" x14ac:dyDescent="0.3">
      <c r="A15" s="2" t="s">
        <v>95</v>
      </c>
      <c r="B15" s="2" t="s">
        <v>91</v>
      </c>
      <c r="C15" s="2" t="s">
        <v>94</v>
      </c>
      <c r="D15" s="21">
        <v>240</v>
      </c>
      <c r="E15" s="2"/>
      <c r="F15" s="22">
        <v>167.77800000000002</v>
      </c>
      <c r="G15" s="2"/>
      <c r="H15" s="22">
        <v>6.711120000000001E-2</v>
      </c>
      <c r="I15" s="2"/>
    </row>
    <row r="16" spans="1:9" ht="18.75" customHeight="1" x14ac:dyDescent="0.3">
      <c r="A16" s="2" t="s">
        <v>96</v>
      </c>
      <c r="B16" s="2" t="s">
        <v>91</v>
      </c>
      <c r="C16" s="2" t="s">
        <v>97</v>
      </c>
      <c r="D16" s="21">
        <v>240</v>
      </c>
      <c r="E16" s="2"/>
      <c r="F16" s="22">
        <v>154.87199999999999</v>
      </c>
      <c r="G16" s="2"/>
      <c r="H16" s="22">
        <v>6.1948799999999998E-2</v>
      </c>
      <c r="I16" s="2"/>
    </row>
    <row r="17" spans="1:9" ht="18.75" customHeight="1" x14ac:dyDescent="0.3">
      <c r="A17" s="2" t="s">
        <v>98</v>
      </c>
      <c r="B17" s="2" t="s">
        <v>91</v>
      </c>
      <c r="C17" s="2" t="s">
        <v>97</v>
      </c>
      <c r="D17" s="21">
        <v>240</v>
      </c>
      <c r="E17" s="2"/>
      <c r="F17" s="22">
        <v>154.87199999999999</v>
      </c>
      <c r="G17" s="2"/>
      <c r="H17" s="22">
        <v>6.1948799999999998E-2</v>
      </c>
      <c r="I17" s="2"/>
    </row>
    <row r="18" spans="1:9" ht="18.75" customHeight="1" x14ac:dyDescent="0.3">
      <c r="A18" s="2" t="s">
        <v>99</v>
      </c>
      <c r="B18" s="2" t="s">
        <v>79</v>
      </c>
      <c r="C18" s="2" t="s">
        <v>97</v>
      </c>
      <c r="D18" s="21">
        <v>240</v>
      </c>
      <c r="E18" s="2"/>
      <c r="F18" s="22">
        <v>32.910299999999999</v>
      </c>
      <c r="G18" s="2"/>
      <c r="H18" s="22">
        <v>1.316412E-2</v>
      </c>
      <c r="I18" s="2"/>
    </row>
    <row r="19" spans="1:9" ht="18.75" customHeight="1" x14ac:dyDescent="0.3">
      <c r="A19" s="2" t="s">
        <v>100</v>
      </c>
      <c r="B19" s="2" t="s">
        <v>79</v>
      </c>
      <c r="C19" s="2" t="s">
        <v>97</v>
      </c>
      <c r="D19" s="21">
        <v>240</v>
      </c>
      <c r="E19" s="2"/>
      <c r="F19" s="22">
        <v>32.910299999999999</v>
      </c>
      <c r="G19" s="2"/>
      <c r="H19" s="22">
        <v>1.316412E-2</v>
      </c>
      <c r="I19" s="2"/>
    </row>
    <row r="20" spans="1:9" ht="18.75" customHeight="1" x14ac:dyDescent="0.3">
      <c r="A20" s="2" t="s">
        <v>101</v>
      </c>
      <c r="B20" s="2" t="s">
        <v>102</v>
      </c>
      <c r="C20" s="2" t="s">
        <v>103</v>
      </c>
      <c r="D20" s="21">
        <v>240</v>
      </c>
      <c r="E20" s="2"/>
      <c r="F20" s="22">
        <v>58.077000000000005</v>
      </c>
      <c r="G20" s="2"/>
      <c r="H20" s="22">
        <v>2.3230800000000003E-2</v>
      </c>
      <c r="I20" s="2"/>
    </row>
    <row r="21" spans="1:9" ht="18.75" customHeight="1" x14ac:dyDescent="0.3">
      <c r="A21" s="2" t="s">
        <v>104</v>
      </c>
      <c r="B21" s="2" t="s">
        <v>102</v>
      </c>
      <c r="C21" s="2" t="s">
        <v>105</v>
      </c>
      <c r="D21" s="21">
        <v>240</v>
      </c>
      <c r="E21" s="2"/>
      <c r="F21" s="22">
        <v>32.910299999999999</v>
      </c>
      <c r="G21" s="2"/>
      <c r="H21" s="22">
        <v>1.316412E-2</v>
      </c>
      <c r="I21" s="2"/>
    </row>
    <row r="22" spans="1:9" ht="18.75" customHeight="1" x14ac:dyDescent="0.3">
      <c r="A22" s="2" t="s">
        <v>106</v>
      </c>
      <c r="B22" s="2" t="s">
        <v>107</v>
      </c>
      <c r="C22" s="2" t="s">
        <v>105</v>
      </c>
      <c r="D22" s="21">
        <v>240</v>
      </c>
      <c r="E22" s="2"/>
      <c r="F22" s="22">
        <v>33.555599999999998</v>
      </c>
      <c r="G22" s="2"/>
      <c r="H22" s="22">
        <v>1.342224E-2</v>
      </c>
      <c r="I22" s="2"/>
    </row>
    <row r="23" spans="1:9" ht="18.75" customHeight="1" x14ac:dyDescent="0.3">
      <c r="A23" s="2" t="s">
        <v>108</v>
      </c>
      <c r="B23" s="2" t="s">
        <v>107</v>
      </c>
      <c r="C23" s="2" t="s">
        <v>109</v>
      </c>
      <c r="D23" s="21">
        <v>240</v>
      </c>
      <c r="E23" s="2"/>
      <c r="F23" s="22">
        <v>25.812000000000001</v>
      </c>
      <c r="G23" s="2"/>
      <c r="H23" s="22">
        <v>1.0324800000000002E-2</v>
      </c>
      <c r="I23" s="2"/>
    </row>
    <row r="24" spans="1:9" ht="18.75" customHeight="1" x14ac:dyDescent="0.3">
      <c r="A24" s="2" t="s">
        <v>110</v>
      </c>
      <c r="B24" s="2" t="s">
        <v>111</v>
      </c>
      <c r="C24" s="2" t="s">
        <v>109</v>
      </c>
      <c r="D24" s="21">
        <v>240</v>
      </c>
      <c r="E24" s="2"/>
      <c r="F24" s="22">
        <v>54.850499999999997</v>
      </c>
      <c r="G24" s="2"/>
      <c r="H24" s="22">
        <v>2.19402E-2</v>
      </c>
      <c r="I24" s="2"/>
    </row>
    <row r="25" spans="1:9" ht="18.75" customHeight="1" x14ac:dyDescent="0.3">
      <c r="A25" s="2" t="s">
        <v>112</v>
      </c>
      <c r="B25" s="2" t="s">
        <v>111</v>
      </c>
      <c r="C25" s="2" t="s">
        <v>113</v>
      </c>
      <c r="D25" s="21">
        <v>240</v>
      </c>
      <c r="E25" s="2"/>
      <c r="F25" s="22">
        <v>54.205199999999998</v>
      </c>
      <c r="G25" s="2"/>
      <c r="H25" s="22">
        <v>2.1682079999999999E-2</v>
      </c>
      <c r="I25" s="2"/>
    </row>
    <row r="26" spans="1:9" ht="18.75" customHeight="1" x14ac:dyDescent="0.3">
      <c r="A26" s="2" t="s">
        <v>112</v>
      </c>
      <c r="B26" s="2" t="s">
        <v>111</v>
      </c>
      <c r="C26" s="2" t="s">
        <v>113</v>
      </c>
      <c r="D26" s="21">
        <v>240</v>
      </c>
      <c r="E26" s="2"/>
      <c r="F26" s="22">
        <v>54.205199999999998</v>
      </c>
      <c r="G26" s="2"/>
      <c r="H26" s="22">
        <v>2.1682079999999999E-2</v>
      </c>
      <c r="I26" s="2"/>
    </row>
    <row r="27" spans="1:9" ht="18.75" customHeight="1" x14ac:dyDescent="0.3">
      <c r="A27" s="2" t="s">
        <v>114</v>
      </c>
      <c r="B27" s="2" t="s">
        <v>115</v>
      </c>
      <c r="C27" s="2" t="s">
        <v>113</v>
      </c>
      <c r="D27" s="21">
        <v>240</v>
      </c>
      <c r="E27" s="2"/>
      <c r="F27" s="22">
        <v>100.0215</v>
      </c>
      <c r="G27" s="2"/>
      <c r="H27" s="22">
        <v>4.0008599999999998E-2</v>
      </c>
      <c r="I27" s="2"/>
    </row>
    <row r="28" spans="1:9" ht="18.75" customHeight="1" x14ac:dyDescent="0.3">
      <c r="A28" s="2" t="s">
        <v>116</v>
      </c>
      <c r="B28" s="2" t="s">
        <v>115</v>
      </c>
      <c r="C28" s="2" t="s">
        <v>113</v>
      </c>
      <c r="D28" s="21">
        <v>240</v>
      </c>
      <c r="E28" s="2"/>
      <c r="F28" s="22">
        <v>100.0215</v>
      </c>
      <c r="G28" s="2"/>
      <c r="H28" s="22">
        <v>4.0008599999999998E-2</v>
      </c>
      <c r="I28" s="2"/>
    </row>
    <row r="29" spans="1:9" ht="18.75" customHeight="1" x14ac:dyDescent="0.3">
      <c r="A29" s="2" t="s">
        <v>117</v>
      </c>
      <c r="B29" s="2" t="s">
        <v>115</v>
      </c>
      <c r="C29" s="2" t="s">
        <v>118</v>
      </c>
      <c r="D29" s="21">
        <v>240</v>
      </c>
      <c r="E29" s="2"/>
      <c r="F29" s="22">
        <v>19.358999999999998</v>
      </c>
      <c r="G29" s="2"/>
      <c r="H29" s="22">
        <v>7.7435999999999998E-3</v>
      </c>
      <c r="I29" s="2"/>
    </row>
    <row r="30" spans="1:9" ht="18.75" customHeight="1" x14ac:dyDescent="0.3">
      <c r="A30" s="2" t="s">
        <v>119</v>
      </c>
      <c r="B30" s="2" t="s">
        <v>115</v>
      </c>
      <c r="C30" s="2" t="s">
        <v>120</v>
      </c>
      <c r="D30" s="21">
        <v>240</v>
      </c>
      <c r="E30" s="2"/>
      <c r="F30" s="22">
        <v>12.906000000000001</v>
      </c>
      <c r="G30" s="2"/>
      <c r="H30" s="22">
        <v>5.162400000000001E-3</v>
      </c>
      <c r="I30" s="2"/>
    </row>
    <row r="31" spans="1:9" ht="18.75" customHeight="1" x14ac:dyDescent="0.3">
      <c r="A31" s="2" t="s">
        <v>121</v>
      </c>
      <c r="B31" s="2" t="s">
        <v>118</v>
      </c>
      <c r="C31" s="2" t="s">
        <v>122</v>
      </c>
      <c r="D31" s="21">
        <v>240</v>
      </c>
      <c r="E31" s="2"/>
      <c r="F31" s="22">
        <v>5.1623999999999999</v>
      </c>
      <c r="G31" s="2"/>
      <c r="H31" s="22">
        <v>2.0649600000000002E-3</v>
      </c>
      <c r="I31" s="2"/>
    </row>
    <row r="32" spans="1:9" ht="18.75" customHeight="1" x14ac:dyDescent="0.3">
      <c r="A32" s="2" t="s">
        <v>123</v>
      </c>
      <c r="B32" s="2" t="s">
        <v>120</v>
      </c>
      <c r="C32" s="2" t="s">
        <v>124</v>
      </c>
      <c r="D32" s="21">
        <v>240</v>
      </c>
      <c r="E32" s="2"/>
      <c r="F32" s="22">
        <v>3.8717999999999999</v>
      </c>
      <c r="G32" s="2"/>
      <c r="H32" s="22">
        <v>1.5487200000000002E-3</v>
      </c>
      <c r="I32" s="2"/>
    </row>
    <row r="33" spans="1:9" ht="18.75" customHeight="1" x14ac:dyDescent="0.3">
      <c r="A33" s="2" t="s">
        <v>125</v>
      </c>
      <c r="B33" s="2" t="s">
        <v>126</v>
      </c>
      <c r="C33" s="2" t="s">
        <v>124</v>
      </c>
      <c r="D33" s="21">
        <v>240</v>
      </c>
      <c r="E33" s="2"/>
      <c r="F33" s="22">
        <v>3.2265000000000001</v>
      </c>
      <c r="G33" s="2"/>
      <c r="H33" s="22">
        <v>1.2906000000000003E-3</v>
      </c>
      <c r="I33" s="2"/>
    </row>
    <row r="34" spans="1:9" ht="18.75" customHeight="1" x14ac:dyDescent="0.3">
      <c r="A34" s="2" t="s">
        <v>127</v>
      </c>
      <c r="B34" s="2" t="s">
        <v>126</v>
      </c>
      <c r="C34" s="2" t="s">
        <v>122</v>
      </c>
      <c r="D34" s="21">
        <v>240</v>
      </c>
      <c r="E34" s="2"/>
      <c r="F34" s="22">
        <v>4.5171000000000001</v>
      </c>
      <c r="G34" s="2"/>
      <c r="H34" s="22">
        <v>1.8068400000000003E-3</v>
      </c>
      <c r="I34" s="2"/>
    </row>
    <row r="35" spans="1:9" ht="18.75" customHeight="1" x14ac:dyDescent="0.3">
      <c r="A35" s="2" t="s">
        <v>128</v>
      </c>
      <c r="B35" s="2" t="s">
        <v>126</v>
      </c>
      <c r="C35" s="2" t="s">
        <v>129</v>
      </c>
      <c r="D35" s="21">
        <v>240</v>
      </c>
      <c r="E35" s="2"/>
      <c r="F35" s="22">
        <v>100.0215</v>
      </c>
      <c r="G35" s="2"/>
      <c r="H35" s="22">
        <v>4.0008599999999998E-2</v>
      </c>
      <c r="I35" s="2"/>
    </row>
    <row r="36" spans="1:9" ht="18.75" customHeight="1" x14ac:dyDescent="0.3">
      <c r="A36" s="2" t="s">
        <v>130</v>
      </c>
      <c r="B36" s="2" t="s">
        <v>126</v>
      </c>
      <c r="C36" s="2" t="s">
        <v>131</v>
      </c>
      <c r="D36" s="21">
        <v>240</v>
      </c>
      <c r="E36" s="2"/>
      <c r="F36" s="22">
        <v>80.662499999999994</v>
      </c>
      <c r="G36" s="2"/>
      <c r="H36" s="22">
        <v>3.2265000000000002E-2</v>
      </c>
      <c r="I36" s="2"/>
    </row>
    <row r="37" spans="1:9" ht="18.75" customHeight="1" x14ac:dyDescent="0.3">
      <c r="A37" s="2" t="s">
        <v>132</v>
      </c>
      <c r="B37" s="2" t="s">
        <v>111</v>
      </c>
      <c r="C37" s="2" t="s">
        <v>133</v>
      </c>
      <c r="D37" s="21">
        <v>240</v>
      </c>
      <c r="E37" s="2"/>
      <c r="F37" s="22">
        <v>42.589800000000004</v>
      </c>
      <c r="G37" s="2"/>
      <c r="H37" s="22">
        <v>1.703592E-2</v>
      </c>
      <c r="I37" s="2"/>
    </row>
    <row r="38" spans="1:9" ht="18.75" customHeight="1" x14ac:dyDescent="0.3">
      <c r="A38" s="2" t="s">
        <v>134</v>
      </c>
      <c r="B38" s="2" t="s">
        <v>135</v>
      </c>
      <c r="C38" s="2" t="s">
        <v>133</v>
      </c>
      <c r="D38" s="21">
        <v>240</v>
      </c>
      <c r="E38" s="2"/>
      <c r="F38" s="22">
        <v>41.299199999999999</v>
      </c>
      <c r="G38" s="2"/>
      <c r="H38" s="22">
        <v>1.6519680000000002E-2</v>
      </c>
      <c r="I38" s="2"/>
    </row>
    <row r="39" spans="1:9" ht="18.75" customHeight="1" x14ac:dyDescent="0.3">
      <c r="A39" s="2" t="s">
        <v>136</v>
      </c>
      <c r="B39" s="2" t="s">
        <v>135</v>
      </c>
      <c r="C39" s="2" t="s">
        <v>137</v>
      </c>
      <c r="D39" s="21">
        <v>240</v>
      </c>
      <c r="E39" s="2"/>
      <c r="F39" s="22">
        <v>54.205199999999998</v>
      </c>
      <c r="G39" s="2"/>
      <c r="H39" s="22">
        <v>2.1682079999999999E-2</v>
      </c>
      <c r="I39" s="2"/>
    </row>
    <row r="40" spans="1:9" ht="18.75" customHeight="1" x14ac:dyDescent="0.3">
      <c r="A40" s="2" t="s">
        <v>138</v>
      </c>
      <c r="B40" s="2" t="s">
        <v>137</v>
      </c>
      <c r="C40" s="2" t="s">
        <v>139</v>
      </c>
      <c r="D40" s="21">
        <v>240</v>
      </c>
      <c r="E40" s="2"/>
      <c r="F40" s="22">
        <v>40.6539</v>
      </c>
      <c r="G40" s="2"/>
      <c r="H40" s="22">
        <v>1.6261559999999998E-2</v>
      </c>
      <c r="I40" s="2"/>
    </row>
    <row r="41" spans="1:9" ht="18.75" customHeight="1" x14ac:dyDescent="0.3">
      <c r="A41" s="2" t="s">
        <v>140</v>
      </c>
      <c r="B41" s="2" t="s">
        <v>141</v>
      </c>
      <c r="C41" s="2" t="s">
        <v>139</v>
      </c>
      <c r="D41" s="21">
        <v>240</v>
      </c>
      <c r="E41" s="2"/>
      <c r="F41" s="22">
        <v>23.230799999999999</v>
      </c>
      <c r="G41" s="2"/>
      <c r="H41" s="22">
        <v>9.2923199999999997E-3</v>
      </c>
      <c r="I41" s="2"/>
    </row>
    <row r="42" spans="1:9" ht="18.75" customHeight="1" x14ac:dyDescent="0.3">
      <c r="A42" s="2" t="s">
        <v>142</v>
      </c>
      <c r="B42" s="2" t="s">
        <v>143</v>
      </c>
      <c r="C42" s="2" t="s">
        <v>139</v>
      </c>
      <c r="D42" s="21">
        <v>240</v>
      </c>
      <c r="E42" s="2"/>
      <c r="F42" s="22">
        <v>23.230799999999999</v>
      </c>
      <c r="G42" s="2"/>
      <c r="H42" s="22">
        <v>9.2923199999999997E-3</v>
      </c>
      <c r="I42" s="2"/>
    </row>
    <row r="43" spans="1:9" ht="18.75" customHeight="1" x14ac:dyDescent="0.3">
      <c r="A43" s="2" t="s">
        <v>144</v>
      </c>
      <c r="B43" s="2" t="s">
        <v>143</v>
      </c>
      <c r="C43" s="2" t="s">
        <v>139</v>
      </c>
      <c r="D43" s="21">
        <v>240</v>
      </c>
      <c r="E43" s="2"/>
      <c r="F43" s="22">
        <v>23.230799999999999</v>
      </c>
      <c r="G43" s="2"/>
      <c r="H43" s="22">
        <v>9.2923199999999997E-3</v>
      </c>
      <c r="I43" s="2"/>
    </row>
    <row r="44" spans="1:9" ht="18.75" customHeight="1" x14ac:dyDescent="0.3">
      <c r="A44" s="2" t="s">
        <v>145</v>
      </c>
      <c r="B44" s="2" t="s">
        <v>143</v>
      </c>
      <c r="C44" s="2" t="s">
        <v>141</v>
      </c>
      <c r="D44" s="21">
        <v>240</v>
      </c>
      <c r="E44" s="2"/>
      <c r="F44" s="22">
        <v>29.683800000000002</v>
      </c>
      <c r="G44" s="2"/>
      <c r="H44" s="22">
        <v>1.187352E-2</v>
      </c>
      <c r="I44" s="2"/>
    </row>
    <row r="45" spans="1:9" ht="18.75" customHeight="1" x14ac:dyDescent="0.3">
      <c r="A45" s="2" t="s">
        <v>146</v>
      </c>
      <c r="B45" s="2" t="s">
        <v>143</v>
      </c>
      <c r="C45" s="2" t="s">
        <v>147</v>
      </c>
      <c r="D45" s="21">
        <v>240</v>
      </c>
      <c r="E45" s="2"/>
      <c r="F45" s="22">
        <v>29.038500000000003</v>
      </c>
      <c r="G45" s="2"/>
      <c r="H45" s="22">
        <v>1.1615400000000001E-2</v>
      </c>
      <c r="I45" s="2"/>
    </row>
    <row r="46" spans="1:9" ht="18.75" customHeight="1" x14ac:dyDescent="0.3">
      <c r="A46" s="2" t="s">
        <v>148</v>
      </c>
      <c r="B46" s="2" t="s">
        <v>149</v>
      </c>
      <c r="C46" s="2" t="s">
        <v>147</v>
      </c>
      <c r="D46" s="21">
        <v>240</v>
      </c>
      <c r="E46" s="2"/>
      <c r="F46" s="22">
        <v>51.624000000000002</v>
      </c>
      <c r="G46" s="2"/>
      <c r="H46" s="22">
        <v>2.0649600000000004E-2</v>
      </c>
      <c r="I46" s="2"/>
    </row>
    <row r="47" spans="1:9" ht="18.75" customHeight="1" x14ac:dyDescent="0.3">
      <c r="A47" s="2" t="s">
        <v>150</v>
      </c>
      <c r="B47" s="2" t="s">
        <v>149</v>
      </c>
      <c r="C47" s="2" t="s">
        <v>72</v>
      </c>
      <c r="D47" s="21">
        <v>240</v>
      </c>
      <c r="E47" s="2"/>
      <c r="F47" s="22">
        <v>32.265000000000001</v>
      </c>
      <c r="G47" s="2"/>
      <c r="H47" s="22">
        <v>1.2906000000000001E-2</v>
      </c>
      <c r="I47" s="2"/>
    </row>
    <row r="48" spans="1:9" ht="18.75" customHeight="1" x14ac:dyDescent="0.3">
      <c r="A48" s="2" t="s">
        <v>151</v>
      </c>
      <c r="B48" s="2" t="s">
        <v>141</v>
      </c>
      <c r="C48" s="2" t="s">
        <v>102</v>
      </c>
      <c r="D48" s="21">
        <v>240</v>
      </c>
      <c r="E48" s="2"/>
      <c r="F48" s="22">
        <v>41.944500000000005</v>
      </c>
      <c r="G48" s="2"/>
      <c r="H48" s="22">
        <v>1.6777800000000002E-2</v>
      </c>
      <c r="I48" s="2"/>
    </row>
    <row r="49" spans="1:9" ht="18.75" customHeight="1" x14ac:dyDescent="0.3">
      <c r="A49" s="2" t="s">
        <v>152</v>
      </c>
      <c r="B49" s="2" t="s">
        <v>139</v>
      </c>
      <c r="C49" s="2" t="s">
        <v>149</v>
      </c>
      <c r="D49" s="21">
        <v>500</v>
      </c>
      <c r="E49" s="2"/>
      <c r="F49" s="22">
        <v>70.983000000000004</v>
      </c>
      <c r="G49" s="2"/>
      <c r="H49" s="22">
        <v>2.1294900000000002E-2</v>
      </c>
      <c r="I49" s="2"/>
    </row>
    <row r="50" spans="1:9" ht="18.75" customHeight="1" x14ac:dyDescent="0.3">
      <c r="A50" s="2" t="s">
        <v>153</v>
      </c>
      <c r="B50" s="2" t="s">
        <v>154</v>
      </c>
      <c r="C50" s="2" t="s">
        <v>149</v>
      </c>
      <c r="D50" s="21">
        <v>500</v>
      </c>
      <c r="E50" s="2"/>
      <c r="F50" s="22">
        <v>467.84250000000003</v>
      </c>
      <c r="G50" s="2"/>
      <c r="H50" s="22">
        <v>0.14035275000000003</v>
      </c>
      <c r="I50" s="2"/>
    </row>
    <row r="51" spans="1:9" ht="18.75" customHeight="1" x14ac:dyDescent="0.3">
      <c r="A51" s="2" t="s">
        <v>155</v>
      </c>
      <c r="B51" s="2" t="s">
        <v>118</v>
      </c>
      <c r="C51" s="2" t="s">
        <v>156</v>
      </c>
      <c r="D51" s="21">
        <v>500</v>
      </c>
      <c r="E51" s="2"/>
      <c r="F51" s="22">
        <v>9.6794999999999991</v>
      </c>
      <c r="G51" s="2"/>
      <c r="H51" s="22">
        <v>2.9038499999999999E-3</v>
      </c>
      <c r="I51" s="2"/>
    </row>
    <row r="52" spans="1:9" ht="18.75" customHeight="1" x14ac:dyDescent="0.3">
      <c r="A52" s="2" t="s">
        <v>157</v>
      </c>
      <c r="B52" s="2" t="s">
        <v>118</v>
      </c>
      <c r="C52" s="2" t="s">
        <v>156</v>
      </c>
      <c r="D52" s="21">
        <v>500</v>
      </c>
      <c r="E52" s="2"/>
      <c r="F52" s="22">
        <v>9.6794999999999991</v>
      </c>
      <c r="G52" s="2"/>
      <c r="H52" s="22">
        <v>2.9038499999999999E-3</v>
      </c>
      <c r="I52" s="2"/>
    </row>
    <row r="53" spans="1:9" ht="18.75" customHeight="1" x14ac:dyDescent="0.3">
      <c r="A53" s="2" t="s">
        <v>158</v>
      </c>
      <c r="B53" s="2" t="s">
        <v>159</v>
      </c>
      <c r="C53" s="2" t="s">
        <v>156</v>
      </c>
      <c r="D53" s="21">
        <v>500</v>
      </c>
      <c r="E53" s="2"/>
      <c r="F53" s="22">
        <v>354.91500000000002</v>
      </c>
      <c r="G53" s="2"/>
      <c r="H53" s="22">
        <v>0.1064745</v>
      </c>
      <c r="I53" s="2"/>
    </row>
    <row r="54" spans="1:9" ht="18.75" customHeight="1" x14ac:dyDescent="0.3">
      <c r="A54" s="2" t="s">
        <v>160</v>
      </c>
      <c r="B54" s="2" t="s">
        <v>161</v>
      </c>
      <c r="C54" s="2" t="s">
        <v>118</v>
      </c>
      <c r="D54" s="21">
        <v>500</v>
      </c>
      <c r="E54" s="2"/>
      <c r="F54" s="22">
        <v>109.70099999999999</v>
      </c>
      <c r="G54" s="2"/>
      <c r="H54" s="22">
        <v>3.2910299999999997E-2</v>
      </c>
      <c r="I54" s="2"/>
    </row>
    <row r="55" spans="1:9" ht="18.75" customHeight="1" x14ac:dyDescent="0.3">
      <c r="A55" s="2" t="s">
        <v>162</v>
      </c>
      <c r="B55" s="2" t="s">
        <v>161</v>
      </c>
      <c r="C55" s="2" t="s">
        <v>118</v>
      </c>
      <c r="D55" s="21">
        <v>500</v>
      </c>
      <c r="E55" s="2"/>
      <c r="F55" s="22">
        <v>109.70099999999999</v>
      </c>
      <c r="G55" s="2"/>
      <c r="H55" s="22">
        <v>3.2910299999999997E-2</v>
      </c>
      <c r="I55" s="2"/>
    </row>
    <row r="56" spans="1:9" ht="18.75" customHeight="1" x14ac:dyDescent="0.3">
      <c r="A56" s="2" t="s">
        <v>163</v>
      </c>
      <c r="B56" s="2" t="s">
        <v>164</v>
      </c>
      <c r="C56" s="2" t="s">
        <v>89</v>
      </c>
      <c r="D56" s="21">
        <v>240</v>
      </c>
      <c r="E56" s="2"/>
      <c r="F56" s="22">
        <v>122.607</v>
      </c>
      <c r="G56" s="2"/>
      <c r="H56" s="22">
        <v>4.9042799999999998E-2</v>
      </c>
      <c r="I56" s="2"/>
    </row>
    <row r="57" spans="1:9" ht="18.75" customHeight="1" x14ac:dyDescent="0.3">
      <c r="A57" s="2" t="s">
        <v>165</v>
      </c>
      <c r="B57" s="2" t="s">
        <v>164</v>
      </c>
      <c r="C57" s="2" t="s">
        <v>129</v>
      </c>
      <c r="D57" s="21">
        <v>240</v>
      </c>
      <c r="E57" s="2"/>
      <c r="F57" s="22">
        <v>20.6496</v>
      </c>
      <c r="G57" s="2"/>
      <c r="H57" s="22">
        <v>8.2598400000000009E-3</v>
      </c>
      <c r="I57" s="2"/>
    </row>
    <row r="58" spans="1:9" ht="18.75" customHeight="1" x14ac:dyDescent="0.3">
      <c r="A58" s="2" t="s">
        <v>166</v>
      </c>
      <c r="B58" s="2" t="s">
        <v>131</v>
      </c>
      <c r="C58" s="2" t="s">
        <v>167</v>
      </c>
      <c r="D58" s="21">
        <v>240</v>
      </c>
      <c r="E58" s="2"/>
      <c r="F58" s="22">
        <v>12.906000000000001</v>
      </c>
      <c r="G58" s="2"/>
      <c r="H58" s="22">
        <v>5.162400000000001E-3</v>
      </c>
      <c r="I58" s="2"/>
    </row>
    <row r="59" spans="1:9" ht="18.75" customHeight="1" x14ac:dyDescent="0.3">
      <c r="A59" s="2" t="s">
        <v>168</v>
      </c>
      <c r="B59" s="2" t="s">
        <v>131</v>
      </c>
      <c r="C59" s="2" t="s">
        <v>167</v>
      </c>
      <c r="D59" s="21">
        <v>240</v>
      </c>
      <c r="E59" s="2"/>
      <c r="F59" s="22">
        <v>12.906000000000001</v>
      </c>
      <c r="G59" s="2"/>
      <c r="H59" s="22">
        <v>5.162400000000001E-3</v>
      </c>
      <c r="I59" s="2"/>
    </row>
    <row r="60" spans="1:9" ht="18.75" customHeight="1" x14ac:dyDescent="0.3">
      <c r="A60" s="2" t="s">
        <v>169</v>
      </c>
      <c r="B60" s="2" t="s">
        <v>161</v>
      </c>
      <c r="C60" s="2" t="s">
        <v>167</v>
      </c>
      <c r="D60" s="21">
        <v>240</v>
      </c>
      <c r="E60" s="2"/>
      <c r="F60" s="22">
        <v>38.717999999999996</v>
      </c>
      <c r="G60" s="2"/>
      <c r="H60" s="22">
        <v>1.54872E-2</v>
      </c>
      <c r="I60" s="2"/>
    </row>
    <row r="61" spans="1:9" ht="18.75" customHeight="1" x14ac:dyDescent="0.3">
      <c r="A61" s="2" t="s">
        <v>170</v>
      </c>
      <c r="B61" s="2" t="s">
        <v>171</v>
      </c>
      <c r="C61" s="2" t="s">
        <v>161</v>
      </c>
      <c r="D61" s="21">
        <v>240</v>
      </c>
      <c r="E61" s="2"/>
      <c r="F61" s="22">
        <v>16.1325</v>
      </c>
      <c r="G61" s="2"/>
      <c r="H61" s="22">
        <v>6.4530000000000004E-3</v>
      </c>
      <c r="I61" s="2"/>
    </row>
    <row r="62" spans="1:9" ht="18.75" customHeight="1" x14ac:dyDescent="0.3">
      <c r="A62" s="2" t="s">
        <v>172</v>
      </c>
      <c r="B62" s="2" t="s">
        <v>173</v>
      </c>
      <c r="C62" s="2" t="s">
        <v>161</v>
      </c>
      <c r="D62" s="21">
        <v>240</v>
      </c>
      <c r="E62" s="2"/>
      <c r="F62" s="22">
        <v>9.6794999999999991</v>
      </c>
      <c r="G62" s="2"/>
      <c r="H62" s="22">
        <v>3.8717999999999999E-3</v>
      </c>
      <c r="I62" s="2"/>
    </row>
    <row r="63" spans="1:9" ht="18.75" customHeight="1" x14ac:dyDescent="0.3">
      <c r="A63" s="2" t="s">
        <v>174</v>
      </c>
      <c r="B63" s="2" t="s">
        <v>173</v>
      </c>
      <c r="C63" s="2" t="s">
        <v>91</v>
      </c>
      <c r="D63" s="21">
        <v>240</v>
      </c>
      <c r="E63" s="2"/>
      <c r="F63" s="22">
        <v>132.28649999999999</v>
      </c>
      <c r="G63" s="2"/>
      <c r="H63" s="22">
        <v>5.2914599999999999E-2</v>
      </c>
      <c r="I63" s="2"/>
    </row>
    <row r="64" spans="1:9" ht="18.75" customHeight="1" x14ac:dyDescent="0.3">
      <c r="A64" s="2" t="s">
        <v>175</v>
      </c>
      <c r="B64" s="2" t="s">
        <v>171</v>
      </c>
      <c r="C64" s="2" t="s">
        <v>176</v>
      </c>
      <c r="D64" s="21">
        <v>240</v>
      </c>
      <c r="E64" s="2"/>
      <c r="F64" s="22">
        <v>32.265000000000001</v>
      </c>
      <c r="G64" s="2"/>
      <c r="H64" s="22">
        <v>1.2906000000000001E-2</v>
      </c>
      <c r="I64" s="2"/>
    </row>
    <row r="65" spans="1:9" ht="18.75" customHeight="1" x14ac:dyDescent="0.3">
      <c r="A65" s="2" t="s">
        <v>177</v>
      </c>
      <c r="B65" s="2" t="s">
        <v>178</v>
      </c>
      <c r="C65" s="2" t="s">
        <v>176</v>
      </c>
      <c r="D65" s="21">
        <v>240</v>
      </c>
      <c r="E65" s="2"/>
      <c r="F65" s="22">
        <v>9.6794999999999991</v>
      </c>
      <c r="G65" s="2"/>
      <c r="H65" s="22">
        <v>3.8717999999999999E-3</v>
      </c>
      <c r="I65" s="2"/>
    </row>
    <row r="66" spans="1:9" ht="18.75" customHeight="1" x14ac:dyDescent="0.3">
      <c r="A66" s="2" t="s">
        <v>179</v>
      </c>
      <c r="B66" s="2" t="s">
        <v>178</v>
      </c>
      <c r="C66" s="2" t="s">
        <v>164</v>
      </c>
      <c r="D66" s="21">
        <v>240</v>
      </c>
      <c r="E66" s="2"/>
      <c r="F66" s="22">
        <v>35.491500000000002</v>
      </c>
      <c r="G66" s="2"/>
      <c r="H66" s="22">
        <v>1.4196600000000002E-2</v>
      </c>
      <c r="I66" s="2"/>
    </row>
    <row r="67" spans="1:9" ht="18.75" customHeight="1" x14ac:dyDescent="0.3">
      <c r="A67" s="2" t="s">
        <v>180</v>
      </c>
      <c r="B67" s="2" t="s">
        <v>176</v>
      </c>
      <c r="C67" s="2" t="s">
        <v>91</v>
      </c>
      <c r="D67" s="21">
        <v>240</v>
      </c>
      <c r="E67" s="2"/>
      <c r="F67" s="22">
        <v>148.41899999999998</v>
      </c>
      <c r="G67" s="2"/>
      <c r="H67" s="22">
        <v>5.9367599999999993E-2</v>
      </c>
      <c r="I67" s="2"/>
    </row>
    <row r="68" spans="1:9" ht="18.75" customHeight="1" x14ac:dyDescent="0.3">
      <c r="A68" s="2" t="s">
        <v>181</v>
      </c>
      <c r="B68" s="2" t="s">
        <v>182</v>
      </c>
      <c r="C68" s="2" t="s">
        <v>183</v>
      </c>
      <c r="D68" s="21">
        <v>240</v>
      </c>
      <c r="E68" s="2"/>
      <c r="F68" s="22">
        <v>125.8335</v>
      </c>
      <c r="G68" s="2"/>
      <c r="H68" s="22">
        <v>5.0333400000000007E-2</v>
      </c>
      <c r="I68" s="2"/>
    </row>
    <row r="69" spans="1:9" ht="18.75" customHeight="1" x14ac:dyDescent="0.3">
      <c r="A69" s="2" t="s">
        <v>184</v>
      </c>
      <c r="B69" s="2" t="s">
        <v>182</v>
      </c>
      <c r="C69" s="2" t="s">
        <v>183</v>
      </c>
      <c r="D69" s="21">
        <v>240</v>
      </c>
      <c r="E69" s="2"/>
      <c r="F69" s="22">
        <v>125.8335</v>
      </c>
      <c r="G69" s="2"/>
      <c r="H69" s="22">
        <v>5.0333400000000007E-2</v>
      </c>
      <c r="I69" s="2"/>
    </row>
    <row r="70" spans="1:9" ht="18.75" customHeight="1" x14ac:dyDescent="0.3">
      <c r="A70" s="2" t="s">
        <v>185</v>
      </c>
      <c r="B70" s="2" t="s">
        <v>91</v>
      </c>
      <c r="C70" s="2" t="s">
        <v>183</v>
      </c>
      <c r="D70" s="21">
        <v>240</v>
      </c>
      <c r="E70" s="2"/>
      <c r="F70" s="22">
        <v>135.51300000000001</v>
      </c>
      <c r="G70" s="2"/>
      <c r="H70" s="22">
        <v>5.4205200000000002E-2</v>
      </c>
      <c r="I70" s="2"/>
    </row>
    <row r="71" spans="1:9" ht="18.75" customHeight="1" x14ac:dyDescent="0.3">
      <c r="A71" s="2" t="s">
        <v>186</v>
      </c>
      <c r="B71" s="2" t="s">
        <v>91</v>
      </c>
      <c r="C71" s="2" t="s">
        <v>183</v>
      </c>
      <c r="D71" s="21">
        <v>240</v>
      </c>
      <c r="E71" s="2"/>
      <c r="F71" s="22">
        <v>135.51300000000001</v>
      </c>
      <c r="G71" s="2"/>
      <c r="H71" s="22">
        <v>5.4205200000000002E-2</v>
      </c>
      <c r="I71" s="2"/>
    </row>
    <row r="72" spans="1:9" ht="18.75" customHeight="1" x14ac:dyDescent="0.3">
      <c r="A72" s="2" t="s">
        <v>187</v>
      </c>
      <c r="B72" s="2" t="s">
        <v>161</v>
      </c>
      <c r="C72" s="2" t="s">
        <v>188</v>
      </c>
      <c r="D72" s="21">
        <v>500</v>
      </c>
      <c r="E72" s="2"/>
      <c r="F72" s="22">
        <v>125.8335</v>
      </c>
      <c r="G72" s="2"/>
      <c r="H72" s="22">
        <v>3.775005E-2</v>
      </c>
      <c r="I72" s="2"/>
    </row>
    <row r="73" spans="1:9" ht="18.75" customHeight="1" x14ac:dyDescent="0.3">
      <c r="A73" s="2" t="s">
        <v>189</v>
      </c>
      <c r="B73" s="2" t="s">
        <v>154</v>
      </c>
      <c r="C73" s="2" t="s">
        <v>188</v>
      </c>
      <c r="D73" s="21">
        <v>500</v>
      </c>
      <c r="E73" s="2"/>
      <c r="F73" s="22">
        <v>4.5171000000000001</v>
      </c>
      <c r="G73" s="2"/>
      <c r="H73" s="22">
        <v>1.35513E-3</v>
      </c>
      <c r="I73" s="2"/>
    </row>
    <row r="74" spans="1:9" ht="18.75" customHeight="1" x14ac:dyDescent="0.3">
      <c r="A74" s="2" t="s">
        <v>190</v>
      </c>
      <c r="B74" s="2" t="s">
        <v>154</v>
      </c>
      <c r="C74" s="2" t="s">
        <v>188</v>
      </c>
      <c r="D74" s="21">
        <v>500</v>
      </c>
      <c r="E74" s="2"/>
      <c r="F74" s="22">
        <v>4.5171000000000001</v>
      </c>
      <c r="G74" s="2"/>
      <c r="H74" s="22">
        <v>1.35513E-3</v>
      </c>
      <c r="I74" s="2"/>
    </row>
    <row r="75" spans="1:9" ht="18.75" customHeight="1" x14ac:dyDescent="0.3">
      <c r="A75" s="2" t="s">
        <v>191</v>
      </c>
      <c r="B75" s="2" t="s">
        <v>154</v>
      </c>
      <c r="C75" s="2" t="s">
        <v>182</v>
      </c>
      <c r="D75" s="21">
        <v>500</v>
      </c>
      <c r="E75" s="2"/>
      <c r="F75" s="22">
        <v>38.717999999999996</v>
      </c>
      <c r="G75" s="2"/>
      <c r="H75" s="22">
        <v>1.16154E-2</v>
      </c>
      <c r="I75" s="2"/>
    </row>
    <row r="76" spans="1:9" ht="18.75" customHeight="1" x14ac:dyDescent="0.3">
      <c r="A76" s="2" t="s">
        <v>192</v>
      </c>
      <c r="B76" s="2" t="s">
        <v>161</v>
      </c>
      <c r="C76" s="2" t="s">
        <v>182</v>
      </c>
      <c r="D76" s="21">
        <v>500</v>
      </c>
      <c r="E76" s="2"/>
      <c r="F76" s="22">
        <v>132.28649999999999</v>
      </c>
      <c r="G76" s="2"/>
      <c r="H76" s="22">
        <v>3.9685949999999998E-2</v>
      </c>
      <c r="I76" s="2"/>
    </row>
    <row r="77" spans="1:9" ht="18.75" customHeight="1" x14ac:dyDescent="0.3">
      <c r="A77" s="2" t="s">
        <v>193</v>
      </c>
      <c r="B77" s="2" t="s">
        <v>154</v>
      </c>
      <c r="C77" s="2" t="s">
        <v>194</v>
      </c>
      <c r="D77" s="21">
        <v>500</v>
      </c>
      <c r="E77" s="2"/>
      <c r="F77" s="22">
        <v>277.47899999999998</v>
      </c>
      <c r="G77" s="2"/>
      <c r="H77" s="22">
        <v>8.324369999999999E-2</v>
      </c>
      <c r="I77" s="2"/>
    </row>
    <row r="78" spans="1:9" ht="18.75" customHeight="1" x14ac:dyDescent="0.3">
      <c r="A78" s="2" t="s">
        <v>195</v>
      </c>
      <c r="B78" s="2" t="s">
        <v>183</v>
      </c>
      <c r="C78" s="2" t="s">
        <v>196</v>
      </c>
      <c r="D78" s="21">
        <v>240</v>
      </c>
      <c r="E78" s="2"/>
      <c r="F78" s="22">
        <v>206.49600000000001</v>
      </c>
      <c r="G78" s="2"/>
      <c r="H78" s="22">
        <v>8.2598400000000016E-2</v>
      </c>
      <c r="I78" s="2"/>
    </row>
    <row r="79" spans="1:9" ht="18.75" customHeight="1" x14ac:dyDescent="0.3">
      <c r="A79" s="2" t="s">
        <v>197</v>
      </c>
      <c r="B79" s="2" t="s">
        <v>183</v>
      </c>
      <c r="C79" s="2" t="s">
        <v>196</v>
      </c>
      <c r="D79" s="21">
        <v>240</v>
      </c>
      <c r="E79" s="2"/>
      <c r="F79" s="22">
        <v>206.49600000000001</v>
      </c>
      <c r="G79" s="2"/>
      <c r="H79" s="22">
        <v>8.2598400000000016E-2</v>
      </c>
      <c r="I79" s="2"/>
    </row>
    <row r="80" spans="1:9" ht="18.75" customHeight="1" x14ac:dyDescent="0.3">
      <c r="A80" s="2" t="s">
        <v>198</v>
      </c>
      <c r="B80" s="2" t="s">
        <v>199</v>
      </c>
      <c r="C80" s="2" t="s">
        <v>200</v>
      </c>
      <c r="D80" s="21">
        <v>240</v>
      </c>
      <c r="E80" s="2"/>
      <c r="F80" s="22">
        <v>46.461599999999997</v>
      </c>
      <c r="G80" s="2"/>
      <c r="H80" s="22">
        <v>1.8584639999999999E-2</v>
      </c>
      <c r="I80" s="2"/>
    </row>
    <row r="81" spans="1:9" ht="18.75" customHeight="1" x14ac:dyDescent="0.3">
      <c r="A81" s="2" t="s">
        <v>201</v>
      </c>
      <c r="B81" s="2" t="s">
        <v>199</v>
      </c>
      <c r="C81" s="2" t="s">
        <v>200</v>
      </c>
      <c r="D81" s="21">
        <v>240</v>
      </c>
      <c r="E81" s="2"/>
      <c r="F81" s="22">
        <v>46.461599999999997</v>
      </c>
      <c r="G81" s="2"/>
      <c r="H81" s="22">
        <v>1.8584639999999999E-2</v>
      </c>
      <c r="I81" s="2"/>
    </row>
    <row r="82" spans="1:9" ht="18.75" customHeight="1" x14ac:dyDescent="0.3">
      <c r="A82" s="2" t="s">
        <v>202</v>
      </c>
      <c r="B82" s="2" t="s">
        <v>199</v>
      </c>
      <c r="C82" s="2" t="s">
        <v>196</v>
      </c>
      <c r="D82" s="21">
        <v>240</v>
      </c>
      <c r="E82" s="2"/>
      <c r="F82" s="22">
        <v>35.491500000000002</v>
      </c>
      <c r="G82" s="2"/>
      <c r="H82" s="22">
        <v>1.4196600000000002E-2</v>
      </c>
      <c r="I82" s="2"/>
    </row>
    <row r="83" spans="1:9" ht="18.75" customHeight="1" x14ac:dyDescent="0.3">
      <c r="A83" s="2" t="s">
        <v>203</v>
      </c>
      <c r="B83" s="2" t="s">
        <v>194</v>
      </c>
      <c r="C83" s="2" t="s">
        <v>200</v>
      </c>
      <c r="D83" s="21">
        <v>500</v>
      </c>
      <c r="E83" s="2"/>
      <c r="F83" s="22">
        <v>3.8717999999999999</v>
      </c>
      <c r="G83" s="2"/>
      <c r="H83" s="22">
        <v>1.16154E-3</v>
      </c>
      <c r="I83" s="2"/>
    </row>
    <row r="84" spans="1:9" ht="18.75" customHeight="1" x14ac:dyDescent="0.3">
      <c r="A84" s="2" t="s">
        <v>204</v>
      </c>
      <c r="B84" s="2" t="s">
        <v>205</v>
      </c>
      <c r="C84" s="2" t="s">
        <v>200</v>
      </c>
      <c r="D84" s="21">
        <v>500</v>
      </c>
      <c r="E84" s="2"/>
      <c r="F84" s="22">
        <v>4.5171000000000001</v>
      </c>
      <c r="G84" s="2"/>
      <c r="H84" s="22">
        <v>1.35513E-3</v>
      </c>
      <c r="I8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E38"/>
  <sheetViews>
    <sheetView workbookViewId="0"/>
  </sheetViews>
  <sheetFormatPr defaultRowHeight="14.4" x14ac:dyDescent="0.3"/>
  <cols>
    <col min="1" max="2" width="13.5546875" style="9" bestFit="1" customWidth="1"/>
    <col min="3" max="3" width="24.88671875" style="9" bestFit="1" customWidth="1"/>
    <col min="4" max="4" width="15" style="18" bestFit="1" customWidth="1"/>
    <col min="5" max="5" width="20.109375" style="9" bestFit="1" customWidth="1"/>
  </cols>
  <sheetData>
    <row r="1" spans="1:5" ht="18.75" customHeight="1" x14ac:dyDescent="0.3">
      <c r="A1" s="2"/>
      <c r="B1" s="2"/>
      <c r="C1" s="2"/>
      <c r="D1" s="10"/>
      <c r="E1" s="2"/>
    </row>
    <row r="2" spans="1:5" ht="18.75" customHeight="1" x14ac:dyDescent="0.3">
      <c r="A2" s="2"/>
      <c r="B2" s="2" t="s">
        <v>18</v>
      </c>
      <c r="C2" s="2"/>
      <c r="D2" s="10"/>
      <c r="E2" s="2"/>
    </row>
    <row r="3" spans="1:5" ht="18.75" customHeight="1" x14ac:dyDescent="0.3">
      <c r="A3" s="2"/>
      <c r="B3" s="2"/>
      <c r="C3" s="2"/>
      <c r="D3" s="10"/>
      <c r="E3" s="2"/>
    </row>
    <row r="4" spans="1:5" ht="18.75" customHeight="1" x14ac:dyDescent="0.3">
      <c r="A4" s="2"/>
      <c r="B4" s="2"/>
      <c r="C4" s="2" t="s">
        <v>19</v>
      </c>
      <c r="D4" s="10"/>
      <c r="E4" s="2" t="s">
        <v>20</v>
      </c>
    </row>
    <row r="5" spans="1:5" ht="18.75" customHeight="1" x14ac:dyDescent="0.3">
      <c r="A5" s="2"/>
      <c r="B5" s="2"/>
      <c r="C5" s="11" t="s">
        <v>21</v>
      </c>
      <c r="D5" s="10"/>
      <c r="E5" s="11" t="s">
        <v>22</v>
      </c>
    </row>
    <row r="6" spans="1:5" ht="18.75" customHeight="1" x14ac:dyDescent="0.3">
      <c r="A6" s="2"/>
      <c r="B6" s="2"/>
      <c r="C6" s="12" t="s">
        <v>23</v>
      </c>
      <c r="D6" s="10"/>
      <c r="E6" s="12" t="s">
        <v>24</v>
      </c>
    </row>
    <row r="7" spans="1:5" ht="18.75" customHeight="1" x14ac:dyDescent="0.3">
      <c r="A7" s="2"/>
      <c r="B7" s="2"/>
      <c r="C7" s="5" t="s">
        <v>25</v>
      </c>
      <c r="D7" s="10"/>
      <c r="E7" s="5" t="s">
        <v>26</v>
      </c>
    </row>
    <row r="8" spans="1:5" ht="18.75" customHeight="1" x14ac:dyDescent="0.3">
      <c r="A8" s="2"/>
      <c r="B8" s="2"/>
      <c r="C8" s="5" t="s">
        <v>27</v>
      </c>
      <c r="D8" s="10"/>
      <c r="E8" s="13" t="s">
        <v>28</v>
      </c>
    </row>
    <row r="9" spans="1:5" ht="18.75" customHeight="1" x14ac:dyDescent="0.3">
      <c r="A9" s="2"/>
      <c r="B9" s="2"/>
      <c r="C9" s="5" t="s">
        <v>29</v>
      </c>
      <c r="D9" s="10"/>
      <c r="E9" s="11" t="s">
        <v>30</v>
      </c>
    </row>
    <row r="10" spans="1:5" ht="18.75" customHeight="1" x14ac:dyDescent="0.3">
      <c r="A10" s="2"/>
      <c r="B10" s="2"/>
      <c r="C10" s="13" t="s">
        <v>31</v>
      </c>
      <c r="D10" s="10"/>
      <c r="E10" s="12" t="s">
        <v>32</v>
      </c>
    </row>
    <row r="11" spans="1:5" ht="18.75" customHeight="1" x14ac:dyDescent="0.3">
      <c r="A11" s="2"/>
      <c r="B11" s="2"/>
      <c r="C11" s="11" t="s">
        <v>33</v>
      </c>
      <c r="D11" s="10"/>
      <c r="E11" s="5" t="s">
        <v>34</v>
      </c>
    </row>
    <row r="12" spans="1:5" ht="18.75" customHeight="1" x14ac:dyDescent="0.3">
      <c r="A12" s="2"/>
      <c r="B12" s="2"/>
      <c r="C12" s="12" t="s">
        <v>35</v>
      </c>
      <c r="D12" s="10"/>
      <c r="E12" s="13" t="s">
        <v>36</v>
      </c>
    </row>
    <row r="13" spans="1:5" ht="18.75" customHeight="1" x14ac:dyDescent="0.3">
      <c r="A13" s="2"/>
      <c r="B13" s="2"/>
      <c r="C13" s="12" t="s">
        <v>37</v>
      </c>
      <c r="D13" s="10"/>
      <c r="E13" s="11" t="s">
        <v>38</v>
      </c>
    </row>
    <row r="14" spans="1:5" ht="18.75" customHeight="1" x14ac:dyDescent="0.3">
      <c r="A14" s="2"/>
      <c r="B14" s="2"/>
      <c r="C14" s="5" t="s">
        <v>39</v>
      </c>
      <c r="D14" s="10"/>
      <c r="E14" s="12" t="s">
        <v>40</v>
      </c>
    </row>
    <row r="15" spans="1:5" ht="18.75" customHeight="1" x14ac:dyDescent="0.3">
      <c r="A15" s="2"/>
      <c r="B15" s="2"/>
      <c r="C15" s="13" t="s">
        <v>41</v>
      </c>
      <c r="D15" s="10"/>
      <c r="E15" s="5" t="s">
        <v>42</v>
      </c>
    </row>
    <row r="16" spans="1:5" ht="18.75" customHeight="1" x14ac:dyDescent="0.3">
      <c r="A16" s="2"/>
      <c r="B16" s="2"/>
      <c r="C16" s="11" t="s">
        <v>43</v>
      </c>
      <c r="D16" s="10"/>
      <c r="E16" s="13" t="s">
        <v>44</v>
      </c>
    </row>
    <row r="17" spans="1:5" ht="18.75" customHeight="1" x14ac:dyDescent="0.3">
      <c r="A17" s="2"/>
      <c r="B17" s="2"/>
      <c r="C17" s="12" t="s">
        <v>45</v>
      </c>
      <c r="D17" s="10"/>
      <c r="E17" s="11" t="s">
        <v>46</v>
      </c>
    </row>
    <row r="18" spans="1:5" ht="18.75" customHeight="1" x14ac:dyDescent="0.3">
      <c r="A18" s="2"/>
      <c r="B18" s="2"/>
      <c r="C18" s="5" t="s">
        <v>47</v>
      </c>
      <c r="D18" s="10"/>
      <c r="E18" s="12" t="s">
        <v>48</v>
      </c>
    </row>
    <row r="19" spans="1:5" ht="18.75" customHeight="1" x14ac:dyDescent="0.3">
      <c r="A19" s="2"/>
      <c r="B19" s="2"/>
      <c r="C19" s="13" t="s">
        <v>49</v>
      </c>
      <c r="D19" s="10"/>
      <c r="E19" s="2"/>
    </row>
    <row r="20" spans="1:5" ht="18.75" customHeight="1" x14ac:dyDescent="0.3">
      <c r="A20" s="2"/>
      <c r="B20" s="2"/>
      <c r="C20" s="2"/>
      <c r="D20" s="10"/>
      <c r="E20" s="2"/>
    </row>
    <row r="21" spans="1:5" ht="18.75" customHeight="1" x14ac:dyDescent="0.3">
      <c r="A21" s="2"/>
      <c r="B21" s="2"/>
      <c r="C21" s="2"/>
      <c r="D21" s="10"/>
      <c r="E21" s="2"/>
    </row>
    <row r="22" spans="1:5" ht="18.75" customHeight="1" x14ac:dyDescent="0.3">
      <c r="A22" s="2"/>
      <c r="B22" s="2"/>
      <c r="C22" s="14" t="s">
        <v>50</v>
      </c>
      <c r="D22" s="15" t="s">
        <v>51</v>
      </c>
      <c r="E22" s="2" t="s">
        <v>52</v>
      </c>
    </row>
    <row r="23" spans="1:5" ht="18.75" customHeight="1" x14ac:dyDescent="0.3">
      <c r="A23" s="2"/>
      <c r="B23" s="2"/>
      <c r="C23" s="14" t="s">
        <v>53</v>
      </c>
      <c r="D23" s="16">
        <v>255</v>
      </c>
      <c r="E23" s="2"/>
    </row>
    <row r="24" spans="1:5" ht="18.75" customHeight="1" x14ac:dyDescent="0.3">
      <c r="A24" s="2"/>
      <c r="B24" s="2"/>
      <c r="C24" s="14" t="s">
        <v>54</v>
      </c>
      <c r="D24" s="17">
        <v>1.6879999999999999</v>
      </c>
      <c r="E24" s="2"/>
    </row>
    <row r="25" spans="1:5" ht="18.75" customHeight="1" x14ac:dyDescent="0.3">
      <c r="A25" s="2"/>
      <c r="B25" s="2"/>
      <c r="C25" s="2"/>
      <c r="D25" s="10"/>
      <c r="E25" s="2"/>
    </row>
    <row r="26" spans="1:5" ht="18.75" customHeight="1" x14ac:dyDescent="0.3">
      <c r="A26" s="2"/>
      <c r="B26" s="2"/>
      <c r="C26" s="14" t="s">
        <v>55</v>
      </c>
      <c r="D26" s="15" t="s">
        <v>56</v>
      </c>
      <c r="E26" s="2"/>
    </row>
    <row r="27" spans="1:5" ht="18.75" customHeight="1" x14ac:dyDescent="0.3">
      <c r="A27" s="2"/>
      <c r="B27" s="2"/>
      <c r="C27" s="14" t="s">
        <v>53</v>
      </c>
      <c r="D27" s="16">
        <v>225</v>
      </c>
      <c r="E27" s="2"/>
    </row>
    <row r="28" spans="1:5" ht="18.75" customHeight="1" x14ac:dyDescent="0.3">
      <c r="A28" s="2"/>
      <c r="B28" s="2"/>
      <c r="C28" s="14" t="s">
        <v>54</v>
      </c>
      <c r="D28" s="17">
        <v>1.353</v>
      </c>
      <c r="E28" s="2"/>
    </row>
    <row r="29" spans="1:5" ht="18.75" customHeight="1" x14ac:dyDescent="0.3">
      <c r="A29" s="2"/>
      <c r="B29" s="2"/>
      <c r="C29" s="2"/>
      <c r="D29" s="10"/>
      <c r="E29" s="2"/>
    </row>
    <row r="30" spans="1:5" ht="18.75" customHeight="1" x14ac:dyDescent="0.3">
      <c r="A30" s="2"/>
      <c r="B30" s="2"/>
      <c r="C30" s="14" t="s">
        <v>57</v>
      </c>
      <c r="D30" s="15" t="s">
        <v>58</v>
      </c>
      <c r="E30" s="2"/>
    </row>
    <row r="31" spans="1:5" ht="18.75" customHeight="1" x14ac:dyDescent="0.3">
      <c r="A31" s="2"/>
      <c r="B31" s="2"/>
      <c r="C31" s="14" t="s">
        <v>53</v>
      </c>
      <c r="D31" s="16">
        <v>95</v>
      </c>
      <c r="E31" s="2"/>
    </row>
    <row r="32" spans="1:5" ht="18.75" customHeight="1" x14ac:dyDescent="0.3">
      <c r="A32" s="2"/>
      <c r="B32" s="2"/>
      <c r="C32" s="14" t="s">
        <v>59</v>
      </c>
      <c r="D32" s="17">
        <v>0.72</v>
      </c>
      <c r="E32" s="2"/>
    </row>
    <row r="33" spans="1:5" ht="18.75" customHeight="1" x14ac:dyDescent="0.3">
      <c r="A33" s="2"/>
      <c r="B33" s="2"/>
      <c r="C33" s="2"/>
      <c r="D33" s="10"/>
      <c r="E33" s="2"/>
    </row>
    <row r="34" spans="1:5" ht="18.75" customHeight="1" x14ac:dyDescent="0.3">
      <c r="A34" s="2"/>
      <c r="B34" s="2"/>
      <c r="C34" s="2"/>
      <c r="D34" s="10"/>
      <c r="E34" s="2"/>
    </row>
    <row r="35" spans="1:5" ht="18.75" customHeight="1" x14ac:dyDescent="0.3">
      <c r="A35" s="2"/>
      <c r="B35" s="2"/>
      <c r="C35" s="2"/>
      <c r="D35" s="10"/>
      <c r="E35" s="2"/>
    </row>
    <row r="36" spans="1:5" ht="18.75" customHeight="1" x14ac:dyDescent="0.3">
      <c r="A36" s="2"/>
      <c r="B36" s="2"/>
      <c r="C36" s="2" t="s">
        <v>60</v>
      </c>
      <c r="D36" s="10"/>
      <c r="E36" s="2"/>
    </row>
    <row r="37" spans="1:5" ht="18.75" customHeight="1" x14ac:dyDescent="0.3">
      <c r="A37" s="2"/>
      <c r="B37" s="2"/>
      <c r="C37" s="2"/>
      <c r="D37" s="10"/>
      <c r="E37" s="2"/>
    </row>
    <row r="38" spans="1:5" ht="18.75" customHeight="1" x14ac:dyDescent="0.3">
      <c r="A38" s="2"/>
      <c r="B38" s="2"/>
      <c r="C38" s="2" t="s">
        <v>61</v>
      </c>
      <c r="D38" s="10"/>
      <c r="E3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F12"/>
  <sheetViews>
    <sheetView workbookViewId="0"/>
  </sheetViews>
  <sheetFormatPr defaultRowHeight="14.4" x14ac:dyDescent="0.3"/>
  <cols>
    <col min="1" max="1" width="23" style="8" bestFit="1" customWidth="1"/>
    <col min="2" max="2" width="15.44140625" style="9" bestFit="1" customWidth="1"/>
    <col min="3" max="4" width="14" style="9" bestFit="1" customWidth="1"/>
    <col min="5" max="5" width="8.5546875" style="9" bestFit="1" customWidth="1"/>
    <col min="6" max="6" width="12.5546875" style="9" bestFit="1" customWidth="1"/>
  </cols>
  <sheetData>
    <row r="1" spans="1:6" ht="18.75" customHeight="1" x14ac:dyDescent="0.3">
      <c r="A1" s="1" t="s">
        <v>0</v>
      </c>
      <c r="B1" s="2"/>
      <c r="C1" s="2"/>
      <c r="D1" s="2"/>
      <c r="E1" s="2"/>
      <c r="F1" s="2"/>
    </row>
    <row r="2" spans="1:6" ht="18.75" customHeight="1" x14ac:dyDescent="0.3">
      <c r="A2" s="3"/>
      <c r="B2" s="2"/>
      <c r="C2" s="2"/>
      <c r="D2" s="2"/>
      <c r="E2" s="2"/>
      <c r="F2" s="2"/>
    </row>
    <row r="3" spans="1:6" ht="18.75" customHeight="1" x14ac:dyDescent="0.3">
      <c r="A3" s="3" t="s">
        <v>1</v>
      </c>
      <c r="B3" s="2" t="s">
        <v>2</v>
      </c>
      <c r="C3" s="2" t="s">
        <v>3</v>
      </c>
      <c r="D3" s="2"/>
      <c r="E3" s="2"/>
      <c r="F3" s="2"/>
    </row>
    <row r="4" spans="1:6" ht="18.75" customHeight="1" x14ac:dyDescent="0.3">
      <c r="A4" s="3"/>
      <c r="B4" s="4" t="s">
        <v>4</v>
      </c>
      <c r="C4" s="5" t="s">
        <v>5</v>
      </c>
      <c r="D4" s="2"/>
      <c r="E4" s="2"/>
      <c r="F4" s="2"/>
    </row>
    <row r="5" spans="1:6" ht="18.75" customHeight="1" x14ac:dyDescent="0.3">
      <c r="A5" s="3"/>
      <c r="B5" s="4" t="s">
        <v>6</v>
      </c>
      <c r="C5" s="5" t="s">
        <v>7</v>
      </c>
      <c r="D5" s="2"/>
      <c r="E5" s="2"/>
      <c r="F5" s="2"/>
    </row>
    <row r="6" spans="1:6" ht="18.75" customHeight="1" x14ac:dyDescent="0.3">
      <c r="A6" s="3"/>
      <c r="B6" s="2"/>
      <c r="C6" s="5" t="s">
        <v>8</v>
      </c>
      <c r="D6" s="2"/>
      <c r="E6" s="2"/>
      <c r="F6" s="2"/>
    </row>
    <row r="7" spans="1:6" ht="18.75" customHeight="1" x14ac:dyDescent="0.3">
      <c r="A7" s="3"/>
      <c r="B7" s="2"/>
      <c r="C7" s="2"/>
      <c r="D7" s="2"/>
      <c r="E7" s="2"/>
      <c r="F7" s="2"/>
    </row>
    <row r="8" spans="1:6" ht="18.75" customHeight="1" x14ac:dyDescent="0.3">
      <c r="A8" s="3" t="s">
        <v>9</v>
      </c>
      <c r="B8" s="4" t="s">
        <v>4</v>
      </c>
      <c r="C8" s="4" t="s">
        <v>6</v>
      </c>
      <c r="D8" s="5" t="s">
        <v>5</v>
      </c>
      <c r="E8" s="5" t="s">
        <v>7</v>
      </c>
      <c r="F8" s="5" t="s">
        <v>8</v>
      </c>
    </row>
    <row r="9" spans="1:6" ht="18.75" customHeight="1" x14ac:dyDescent="0.3">
      <c r="A9" s="3"/>
      <c r="B9" s="6" t="s">
        <v>10</v>
      </c>
      <c r="C9" s="6" t="s">
        <v>10</v>
      </c>
      <c r="D9" s="7" t="s">
        <v>11</v>
      </c>
      <c r="E9" s="7" t="s">
        <v>12</v>
      </c>
      <c r="F9" s="7" t="s">
        <v>13</v>
      </c>
    </row>
    <row r="10" spans="1:6" ht="18.75" customHeight="1" x14ac:dyDescent="0.3">
      <c r="A10" s="3"/>
      <c r="B10" s="2"/>
      <c r="C10" s="2"/>
      <c r="D10" s="2" t="s">
        <v>14</v>
      </c>
      <c r="E10" s="2" t="s">
        <v>15</v>
      </c>
      <c r="F10" s="2"/>
    </row>
    <row r="11" spans="1:6" ht="18.75" customHeight="1" x14ac:dyDescent="0.3">
      <c r="A11" s="3"/>
      <c r="B11" s="2"/>
      <c r="C11" s="2"/>
      <c r="D11" s="2" t="s">
        <v>16</v>
      </c>
      <c r="E11" s="2" t="s">
        <v>17</v>
      </c>
      <c r="F11" s="2"/>
    </row>
    <row r="12" spans="1:6" ht="18.75" customHeight="1" x14ac:dyDescent="0.3">
      <c r="A12" s="4"/>
      <c r="B12" s="2"/>
      <c r="C12" s="2"/>
      <c r="D12" s="2"/>
      <c r="E12" s="2"/>
      <c r="F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114"/>
  <sheetViews>
    <sheetView workbookViewId="0">
      <selection activeCell="D23" sqref="D23"/>
    </sheetView>
  </sheetViews>
  <sheetFormatPr defaultRowHeight="14.4" x14ac:dyDescent="0.3"/>
  <cols>
    <col min="1" max="1" width="17" style="9" bestFit="1" customWidth="1"/>
    <col min="2" max="2" width="26" style="71" bestFit="1" customWidth="1"/>
    <col min="3" max="3" width="16.33203125" style="71" bestFit="1" customWidth="1"/>
    <col min="4" max="4" width="12.6640625" style="71" bestFit="1" customWidth="1"/>
    <col min="5" max="5" width="17.88671875" style="71" bestFit="1" customWidth="1"/>
    <col min="6" max="6" width="12.6640625" style="71" bestFit="1" customWidth="1"/>
    <col min="7" max="7" width="23" style="71" bestFit="1" customWidth="1"/>
    <col min="8" max="8" width="18.88671875" style="71" bestFit="1" customWidth="1"/>
    <col min="9" max="9" width="20.88671875" style="71" bestFit="1" customWidth="1"/>
    <col min="10" max="10" width="16.5546875" style="9" bestFit="1" customWidth="1"/>
    <col min="11" max="11" width="12.109375" style="9" bestFit="1" customWidth="1"/>
    <col min="12" max="12" width="9.109375" style="9" bestFit="1" customWidth="1"/>
    <col min="13" max="15" width="13.5546875" style="9" bestFit="1" customWidth="1"/>
  </cols>
  <sheetData>
    <row r="1" spans="1:15" ht="23.25" customHeight="1" x14ac:dyDescent="0.35">
      <c r="A1" s="93" t="s">
        <v>484</v>
      </c>
      <c r="B1" s="63"/>
      <c r="C1" s="63"/>
      <c r="D1" s="63"/>
      <c r="E1" s="63"/>
      <c r="F1" s="63"/>
      <c r="G1" s="63"/>
      <c r="H1" s="63"/>
      <c r="I1" s="63"/>
      <c r="J1" s="2"/>
      <c r="K1" s="2"/>
      <c r="L1" s="2"/>
      <c r="M1" s="2"/>
      <c r="N1" s="2"/>
      <c r="O1" s="2"/>
    </row>
    <row r="2" spans="1:15" ht="20.25" customHeight="1" x14ac:dyDescent="0.3">
      <c r="A2" s="95"/>
      <c r="B2" s="220" t="s">
        <v>485</v>
      </c>
      <c r="C2" s="220"/>
      <c r="D2" s="221" t="s">
        <v>486</v>
      </c>
      <c r="E2" s="221"/>
      <c r="F2" s="222" t="s">
        <v>487</v>
      </c>
      <c r="G2" s="222"/>
      <c r="H2" s="222"/>
      <c r="I2" s="223"/>
      <c r="J2" s="50"/>
      <c r="K2" s="127"/>
      <c r="L2" s="128"/>
      <c r="M2" s="2"/>
      <c r="N2" s="2"/>
      <c r="O2" s="2"/>
    </row>
    <row r="3" spans="1:15" ht="19.5" customHeight="1" x14ac:dyDescent="0.3">
      <c r="A3" s="100" t="s">
        <v>461</v>
      </c>
      <c r="B3" s="129" t="s">
        <v>488</v>
      </c>
      <c r="C3" s="129" t="s">
        <v>489</v>
      </c>
      <c r="D3" s="130" t="s">
        <v>490</v>
      </c>
      <c r="E3" s="130" t="s">
        <v>491</v>
      </c>
      <c r="F3" s="131" t="s">
        <v>492</v>
      </c>
      <c r="G3" s="131" t="s">
        <v>493</v>
      </c>
      <c r="H3" s="131" t="s">
        <v>494</v>
      </c>
      <c r="I3" s="132" t="s">
        <v>495</v>
      </c>
      <c r="J3" s="50"/>
      <c r="K3" s="50"/>
      <c r="L3" s="50"/>
      <c r="M3" s="50"/>
      <c r="N3" s="50"/>
      <c r="O3" s="2"/>
    </row>
    <row r="4" spans="1:15" ht="19.5" customHeight="1" x14ac:dyDescent="0.3">
      <c r="A4" s="100"/>
      <c r="B4" s="133" t="s">
        <v>496</v>
      </c>
      <c r="C4" s="133" t="s">
        <v>496</v>
      </c>
      <c r="D4" s="134" t="s">
        <v>497</v>
      </c>
      <c r="E4" s="134" t="s">
        <v>497</v>
      </c>
      <c r="F4" s="135" t="s">
        <v>498</v>
      </c>
      <c r="G4" s="135" t="s">
        <v>498</v>
      </c>
      <c r="H4" s="135" t="s">
        <v>498</v>
      </c>
      <c r="I4" s="136" t="s">
        <v>498</v>
      </c>
      <c r="J4" s="50"/>
      <c r="K4" s="50"/>
      <c r="L4" s="50"/>
      <c r="M4" s="50"/>
      <c r="N4" s="50"/>
      <c r="O4" s="2"/>
    </row>
    <row r="5" spans="1:15" ht="19.5" customHeight="1" x14ac:dyDescent="0.3">
      <c r="A5" s="118" t="str">
        <f>'site independent'!A5</f>
        <v>coal</v>
      </c>
      <c r="B5" s="36">
        <v>54</v>
      </c>
      <c r="C5" s="63"/>
      <c r="D5" s="36">
        <v>24</v>
      </c>
      <c r="E5" s="36">
        <v>12</v>
      </c>
      <c r="F5" s="137">
        <v>0.1</v>
      </c>
      <c r="G5" s="137">
        <v>-0.1</v>
      </c>
      <c r="H5" s="137"/>
      <c r="I5" s="138"/>
      <c r="J5" s="50"/>
      <c r="K5" s="50"/>
      <c r="L5" s="50"/>
      <c r="M5" s="50"/>
      <c r="N5" s="50"/>
      <c r="O5" s="2"/>
    </row>
    <row r="6" spans="1:15" ht="18.75" customHeight="1" x14ac:dyDescent="0.3">
      <c r="A6" s="118" t="str">
        <f>'site independent'!A6</f>
        <v>Natural gas</v>
      </c>
      <c r="B6" s="36"/>
      <c r="C6" s="63"/>
      <c r="D6" s="36"/>
      <c r="E6" s="36"/>
      <c r="F6" s="36"/>
      <c r="G6" s="36"/>
      <c r="H6" s="137"/>
      <c r="I6" s="138"/>
      <c r="J6" s="50"/>
      <c r="K6" s="50"/>
      <c r="L6" s="50"/>
      <c r="M6" s="50"/>
      <c r="N6" s="50"/>
      <c r="O6" s="2"/>
    </row>
    <row r="7" spans="1:15" ht="18.75" customHeight="1" x14ac:dyDescent="0.3">
      <c r="A7" s="118" t="str">
        <f>'site independent'!A7</f>
        <v>NG_CC</v>
      </c>
      <c r="B7" s="36">
        <v>66</v>
      </c>
      <c r="C7" s="63"/>
      <c r="D7" s="36">
        <v>8</v>
      </c>
      <c r="E7" s="36">
        <v>4</v>
      </c>
      <c r="F7" s="137">
        <v>0.25</v>
      </c>
      <c r="G7" s="137">
        <v>-0.25</v>
      </c>
      <c r="H7" s="137"/>
      <c r="I7" s="138"/>
      <c r="J7" s="50"/>
      <c r="K7" s="50"/>
      <c r="L7" s="50"/>
      <c r="M7" s="50"/>
      <c r="N7" s="50"/>
      <c r="O7" s="2"/>
    </row>
    <row r="8" spans="1:15" ht="18.75" customHeight="1" x14ac:dyDescent="0.3">
      <c r="A8" s="118" t="str">
        <f>'site independent'!A8</f>
        <v>NG_CT</v>
      </c>
      <c r="B8" s="36">
        <v>26</v>
      </c>
      <c r="C8" s="63"/>
      <c r="D8" s="36">
        <v>1</v>
      </c>
      <c r="E8" s="36">
        <v>1</v>
      </c>
      <c r="F8" s="36">
        <v>1</v>
      </c>
      <c r="G8" s="36">
        <v>-1</v>
      </c>
      <c r="H8" s="137"/>
      <c r="I8" s="138"/>
      <c r="J8" s="50"/>
      <c r="K8" s="50"/>
      <c r="L8" s="50"/>
      <c r="M8" s="50"/>
      <c r="N8" s="50"/>
      <c r="O8" s="2"/>
    </row>
    <row r="9" spans="1:15" ht="18.75" customHeight="1" x14ac:dyDescent="0.3">
      <c r="A9" s="118" t="str">
        <f>'site independent'!A9</f>
        <v>NG_CG</v>
      </c>
      <c r="B9" s="36">
        <v>26</v>
      </c>
      <c r="C9" s="63"/>
      <c r="D9" s="36">
        <v>1</v>
      </c>
      <c r="E9" s="36">
        <v>1</v>
      </c>
      <c r="F9" s="36">
        <v>1</v>
      </c>
      <c r="G9" s="36">
        <v>-1</v>
      </c>
      <c r="H9" s="137"/>
      <c r="I9" s="138"/>
      <c r="J9" s="50"/>
      <c r="K9" s="50"/>
      <c r="L9" s="50"/>
      <c r="M9" s="50"/>
      <c r="N9" s="50"/>
      <c r="O9" s="2"/>
    </row>
    <row r="10" spans="1:15" ht="18.75" customHeight="1" x14ac:dyDescent="0.3">
      <c r="A10" s="118" t="str">
        <f>'site independent'!A10</f>
        <v>diesel</v>
      </c>
      <c r="B10" s="36"/>
      <c r="C10" s="63"/>
      <c r="D10" s="36">
        <v>1</v>
      </c>
      <c r="E10" s="36">
        <v>1</v>
      </c>
      <c r="F10" s="137">
        <v>0.25</v>
      </c>
      <c r="G10" s="137">
        <v>-0.25</v>
      </c>
      <c r="H10" s="63"/>
      <c r="I10" s="138"/>
      <c r="J10" s="50"/>
      <c r="K10" s="50"/>
      <c r="L10" s="50"/>
      <c r="M10" s="50"/>
      <c r="N10" s="50"/>
      <c r="O10" s="2"/>
    </row>
    <row r="11" spans="1:15" ht="18.75" customHeight="1" x14ac:dyDescent="0.3">
      <c r="A11" s="118" t="str">
        <f>'site independent'!A11</f>
        <v>fuel oil</v>
      </c>
      <c r="B11" s="36"/>
      <c r="C11" s="63"/>
      <c r="D11" s="36">
        <v>1</v>
      </c>
      <c r="E11" s="36">
        <v>1</v>
      </c>
      <c r="F11" s="137">
        <v>0.25</v>
      </c>
      <c r="G11" s="137">
        <v>-0.25</v>
      </c>
      <c r="H11" s="137"/>
      <c r="I11" s="138"/>
      <c r="J11" s="50"/>
      <c r="K11" s="50"/>
      <c r="L11" s="50"/>
      <c r="M11" s="50"/>
      <c r="N11" s="50"/>
      <c r="O11" s="2"/>
    </row>
    <row r="12" spans="1:15" ht="18.75" customHeight="1" x14ac:dyDescent="0.3">
      <c r="A12" s="118" t="str">
        <f>'site independent'!A12</f>
        <v>nuclear</v>
      </c>
      <c r="B12" s="36">
        <v>55</v>
      </c>
      <c r="C12" s="63"/>
      <c r="D12" s="36">
        <v>168</v>
      </c>
      <c r="E12" s="36">
        <v>24</v>
      </c>
      <c r="F12" s="137">
        <v>0.01</v>
      </c>
      <c r="G12" s="137">
        <v>-0.01</v>
      </c>
      <c r="H12" s="137"/>
      <c r="I12" s="138"/>
      <c r="J12" s="139"/>
      <c r="K12" s="2"/>
      <c r="L12" s="50"/>
      <c r="M12" s="50"/>
      <c r="N12" s="50"/>
      <c r="O12" s="2"/>
    </row>
    <row r="13" spans="1:15" ht="18.75" customHeight="1" x14ac:dyDescent="0.3">
      <c r="A13" s="118" t="str">
        <f>'site independent'!A13</f>
        <v>hydro</v>
      </c>
      <c r="B13" s="36"/>
      <c r="C13" s="36"/>
      <c r="D13" s="36"/>
      <c r="E13" s="36"/>
      <c r="F13" s="36">
        <v>1</v>
      </c>
      <c r="G13" s="36">
        <v>-1</v>
      </c>
      <c r="H13" s="36"/>
      <c r="I13" s="36"/>
      <c r="J13" s="50"/>
      <c r="K13" s="50"/>
      <c r="L13" s="50"/>
      <c r="M13" s="50"/>
      <c r="N13" s="50"/>
      <c r="O13" s="2"/>
    </row>
    <row r="14" spans="1:15" ht="18.75" customHeight="1" x14ac:dyDescent="0.3">
      <c r="A14" s="118" t="str">
        <f>'site independent'!A14</f>
        <v>hydro_hourly</v>
      </c>
      <c r="B14" s="36"/>
      <c r="C14" s="36"/>
      <c r="D14" s="36"/>
      <c r="E14" s="36"/>
      <c r="F14" s="36">
        <v>1</v>
      </c>
      <c r="G14" s="36">
        <v>-1</v>
      </c>
      <c r="H14" s="36"/>
      <c r="I14" s="36"/>
      <c r="J14" s="50"/>
      <c r="K14" s="50"/>
      <c r="L14" s="50"/>
      <c r="M14" s="50"/>
      <c r="N14" s="50"/>
      <c r="O14" s="2"/>
    </row>
    <row r="15" spans="1:15" ht="18.75" customHeight="1" x14ac:dyDescent="0.3">
      <c r="A15" s="118" t="str">
        <f>'site independent'!A15</f>
        <v>hydro_daily</v>
      </c>
      <c r="B15" s="36"/>
      <c r="C15" s="36"/>
      <c r="D15" s="36"/>
      <c r="E15" s="36"/>
      <c r="F15" s="36">
        <v>1</v>
      </c>
      <c r="G15" s="36">
        <v>-1</v>
      </c>
      <c r="H15" s="36"/>
      <c r="I15" s="36"/>
      <c r="J15" s="50"/>
      <c r="K15" s="50"/>
      <c r="L15" s="50"/>
      <c r="M15" s="50"/>
      <c r="N15" s="50"/>
      <c r="O15" s="2"/>
    </row>
    <row r="16" spans="1:15" ht="18.75" customHeight="1" x14ac:dyDescent="0.3">
      <c r="A16" s="118" t="str">
        <f>'site independent'!A16</f>
        <v>hydro_monthly</v>
      </c>
      <c r="B16" s="36"/>
      <c r="C16" s="36"/>
      <c r="D16" s="36"/>
      <c r="E16" s="36"/>
      <c r="F16" s="36">
        <v>1</v>
      </c>
      <c r="G16" s="36">
        <v>-1</v>
      </c>
      <c r="H16" s="36"/>
      <c r="I16" s="36"/>
      <c r="J16" s="50"/>
      <c r="K16" s="50"/>
      <c r="L16" s="50"/>
      <c r="M16" s="50"/>
      <c r="N16" s="50"/>
      <c r="O16" s="2"/>
    </row>
    <row r="17" spans="1:15" ht="18.75" customHeight="1" x14ac:dyDescent="0.3">
      <c r="A17" s="118" t="str">
        <f>'site independent'!A17</f>
        <v>geothermal</v>
      </c>
      <c r="B17" s="36"/>
      <c r="C17" s="36"/>
      <c r="D17" s="36"/>
      <c r="E17" s="36"/>
      <c r="F17" s="36"/>
      <c r="G17" s="36"/>
      <c r="H17" s="137"/>
      <c r="I17" s="137"/>
      <c r="J17" s="50"/>
      <c r="K17" s="50"/>
      <c r="L17" s="50"/>
      <c r="M17" s="50"/>
      <c r="N17" s="50"/>
      <c r="O17" s="2"/>
    </row>
    <row r="18" spans="1:15" ht="18.75" customHeight="1" x14ac:dyDescent="0.3">
      <c r="A18" s="118" t="str">
        <f>'site independent'!A18</f>
        <v>biomass</v>
      </c>
      <c r="B18" s="36">
        <v>54</v>
      </c>
      <c r="C18" s="36"/>
      <c r="D18" s="36">
        <v>8</v>
      </c>
      <c r="E18" s="36">
        <v>6</v>
      </c>
      <c r="F18" s="137">
        <v>0.05</v>
      </c>
      <c r="G18" s="137">
        <v>-0.05</v>
      </c>
      <c r="H18" s="137"/>
      <c r="I18" s="138"/>
      <c r="J18" s="50"/>
      <c r="K18" s="50"/>
      <c r="L18" s="50"/>
      <c r="M18" s="50"/>
      <c r="N18" s="50"/>
      <c r="O18" s="2"/>
    </row>
    <row r="19" spans="1:15" ht="18.75" customHeight="1" x14ac:dyDescent="0.3">
      <c r="A19" s="118" t="str">
        <f>'site independent'!A19</f>
        <v>biogas</v>
      </c>
      <c r="B19" s="36">
        <v>54</v>
      </c>
      <c r="C19" s="36"/>
      <c r="D19" s="36">
        <v>8</v>
      </c>
      <c r="E19" s="36">
        <v>6</v>
      </c>
      <c r="F19" s="137">
        <v>0.05</v>
      </c>
      <c r="G19" s="137">
        <v>-0.05</v>
      </c>
      <c r="H19" s="137"/>
      <c r="I19" s="138"/>
      <c r="J19" s="50"/>
      <c r="K19" s="50"/>
      <c r="L19" s="50"/>
      <c r="M19" s="50"/>
      <c r="N19" s="50"/>
      <c r="O19" s="2"/>
    </row>
    <row r="20" spans="1:15" ht="18.75" customHeight="1" x14ac:dyDescent="0.3">
      <c r="A20" s="100" t="s">
        <v>21</v>
      </c>
      <c r="B20" s="36"/>
      <c r="C20" s="36"/>
      <c r="D20" s="36"/>
      <c r="E20" s="36"/>
      <c r="F20" s="36"/>
      <c r="G20" s="36"/>
      <c r="H20" s="137"/>
      <c r="I20" s="138"/>
      <c r="J20" s="50"/>
      <c r="K20" s="50"/>
      <c r="L20" s="50"/>
      <c r="M20" s="50"/>
      <c r="N20" s="50"/>
      <c r="O20" s="2"/>
    </row>
    <row r="21" spans="1:15" ht="18.75" customHeight="1" x14ac:dyDescent="0.3">
      <c r="A21" s="100" t="s">
        <v>499</v>
      </c>
      <c r="B21" s="36"/>
      <c r="C21" s="36"/>
      <c r="D21" s="36"/>
      <c r="E21" s="36"/>
      <c r="F21" s="36"/>
      <c r="G21" s="36"/>
      <c r="H21" s="137"/>
      <c r="I21" s="138"/>
      <c r="J21" s="50"/>
      <c r="K21" s="50"/>
      <c r="L21" s="50"/>
      <c r="M21" s="50"/>
      <c r="N21" s="50"/>
      <c r="O21" s="2"/>
    </row>
    <row r="22" spans="1:15" ht="18.75" customHeight="1" x14ac:dyDescent="0.3">
      <c r="A22" s="100" t="s">
        <v>22</v>
      </c>
      <c r="B22" s="61">
        <v>0</v>
      </c>
      <c r="C22" s="61">
        <v>0</v>
      </c>
      <c r="D22" s="36">
        <v>1</v>
      </c>
      <c r="E22" s="36">
        <v>1</v>
      </c>
      <c r="F22" s="36">
        <v>1</v>
      </c>
      <c r="G22" s="36">
        <v>-1</v>
      </c>
      <c r="H22" s="137"/>
      <c r="I22" s="138"/>
      <c r="J22" s="50"/>
      <c r="K22" s="50"/>
      <c r="L22" s="50"/>
      <c r="M22" s="50"/>
      <c r="N22" s="50"/>
      <c r="O22" s="2"/>
    </row>
    <row r="23" spans="1:15" ht="18.75" customHeight="1" x14ac:dyDescent="0.3">
      <c r="A23" s="100" t="s">
        <v>24</v>
      </c>
      <c r="B23" s="61"/>
      <c r="C23" s="61"/>
      <c r="D23" s="36"/>
      <c r="E23" s="36"/>
      <c r="F23" s="36"/>
      <c r="G23" s="36"/>
      <c r="H23" s="137"/>
      <c r="I23" s="138"/>
      <c r="J23" s="50"/>
      <c r="K23" s="50"/>
      <c r="L23" s="50"/>
      <c r="M23" s="50"/>
      <c r="N23" s="50"/>
      <c r="O23" s="2"/>
    </row>
    <row r="24" spans="1:15" ht="18.75" customHeight="1" x14ac:dyDescent="0.3">
      <c r="A24" s="100" t="s">
        <v>500</v>
      </c>
      <c r="B24" s="61"/>
      <c r="C24" s="61"/>
      <c r="D24" s="36"/>
      <c r="E24" s="36"/>
      <c r="F24" s="36"/>
      <c r="G24" s="36"/>
      <c r="H24" s="36"/>
      <c r="I24" s="121"/>
      <c r="J24" s="50"/>
      <c r="K24" s="50"/>
      <c r="L24" s="50"/>
      <c r="M24" s="50"/>
      <c r="N24" s="50"/>
      <c r="O24" s="2"/>
    </row>
    <row r="25" spans="1:15" ht="18.75" customHeight="1" x14ac:dyDescent="0.3">
      <c r="A25" s="124" t="s">
        <v>481</v>
      </c>
      <c r="B25" s="61"/>
      <c r="C25" s="61"/>
      <c r="D25" s="36"/>
      <c r="E25" s="36"/>
      <c r="F25" s="36"/>
      <c r="G25" s="36"/>
      <c r="H25" s="36"/>
      <c r="I25" s="121"/>
      <c r="J25" s="50"/>
      <c r="K25" s="50"/>
      <c r="L25" s="50"/>
      <c r="M25" s="50"/>
      <c r="N25" s="50"/>
      <c r="O25" s="2"/>
    </row>
    <row r="26" spans="1:15" ht="18.75" customHeight="1" x14ac:dyDescent="0.3">
      <c r="A26" s="100" t="s">
        <v>501</v>
      </c>
      <c r="B26" s="61"/>
      <c r="C26" s="61"/>
      <c r="D26" s="36"/>
      <c r="E26" s="36"/>
      <c r="F26" s="36"/>
      <c r="G26" s="36"/>
      <c r="H26" s="36"/>
      <c r="I26" s="121"/>
      <c r="J26" s="50"/>
      <c r="K26" s="50"/>
      <c r="L26" s="50"/>
      <c r="M26" s="50"/>
      <c r="N26" s="50"/>
      <c r="O26" s="2"/>
    </row>
    <row r="27" spans="1:15" ht="18.75" customHeight="1" x14ac:dyDescent="0.3">
      <c r="A27" s="100" t="s">
        <v>478</v>
      </c>
      <c r="B27" s="140"/>
      <c r="C27" s="140"/>
      <c r="D27" s="141"/>
      <c r="E27" s="141"/>
      <c r="F27" s="141"/>
      <c r="G27" s="141"/>
      <c r="H27" s="141"/>
      <c r="I27" s="142"/>
      <c r="J27" s="50"/>
      <c r="K27" s="50"/>
      <c r="L27" s="50"/>
      <c r="M27" s="50"/>
      <c r="N27" s="50"/>
      <c r="O27" s="2"/>
    </row>
    <row r="28" spans="1:15" ht="18.75" customHeight="1" x14ac:dyDescent="0.3">
      <c r="A28" s="2"/>
      <c r="B28" s="36"/>
      <c r="C28" s="36"/>
      <c r="D28" s="36"/>
      <c r="E28" s="36"/>
      <c r="F28" s="36"/>
      <c r="G28" s="36"/>
      <c r="H28" s="36"/>
      <c r="I28" s="36"/>
      <c r="J28" s="50"/>
      <c r="K28" s="50"/>
      <c r="L28" s="50"/>
      <c r="M28" s="50"/>
      <c r="N28" s="50"/>
      <c r="O28" s="50"/>
    </row>
    <row r="29" spans="1:15" ht="18.75" customHeight="1" x14ac:dyDescent="0.3">
      <c r="A29" s="2" t="s">
        <v>482</v>
      </c>
      <c r="B29" s="36">
        <f t="shared" ref="B29:I29" si="0">COLUMN(B3)-2</f>
        <v>0</v>
      </c>
      <c r="C29" s="36">
        <f t="shared" si="0"/>
        <v>1</v>
      </c>
      <c r="D29" s="36">
        <f t="shared" si="0"/>
        <v>2</v>
      </c>
      <c r="E29" s="36">
        <f t="shared" si="0"/>
        <v>3</v>
      </c>
      <c r="F29" s="36">
        <f t="shared" si="0"/>
        <v>4</v>
      </c>
      <c r="G29" s="36">
        <f t="shared" si="0"/>
        <v>5</v>
      </c>
      <c r="H29" s="36">
        <f t="shared" si="0"/>
        <v>6</v>
      </c>
      <c r="I29" s="36">
        <f t="shared" si="0"/>
        <v>7</v>
      </c>
      <c r="J29" s="50"/>
      <c r="K29" s="50"/>
      <c r="L29" s="2"/>
      <c r="M29" s="2"/>
      <c r="N29" s="2"/>
      <c r="O29" s="2"/>
    </row>
    <row r="30" spans="1:15" ht="18.75" customHeight="1" x14ac:dyDescent="0.3">
      <c r="A30" s="2"/>
      <c r="B30" s="63"/>
      <c r="C30" s="63"/>
      <c r="D30" s="63"/>
      <c r="E30" s="63"/>
      <c r="F30" s="63"/>
      <c r="G30" s="63"/>
      <c r="H30" s="63"/>
      <c r="I30" s="63"/>
      <c r="J30" s="2"/>
      <c r="K30" s="2"/>
      <c r="L30" s="2"/>
      <c r="M30" s="2"/>
      <c r="N30" s="2"/>
      <c r="O30" s="2"/>
    </row>
    <row r="31" spans="1:15" ht="18.75" customHeight="1" x14ac:dyDescent="0.3">
      <c r="A31" s="2" t="s">
        <v>483</v>
      </c>
      <c r="B31" s="63" t="s">
        <v>339</v>
      </c>
      <c r="C31" s="63" t="s">
        <v>502</v>
      </c>
      <c r="D31" s="63"/>
      <c r="E31" s="63"/>
      <c r="F31" s="63"/>
      <c r="G31" s="63"/>
      <c r="H31" s="63"/>
      <c r="I31" s="63"/>
      <c r="J31" s="2"/>
      <c r="K31" s="2"/>
      <c r="L31" s="2"/>
      <c r="M31" s="2"/>
      <c r="N31" s="2"/>
      <c r="O31" s="2"/>
    </row>
    <row r="32" spans="1:15" ht="18.75" customHeight="1" x14ac:dyDescent="0.3">
      <c r="A32" s="2"/>
      <c r="B32" s="63" t="s">
        <v>488</v>
      </c>
      <c r="C32" s="63" t="s">
        <v>503</v>
      </c>
      <c r="D32" s="63"/>
      <c r="E32" s="63"/>
      <c r="F32" s="63"/>
      <c r="G32" s="63"/>
      <c r="H32" s="63"/>
      <c r="I32" s="63"/>
      <c r="J32" s="2"/>
      <c r="K32" s="2"/>
      <c r="L32" s="2"/>
      <c r="M32" s="2"/>
      <c r="N32" s="2"/>
      <c r="O32" s="2"/>
    </row>
    <row r="33" spans="1:15" ht="18.75" customHeight="1" x14ac:dyDescent="0.3">
      <c r="A33" s="2"/>
      <c r="B33" s="63" t="s">
        <v>489</v>
      </c>
      <c r="C33" s="63"/>
      <c r="D33" s="63"/>
      <c r="E33" s="63"/>
      <c r="F33" s="63"/>
      <c r="G33" s="63"/>
      <c r="H33" s="63"/>
      <c r="I33" s="63"/>
      <c r="J33" s="2"/>
      <c r="K33" s="2"/>
      <c r="L33" s="2"/>
      <c r="M33" s="2"/>
      <c r="N33" s="2"/>
      <c r="O33" s="2"/>
    </row>
    <row r="34" spans="1:15" s="43" customFormat="1" ht="18.75" customHeight="1" x14ac:dyDescent="0.3">
      <c r="A34" s="67"/>
      <c r="B34" s="66" t="s">
        <v>490</v>
      </c>
      <c r="C34" s="66" t="s">
        <v>504</v>
      </c>
      <c r="D34" s="66"/>
      <c r="E34" s="126"/>
      <c r="F34" s="126"/>
      <c r="G34" s="66"/>
      <c r="H34" s="66"/>
      <c r="I34" s="66"/>
      <c r="J34" s="67"/>
      <c r="K34" s="67"/>
      <c r="L34" s="67"/>
      <c r="M34" s="67"/>
      <c r="N34" s="67"/>
      <c r="O34" s="67"/>
    </row>
    <row r="35" spans="1:15" s="43" customFormat="1" ht="18.75" customHeight="1" x14ac:dyDescent="0.3">
      <c r="A35" s="67"/>
      <c r="B35" s="66" t="s">
        <v>491</v>
      </c>
      <c r="C35" s="66" t="s">
        <v>505</v>
      </c>
      <c r="D35" s="66"/>
      <c r="E35" s="126"/>
      <c r="F35" s="126"/>
      <c r="G35" s="66"/>
      <c r="H35" s="66"/>
      <c r="I35" s="66"/>
      <c r="J35" s="67"/>
      <c r="K35" s="67"/>
      <c r="L35" s="67"/>
      <c r="M35" s="67"/>
      <c r="N35" s="67"/>
      <c r="O35" s="67"/>
    </row>
    <row r="36" spans="1:15" s="43" customFormat="1" ht="18.75" customHeight="1" x14ac:dyDescent="0.3">
      <c r="A36" s="67"/>
      <c r="B36" s="66" t="s">
        <v>492</v>
      </c>
      <c r="C36" s="66" t="s">
        <v>506</v>
      </c>
      <c r="D36" s="126"/>
      <c r="E36" s="66"/>
      <c r="F36" s="66"/>
      <c r="G36" s="66"/>
      <c r="H36" s="66"/>
      <c r="I36" s="66"/>
      <c r="J36" s="67"/>
      <c r="K36" s="67"/>
      <c r="L36" s="67"/>
      <c r="M36" s="67"/>
      <c r="N36" s="67"/>
      <c r="O36" s="67"/>
    </row>
    <row r="37" spans="1:15" s="43" customFormat="1" ht="18.75" customHeight="1" x14ac:dyDescent="0.3">
      <c r="A37" s="67"/>
      <c r="B37" s="66" t="s">
        <v>493</v>
      </c>
      <c r="C37" s="66" t="s">
        <v>507</v>
      </c>
      <c r="D37" s="126"/>
      <c r="E37" s="66"/>
      <c r="F37" s="66"/>
      <c r="G37" s="66"/>
      <c r="H37" s="66"/>
      <c r="I37" s="66"/>
      <c r="J37" s="67"/>
      <c r="K37" s="67"/>
      <c r="L37" s="67"/>
      <c r="M37" s="67"/>
      <c r="N37" s="67"/>
      <c r="O37" s="67"/>
    </row>
    <row r="38" spans="1:15" ht="18.75" customHeight="1" x14ac:dyDescent="0.3">
      <c r="A38" s="2"/>
      <c r="B38" s="63" t="s">
        <v>494</v>
      </c>
      <c r="C38" s="63" t="s">
        <v>508</v>
      </c>
      <c r="D38" s="63"/>
      <c r="E38" s="63"/>
      <c r="F38" s="63"/>
      <c r="G38" s="63"/>
      <c r="H38" s="63"/>
      <c r="I38" s="63"/>
      <c r="J38" s="2"/>
      <c r="K38" s="2"/>
      <c r="L38" s="2"/>
      <c r="M38" s="2"/>
      <c r="N38" s="2"/>
      <c r="O38" s="2"/>
    </row>
    <row r="39" spans="1:15" ht="18.75" customHeight="1" x14ac:dyDescent="0.3">
      <c r="A39" s="2"/>
      <c r="B39" s="63" t="s">
        <v>495</v>
      </c>
      <c r="C39" s="63" t="s">
        <v>509</v>
      </c>
      <c r="D39" s="63"/>
      <c r="E39" s="63"/>
      <c r="F39" s="63"/>
      <c r="G39" s="63"/>
      <c r="H39" s="63"/>
      <c r="I39" s="63"/>
      <c r="J39" s="2"/>
      <c r="K39" s="2"/>
      <c r="L39" s="2"/>
      <c r="M39" s="2"/>
      <c r="N39" s="2"/>
      <c r="O39" s="2"/>
    </row>
    <row r="40" spans="1:15" ht="18.75" customHeight="1" x14ac:dyDescent="0.3">
      <c r="A40" s="2"/>
      <c r="B40" s="63"/>
      <c r="C40" s="63"/>
      <c r="D40" s="63"/>
      <c r="E40" s="63"/>
      <c r="F40" s="63"/>
      <c r="G40" s="63"/>
      <c r="H40" s="63"/>
      <c r="I40" s="63"/>
      <c r="J40" s="2"/>
      <c r="K40" s="2"/>
      <c r="L40" s="2"/>
      <c r="M40" s="2"/>
      <c r="N40" s="2"/>
      <c r="O40" s="2"/>
    </row>
    <row r="41" spans="1:15" ht="18.75" customHeight="1" x14ac:dyDescent="0.3">
      <c r="A41" s="2"/>
      <c r="B41" s="63"/>
      <c r="C41" s="63"/>
      <c r="D41" s="63"/>
      <c r="E41" s="63"/>
      <c r="F41" s="63"/>
      <c r="G41" s="63"/>
      <c r="H41" s="63"/>
      <c r="I41" s="63"/>
      <c r="J41" s="2"/>
      <c r="K41" s="2"/>
      <c r="L41" s="2"/>
      <c r="M41" s="2"/>
      <c r="N41" s="2"/>
      <c r="O41" s="2"/>
    </row>
    <row r="42" spans="1:15" ht="18.75" customHeight="1" x14ac:dyDescent="0.3">
      <c r="A42" s="2"/>
      <c r="B42" s="63"/>
      <c r="C42" s="63"/>
      <c r="D42" s="63"/>
      <c r="E42" s="63"/>
      <c r="F42" s="63"/>
      <c r="G42" s="63"/>
      <c r="H42" s="63"/>
      <c r="I42" s="63"/>
      <c r="J42" s="2"/>
      <c r="K42" s="2"/>
      <c r="L42" s="2"/>
      <c r="M42" s="2"/>
      <c r="N42" s="2"/>
      <c r="O42" s="2"/>
    </row>
    <row r="43" spans="1:15" ht="18.75" customHeight="1" x14ac:dyDescent="0.3">
      <c r="A43" s="2"/>
      <c r="B43" s="63"/>
      <c r="C43" s="63"/>
      <c r="D43" s="63"/>
      <c r="E43" s="63"/>
      <c r="F43" s="63"/>
      <c r="G43" s="63"/>
      <c r="H43" s="63"/>
      <c r="I43" s="63"/>
      <c r="J43" s="2"/>
      <c r="K43" s="2"/>
      <c r="L43" s="2"/>
      <c r="M43" s="2"/>
      <c r="N43" s="2"/>
      <c r="O43" s="2"/>
    </row>
    <row r="44" spans="1:15" ht="18.75" customHeight="1" x14ac:dyDescent="0.3">
      <c r="A44" s="2"/>
      <c r="B44" s="63"/>
      <c r="C44" s="63"/>
      <c r="D44" s="63"/>
      <c r="E44" s="63"/>
      <c r="F44" s="63"/>
      <c r="G44" s="63"/>
      <c r="H44" s="63"/>
      <c r="I44" s="63"/>
      <c r="J44" s="2"/>
      <c r="K44" s="2"/>
      <c r="L44" s="2"/>
      <c r="M44" s="2"/>
      <c r="N44" s="2"/>
      <c r="O44" s="2"/>
    </row>
    <row r="45" spans="1:15" ht="18.75" customHeight="1" x14ac:dyDescent="0.3">
      <c r="A45" s="2"/>
      <c r="B45" s="63"/>
      <c r="C45" s="63"/>
      <c r="D45" s="63"/>
      <c r="E45" s="63"/>
      <c r="F45" s="63"/>
      <c r="G45" s="63"/>
      <c r="H45" s="63"/>
      <c r="I45" s="63"/>
      <c r="J45" s="2"/>
      <c r="K45" s="2"/>
      <c r="L45" s="2"/>
      <c r="M45" s="2"/>
      <c r="N45" s="2"/>
      <c r="O45" s="2"/>
    </row>
    <row r="46" spans="1:15" ht="18.75" customHeight="1" x14ac:dyDescent="0.3">
      <c r="A46" s="2"/>
      <c r="B46" s="63"/>
      <c r="C46" s="63"/>
      <c r="D46" s="63"/>
      <c r="E46" s="63"/>
      <c r="F46" s="63"/>
      <c r="G46" s="63"/>
      <c r="H46" s="63"/>
      <c r="I46" s="63"/>
      <c r="J46" s="2"/>
      <c r="K46" s="2"/>
      <c r="L46" s="2"/>
      <c r="M46" s="2"/>
      <c r="N46" s="2"/>
      <c r="O46" s="2"/>
    </row>
    <row r="47" spans="1:15" ht="18.75" customHeight="1" x14ac:dyDescent="0.3">
      <c r="A47" s="2"/>
      <c r="B47" s="63"/>
      <c r="C47" s="63"/>
      <c r="D47" s="63"/>
      <c r="E47" s="63"/>
      <c r="F47" s="63"/>
      <c r="G47" s="63"/>
      <c r="H47" s="63"/>
      <c r="I47" s="63"/>
      <c r="J47" s="2"/>
      <c r="K47" s="2"/>
      <c r="L47" s="2"/>
      <c r="M47" s="2"/>
      <c r="N47" s="2"/>
      <c r="O47" s="2"/>
    </row>
    <row r="48" spans="1:15" ht="18.75" customHeight="1" x14ac:dyDescent="0.3">
      <c r="A48" s="2"/>
      <c r="B48" s="63"/>
      <c r="C48" s="63"/>
      <c r="D48" s="63"/>
      <c r="E48" s="63"/>
      <c r="F48" s="63"/>
      <c r="G48" s="63"/>
      <c r="H48" s="63"/>
      <c r="I48" s="63"/>
      <c r="J48" s="2"/>
      <c r="K48" s="2"/>
      <c r="L48" s="2"/>
      <c r="M48" s="2"/>
      <c r="N48" s="2"/>
      <c r="O48" s="2"/>
    </row>
    <row r="49" spans="1:15" ht="18.75" customHeight="1" x14ac:dyDescent="0.3">
      <c r="A49" s="2"/>
      <c r="B49" s="63"/>
      <c r="C49" s="63"/>
      <c r="D49" s="63"/>
      <c r="E49" s="63"/>
      <c r="F49" s="63"/>
      <c r="G49" s="63"/>
      <c r="H49" s="63"/>
      <c r="I49" s="63"/>
      <c r="J49" s="2"/>
      <c r="K49" s="2"/>
      <c r="L49" s="2"/>
      <c r="M49" s="2"/>
      <c r="N49" s="2"/>
      <c r="O49" s="2"/>
    </row>
    <row r="50" spans="1:15" ht="18.75" customHeight="1" x14ac:dyDescent="0.3">
      <c r="A50" s="2"/>
      <c r="B50" s="63"/>
      <c r="C50" s="63"/>
      <c r="D50" s="63"/>
      <c r="E50" s="63"/>
      <c r="F50" s="63"/>
      <c r="G50" s="63"/>
      <c r="H50" s="63"/>
      <c r="I50" s="63"/>
      <c r="J50" s="2"/>
      <c r="K50" s="2"/>
      <c r="L50" s="2"/>
      <c r="M50" s="2"/>
      <c r="N50" s="2"/>
      <c r="O50" s="2"/>
    </row>
    <row r="51" spans="1:15" ht="18.75" customHeight="1" x14ac:dyDescent="0.3">
      <c r="A51" s="2"/>
      <c r="B51" s="63"/>
      <c r="C51" s="63"/>
      <c r="D51" s="63"/>
      <c r="E51" s="63"/>
      <c r="F51" s="63"/>
      <c r="G51" s="63"/>
      <c r="H51" s="63"/>
      <c r="I51" s="63"/>
      <c r="J51" s="2"/>
      <c r="K51" s="2"/>
      <c r="L51" s="2"/>
      <c r="M51" s="2"/>
      <c r="N51" s="2"/>
      <c r="O51" s="2"/>
    </row>
    <row r="52" spans="1:15" ht="18.75" customHeight="1" x14ac:dyDescent="0.3">
      <c r="A52" s="2"/>
      <c r="B52" s="63"/>
      <c r="C52" s="63"/>
      <c r="D52" s="63"/>
      <c r="E52" s="63"/>
      <c r="F52" s="63"/>
      <c r="G52" s="63"/>
      <c r="H52" s="63"/>
      <c r="I52" s="63"/>
      <c r="J52" s="2"/>
      <c r="K52" s="2"/>
      <c r="L52" s="2"/>
      <c r="M52" s="2"/>
      <c r="N52" s="2"/>
      <c r="O52" s="2"/>
    </row>
    <row r="53" spans="1:15" ht="18.75" customHeight="1" x14ac:dyDescent="0.3">
      <c r="A53" s="2"/>
      <c r="B53" s="63"/>
      <c r="C53" s="63"/>
      <c r="D53" s="63"/>
      <c r="E53" s="63"/>
      <c r="F53" s="63"/>
      <c r="G53" s="63"/>
      <c r="H53" s="63"/>
      <c r="I53" s="63"/>
      <c r="J53" s="2"/>
      <c r="K53" s="2"/>
      <c r="L53" s="2"/>
      <c r="M53" s="2"/>
      <c r="N53" s="2"/>
      <c r="O53" s="2"/>
    </row>
    <row r="54" spans="1:15" ht="18.75" customHeight="1" x14ac:dyDescent="0.3">
      <c r="A54" s="2"/>
      <c r="B54" s="63"/>
      <c r="C54" s="63"/>
      <c r="D54" s="63"/>
      <c r="E54" s="63"/>
      <c r="F54" s="63"/>
      <c r="G54" s="63"/>
      <c r="H54" s="63"/>
      <c r="I54" s="63"/>
      <c r="J54" s="2"/>
      <c r="K54" s="2"/>
      <c r="L54" s="2"/>
      <c r="M54" s="2"/>
      <c r="N54" s="2"/>
      <c r="O54" s="2"/>
    </row>
    <row r="55" spans="1:15" ht="18.75" customHeight="1" x14ac:dyDescent="0.3">
      <c r="A55" s="2"/>
      <c r="B55" s="63"/>
      <c r="C55" s="63"/>
      <c r="D55" s="63"/>
      <c r="E55" s="63"/>
      <c r="F55" s="63"/>
      <c r="G55" s="63"/>
      <c r="H55" s="63"/>
      <c r="I55" s="63"/>
      <c r="J55" s="2"/>
      <c r="K55" s="2"/>
      <c r="L55" s="2"/>
      <c r="M55" s="2"/>
      <c r="N55" s="2"/>
      <c r="O55" s="2"/>
    </row>
    <row r="56" spans="1:15" ht="18.75" customHeight="1" x14ac:dyDescent="0.3">
      <c r="A56" s="2"/>
      <c r="B56" s="63"/>
      <c r="C56" s="63"/>
      <c r="D56" s="63"/>
      <c r="E56" s="63"/>
      <c r="F56" s="63"/>
      <c r="G56" s="63"/>
      <c r="H56" s="63"/>
      <c r="I56" s="63"/>
      <c r="J56" s="2"/>
      <c r="K56" s="2"/>
      <c r="L56" s="2"/>
      <c r="M56" s="2"/>
      <c r="N56" s="2"/>
      <c r="O56" s="2"/>
    </row>
    <row r="57" spans="1:15" ht="18.75" customHeight="1" x14ac:dyDescent="0.3">
      <c r="A57" s="2"/>
      <c r="B57" s="63"/>
      <c r="C57" s="63"/>
      <c r="D57" s="63"/>
      <c r="E57" s="63"/>
      <c r="F57" s="63"/>
      <c r="G57" s="63"/>
      <c r="H57" s="63"/>
      <c r="I57" s="63"/>
      <c r="J57" s="2"/>
      <c r="K57" s="2"/>
      <c r="L57" s="2"/>
      <c r="M57" s="2"/>
      <c r="N57" s="2"/>
      <c r="O57" s="2"/>
    </row>
    <row r="58" spans="1:15" ht="18.75" customHeight="1" x14ac:dyDescent="0.3">
      <c r="A58" s="2"/>
      <c r="B58" s="63"/>
      <c r="C58" s="63"/>
      <c r="D58" s="63"/>
      <c r="E58" s="63"/>
      <c r="F58" s="63"/>
      <c r="G58" s="63"/>
      <c r="H58" s="63"/>
      <c r="I58" s="63"/>
      <c r="J58" s="2"/>
      <c r="K58" s="2"/>
      <c r="L58" s="2"/>
      <c r="M58" s="2"/>
      <c r="N58" s="2"/>
      <c r="O58" s="2"/>
    </row>
    <row r="59" spans="1:15" ht="18.75" customHeight="1" x14ac:dyDescent="0.3">
      <c r="A59" s="2"/>
      <c r="B59" s="63"/>
      <c r="C59" s="63"/>
      <c r="D59" s="63"/>
      <c r="E59" s="63"/>
      <c r="F59" s="63"/>
      <c r="G59" s="63"/>
      <c r="H59" s="63"/>
      <c r="I59" s="63"/>
      <c r="J59" s="2"/>
      <c r="K59" s="2"/>
      <c r="L59" s="2"/>
      <c r="M59" s="2"/>
      <c r="N59" s="2"/>
      <c r="O59" s="2"/>
    </row>
    <row r="60" spans="1:15" ht="18.75" customHeight="1" x14ac:dyDescent="0.3">
      <c r="A60" s="2"/>
      <c r="B60" s="63"/>
      <c r="C60" s="63"/>
      <c r="D60" s="63"/>
      <c r="E60" s="63"/>
      <c r="F60" s="63"/>
      <c r="G60" s="63"/>
      <c r="H60" s="63"/>
      <c r="I60" s="63"/>
      <c r="J60" s="2"/>
      <c r="K60" s="2"/>
      <c r="L60" s="2"/>
      <c r="M60" s="2"/>
      <c r="N60" s="2"/>
      <c r="O60" s="2"/>
    </row>
    <row r="61" spans="1:15" ht="18.75" customHeight="1" x14ac:dyDescent="0.3">
      <c r="A61" s="2"/>
      <c r="B61" s="63"/>
      <c r="C61" s="63"/>
      <c r="D61" s="63"/>
      <c r="E61" s="63"/>
      <c r="F61" s="63"/>
      <c r="G61" s="63"/>
      <c r="H61" s="63"/>
      <c r="I61" s="63"/>
      <c r="J61" s="2"/>
      <c r="K61" s="2"/>
      <c r="L61" s="2"/>
      <c r="M61" s="2"/>
      <c r="N61" s="2"/>
      <c r="O61" s="2"/>
    </row>
    <row r="62" spans="1:15" ht="18.75" customHeight="1" x14ac:dyDescent="0.3">
      <c r="A62" s="2"/>
      <c r="B62" s="63"/>
      <c r="C62" s="63"/>
      <c r="D62" s="63"/>
      <c r="E62" s="63"/>
      <c r="F62" s="63"/>
      <c r="G62" s="63"/>
      <c r="H62" s="63"/>
      <c r="I62" s="63"/>
      <c r="J62" s="2"/>
      <c r="K62" s="2"/>
      <c r="L62" s="2"/>
      <c r="M62" s="2"/>
      <c r="N62" s="2"/>
      <c r="O62" s="2"/>
    </row>
    <row r="63" spans="1:15" ht="18.75" customHeight="1" x14ac:dyDescent="0.3">
      <c r="A63" s="2"/>
      <c r="B63" s="63"/>
      <c r="C63" s="63"/>
      <c r="D63" s="63"/>
      <c r="E63" s="63"/>
      <c r="F63" s="63"/>
      <c r="G63" s="63"/>
      <c r="H63" s="63"/>
      <c r="I63" s="63"/>
      <c r="J63" s="2"/>
      <c r="K63" s="2"/>
      <c r="L63" s="2"/>
      <c r="M63" s="2"/>
      <c r="N63" s="2"/>
      <c r="O63" s="2"/>
    </row>
    <row r="64" spans="1:15" ht="18.75" customHeight="1" x14ac:dyDescent="0.3">
      <c r="A64" s="2"/>
      <c r="B64" s="63"/>
      <c r="C64" s="63"/>
      <c r="D64" s="63"/>
      <c r="E64" s="63"/>
      <c r="F64" s="63"/>
      <c r="G64" s="63"/>
      <c r="H64" s="63"/>
      <c r="I64" s="63"/>
      <c r="J64" s="2"/>
      <c r="K64" s="2"/>
      <c r="L64" s="2"/>
      <c r="M64" s="2"/>
      <c r="N64" s="2"/>
      <c r="O64" s="2"/>
    </row>
    <row r="65" spans="1:15" ht="18.75" customHeight="1" x14ac:dyDescent="0.3">
      <c r="A65" s="2"/>
      <c r="B65" s="63"/>
      <c r="C65" s="63"/>
      <c r="D65" s="63"/>
      <c r="E65" s="63"/>
      <c r="F65" s="63"/>
      <c r="G65" s="63"/>
      <c r="H65" s="63"/>
      <c r="I65" s="63"/>
      <c r="J65" s="2"/>
      <c r="K65" s="2"/>
      <c r="L65" s="2"/>
      <c r="M65" s="2"/>
      <c r="N65" s="2"/>
      <c r="O65" s="2"/>
    </row>
    <row r="66" spans="1:15" ht="18.75" customHeight="1" x14ac:dyDescent="0.3">
      <c r="A66" s="2"/>
      <c r="B66" s="63"/>
      <c r="C66" s="63"/>
      <c r="D66" s="63"/>
      <c r="E66" s="63"/>
      <c r="F66" s="63"/>
      <c r="G66" s="63"/>
      <c r="H66" s="63"/>
      <c r="I66" s="63"/>
      <c r="J66" s="2"/>
      <c r="K66" s="2"/>
      <c r="L66" s="2"/>
      <c r="M66" s="2"/>
      <c r="N66" s="2"/>
      <c r="O66" s="2"/>
    </row>
    <row r="67" spans="1:15" ht="18.75" customHeight="1" x14ac:dyDescent="0.3">
      <c r="A67" s="2"/>
      <c r="B67" s="63"/>
      <c r="C67" s="63"/>
      <c r="D67" s="63"/>
      <c r="E67" s="63"/>
      <c r="F67" s="63"/>
      <c r="G67" s="63"/>
      <c r="H67" s="63"/>
      <c r="I67" s="63"/>
      <c r="J67" s="2"/>
      <c r="K67" s="2"/>
      <c r="L67" s="2"/>
      <c r="M67" s="2"/>
      <c r="N67" s="2"/>
      <c r="O67" s="2"/>
    </row>
    <row r="68" spans="1:15" ht="18.75" customHeight="1" x14ac:dyDescent="0.3">
      <c r="A68" s="2"/>
      <c r="B68" s="63"/>
      <c r="C68" s="63"/>
      <c r="D68" s="63"/>
      <c r="E68" s="63"/>
      <c r="F68" s="63"/>
      <c r="G68" s="63"/>
      <c r="H68" s="63"/>
      <c r="I68" s="63"/>
      <c r="J68" s="2"/>
      <c r="K68" s="2"/>
      <c r="L68" s="2"/>
      <c r="M68" s="2"/>
      <c r="N68" s="2"/>
      <c r="O68" s="2"/>
    </row>
    <row r="69" spans="1:15" ht="18.75" customHeight="1" x14ac:dyDescent="0.3">
      <c r="A69" s="2"/>
      <c r="B69" s="63"/>
      <c r="C69" s="63"/>
      <c r="D69" s="63"/>
      <c r="E69" s="63"/>
      <c r="F69" s="63"/>
      <c r="G69" s="63"/>
      <c r="H69" s="63"/>
      <c r="I69" s="63"/>
      <c r="J69" s="2"/>
      <c r="K69" s="2"/>
      <c r="L69" s="2"/>
      <c r="M69" s="2"/>
      <c r="N69" s="2"/>
      <c r="O69" s="2"/>
    </row>
    <row r="70" spans="1:15" ht="18.75" customHeight="1" x14ac:dyDescent="0.3">
      <c r="A70" s="2"/>
      <c r="B70" s="63"/>
      <c r="C70" s="63"/>
      <c r="D70" s="63"/>
      <c r="E70" s="63"/>
      <c r="F70" s="63"/>
      <c r="G70" s="63"/>
      <c r="H70" s="63"/>
      <c r="I70" s="63"/>
      <c r="J70" s="2"/>
      <c r="K70" s="2"/>
      <c r="L70" s="2"/>
      <c r="M70" s="2"/>
      <c r="N70" s="2"/>
      <c r="O70" s="2"/>
    </row>
    <row r="71" spans="1:15" ht="18.75" customHeight="1" x14ac:dyDescent="0.3">
      <c r="A71" s="2"/>
      <c r="B71" s="63"/>
      <c r="C71" s="63"/>
      <c r="D71" s="63"/>
      <c r="E71" s="63"/>
      <c r="F71" s="63"/>
      <c r="G71" s="63"/>
      <c r="H71" s="63"/>
      <c r="I71" s="63"/>
      <c r="J71" s="2"/>
      <c r="K71" s="2"/>
      <c r="L71" s="2"/>
      <c r="M71" s="2"/>
      <c r="N71" s="2"/>
      <c r="O71" s="2"/>
    </row>
    <row r="72" spans="1:15" ht="18.75" customHeight="1" x14ac:dyDescent="0.3">
      <c r="A72" s="2"/>
      <c r="B72" s="63"/>
      <c r="C72" s="63"/>
      <c r="D72" s="63"/>
      <c r="E72" s="63"/>
      <c r="F72" s="63"/>
      <c r="G72" s="63"/>
      <c r="H72" s="63"/>
      <c r="I72" s="63"/>
      <c r="J72" s="2"/>
      <c r="K72" s="2"/>
      <c r="L72" s="2"/>
      <c r="M72" s="2"/>
      <c r="N72" s="2"/>
      <c r="O72" s="2"/>
    </row>
    <row r="73" spans="1:15" ht="18.75" customHeight="1" x14ac:dyDescent="0.3">
      <c r="A73" s="2"/>
      <c r="B73" s="63"/>
      <c r="C73" s="63"/>
      <c r="D73" s="63"/>
      <c r="E73" s="63"/>
      <c r="F73" s="63"/>
      <c r="G73" s="63"/>
      <c r="H73" s="63"/>
      <c r="I73" s="63"/>
      <c r="J73" s="2"/>
      <c r="K73" s="2"/>
      <c r="L73" s="2"/>
      <c r="M73" s="2"/>
      <c r="N73" s="2"/>
      <c r="O73" s="2"/>
    </row>
    <row r="74" spans="1:15" ht="18.75" customHeight="1" x14ac:dyDescent="0.3">
      <c r="A74" s="2"/>
      <c r="B74" s="63"/>
      <c r="C74" s="63"/>
      <c r="D74" s="63"/>
      <c r="E74" s="63"/>
      <c r="F74" s="63"/>
      <c r="G74" s="63"/>
      <c r="H74" s="63"/>
      <c r="I74" s="63"/>
      <c r="J74" s="2"/>
      <c r="K74" s="2"/>
      <c r="L74" s="2"/>
      <c r="M74" s="2"/>
      <c r="N74" s="2"/>
      <c r="O74" s="2"/>
    </row>
    <row r="75" spans="1:15" ht="18.75" customHeight="1" x14ac:dyDescent="0.3">
      <c r="A75" s="2"/>
      <c r="B75" s="63"/>
      <c r="C75" s="63"/>
      <c r="D75" s="63"/>
      <c r="E75" s="63"/>
      <c r="F75" s="63"/>
      <c r="G75" s="63"/>
      <c r="H75" s="63"/>
      <c r="I75" s="63"/>
      <c r="J75" s="2"/>
      <c r="K75" s="2"/>
      <c r="L75" s="2"/>
      <c r="M75" s="2"/>
      <c r="N75" s="2"/>
      <c r="O75" s="2"/>
    </row>
    <row r="76" spans="1:15" ht="18.75" customHeight="1" x14ac:dyDescent="0.3">
      <c r="A76" s="2"/>
      <c r="B76" s="63"/>
      <c r="C76" s="63"/>
      <c r="D76" s="63"/>
      <c r="E76" s="63"/>
      <c r="F76" s="63"/>
      <c r="G76" s="63"/>
      <c r="H76" s="63"/>
      <c r="I76" s="63"/>
      <c r="J76" s="2"/>
      <c r="K76" s="2"/>
      <c r="L76" s="2"/>
      <c r="M76" s="2"/>
      <c r="N76" s="2"/>
      <c r="O76" s="2"/>
    </row>
    <row r="77" spans="1:15" ht="18.75" customHeight="1" x14ac:dyDescent="0.3">
      <c r="A77" s="2"/>
      <c r="B77" s="63"/>
      <c r="C77" s="63"/>
      <c r="D77" s="63"/>
      <c r="E77" s="63"/>
      <c r="F77" s="63"/>
      <c r="G77" s="63"/>
      <c r="H77" s="63"/>
      <c r="I77" s="63"/>
      <c r="J77" s="2"/>
      <c r="K77" s="2"/>
      <c r="L77" s="2"/>
      <c r="M77" s="2"/>
      <c r="N77" s="2"/>
      <c r="O77" s="2"/>
    </row>
    <row r="78" spans="1:15" ht="18.75" customHeight="1" x14ac:dyDescent="0.3">
      <c r="A78" s="2"/>
      <c r="B78" s="63"/>
      <c r="C78" s="63"/>
      <c r="D78" s="63"/>
      <c r="E78" s="63"/>
      <c r="F78" s="63"/>
      <c r="G78" s="63"/>
      <c r="H78" s="63"/>
      <c r="I78" s="63"/>
      <c r="J78" s="2"/>
      <c r="K78" s="2"/>
      <c r="L78" s="2"/>
      <c r="M78" s="2"/>
      <c r="N78" s="2"/>
      <c r="O78" s="2"/>
    </row>
    <row r="79" spans="1:15" ht="18.75" customHeight="1" x14ac:dyDescent="0.3">
      <c r="A79" s="2"/>
      <c r="B79" s="63"/>
      <c r="C79" s="63"/>
      <c r="D79" s="63"/>
      <c r="E79" s="63"/>
      <c r="F79" s="63"/>
      <c r="G79" s="63"/>
      <c r="H79" s="63"/>
      <c r="I79" s="63"/>
      <c r="J79" s="2"/>
      <c r="K79" s="2"/>
      <c r="L79" s="2"/>
      <c r="M79" s="2"/>
      <c r="N79" s="2"/>
      <c r="O79" s="2"/>
    </row>
    <row r="80" spans="1:15" ht="18.75" customHeight="1" x14ac:dyDescent="0.3">
      <c r="A80" s="2"/>
      <c r="B80" s="63"/>
      <c r="C80" s="63"/>
      <c r="D80" s="63"/>
      <c r="E80" s="63"/>
      <c r="F80" s="63"/>
      <c r="G80" s="63"/>
      <c r="H80" s="63"/>
      <c r="I80" s="63"/>
      <c r="J80" s="2"/>
      <c r="K80" s="2"/>
      <c r="L80" s="2"/>
      <c r="M80" s="2"/>
      <c r="N80" s="2"/>
      <c r="O80" s="2"/>
    </row>
    <row r="81" spans="1:15" ht="18.75" customHeight="1" x14ac:dyDescent="0.3">
      <c r="A81" s="2"/>
      <c r="B81" s="63"/>
      <c r="C81" s="63"/>
      <c r="D81" s="63"/>
      <c r="E81" s="63"/>
      <c r="F81" s="63"/>
      <c r="G81" s="63"/>
      <c r="H81" s="63"/>
      <c r="I81" s="63"/>
      <c r="J81" s="2"/>
      <c r="K81" s="2"/>
      <c r="L81" s="2"/>
      <c r="M81" s="2"/>
      <c r="N81" s="2"/>
      <c r="O81" s="2"/>
    </row>
    <row r="82" spans="1:15" ht="18.75" customHeight="1" x14ac:dyDescent="0.3">
      <c r="A82" s="2"/>
      <c r="B82" s="63"/>
      <c r="C82" s="63"/>
      <c r="D82" s="63"/>
      <c r="E82" s="63"/>
      <c r="F82" s="63"/>
      <c r="G82" s="63"/>
      <c r="H82" s="63"/>
      <c r="I82" s="63"/>
      <c r="J82" s="2"/>
      <c r="K82" s="2"/>
      <c r="L82" s="2"/>
      <c r="M82" s="2"/>
      <c r="N82" s="2"/>
      <c r="O82" s="2"/>
    </row>
    <row r="83" spans="1:15" ht="18.75" customHeight="1" x14ac:dyDescent="0.3">
      <c r="A83" s="2"/>
      <c r="B83" s="63"/>
      <c r="C83" s="63"/>
      <c r="D83" s="63"/>
      <c r="E83" s="63"/>
      <c r="F83" s="63"/>
      <c r="G83" s="63"/>
      <c r="H83" s="63"/>
      <c r="I83" s="63"/>
      <c r="J83" s="2"/>
      <c r="K83" s="2"/>
      <c r="L83" s="2"/>
      <c r="M83" s="2"/>
      <c r="N83" s="2"/>
      <c r="O83" s="2"/>
    </row>
    <row r="84" spans="1:15" ht="18.75" customHeight="1" x14ac:dyDescent="0.3">
      <c r="A84" s="2"/>
      <c r="B84" s="63"/>
      <c r="C84" s="63"/>
      <c r="D84" s="63"/>
      <c r="E84" s="63"/>
      <c r="F84" s="63"/>
      <c r="G84" s="63"/>
      <c r="H84" s="63"/>
      <c r="I84" s="63"/>
      <c r="J84" s="2"/>
      <c r="K84" s="2"/>
      <c r="L84" s="2"/>
      <c r="M84" s="2"/>
      <c r="N84" s="2"/>
      <c r="O84" s="2"/>
    </row>
    <row r="85" spans="1:15" ht="18.75" customHeight="1" x14ac:dyDescent="0.3">
      <c r="A85" s="2"/>
      <c r="B85" s="63"/>
      <c r="C85" s="63"/>
      <c r="D85" s="63"/>
      <c r="E85" s="63"/>
      <c r="F85" s="63"/>
      <c r="G85" s="63"/>
      <c r="H85" s="63"/>
      <c r="I85" s="63"/>
      <c r="J85" s="2"/>
      <c r="K85" s="2"/>
      <c r="L85" s="2"/>
      <c r="M85" s="2"/>
      <c r="N85" s="2"/>
      <c r="O85" s="2"/>
    </row>
    <row r="86" spans="1:15" ht="18.75" customHeight="1" x14ac:dyDescent="0.3">
      <c r="A86" s="2"/>
      <c r="B86" s="63"/>
      <c r="C86" s="63"/>
      <c r="D86" s="63"/>
      <c r="E86" s="63"/>
      <c r="F86" s="63"/>
      <c r="G86" s="63"/>
      <c r="H86" s="63"/>
      <c r="I86" s="63"/>
      <c r="J86" s="2"/>
      <c r="K86" s="2"/>
      <c r="L86" s="2"/>
      <c r="M86" s="2"/>
      <c r="N86" s="2"/>
      <c r="O86" s="2"/>
    </row>
    <row r="87" spans="1:15" ht="18.75" customHeight="1" x14ac:dyDescent="0.3">
      <c r="A87" s="2"/>
      <c r="B87" s="63"/>
      <c r="C87" s="63"/>
      <c r="D87" s="63"/>
      <c r="E87" s="63"/>
      <c r="F87" s="63"/>
      <c r="G87" s="63"/>
      <c r="H87" s="63"/>
      <c r="I87" s="63"/>
      <c r="J87" s="2"/>
      <c r="K87" s="2"/>
      <c r="L87" s="2"/>
      <c r="M87" s="2"/>
      <c r="N87" s="2"/>
      <c r="O87" s="2"/>
    </row>
    <row r="88" spans="1:15" ht="18.75" customHeight="1" x14ac:dyDescent="0.3">
      <c r="A88" s="2"/>
      <c r="B88" s="63"/>
      <c r="C88" s="63"/>
      <c r="D88" s="63"/>
      <c r="E88" s="63"/>
      <c r="F88" s="63"/>
      <c r="G88" s="63"/>
      <c r="H88" s="63"/>
      <c r="I88" s="63"/>
      <c r="J88" s="2"/>
      <c r="K88" s="2"/>
      <c r="L88" s="2"/>
      <c r="M88" s="2"/>
      <c r="N88" s="2"/>
      <c r="O88" s="2"/>
    </row>
    <row r="89" spans="1:15" ht="18.75" customHeight="1" x14ac:dyDescent="0.3">
      <c r="A89" s="2"/>
      <c r="B89" s="63"/>
      <c r="C89" s="63"/>
      <c r="D89" s="63"/>
      <c r="E89" s="63"/>
      <c r="F89" s="63"/>
      <c r="G89" s="63"/>
      <c r="H89" s="63"/>
      <c r="I89" s="63"/>
      <c r="J89" s="2"/>
      <c r="K89" s="2"/>
      <c r="L89" s="2"/>
      <c r="M89" s="2"/>
      <c r="N89" s="2"/>
      <c r="O89" s="2"/>
    </row>
    <row r="90" spans="1:15" ht="18.75" customHeight="1" x14ac:dyDescent="0.3">
      <c r="A90" s="2"/>
      <c r="B90" s="63"/>
      <c r="C90" s="63"/>
      <c r="D90" s="63"/>
      <c r="E90" s="63"/>
      <c r="F90" s="63"/>
      <c r="G90" s="63"/>
      <c r="H90" s="63"/>
      <c r="I90" s="63"/>
      <c r="J90" s="2"/>
      <c r="K90" s="2"/>
      <c r="L90" s="2"/>
      <c r="M90" s="2"/>
      <c r="N90" s="2"/>
      <c r="O90" s="2"/>
    </row>
    <row r="91" spans="1:15" ht="18.75" customHeight="1" x14ac:dyDescent="0.3">
      <c r="A91" s="2"/>
      <c r="B91" s="63"/>
      <c r="C91" s="63"/>
      <c r="D91" s="63"/>
      <c r="E91" s="63"/>
      <c r="F91" s="63"/>
      <c r="G91" s="63"/>
      <c r="H91" s="63"/>
      <c r="I91" s="63"/>
      <c r="J91" s="2"/>
      <c r="K91" s="2"/>
      <c r="L91" s="2"/>
      <c r="M91" s="2"/>
      <c r="N91" s="2"/>
      <c r="O91" s="2"/>
    </row>
    <row r="92" spans="1:15" ht="18.75" customHeight="1" x14ac:dyDescent="0.3">
      <c r="A92" s="2"/>
      <c r="B92" s="63"/>
      <c r="C92" s="63"/>
      <c r="D92" s="63"/>
      <c r="E92" s="63"/>
      <c r="F92" s="63"/>
      <c r="G92" s="63"/>
      <c r="H92" s="63"/>
      <c r="I92" s="63"/>
      <c r="J92" s="2"/>
      <c r="K92" s="2"/>
      <c r="L92" s="2"/>
      <c r="M92" s="2"/>
      <c r="N92" s="2"/>
      <c r="O92" s="2"/>
    </row>
    <row r="93" spans="1:15" ht="18.75" customHeight="1" x14ac:dyDescent="0.3">
      <c r="A93" s="2"/>
      <c r="B93" s="63"/>
      <c r="C93" s="63"/>
      <c r="D93" s="63"/>
      <c r="E93" s="63"/>
      <c r="F93" s="63"/>
      <c r="G93" s="63"/>
      <c r="H93" s="63"/>
      <c r="I93" s="63"/>
      <c r="J93" s="2"/>
      <c r="K93" s="2"/>
      <c r="L93" s="2"/>
      <c r="M93" s="2"/>
      <c r="N93" s="2"/>
      <c r="O93" s="2"/>
    </row>
    <row r="94" spans="1:15" ht="18.75" customHeight="1" x14ac:dyDescent="0.3">
      <c r="A94" s="2"/>
      <c r="B94" s="63"/>
      <c r="C94" s="63"/>
      <c r="D94" s="63"/>
      <c r="E94" s="63"/>
      <c r="F94" s="63"/>
      <c r="G94" s="63"/>
      <c r="H94" s="63"/>
      <c r="I94" s="63"/>
      <c r="J94" s="2"/>
      <c r="K94" s="2"/>
      <c r="L94" s="2"/>
      <c r="M94" s="2"/>
      <c r="N94" s="2"/>
      <c r="O94" s="2"/>
    </row>
    <row r="95" spans="1:15" ht="18.75" customHeight="1" x14ac:dyDescent="0.3">
      <c r="A95" s="2"/>
      <c r="B95" s="63"/>
      <c r="C95" s="63"/>
      <c r="D95" s="63"/>
      <c r="E95" s="63"/>
      <c r="F95" s="63"/>
      <c r="G95" s="63"/>
      <c r="H95" s="63"/>
      <c r="I95" s="63"/>
      <c r="J95" s="2"/>
      <c r="K95" s="2"/>
      <c r="L95" s="2"/>
      <c r="M95" s="2"/>
      <c r="N95" s="2"/>
      <c r="O95" s="2"/>
    </row>
    <row r="96" spans="1:15" ht="18.75" customHeight="1" x14ac:dyDescent="0.3">
      <c r="A96" s="2"/>
      <c r="B96" s="63"/>
      <c r="C96" s="63"/>
      <c r="D96" s="63"/>
      <c r="E96" s="63"/>
      <c r="F96" s="63"/>
      <c r="G96" s="63"/>
      <c r="H96" s="63"/>
      <c r="I96" s="63"/>
      <c r="J96" s="2"/>
      <c r="K96" s="2"/>
      <c r="L96" s="2"/>
      <c r="M96" s="2"/>
      <c r="N96" s="2"/>
      <c r="O96" s="2"/>
    </row>
    <row r="97" spans="1:15" ht="18.75" customHeight="1" x14ac:dyDescent="0.3">
      <c r="A97" s="2"/>
      <c r="B97" s="63"/>
      <c r="C97" s="63"/>
      <c r="D97" s="63"/>
      <c r="E97" s="63"/>
      <c r="F97" s="63"/>
      <c r="G97" s="63"/>
      <c r="H97" s="63"/>
      <c r="I97" s="63"/>
      <c r="J97" s="2"/>
      <c r="K97" s="2"/>
      <c r="L97" s="2"/>
      <c r="M97" s="2"/>
      <c r="N97" s="2"/>
      <c r="O97" s="2"/>
    </row>
    <row r="98" spans="1:15" ht="18.75" customHeight="1" x14ac:dyDescent="0.3">
      <c r="A98" s="2"/>
      <c r="B98" s="63"/>
      <c r="C98" s="63"/>
      <c r="D98" s="63"/>
      <c r="E98" s="63"/>
      <c r="F98" s="63"/>
      <c r="G98" s="63"/>
      <c r="H98" s="63"/>
      <c r="I98" s="63"/>
      <c r="J98" s="2"/>
      <c r="K98" s="2"/>
      <c r="L98" s="2"/>
      <c r="M98" s="2"/>
      <c r="N98" s="2"/>
      <c r="O98" s="2"/>
    </row>
    <row r="99" spans="1:15" ht="18.75" customHeight="1" x14ac:dyDescent="0.3">
      <c r="A99" s="2"/>
      <c r="B99" s="63"/>
      <c r="C99" s="63"/>
      <c r="D99" s="63"/>
      <c r="E99" s="63"/>
      <c r="F99" s="63"/>
      <c r="G99" s="63"/>
      <c r="H99" s="63"/>
      <c r="I99" s="63"/>
      <c r="J99" s="2"/>
      <c r="K99" s="2"/>
      <c r="L99" s="2"/>
      <c r="M99" s="2"/>
      <c r="N99" s="2"/>
      <c r="O99" s="2"/>
    </row>
    <row r="100" spans="1:15" ht="18.75" customHeight="1" x14ac:dyDescent="0.3">
      <c r="A100" s="2"/>
      <c r="B100" s="63"/>
      <c r="C100" s="63"/>
      <c r="D100" s="63"/>
      <c r="E100" s="63"/>
      <c r="F100" s="63"/>
      <c r="G100" s="63"/>
      <c r="H100" s="63"/>
      <c r="I100" s="63"/>
      <c r="J100" s="2"/>
      <c r="K100" s="2"/>
      <c r="L100" s="2"/>
      <c r="M100" s="2"/>
      <c r="N100" s="2"/>
      <c r="O100" s="2"/>
    </row>
    <row r="101" spans="1:15" ht="18.75" customHeight="1" x14ac:dyDescent="0.3">
      <c r="A101" s="2"/>
      <c r="B101" s="63"/>
      <c r="C101" s="63"/>
      <c r="D101" s="63"/>
      <c r="E101" s="63"/>
      <c r="F101" s="63"/>
      <c r="G101" s="63"/>
      <c r="H101" s="63"/>
      <c r="I101" s="63"/>
      <c r="J101" s="2"/>
      <c r="K101" s="2"/>
      <c r="L101" s="2"/>
      <c r="M101" s="2"/>
      <c r="N101" s="2"/>
      <c r="O101" s="2"/>
    </row>
    <row r="102" spans="1:15" ht="18.75" customHeight="1" x14ac:dyDescent="0.3">
      <c r="A102" s="2"/>
      <c r="B102" s="63"/>
      <c r="C102" s="63"/>
      <c r="D102" s="63"/>
      <c r="E102" s="63"/>
      <c r="F102" s="63"/>
      <c r="G102" s="63"/>
      <c r="H102" s="63"/>
      <c r="I102" s="63"/>
      <c r="J102" s="2"/>
      <c r="K102" s="2"/>
      <c r="L102" s="2"/>
      <c r="M102" s="2"/>
      <c r="N102" s="2"/>
      <c r="O102" s="2"/>
    </row>
    <row r="103" spans="1:15" ht="18.75" customHeight="1" x14ac:dyDescent="0.3">
      <c r="A103" s="2"/>
      <c r="B103" s="63"/>
      <c r="C103" s="63"/>
      <c r="D103" s="63"/>
      <c r="E103" s="63"/>
      <c r="F103" s="63"/>
      <c r="G103" s="63"/>
      <c r="H103" s="63"/>
      <c r="I103" s="63"/>
      <c r="J103" s="2"/>
      <c r="K103" s="2"/>
      <c r="L103" s="2"/>
      <c r="M103" s="2"/>
      <c r="N103" s="2"/>
      <c r="O103" s="2"/>
    </row>
    <row r="104" spans="1:15" ht="18.75" customHeight="1" x14ac:dyDescent="0.3">
      <c r="A104" s="2"/>
      <c r="B104" s="63"/>
      <c r="C104" s="63"/>
      <c r="D104" s="63"/>
      <c r="E104" s="63"/>
      <c r="F104" s="63"/>
      <c r="G104" s="63"/>
      <c r="H104" s="63"/>
      <c r="I104" s="63"/>
      <c r="J104" s="2"/>
      <c r="K104" s="2"/>
      <c r="L104" s="2"/>
      <c r="M104" s="2"/>
      <c r="N104" s="2"/>
      <c r="O104" s="2"/>
    </row>
    <row r="105" spans="1:15" ht="18.75" customHeight="1" x14ac:dyDescent="0.3">
      <c r="A105" s="2"/>
      <c r="B105" s="63"/>
      <c r="C105" s="63"/>
      <c r="D105" s="63"/>
      <c r="E105" s="63"/>
      <c r="F105" s="63"/>
      <c r="G105" s="63"/>
      <c r="H105" s="63"/>
      <c r="I105" s="63"/>
      <c r="J105" s="2"/>
      <c r="K105" s="2"/>
      <c r="L105" s="2"/>
      <c r="M105" s="2"/>
      <c r="N105" s="2"/>
      <c r="O105" s="2"/>
    </row>
    <row r="106" spans="1:15" ht="18.75" customHeight="1" x14ac:dyDescent="0.3">
      <c r="A106" s="2"/>
      <c r="B106" s="63"/>
      <c r="C106" s="63"/>
      <c r="D106" s="63"/>
      <c r="E106" s="63"/>
      <c r="F106" s="63"/>
      <c r="G106" s="63"/>
      <c r="H106" s="63"/>
      <c r="I106" s="63"/>
      <c r="J106" s="2"/>
      <c r="K106" s="2"/>
      <c r="L106" s="2"/>
      <c r="M106" s="2"/>
      <c r="N106" s="2"/>
      <c r="O106" s="2"/>
    </row>
    <row r="107" spans="1:15" ht="18.75" customHeight="1" x14ac:dyDescent="0.3">
      <c r="A107" s="2"/>
      <c r="B107" s="63"/>
      <c r="C107" s="63"/>
      <c r="D107" s="63"/>
      <c r="E107" s="63"/>
      <c r="F107" s="63"/>
      <c r="G107" s="63"/>
      <c r="H107" s="63"/>
      <c r="I107" s="63"/>
      <c r="J107" s="2"/>
      <c r="K107" s="2"/>
      <c r="L107" s="2"/>
      <c r="M107" s="2"/>
      <c r="N107" s="2"/>
      <c r="O107" s="2"/>
    </row>
    <row r="108" spans="1:15" ht="18.75" customHeight="1" x14ac:dyDescent="0.3">
      <c r="A108" s="2"/>
      <c r="B108" s="63"/>
      <c r="C108" s="63"/>
      <c r="D108" s="63"/>
      <c r="E108" s="63"/>
      <c r="F108" s="63"/>
      <c r="G108" s="63"/>
      <c r="H108" s="63"/>
      <c r="I108" s="63"/>
      <c r="J108" s="2"/>
      <c r="K108" s="2"/>
      <c r="L108" s="2"/>
      <c r="M108" s="2"/>
      <c r="N108" s="2"/>
      <c r="O108" s="2"/>
    </row>
    <row r="109" spans="1:15" ht="18.75" customHeight="1" x14ac:dyDescent="0.3">
      <c r="A109" s="2"/>
      <c r="B109" s="63"/>
      <c r="C109" s="63"/>
      <c r="D109" s="63"/>
      <c r="E109" s="63"/>
      <c r="F109" s="63"/>
      <c r="G109" s="63"/>
      <c r="H109" s="63"/>
      <c r="I109" s="63"/>
      <c r="J109" s="2"/>
      <c r="K109" s="2"/>
      <c r="L109" s="2"/>
      <c r="M109" s="2"/>
      <c r="N109" s="2"/>
      <c r="O109" s="2"/>
    </row>
    <row r="110" spans="1:15" ht="18.75" customHeight="1" x14ac:dyDescent="0.3">
      <c r="A110" s="2"/>
      <c r="B110" s="63"/>
      <c r="C110" s="63"/>
      <c r="D110" s="63"/>
      <c r="E110" s="63"/>
      <c r="F110" s="63"/>
      <c r="G110" s="63"/>
      <c r="H110" s="63"/>
      <c r="I110" s="63"/>
      <c r="J110" s="2"/>
      <c r="K110" s="2"/>
      <c r="L110" s="2"/>
      <c r="M110" s="2"/>
      <c r="N110" s="2"/>
      <c r="O110" s="2"/>
    </row>
    <row r="111" spans="1:15" ht="18.75" customHeight="1" x14ac:dyDescent="0.3">
      <c r="A111" s="2"/>
      <c r="B111" s="63"/>
      <c r="C111" s="63"/>
      <c r="D111" s="63"/>
      <c r="E111" s="63"/>
      <c r="F111" s="63"/>
      <c r="G111" s="63"/>
      <c r="H111" s="63"/>
      <c r="I111" s="63"/>
      <c r="J111" s="2"/>
      <c r="K111" s="2"/>
      <c r="L111" s="2"/>
      <c r="M111" s="2"/>
      <c r="N111" s="2"/>
      <c r="O111" s="2"/>
    </row>
    <row r="112" spans="1:15" ht="18.75" customHeight="1" x14ac:dyDescent="0.3">
      <c r="A112" s="2"/>
      <c r="B112" s="63"/>
      <c r="C112" s="63"/>
      <c r="D112" s="63"/>
      <c r="E112" s="63"/>
      <c r="F112" s="63"/>
      <c r="G112" s="63"/>
      <c r="H112" s="63"/>
      <c r="I112" s="63"/>
      <c r="J112" s="2"/>
      <c r="K112" s="2"/>
      <c r="L112" s="2"/>
      <c r="M112" s="2"/>
      <c r="N112" s="2"/>
      <c r="O112" s="2"/>
    </row>
    <row r="113" spans="1:15" ht="18.75" customHeight="1" x14ac:dyDescent="0.3">
      <c r="A113" s="2"/>
      <c r="B113" s="63"/>
      <c r="C113" s="63"/>
      <c r="D113" s="63"/>
      <c r="E113" s="63"/>
      <c r="F113" s="63"/>
      <c r="G113" s="63"/>
      <c r="H113" s="63"/>
      <c r="I113" s="63"/>
      <c r="J113" s="2"/>
      <c r="K113" s="2"/>
      <c r="L113" s="2"/>
      <c r="M113" s="2"/>
      <c r="N113" s="2"/>
      <c r="O113" s="2"/>
    </row>
    <row r="114" spans="1:15" ht="18.75" customHeight="1" x14ac:dyDescent="0.3">
      <c r="A114" s="2"/>
      <c r="B114" s="63"/>
      <c r="C114" s="63"/>
      <c r="D114" s="63"/>
      <c r="E114" s="63"/>
      <c r="F114" s="63"/>
      <c r="G114" s="63"/>
      <c r="H114" s="63"/>
      <c r="I114" s="63"/>
      <c r="J114" s="2" t="s">
        <v>510</v>
      </c>
      <c r="K114" s="2"/>
      <c r="L114" s="2"/>
      <c r="M114" s="2"/>
      <c r="N114" s="2"/>
      <c r="O114" s="2"/>
    </row>
  </sheetData>
  <mergeCells count="3">
    <mergeCell ref="B2:C2"/>
    <mergeCell ref="D2:E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108"/>
  <sheetViews>
    <sheetView workbookViewId="0"/>
  </sheetViews>
  <sheetFormatPr defaultRowHeight="14.4" x14ac:dyDescent="0.3"/>
  <cols>
    <col min="1" max="1" width="14" style="9" bestFit="1" customWidth="1"/>
    <col min="2" max="2" width="40" style="71" bestFit="1" customWidth="1"/>
    <col min="3" max="3" width="11.44140625" style="71" bestFit="1" customWidth="1"/>
    <col min="4" max="4" width="11.33203125" style="71" bestFit="1" customWidth="1"/>
    <col min="5" max="5" width="17" style="71" bestFit="1" customWidth="1"/>
    <col min="6" max="6" width="18.5546875" style="71" bestFit="1" customWidth="1"/>
    <col min="7" max="7" width="2.33203125" style="9" bestFit="1" customWidth="1"/>
    <col min="8" max="8" width="19.33203125" style="8" bestFit="1" customWidth="1"/>
    <col min="9" max="9" width="13.5546875" style="9" bestFit="1" customWidth="1"/>
    <col min="10" max="10" width="22.88671875" style="9" bestFit="1" customWidth="1"/>
    <col min="11" max="11" width="21.44140625" style="9" bestFit="1" customWidth="1"/>
    <col min="12" max="12" width="14.33203125" style="9" bestFit="1" customWidth="1"/>
    <col min="13" max="13" width="4.44140625" style="9" bestFit="1" customWidth="1"/>
    <col min="14" max="14" width="25.44140625" style="9" bestFit="1" customWidth="1"/>
    <col min="15" max="15" width="13.5546875" style="9" bestFit="1" customWidth="1"/>
    <col min="16" max="16" width="13.33203125" style="9" bestFit="1" customWidth="1"/>
    <col min="17" max="18" width="13.5546875" style="9" bestFit="1" customWidth="1"/>
  </cols>
  <sheetData>
    <row r="1" spans="1:18" ht="18.75" customHeight="1" x14ac:dyDescent="0.35">
      <c r="A1" s="93" t="s">
        <v>455</v>
      </c>
      <c r="B1" s="94"/>
      <c r="C1" s="63"/>
      <c r="D1" s="63"/>
      <c r="E1" s="63"/>
      <c r="F1" s="63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36.75" customHeight="1" x14ac:dyDescent="0.3">
      <c r="A2" s="95"/>
      <c r="B2" s="96"/>
      <c r="C2" s="97" t="s">
        <v>456</v>
      </c>
      <c r="D2" s="98" t="s">
        <v>457</v>
      </c>
      <c r="E2" s="224" t="s">
        <v>458</v>
      </c>
      <c r="F2" s="225"/>
      <c r="G2" s="2"/>
      <c r="H2" s="226" t="s">
        <v>459</v>
      </c>
      <c r="I2" s="227"/>
      <c r="J2" s="227"/>
      <c r="K2" s="227"/>
      <c r="L2" s="228"/>
      <c r="M2" s="2"/>
      <c r="N2" s="229" t="s">
        <v>460</v>
      </c>
      <c r="O2" s="229"/>
      <c r="P2" s="229"/>
      <c r="Q2" s="2"/>
      <c r="R2" s="2"/>
    </row>
    <row r="3" spans="1:18" ht="18.75" customHeight="1" x14ac:dyDescent="0.3">
      <c r="A3" s="100" t="s">
        <v>461</v>
      </c>
      <c r="B3" s="101" t="s">
        <v>462</v>
      </c>
      <c r="C3" s="102" t="str">
        <f>'site independent'!W3</f>
        <v>Max capacity value</v>
      </c>
      <c r="D3" s="103" t="str">
        <f>'site independent'!V3</f>
        <v>Operating reserve coeff.</v>
      </c>
      <c r="E3" s="104" t="str">
        <f>'site independent'!X3</f>
        <v>Total overnight cost in 2014</v>
      </c>
      <c r="F3" s="105" t="s">
        <v>463</v>
      </c>
      <c r="G3" s="2"/>
      <c r="H3" s="106" t="s">
        <v>464</v>
      </c>
      <c r="I3" s="107" t="s">
        <v>465</v>
      </c>
      <c r="J3" s="107" t="s">
        <v>466</v>
      </c>
      <c r="K3" s="107" t="s">
        <v>467</v>
      </c>
      <c r="L3" s="108" t="s">
        <v>468</v>
      </c>
      <c r="M3" s="2"/>
      <c r="N3" s="99" t="s">
        <v>464</v>
      </c>
      <c r="O3" s="99" t="s">
        <v>469</v>
      </c>
      <c r="P3" s="99" t="s">
        <v>470</v>
      </c>
      <c r="Q3" s="99" t="s">
        <v>471</v>
      </c>
      <c r="R3" s="99" t="s">
        <v>472</v>
      </c>
    </row>
    <row r="4" spans="1:18" ht="18.75" customHeight="1" x14ac:dyDescent="0.3">
      <c r="A4" s="100"/>
      <c r="B4" s="109" t="s">
        <v>332</v>
      </c>
      <c r="C4" s="110" t="s">
        <v>473</v>
      </c>
      <c r="D4" s="111" t="s">
        <v>474</v>
      </c>
      <c r="E4" s="112" t="s">
        <v>475</v>
      </c>
      <c r="F4" s="113" t="s">
        <v>476</v>
      </c>
      <c r="G4" s="2"/>
      <c r="H4" s="114"/>
      <c r="I4" s="115" t="s">
        <v>332</v>
      </c>
      <c r="J4" s="115" t="s">
        <v>477</v>
      </c>
      <c r="K4" s="115" t="s">
        <v>332</v>
      </c>
      <c r="L4" s="116"/>
      <c r="M4" s="2"/>
      <c r="N4" s="117"/>
      <c r="O4" s="117" t="s">
        <v>332</v>
      </c>
      <c r="P4" s="117" t="s">
        <v>332</v>
      </c>
      <c r="Q4" s="117" t="s">
        <v>332</v>
      </c>
      <c r="R4" s="117" t="s">
        <v>332</v>
      </c>
    </row>
    <row r="5" spans="1:18" ht="18.75" customHeight="1" x14ac:dyDescent="0.3">
      <c r="A5" s="118" t="str">
        <f>'site independent'!A5</f>
        <v>coal</v>
      </c>
      <c r="B5" s="36">
        <f>SUMIF('non-vre plants'!C2:C21,A5,'non-vre plants'!F2:F21)</f>
        <v>5066</v>
      </c>
      <c r="C5" s="119">
        <f>INDEX('site independent'!$A$3:$W$51, MATCH($A5, 'site independent'!$A$3:$A$51, 0), MATCH('scenario analysis'!C$3, 'site independent'!$A$3:$W$3, 0))</f>
        <v>1</v>
      </c>
      <c r="D5" s="120">
        <f>INDEX('site independent'!$A$3:$W$51, MATCH($A5, 'site independent'!$A$3:$A$51, 0), MATCH('scenario analysis'!D$3, 'site independent'!$A$3:$W$3, 0))</f>
        <v>0.53</v>
      </c>
      <c r="E5" s="119">
        <f>INDEX('site independent'!$A$3:$X$51, MATCH($A5, 'site independent'!$A$3:$A$51, 0), MATCH('scenario analysis'!E$3, 'site independent'!$A$3:$X$3, 0))</f>
        <v>2917</v>
      </c>
      <c r="F5" s="121">
        <f t="shared" ref="F5:F17" si="0">E5*1000*B5</f>
        <v>14777522000</v>
      </c>
      <c r="G5" s="2"/>
      <c r="H5" s="100"/>
      <c r="I5" s="36"/>
      <c r="J5" s="50"/>
      <c r="K5" s="50"/>
      <c r="L5" s="122"/>
      <c r="M5" s="21"/>
      <c r="N5" s="4"/>
      <c r="O5" s="123"/>
      <c r="P5" s="123"/>
      <c r="Q5" s="50"/>
      <c r="R5" s="50"/>
    </row>
    <row r="6" spans="1:18" ht="18.75" customHeight="1" x14ac:dyDescent="0.3">
      <c r="A6" s="118" t="str">
        <f>'site independent'!A6</f>
        <v>Natural gas</v>
      </c>
      <c r="B6" s="36">
        <f>SUMIF('non-vre plants'!C3:C22,A6,'non-vre plants'!F3:F22)</f>
        <v>0</v>
      </c>
      <c r="C6" s="119">
        <f>INDEX('site independent'!$A$3:$W$51, MATCH($A6, 'site independent'!$A$3:$A$51, 0), MATCH('scenario analysis'!C$3, 'site independent'!$A$3:$W$3, 0))</f>
        <v>1</v>
      </c>
      <c r="D6" s="119">
        <f>INDEX('site independent'!$A$3:$W$51, MATCH($A6, 'site independent'!$A$3:$A$51, 0), MATCH('scenario analysis'!D$3, 'site independent'!$A$3:$W$3, 0))</f>
        <v>0</v>
      </c>
      <c r="E6" s="119">
        <f>INDEX('site independent'!$A$3:$X$51, MATCH($A6, 'site independent'!$A$3:$A$51, 0), MATCH('scenario analysis'!E$3, 'site independent'!$A$3:$X$3, 0))</f>
        <v>0</v>
      </c>
      <c r="F6" s="121">
        <f t="shared" si="0"/>
        <v>0</v>
      </c>
      <c r="G6" s="2"/>
      <c r="H6" s="100"/>
      <c r="I6" s="36"/>
      <c r="J6" s="50"/>
      <c r="K6" s="50"/>
      <c r="L6" s="122"/>
      <c r="M6" s="21"/>
      <c r="N6" s="4"/>
      <c r="O6" s="123"/>
      <c r="P6" s="123"/>
      <c r="Q6" s="50"/>
      <c r="R6" s="50"/>
    </row>
    <row r="7" spans="1:18" ht="18.75" customHeight="1" x14ac:dyDescent="0.3">
      <c r="A7" s="118" t="str">
        <f>'site independent'!A7</f>
        <v>NG_CC</v>
      </c>
      <c r="B7" s="36">
        <f>SUMIF('non-vre plants'!C4:C23,A7,'non-vre plants'!F4:F23)</f>
        <v>0</v>
      </c>
      <c r="C7" s="119">
        <f>INDEX('site independent'!$A$3:$W$51, MATCH($A7, 'site independent'!$A$3:$A$51, 0), MATCH('scenario analysis'!C$3, 'site independent'!$A$3:$W$3, 0))</f>
        <v>1</v>
      </c>
      <c r="D7" s="120">
        <f>INDEX('site independent'!$A$3:$W$51, MATCH($A7, 'site independent'!$A$3:$A$51, 0), MATCH('scenario analysis'!D$3, 'site independent'!$A$3:$W$3, 0))</f>
        <v>0.53</v>
      </c>
      <c r="E7" s="119">
        <f>INDEX('site independent'!$A$3:$X$51, MATCH($A7, 'site independent'!$A$3:$A$51, 0), MATCH('scenario analysis'!E$3, 'site independent'!$A$3:$X$3, 0))</f>
        <v>671</v>
      </c>
      <c r="F7" s="121">
        <f t="shared" si="0"/>
        <v>0</v>
      </c>
      <c r="G7" s="2"/>
      <c r="H7" s="100"/>
      <c r="I7" s="50"/>
      <c r="J7" s="50"/>
      <c r="K7" s="50"/>
      <c r="L7" s="122"/>
      <c r="M7" s="21"/>
      <c r="N7" s="4"/>
      <c r="O7" s="123"/>
      <c r="P7" s="123"/>
      <c r="Q7" s="50"/>
      <c r="R7" s="50"/>
    </row>
    <row r="8" spans="1:18" ht="18.75" customHeight="1" x14ac:dyDescent="0.3">
      <c r="A8" s="118" t="str">
        <f>'site independent'!A8</f>
        <v>NG_CT</v>
      </c>
      <c r="B8" s="36">
        <f>SUMIF('non-vre plants'!C5:C24,A8,'non-vre plants'!F5:F24)</f>
        <v>0</v>
      </c>
      <c r="C8" s="119">
        <f>INDEX('site independent'!$A$3:$W$51, MATCH($A8, 'site independent'!$A$3:$A$51, 0), MATCH('scenario analysis'!C$3, 'site independent'!$A$3:$W$3, 0))</f>
        <v>1</v>
      </c>
      <c r="D8" s="119">
        <f>INDEX('site independent'!$A$3:$W$51, MATCH($A8, 'site independent'!$A$3:$A$51, 0), MATCH('scenario analysis'!D$3, 'site independent'!$A$3:$W$3, 0))</f>
        <v>1</v>
      </c>
      <c r="E8" s="119">
        <f>INDEX('site independent'!$A$3:$X$51, MATCH($A8, 'site independent'!$A$3:$A$51, 0), MATCH('scenario analysis'!E$3, 'site independent'!$A$3:$X$3, 0))</f>
        <v>968</v>
      </c>
      <c r="F8" s="121">
        <f t="shared" si="0"/>
        <v>0</v>
      </c>
      <c r="G8" s="2"/>
      <c r="H8" s="100"/>
      <c r="I8" s="50"/>
      <c r="J8" s="50"/>
      <c r="K8" s="50"/>
      <c r="L8" s="122"/>
      <c r="M8" s="50"/>
      <c r="N8" s="4"/>
      <c r="O8" s="123"/>
      <c r="P8" s="123"/>
      <c r="Q8" s="50"/>
      <c r="R8" s="50"/>
    </row>
    <row r="9" spans="1:18" ht="18.75" customHeight="1" x14ac:dyDescent="0.3">
      <c r="A9" s="118" t="str">
        <f>'site independent'!A9</f>
        <v>NG_CG</v>
      </c>
      <c r="B9" s="36">
        <f>SUMIF('non-vre plants'!C6:C25,A9,'non-vre plants'!F6:F25)</f>
        <v>0</v>
      </c>
      <c r="C9" s="119">
        <f>INDEX('site independent'!$A$3:$W$51, MATCH($A9, 'site independent'!$A$3:$A$51, 0), MATCH('scenario analysis'!C$3, 'site independent'!$A$3:$W$3, 0))</f>
        <v>1</v>
      </c>
      <c r="D9" s="119">
        <f>INDEX('site independent'!$A$3:$W$51, MATCH($A9, 'site independent'!$A$3:$A$51, 0), MATCH('scenario analysis'!D$3, 'site independent'!$A$3:$W$3, 0))</f>
        <v>1</v>
      </c>
      <c r="E9" s="119">
        <f>INDEX('site independent'!$A$3:$X$51, MATCH($A9, 'site independent'!$A$3:$A$51, 0), MATCH('scenario analysis'!E$3, 'site independent'!$A$3:$X$3, 0))</f>
        <v>968</v>
      </c>
      <c r="F9" s="121">
        <f t="shared" si="0"/>
        <v>0</v>
      </c>
      <c r="G9" s="2"/>
      <c r="H9" s="100"/>
      <c r="I9" s="50"/>
      <c r="J9" s="50"/>
      <c r="K9" s="50"/>
      <c r="L9" s="122"/>
      <c r="M9" s="50"/>
      <c r="N9" s="4"/>
      <c r="O9" s="123"/>
      <c r="P9" s="123"/>
      <c r="Q9" s="50"/>
      <c r="R9" s="50"/>
    </row>
    <row r="10" spans="1:18" ht="18.75" customHeight="1" x14ac:dyDescent="0.3">
      <c r="A10" s="118" t="str">
        <f>'site independent'!A10</f>
        <v>diesel</v>
      </c>
      <c r="B10" s="36">
        <f>SUMIF('non-vre plants'!C7:C26,A10,'non-vre plants'!F7:F26)</f>
        <v>0</v>
      </c>
      <c r="C10" s="119">
        <f>INDEX('site independent'!$A$3:$W$51, MATCH($A10, 'site independent'!$A$3:$A$51, 0), MATCH('scenario analysis'!C$3, 'site independent'!$A$3:$W$3, 0))</f>
        <v>1</v>
      </c>
      <c r="D10" s="120">
        <f>INDEX('site independent'!$A$3:$W$51, MATCH($A10, 'site independent'!$A$3:$A$51, 0), MATCH('scenario analysis'!D$3, 'site independent'!$A$3:$W$3, 0))</f>
        <v>0.86</v>
      </c>
      <c r="E10" s="119">
        <f>INDEX('site independent'!$A$3:$X$51, MATCH($A10, 'site independent'!$A$3:$A$51, 0), MATCH('scenario analysis'!E$3, 'site independent'!$A$3:$X$3, 0))</f>
        <v>0</v>
      </c>
      <c r="F10" s="121">
        <f t="shared" si="0"/>
        <v>0</v>
      </c>
      <c r="G10" s="2"/>
      <c r="H10" s="100"/>
      <c r="I10" s="36"/>
      <c r="J10" s="50"/>
      <c r="K10" s="50"/>
      <c r="L10" s="122"/>
      <c r="M10" s="50"/>
      <c r="N10" s="4"/>
      <c r="O10" s="123"/>
      <c r="P10" s="123"/>
      <c r="Q10" s="50"/>
      <c r="R10" s="50"/>
    </row>
    <row r="11" spans="1:18" ht="18.75" customHeight="1" x14ac:dyDescent="0.3">
      <c r="A11" s="118" t="str">
        <f>'site independent'!A11</f>
        <v>fuel oil</v>
      </c>
      <c r="B11" s="36">
        <f>SUMIF('non-vre plants'!C8:C27,A11,'non-vre plants'!F8:F27)</f>
        <v>0</v>
      </c>
      <c r="C11" s="119">
        <f>INDEX('site independent'!$A$3:$W$51, MATCH($A11, 'site independent'!$A$3:$A$51, 0), MATCH('scenario analysis'!C$3, 'site independent'!$A$3:$W$3, 0))</f>
        <v>1</v>
      </c>
      <c r="D11" s="120">
        <f>INDEX('site independent'!$A$3:$W$51, MATCH($A11, 'site independent'!$A$3:$A$51, 0), MATCH('scenario analysis'!D$3, 'site independent'!$A$3:$W$3, 0))</f>
        <v>0.86</v>
      </c>
      <c r="E11" s="119">
        <f>INDEX('site independent'!$A$3:$X$51, MATCH($A11, 'site independent'!$A$3:$A$51, 0), MATCH('scenario analysis'!E$3, 'site independent'!$A$3:$X$3, 0))</f>
        <v>0</v>
      </c>
      <c r="F11" s="121">
        <f t="shared" si="0"/>
        <v>0</v>
      </c>
      <c r="G11" s="2"/>
      <c r="H11" s="100"/>
      <c r="I11" s="36"/>
      <c r="J11" s="50"/>
      <c r="K11" s="50"/>
      <c r="L11" s="122"/>
      <c r="M11" s="50"/>
      <c r="N11" s="4"/>
      <c r="O11" s="123"/>
      <c r="P11" s="123"/>
      <c r="Q11" s="50"/>
      <c r="R11" s="50"/>
    </row>
    <row r="12" spans="1:18" ht="18.75" customHeight="1" x14ac:dyDescent="0.3">
      <c r="A12" s="118" t="str">
        <f>'site independent'!A12</f>
        <v>nuclear</v>
      </c>
      <c r="B12" s="36">
        <f>SUMIF('non-vre plants'!C9:C28,A12,'non-vre plants'!F9:F28)</f>
        <v>0</v>
      </c>
      <c r="C12" s="119">
        <f>INDEX('site independent'!$A$3:$W$51, MATCH($A12, 'site independent'!$A$3:$A$51, 0), MATCH('scenario analysis'!C$3, 'site independent'!$A$3:$W$3, 0))</f>
        <v>1</v>
      </c>
      <c r="D12" s="120">
        <f>INDEX('site independent'!$A$3:$W$51, MATCH($A12, 'site independent'!$A$3:$A$51, 0), MATCH('scenario analysis'!D$3, 'site independent'!$A$3:$W$3, 0))</f>
        <v>0.2</v>
      </c>
      <c r="E12" s="119">
        <f>INDEX('site independent'!$A$3:$X$51, MATCH($A12, 'site independent'!$A$3:$A$51, 0), MATCH('scenario analysis'!E$3, 'site independent'!$A$3:$X$3, 0))</f>
        <v>5366</v>
      </c>
      <c r="F12" s="121">
        <f t="shared" si="0"/>
        <v>0</v>
      </c>
      <c r="G12" s="2"/>
      <c r="H12" s="100"/>
      <c r="I12" s="50"/>
      <c r="J12" s="50"/>
      <c r="K12" s="50"/>
      <c r="L12" s="122"/>
      <c r="M12" s="50"/>
      <c r="N12" s="4"/>
      <c r="O12" s="123"/>
      <c r="P12" s="123"/>
      <c r="Q12" s="50"/>
      <c r="R12" s="50"/>
    </row>
    <row r="13" spans="1:18" ht="18.75" customHeight="1" x14ac:dyDescent="0.3">
      <c r="A13" s="118" t="str">
        <f>'site independent'!A13</f>
        <v>hydro</v>
      </c>
      <c r="B13" s="36">
        <f>SUMIF('non-vre plants'!C10:C29,A13,'non-vre plants'!F10:F29)</f>
        <v>0</v>
      </c>
      <c r="C13" s="119">
        <f>INDEX('site independent'!$A$3:$W$51, MATCH($A13, 'site independent'!$A$3:$A$51, 0), MATCH('scenario analysis'!C$3, 'site independent'!$A$3:$W$3, 0))</f>
        <v>1</v>
      </c>
      <c r="D13" s="120">
        <f>INDEX('site independent'!$A$3:$W$51, MATCH($A13, 'site independent'!$A$3:$A$51, 0), MATCH('scenario analysis'!D$3, 'site independent'!$A$3:$W$3, 0))</f>
        <v>0.66</v>
      </c>
      <c r="E13" s="119">
        <f>INDEX('site independent'!$A$3:$X$51, MATCH($A13, 'site independent'!$A$3:$A$51, 0), MATCH('scenario analysis'!E$3, 'site independent'!$A$3:$X$3, 0))</f>
        <v>2651</v>
      </c>
      <c r="F13" s="121">
        <f t="shared" si="0"/>
        <v>0</v>
      </c>
      <c r="G13" s="2"/>
      <c r="H13" s="100"/>
      <c r="I13" s="50"/>
      <c r="J13" s="50"/>
      <c r="K13" s="50"/>
      <c r="L13" s="122"/>
      <c r="M13" s="50"/>
      <c r="N13" s="4"/>
      <c r="O13" s="123"/>
      <c r="P13" s="123"/>
      <c r="Q13" s="50"/>
      <c r="R13" s="50"/>
    </row>
    <row r="14" spans="1:18" ht="18.75" customHeight="1" x14ac:dyDescent="0.3">
      <c r="A14" s="118" t="str">
        <f>'site independent'!A14</f>
        <v>hydro_hourly</v>
      </c>
      <c r="B14" s="36">
        <f>SUMIF('non-vre plants'!C11:C30,A14,'non-vre plants'!F11:F30)</f>
        <v>101.7</v>
      </c>
      <c r="C14" s="119">
        <f>INDEX('site independent'!$A$3:$W$51, MATCH($A14, 'site independent'!$A$3:$A$51, 0), MATCH('scenario analysis'!C$3, 'site independent'!$A$3:$W$3, 0))</f>
        <v>1</v>
      </c>
      <c r="D14" s="120">
        <f>INDEX('site independent'!$A$3:$W$51, MATCH($A14, 'site independent'!$A$3:$A$51, 0), MATCH('scenario analysis'!D$3, 'site independent'!$A$3:$W$3, 0))</f>
        <v>0.66</v>
      </c>
      <c r="E14" s="119">
        <f>INDEX('site independent'!$A$3:$X$51, MATCH($A14, 'site independent'!$A$3:$A$51, 0), MATCH('scenario analysis'!E$3, 'site independent'!$A$3:$X$3, 0))</f>
        <v>2651</v>
      </c>
      <c r="F14" s="121">
        <f t="shared" si="0"/>
        <v>269606700</v>
      </c>
      <c r="G14" s="2"/>
      <c r="H14" s="100"/>
      <c r="I14" s="50"/>
      <c r="J14" s="50"/>
      <c r="K14" s="50"/>
      <c r="L14" s="122"/>
      <c r="M14" s="50"/>
      <c r="N14" s="4"/>
      <c r="O14" s="123"/>
      <c r="P14" s="123"/>
      <c r="Q14" s="50"/>
      <c r="R14" s="50"/>
    </row>
    <row r="15" spans="1:18" ht="18.75" customHeight="1" x14ac:dyDescent="0.3">
      <c r="A15" s="118" t="str">
        <f>'site independent'!A15</f>
        <v>hydro_daily</v>
      </c>
      <c r="B15" s="36">
        <f>SUMIF('non-vre plants'!C12:C31,A15,'non-vre plants'!F12:F31)</f>
        <v>284</v>
      </c>
      <c r="C15" s="119">
        <f>INDEX('site independent'!$A$3:$W$51, MATCH($A15, 'site independent'!$A$3:$A$51, 0), MATCH('scenario analysis'!C$3, 'site independent'!$A$3:$W$3, 0))</f>
        <v>1</v>
      </c>
      <c r="D15" s="120">
        <f>INDEX('site independent'!$A$3:$W$51, MATCH($A15, 'site independent'!$A$3:$A$51, 0), MATCH('scenario analysis'!D$3, 'site independent'!$A$3:$W$3, 0))</f>
        <v>0.66</v>
      </c>
      <c r="E15" s="119">
        <f>INDEX('site independent'!$A$3:$X$51, MATCH($A15, 'site independent'!$A$3:$A$51, 0), MATCH('scenario analysis'!E$3, 'site independent'!$A$3:$X$3, 0))</f>
        <v>2651</v>
      </c>
      <c r="F15" s="121">
        <f t="shared" si="0"/>
        <v>752884000</v>
      </c>
      <c r="G15" s="2"/>
      <c r="H15" s="100"/>
      <c r="I15" s="50"/>
      <c r="J15" s="50"/>
      <c r="K15" s="50"/>
      <c r="L15" s="122"/>
      <c r="M15" s="50"/>
      <c r="N15" s="4"/>
      <c r="O15" s="123"/>
      <c r="P15" s="123"/>
      <c r="Q15" s="50"/>
      <c r="R15" s="50"/>
    </row>
    <row r="16" spans="1:18" ht="18.75" customHeight="1" x14ac:dyDescent="0.3">
      <c r="A16" s="118" t="str">
        <f>'site independent'!A16</f>
        <v>hydro_monthly</v>
      </c>
      <c r="B16" s="36">
        <f>SUMIF('non-vre plants'!C13:C32,A16,'non-vre plants'!F13:F32)</f>
        <v>0</v>
      </c>
      <c r="C16" s="119">
        <f>INDEX('site independent'!$A$3:$W$51, MATCH($A16, 'site independent'!$A$3:$A$51, 0), MATCH('scenario analysis'!C$3, 'site independent'!$A$3:$W$3, 0))</f>
        <v>1</v>
      </c>
      <c r="D16" s="120">
        <f>INDEX('site independent'!$A$3:$W$51, MATCH($A16, 'site independent'!$A$3:$A$51, 0), MATCH('scenario analysis'!D$3, 'site independent'!$A$3:$W$3, 0))</f>
        <v>0.66</v>
      </c>
      <c r="E16" s="119">
        <f>INDEX('site independent'!$A$3:$X$51, MATCH($A16, 'site independent'!$A$3:$A$51, 0), MATCH('scenario analysis'!E$3, 'site independent'!$A$3:$X$3, 0))</f>
        <v>2651</v>
      </c>
      <c r="F16" s="121">
        <f t="shared" si="0"/>
        <v>0</v>
      </c>
      <c r="G16" s="2"/>
      <c r="H16" s="100"/>
      <c r="I16" s="50"/>
      <c r="J16" s="50"/>
      <c r="K16" s="50"/>
      <c r="L16" s="122"/>
      <c r="M16" s="50"/>
      <c r="N16" s="4"/>
      <c r="O16" s="123"/>
      <c r="P16" s="123"/>
      <c r="Q16" s="50"/>
      <c r="R16" s="50"/>
    </row>
    <row r="17" spans="1:18" ht="18.75" customHeight="1" x14ac:dyDescent="0.3">
      <c r="A17" s="118" t="str">
        <f>'site independent'!A17</f>
        <v>geothermal</v>
      </c>
      <c r="B17" s="36">
        <f>SUMIF('non-vre plants'!C14:C33,A17,'non-vre plants'!F14:F33)</f>
        <v>0</v>
      </c>
      <c r="C17" s="119">
        <f>INDEX('site independent'!$A$3:$W$51, MATCH($A17, 'site independent'!$A$3:$A$51, 0), MATCH('scenario analysis'!C$3, 'site independent'!$A$3:$W$3, 0))</f>
        <v>1</v>
      </c>
      <c r="D17" s="120">
        <f>INDEX('site independent'!$A$3:$W$51, MATCH($A17, 'site independent'!$A$3:$A$51, 0), MATCH('scenario analysis'!D$3, 'site independent'!$A$3:$W$3, 0))</f>
        <v>0.32</v>
      </c>
      <c r="E17" s="119">
        <f>INDEX('site independent'!$A$3:$X$51, MATCH($A17, 'site independent'!$A$3:$A$51, 0), MATCH('scenario analysis'!E$3, 'site independent'!$A$3:$X$3, 0))</f>
        <v>2448</v>
      </c>
      <c r="F17" s="121">
        <f t="shared" si="0"/>
        <v>0</v>
      </c>
      <c r="G17" s="2"/>
      <c r="H17" s="100"/>
      <c r="I17" s="50"/>
      <c r="J17" s="50"/>
      <c r="K17" s="50"/>
      <c r="L17" s="122"/>
      <c r="M17" s="50"/>
      <c r="N17" s="4"/>
      <c r="O17" s="123"/>
      <c r="P17" s="123"/>
      <c r="Q17" s="50"/>
      <c r="R17" s="50"/>
    </row>
    <row r="18" spans="1:18" ht="18.75" customHeight="1" x14ac:dyDescent="0.3">
      <c r="A18" s="118" t="str">
        <f>'site independent'!A18</f>
        <v>biomass</v>
      </c>
      <c r="B18" s="36">
        <f>SUMIF('non-vre plants'!C15:C34,A18,'non-vre plants'!F15:F34)</f>
        <v>0</v>
      </c>
      <c r="C18" s="119">
        <f>INDEX('site independent'!$A$3:$W$51, MATCH($A18, 'site independent'!$A$3:$A$51, 0), MATCH('scenario analysis'!C$3, 'site independent'!$A$3:$W$3, 0))</f>
        <v>1</v>
      </c>
      <c r="D18" s="119"/>
      <c r="E18" s="119"/>
      <c r="F18" s="36"/>
      <c r="G18" s="2"/>
      <c r="H18" s="100"/>
      <c r="I18" s="50"/>
      <c r="J18" s="50"/>
      <c r="K18" s="50"/>
      <c r="L18" s="122"/>
      <c r="M18" s="50"/>
      <c r="N18" s="4"/>
      <c r="O18" s="123"/>
      <c r="P18" s="123"/>
      <c r="Q18" s="50"/>
      <c r="R18" s="50"/>
    </row>
    <row r="19" spans="1:18" ht="18.75" customHeight="1" x14ac:dyDescent="0.3">
      <c r="A19" s="118" t="str">
        <f>'site independent'!A19</f>
        <v>biogas</v>
      </c>
      <c r="B19" s="36">
        <f>SUMIF('non-vre plants'!C16:C35,A19,'non-vre plants'!F16:F35)</f>
        <v>0</v>
      </c>
      <c r="C19" s="119">
        <f>INDEX('site independent'!$A$3:$W$51, MATCH($A19, 'site independent'!$A$3:$A$51, 0), MATCH('scenario analysis'!C$3, 'site independent'!$A$3:$W$3, 0))</f>
        <v>1</v>
      </c>
      <c r="D19" s="119"/>
      <c r="E19" s="119"/>
      <c r="F19" s="36"/>
      <c r="G19" s="2"/>
      <c r="H19" s="100"/>
      <c r="I19" s="50"/>
      <c r="J19" s="50"/>
      <c r="K19" s="50"/>
      <c r="L19" s="122"/>
      <c r="M19" s="50"/>
      <c r="N19" s="4"/>
      <c r="O19" s="123"/>
      <c r="P19" s="123"/>
      <c r="Q19" s="50"/>
      <c r="R19" s="50"/>
    </row>
    <row r="20" spans="1:18" ht="18.75" customHeight="1" x14ac:dyDescent="0.3">
      <c r="A20" s="2" t="s">
        <v>478</v>
      </c>
      <c r="B20" s="36">
        <f>SUMIF('non-vre plants'!C17:C36,A20,'non-vre plants'!F17:F36)</f>
        <v>0</v>
      </c>
      <c r="C20" s="119" t="e">
        <f>INDEX('site independent'!$A$3:$W$51, MATCH($A20, 'site independent'!$A$3:$A$51, 0), MATCH('scenario analysis'!C$3, 'site independent'!$A$3:$W$3, 0))</f>
        <v>#N/A</v>
      </c>
      <c r="D20" s="63"/>
      <c r="E20" s="63"/>
      <c r="F20" s="63"/>
      <c r="G20" s="2"/>
      <c r="H20" s="100"/>
      <c r="I20" s="36"/>
      <c r="J20" s="50"/>
      <c r="K20" s="50"/>
      <c r="L20" s="122"/>
      <c r="M20" s="50"/>
      <c r="N20" s="4"/>
      <c r="O20" s="123"/>
      <c r="P20" s="123"/>
      <c r="Q20" s="50"/>
      <c r="R20" s="50"/>
    </row>
    <row r="21" spans="1:18" ht="18.75" customHeight="1" x14ac:dyDescent="0.3">
      <c r="A21" s="100" t="s">
        <v>21</v>
      </c>
      <c r="B21" s="36">
        <f>SUMIF('non-vre plants'!C18:C37,A21,'non-vre plants'!F18:F37)</f>
        <v>0</v>
      </c>
      <c r="C21" s="120">
        <f>INDEX('site independent'!$A$3:$W$51, MATCH($A21, 'site independent'!$A$3:$A$51, 0), MATCH('scenario analysis'!C$3, 'site independent'!$A$3:$W$3, 0))</f>
        <v>0.2</v>
      </c>
      <c r="D21" s="119">
        <f>INDEX('site independent'!$A$3:$W$51, MATCH($A21, 'site independent'!$A$3:$A$51, 0), MATCH('scenario analysis'!D$3, 'site independent'!$A$3:$W$3, 0))</f>
        <v>0</v>
      </c>
      <c r="E21" s="120">
        <f>INDEX('site independent'!$A$3:$X$51, MATCH($A21, 'site independent'!$A$3:$A$51, 0), MATCH('scenario analysis'!E$3, 'site independent'!$A$3:$X$3, 0))</f>
        <v>19.8</v>
      </c>
      <c r="F21" s="121"/>
      <c r="G21" s="2"/>
      <c r="H21" s="100"/>
      <c r="I21" s="36"/>
      <c r="J21" s="50"/>
      <c r="K21" s="50"/>
      <c r="L21" s="122"/>
      <c r="M21" s="50"/>
      <c r="N21" s="4"/>
      <c r="O21" s="123"/>
      <c r="P21" s="123"/>
      <c r="Q21" s="50"/>
      <c r="R21" s="50"/>
    </row>
    <row r="22" spans="1:18" ht="18.75" customHeight="1" x14ac:dyDescent="0.3">
      <c r="A22" s="100" t="s">
        <v>479</v>
      </c>
      <c r="B22" s="36">
        <f>SUMIF('non-vre plants'!C19:C38,A22,'non-vre plants'!F19:F38)</f>
        <v>0</v>
      </c>
      <c r="C22" s="120">
        <f>INDEX('site independent'!$A$3:$W$51, MATCH($A22, 'site independent'!$A$3:$A$51, 0), MATCH('scenario analysis'!C$3, 'site independent'!$A$3:$W$3, 0))</f>
        <v>0.6</v>
      </c>
      <c r="D22" s="119">
        <f>INDEX('site independent'!$A$3:$W$51, MATCH($A22, 'site independent'!$A$3:$A$51, 0), MATCH('scenario analysis'!D$3, 'site independent'!$A$3:$W$3, 0))</f>
        <v>0</v>
      </c>
      <c r="E22" s="119">
        <f>INDEX('site independent'!$A$3:$X$51, MATCH($A22, 'site independent'!$A$3:$A$51, 0), MATCH('scenario analysis'!E$3, 'site independent'!$A$3:$X$3, 0))</f>
        <v>3279</v>
      </c>
      <c r="F22" s="121"/>
      <c r="G22" s="2"/>
      <c r="H22" s="100"/>
      <c r="I22" s="36"/>
      <c r="J22" s="50"/>
      <c r="K22" s="50"/>
      <c r="L22" s="122"/>
      <c r="M22" s="50"/>
      <c r="N22" s="4"/>
      <c r="O22" s="123"/>
      <c r="P22" s="123"/>
      <c r="Q22" s="50"/>
      <c r="R22" s="50"/>
    </row>
    <row r="23" spans="1:18" ht="14.25" customHeight="1" x14ac:dyDescent="0.3">
      <c r="A23" s="100" t="s">
        <v>22</v>
      </c>
      <c r="B23" s="36">
        <f>SUMIF('non-vre plants'!C20:C39,A23,'non-vre plants'!F20:F39)</f>
        <v>0</v>
      </c>
      <c r="C23" s="120">
        <f>INDEX('site independent'!$A$3:$W$51, MATCH($A23, 'site independent'!$A$3:$A$51, 0), MATCH('scenario analysis'!C$3, 'site independent'!$A$3:$W$3, 0))</f>
        <v>0.5</v>
      </c>
      <c r="D23" s="119">
        <f>INDEX('site independent'!$A$3:$W$51, MATCH($A23, 'site independent'!$A$3:$A$51, 0), MATCH('scenario analysis'!D$3, 'site independent'!$A$3:$W$3, 0))</f>
        <v>1</v>
      </c>
      <c r="E23" s="119">
        <f>INDEX('site independent'!$A$3:$X$51, MATCH($A23, 'site independent'!$A$3:$A$51, 0), MATCH('scenario analysis'!E$3, 'site independent'!$A$3:$X$3, 0))</f>
        <v>1000</v>
      </c>
      <c r="F23" s="121"/>
      <c r="G23" s="2"/>
      <c r="H23" s="100"/>
      <c r="I23" s="50"/>
      <c r="J23" s="50"/>
      <c r="K23" s="50"/>
      <c r="L23" s="122"/>
      <c r="M23" s="50"/>
      <c r="N23" s="4"/>
      <c r="O23" s="123"/>
      <c r="P23" s="123"/>
      <c r="Q23" s="50"/>
      <c r="R23" s="50"/>
    </row>
    <row r="24" spans="1:18" ht="18.75" customHeight="1" x14ac:dyDescent="0.3">
      <c r="A24" s="100" t="s">
        <v>480</v>
      </c>
      <c r="B24" s="36">
        <f>SUMIF('non-vre plants'!C21:C40,A24,'non-vre plants'!F21:F40)</f>
        <v>0</v>
      </c>
      <c r="C24" s="120">
        <f>INDEX('site independent'!$A$3:$W$51, MATCH($A24, 'site independent'!$A$3:$A$51, 0), MATCH('scenario analysis'!C$3, 'site independent'!$A$3:$W$3, 0))</f>
        <v>0.5</v>
      </c>
      <c r="D24" s="119">
        <f>INDEX('site independent'!$A$3:$W$51, MATCH($A24, 'site independent'!$A$3:$A$51, 0), MATCH('scenario analysis'!D$3, 'site independent'!$A$3:$W$3, 0))</f>
        <v>1</v>
      </c>
      <c r="E24" s="119">
        <f>INDEX('site independent'!$A$3:$X$51, MATCH($A24, 'site independent'!$A$3:$A$51, 0), MATCH('scenario analysis'!E$3, 'site independent'!$A$3:$X$3, 0))</f>
        <v>1500</v>
      </c>
      <c r="F24" s="121"/>
      <c r="G24" s="2"/>
      <c r="H24" s="100"/>
      <c r="I24" s="50"/>
      <c r="J24" s="50"/>
      <c r="K24" s="50"/>
      <c r="L24" s="122"/>
      <c r="M24" s="50"/>
      <c r="N24" s="4"/>
      <c r="O24" s="123"/>
      <c r="P24" s="123"/>
      <c r="Q24" s="50"/>
      <c r="R24" s="50"/>
    </row>
    <row r="25" spans="1:18" ht="18.75" customHeight="1" x14ac:dyDescent="0.3">
      <c r="A25" s="124" t="s">
        <v>481</v>
      </c>
      <c r="B25" s="36">
        <f>SUMIF('non-vre plants'!C22:C41,A25,'non-vre plants'!F22:F41)</f>
        <v>0</v>
      </c>
      <c r="C25" s="120">
        <f>INDEX('site independent'!$A$3:$W$51, MATCH($A25, 'site independent'!$A$3:$A$51, 0), MATCH('scenario analysis'!C$3, 'site independent'!$A$3:$W$3, 0))</f>
        <v>0.5</v>
      </c>
      <c r="D25" s="125">
        <f>INDEX('site independent'!$A$3:$W$51, MATCH($A25, 'site independent'!$A$3:$A$51, 0), MATCH('scenario analysis'!D$3, 'site independent'!$A$3:$W$3, 0))</f>
        <v>1</v>
      </c>
      <c r="E25" s="125">
        <f>INDEX('site independent'!$A$3:$X$51, MATCH($A25, 'site independent'!$A$3:$A$51, 0), MATCH('scenario analysis'!E$3, 'site independent'!$A$3:$X$3, 0))</f>
        <v>0</v>
      </c>
      <c r="F25" s="121"/>
      <c r="G25" s="2"/>
      <c r="H25" s="100"/>
      <c r="I25" s="50"/>
      <c r="J25" s="50"/>
      <c r="K25" s="50"/>
      <c r="L25" s="122"/>
      <c r="M25" s="50"/>
      <c r="N25" s="4"/>
      <c r="O25" s="123"/>
      <c r="P25" s="123"/>
      <c r="Q25" s="50"/>
      <c r="R25" s="50"/>
    </row>
    <row r="26" spans="1:18" ht="18.75" customHeight="1" x14ac:dyDescent="0.3">
      <c r="A26" s="2"/>
      <c r="B26" s="63"/>
      <c r="C26" s="36"/>
      <c r="D26" s="36"/>
      <c r="E26" s="36"/>
      <c r="F26" s="36"/>
      <c r="G26" s="2"/>
      <c r="H26" s="100"/>
      <c r="I26" s="50"/>
      <c r="J26" s="50"/>
      <c r="K26" s="50"/>
      <c r="L26" s="122"/>
      <c r="M26" s="2"/>
      <c r="N26" s="4"/>
      <c r="O26" s="123"/>
      <c r="P26" s="123"/>
      <c r="Q26" s="50"/>
      <c r="R26" s="50"/>
    </row>
    <row r="27" spans="1:18" ht="18.75" customHeight="1" x14ac:dyDescent="0.3">
      <c r="A27" s="2" t="s">
        <v>482</v>
      </c>
      <c r="B27" s="63"/>
      <c r="C27" s="36">
        <f>COLUMN(C3)-2</f>
        <v>1</v>
      </c>
      <c r="D27" s="36">
        <f>COLUMN(D3)-2</f>
        <v>2</v>
      </c>
      <c r="E27" s="36"/>
      <c r="F27" s="36"/>
      <c r="G27" s="2"/>
      <c r="H27" s="100"/>
      <c r="I27" s="50"/>
      <c r="J27" s="50"/>
      <c r="K27" s="50"/>
      <c r="L27" s="122"/>
      <c r="M27" s="2"/>
      <c r="N27" s="4"/>
      <c r="O27" s="123"/>
      <c r="P27" s="123"/>
      <c r="Q27" s="50"/>
      <c r="R27" s="50"/>
    </row>
    <row r="28" spans="1:18" ht="18.75" customHeight="1" x14ac:dyDescent="0.3">
      <c r="A28" s="2"/>
      <c r="B28" s="63"/>
      <c r="C28" s="63"/>
      <c r="D28" s="63"/>
      <c r="E28" s="63"/>
      <c r="F28" s="63"/>
      <c r="G28" s="2"/>
      <c r="H28" s="100"/>
      <c r="I28" s="36"/>
      <c r="J28" s="50"/>
      <c r="K28" s="50"/>
      <c r="L28" s="122"/>
      <c r="M28" s="2"/>
      <c r="N28" s="4"/>
      <c r="O28" s="123"/>
      <c r="P28" s="123"/>
      <c r="Q28" s="50"/>
      <c r="R28" s="50"/>
    </row>
    <row r="29" spans="1:18" ht="18.75" customHeight="1" x14ac:dyDescent="0.3">
      <c r="A29" s="2" t="s">
        <v>483</v>
      </c>
      <c r="B29" s="63"/>
      <c r="C29" s="63"/>
      <c r="D29" s="63"/>
      <c r="E29" s="63"/>
      <c r="F29" s="63"/>
      <c r="G29" s="2"/>
      <c r="H29" s="100"/>
      <c r="I29" s="50"/>
      <c r="J29" s="50"/>
      <c r="K29" s="50"/>
      <c r="L29" s="122"/>
      <c r="M29" s="2"/>
      <c r="N29" s="4"/>
      <c r="O29" s="123"/>
      <c r="P29" s="123"/>
      <c r="Q29" s="50"/>
      <c r="R29" s="50"/>
    </row>
    <row r="30" spans="1:18" ht="18.75" customHeight="1" x14ac:dyDescent="0.3">
      <c r="A30" s="2"/>
      <c r="B30" s="63"/>
      <c r="C30" s="21"/>
      <c r="D30" s="63"/>
      <c r="E30" s="63"/>
      <c r="F30" s="63"/>
      <c r="G30" s="2"/>
      <c r="H30" s="100"/>
      <c r="I30" s="50"/>
      <c r="J30" s="50"/>
      <c r="K30" s="50"/>
      <c r="L30" s="122"/>
      <c r="M30" s="2"/>
      <c r="N30" s="4"/>
      <c r="O30" s="123"/>
      <c r="P30" s="123"/>
      <c r="Q30" s="50"/>
      <c r="R30" s="50"/>
    </row>
    <row r="31" spans="1:18" ht="18.75" customHeight="1" x14ac:dyDescent="0.3">
      <c r="A31" s="2"/>
      <c r="B31" s="63"/>
      <c r="C31" s="63"/>
      <c r="D31" s="63"/>
      <c r="E31" s="63"/>
      <c r="F31" s="63"/>
      <c r="G31" s="2"/>
      <c r="H31" s="100"/>
      <c r="I31" s="50"/>
      <c r="J31" s="50"/>
      <c r="K31" s="50"/>
      <c r="L31" s="122"/>
      <c r="M31" s="2"/>
      <c r="N31" s="4"/>
      <c r="O31" s="123"/>
      <c r="P31" s="123"/>
      <c r="Q31" s="50"/>
      <c r="R31" s="50"/>
    </row>
    <row r="32" spans="1:18" ht="18.75" customHeight="1" x14ac:dyDescent="0.3">
      <c r="A32" s="2"/>
      <c r="B32" s="63"/>
      <c r="C32" s="22"/>
      <c r="D32" s="126"/>
      <c r="E32" s="126"/>
      <c r="F32" s="126"/>
      <c r="G32" s="2"/>
      <c r="H32" s="100"/>
      <c r="I32" s="36"/>
      <c r="J32" s="50"/>
      <c r="K32" s="50"/>
      <c r="L32" s="122"/>
      <c r="M32" s="2"/>
      <c r="N32" s="4"/>
      <c r="O32" s="123"/>
      <c r="P32" s="123"/>
      <c r="Q32" s="50"/>
      <c r="R32" s="50"/>
    </row>
    <row r="33" spans="1:18" ht="18.75" customHeight="1" x14ac:dyDescent="0.3">
      <c r="A33" s="2"/>
      <c r="B33" s="63"/>
      <c r="C33" s="63"/>
      <c r="D33" s="126"/>
      <c r="E33" s="126"/>
      <c r="F33" s="126"/>
      <c r="G33" s="2"/>
      <c r="H33" s="100"/>
      <c r="I33" s="50"/>
      <c r="J33" s="50"/>
      <c r="K33" s="50"/>
      <c r="L33" s="122"/>
      <c r="M33" s="2"/>
      <c r="N33" s="4"/>
      <c r="O33" s="123"/>
      <c r="P33" s="123"/>
      <c r="Q33" s="50"/>
      <c r="R33" s="50"/>
    </row>
    <row r="34" spans="1:18" ht="18.75" customHeight="1" x14ac:dyDescent="0.3">
      <c r="A34" s="2"/>
      <c r="B34" s="63"/>
      <c r="C34" s="63"/>
      <c r="D34" s="63"/>
      <c r="E34" s="63"/>
      <c r="F34" s="63"/>
      <c r="G34" s="2"/>
      <c r="H34" s="100"/>
      <c r="I34" s="50"/>
      <c r="J34" s="50"/>
      <c r="K34" s="50"/>
      <c r="L34" s="122"/>
      <c r="M34" s="2"/>
      <c r="N34" s="4"/>
      <c r="O34" s="123"/>
      <c r="P34" s="123"/>
      <c r="Q34" s="50"/>
      <c r="R34" s="50"/>
    </row>
    <row r="35" spans="1:18" ht="18.75" customHeight="1" x14ac:dyDescent="0.3">
      <c r="A35" s="2"/>
      <c r="B35" s="63"/>
      <c r="C35" s="63"/>
      <c r="D35" s="63"/>
      <c r="E35" s="63"/>
      <c r="F35" s="63"/>
      <c r="G35" s="2"/>
      <c r="H35" s="100"/>
      <c r="I35" s="36"/>
      <c r="J35" s="50"/>
      <c r="K35" s="50"/>
      <c r="L35" s="122"/>
      <c r="M35" s="2"/>
      <c r="N35" s="4"/>
      <c r="O35" s="123"/>
      <c r="P35" s="123"/>
      <c r="Q35" s="50"/>
      <c r="R35" s="50"/>
    </row>
    <row r="36" spans="1:18" ht="18.75" customHeight="1" x14ac:dyDescent="0.3">
      <c r="A36" s="2"/>
      <c r="B36" s="63"/>
      <c r="C36" s="63"/>
      <c r="D36" s="63"/>
      <c r="E36" s="63"/>
      <c r="F36" s="63"/>
      <c r="G36" s="2"/>
      <c r="H36" s="100"/>
      <c r="I36" s="50"/>
      <c r="J36" s="50"/>
      <c r="K36" s="50"/>
      <c r="L36" s="122"/>
      <c r="M36" s="2"/>
      <c r="N36" s="4"/>
      <c r="O36" s="123"/>
      <c r="P36" s="123"/>
      <c r="Q36" s="50"/>
      <c r="R36" s="50"/>
    </row>
    <row r="37" spans="1:18" ht="18.75" customHeight="1" x14ac:dyDescent="0.3">
      <c r="A37" s="2"/>
      <c r="B37" s="63"/>
      <c r="C37" s="63"/>
      <c r="D37" s="63"/>
      <c r="E37" s="63"/>
      <c r="F37" s="63"/>
      <c r="G37" s="2"/>
      <c r="H37" s="100"/>
      <c r="I37" s="36"/>
      <c r="J37" s="50"/>
      <c r="K37" s="50"/>
      <c r="L37" s="122"/>
      <c r="M37" s="2"/>
      <c r="N37" s="4"/>
      <c r="O37" s="123"/>
      <c r="P37" s="123"/>
      <c r="Q37" s="50"/>
      <c r="R37" s="50"/>
    </row>
    <row r="38" spans="1:18" ht="18.75" customHeight="1" x14ac:dyDescent="0.3">
      <c r="A38" s="2"/>
      <c r="B38" s="63"/>
      <c r="C38" s="63"/>
      <c r="D38" s="63"/>
      <c r="E38" s="63"/>
      <c r="F38" s="63"/>
      <c r="G38" s="2"/>
      <c r="H38" s="100"/>
      <c r="I38" s="36"/>
      <c r="J38" s="50"/>
      <c r="K38" s="50"/>
      <c r="L38" s="122"/>
      <c r="M38" s="2"/>
      <c r="N38" s="4"/>
      <c r="O38" s="123"/>
      <c r="P38" s="123"/>
      <c r="Q38" s="50"/>
      <c r="R38" s="50"/>
    </row>
    <row r="39" spans="1:18" ht="18.75" customHeight="1" x14ac:dyDescent="0.3">
      <c r="A39" s="2"/>
      <c r="B39" s="63"/>
      <c r="C39" s="63"/>
      <c r="D39" s="63"/>
      <c r="E39" s="63"/>
      <c r="F39" s="63"/>
      <c r="G39" s="2"/>
      <c r="H39" s="100"/>
      <c r="I39" s="36"/>
      <c r="J39" s="50"/>
      <c r="K39" s="50"/>
      <c r="L39" s="122"/>
      <c r="M39" s="2"/>
      <c r="N39" s="4"/>
      <c r="O39" s="123"/>
      <c r="P39" s="123"/>
      <c r="Q39" s="50"/>
      <c r="R39" s="50"/>
    </row>
    <row r="40" spans="1:18" ht="18.75" customHeight="1" x14ac:dyDescent="0.3">
      <c r="A40" s="2"/>
      <c r="B40" s="63"/>
      <c r="C40" s="63"/>
      <c r="D40" s="63"/>
      <c r="E40" s="63"/>
      <c r="F40" s="63"/>
      <c r="G40" s="2"/>
      <c r="H40" s="100"/>
      <c r="I40" s="36"/>
      <c r="J40" s="50"/>
      <c r="K40" s="50"/>
      <c r="L40" s="122"/>
      <c r="M40" s="2"/>
      <c r="N40" s="4"/>
      <c r="O40" s="123"/>
      <c r="P40" s="123"/>
      <c r="Q40" s="50"/>
      <c r="R40" s="50"/>
    </row>
    <row r="41" spans="1:18" ht="18.75" customHeight="1" x14ac:dyDescent="0.3">
      <c r="A41" s="2"/>
      <c r="B41" s="63"/>
      <c r="C41" s="63"/>
      <c r="D41" s="63"/>
      <c r="E41" s="63"/>
      <c r="F41" s="63"/>
      <c r="G41" s="2"/>
      <c r="H41" s="100"/>
      <c r="I41" s="50"/>
      <c r="J41" s="50"/>
      <c r="K41" s="50"/>
      <c r="L41" s="122"/>
      <c r="M41" s="2"/>
      <c r="N41" s="4"/>
      <c r="O41" s="123"/>
      <c r="P41" s="123"/>
      <c r="Q41" s="50"/>
      <c r="R41" s="50"/>
    </row>
    <row r="42" spans="1:18" ht="18.75" customHeight="1" x14ac:dyDescent="0.3">
      <c r="A42" s="2"/>
      <c r="B42" s="63"/>
      <c r="C42" s="63"/>
      <c r="D42" s="63"/>
      <c r="E42" s="63"/>
      <c r="F42" s="63"/>
      <c r="G42" s="2"/>
      <c r="H42" s="100"/>
      <c r="I42" s="36"/>
      <c r="J42" s="50"/>
      <c r="K42" s="50"/>
      <c r="L42" s="122"/>
      <c r="M42" s="2"/>
      <c r="N42" s="4"/>
      <c r="O42" s="123"/>
      <c r="P42" s="123"/>
      <c r="Q42" s="50"/>
      <c r="R42" s="50"/>
    </row>
    <row r="43" spans="1:18" ht="18.75" customHeight="1" x14ac:dyDescent="0.3">
      <c r="A43" s="2"/>
      <c r="B43" s="63"/>
      <c r="C43" s="63"/>
      <c r="D43" s="63"/>
      <c r="E43" s="63"/>
      <c r="F43" s="63"/>
      <c r="G43" s="2"/>
      <c r="H43" s="100"/>
      <c r="I43" s="36"/>
      <c r="J43" s="50"/>
      <c r="K43" s="50"/>
      <c r="L43" s="122"/>
      <c r="M43" s="2"/>
      <c r="N43" s="4"/>
      <c r="O43" s="123"/>
      <c r="P43" s="123"/>
      <c r="Q43" s="50"/>
      <c r="R43" s="50"/>
    </row>
    <row r="44" spans="1:18" ht="18.75" customHeight="1" x14ac:dyDescent="0.3">
      <c r="A44" s="2"/>
      <c r="B44" s="63"/>
      <c r="C44" s="63"/>
      <c r="D44" s="63"/>
      <c r="E44" s="63"/>
      <c r="F44" s="63"/>
      <c r="G44" s="2"/>
      <c r="H44" s="100"/>
      <c r="I44" s="36"/>
      <c r="J44" s="50"/>
      <c r="K44" s="50"/>
      <c r="L44" s="122"/>
      <c r="M44" s="2"/>
      <c r="N44" s="4"/>
      <c r="O44" s="123"/>
      <c r="P44" s="123"/>
      <c r="Q44" s="50"/>
      <c r="R44" s="50"/>
    </row>
    <row r="45" spans="1:18" ht="18.75" customHeight="1" x14ac:dyDescent="0.3">
      <c r="A45" s="2"/>
      <c r="B45" s="63"/>
      <c r="C45" s="63"/>
      <c r="D45" s="63"/>
      <c r="E45" s="63"/>
      <c r="F45" s="63"/>
      <c r="G45" s="2"/>
      <c r="H45" s="100"/>
      <c r="I45" s="36"/>
      <c r="J45" s="50"/>
      <c r="K45" s="50"/>
      <c r="L45" s="122"/>
      <c r="M45" s="2"/>
      <c r="N45" s="4"/>
      <c r="O45" s="123"/>
      <c r="P45" s="123"/>
      <c r="Q45" s="50"/>
      <c r="R45" s="50"/>
    </row>
    <row r="46" spans="1:18" ht="18.75" customHeight="1" x14ac:dyDescent="0.3">
      <c r="A46" s="2"/>
      <c r="B46" s="63"/>
      <c r="C46" s="63"/>
      <c r="D46" s="63"/>
      <c r="E46" s="63"/>
      <c r="F46" s="63"/>
      <c r="G46" s="2"/>
      <c r="H46" s="100"/>
      <c r="I46" s="50"/>
      <c r="J46" s="50"/>
      <c r="K46" s="50"/>
      <c r="L46" s="122"/>
      <c r="M46" s="2"/>
      <c r="N46" s="4"/>
      <c r="O46" s="123"/>
      <c r="P46" s="123"/>
      <c r="Q46" s="50"/>
      <c r="R46" s="50"/>
    </row>
    <row r="47" spans="1:18" ht="18.75" customHeight="1" x14ac:dyDescent="0.3">
      <c r="A47" s="2"/>
      <c r="B47" s="63"/>
      <c r="C47" s="63"/>
      <c r="D47" s="63"/>
      <c r="E47" s="63"/>
      <c r="F47" s="63"/>
      <c r="G47" s="2"/>
      <c r="H47" s="100"/>
      <c r="I47" s="36"/>
      <c r="J47" s="50"/>
      <c r="K47" s="50"/>
      <c r="L47" s="122"/>
      <c r="M47" s="2"/>
      <c r="N47" s="4"/>
      <c r="O47" s="123"/>
      <c r="P47" s="123"/>
      <c r="Q47" s="50"/>
      <c r="R47" s="50"/>
    </row>
    <row r="48" spans="1:18" ht="18.75" customHeight="1" x14ac:dyDescent="0.3">
      <c r="A48" s="2"/>
      <c r="B48" s="63"/>
      <c r="C48" s="63"/>
      <c r="D48" s="36"/>
      <c r="E48" s="63"/>
      <c r="F48" s="63"/>
      <c r="G48" s="2"/>
      <c r="H48" s="100"/>
      <c r="I48" s="50"/>
      <c r="J48" s="50"/>
      <c r="K48" s="50"/>
      <c r="L48" s="122"/>
      <c r="M48" s="2"/>
      <c r="N48" s="4"/>
      <c r="O48" s="123"/>
      <c r="P48" s="123"/>
      <c r="Q48" s="50"/>
      <c r="R48" s="50"/>
    </row>
    <row r="49" spans="1:18" ht="18.75" customHeight="1" x14ac:dyDescent="0.3">
      <c r="A49" s="2"/>
      <c r="B49" s="63"/>
      <c r="C49" s="63"/>
      <c r="D49" s="36"/>
      <c r="E49" s="63"/>
      <c r="F49" s="63"/>
      <c r="G49" s="2"/>
      <c r="H49" s="100"/>
      <c r="I49" s="50"/>
      <c r="J49" s="50"/>
      <c r="K49" s="50"/>
      <c r="L49" s="122"/>
      <c r="M49" s="2"/>
      <c r="N49" s="4"/>
      <c r="O49" s="123"/>
      <c r="P49" s="123"/>
      <c r="Q49" s="50"/>
      <c r="R49" s="50"/>
    </row>
    <row r="50" spans="1:18" ht="18.75" customHeight="1" x14ac:dyDescent="0.3">
      <c r="A50" s="2"/>
      <c r="B50" s="63"/>
      <c r="C50" s="63"/>
      <c r="D50" s="36"/>
      <c r="E50" s="63"/>
      <c r="F50" s="63"/>
      <c r="G50" s="2"/>
      <c r="H50" s="100"/>
      <c r="I50" s="36"/>
      <c r="J50" s="50"/>
      <c r="K50" s="50"/>
      <c r="L50" s="122"/>
      <c r="M50" s="2"/>
      <c r="N50" s="4"/>
      <c r="O50" s="123"/>
      <c r="P50" s="123"/>
      <c r="Q50" s="50"/>
      <c r="R50" s="50"/>
    </row>
    <row r="51" spans="1:18" ht="18.75" customHeight="1" x14ac:dyDescent="0.3">
      <c r="A51" s="2"/>
      <c r="B51" s="63"/>
      <c r="C51" s="63"/>
      <c r="D51" s="36"/>
      <c r="E51" s="63"/>
      <c r="F51" s="63"/>
      <c r="G51" s="2"/>
      <c r="H51" s="100"/>
      <c r="I51" s="36"/>
      <c r="J51" s="50"/>
      <c r="K51" s="50"/>
      <c r="L51" s="122"/>
      <c r="M51" s="2"/>
      <c r="N51" s="4"/>
      <c r="O51" s="123"/>
      <c r="P51" s="123"/>
      <c r="Q51" s="50"/>
      <c r="R51" s="50"/>
    </row>
    <row r="52" spans="1:18" ht="18.75" customHeight="1" x14ac:dyDescent="0.3">
      <c r="A52" s="2"/>
      <c r="B52" s="63"/>
      <c r="C52" s="63"/>
      <c r="D52" s="36"/>
      <c r="E52" s="63"/>
      <c r="F52" s="63"/>
      <c r="G52" s="2"/>
      <c r="H52" s="100"/>
      <c r="I52" s="50"/>
      <c r="J52" s="50"/>
      <c r="K52" s="50"/>
      <c r="L52" s="122"/>
      <c r="M52" s="2"/>
      <c r="N52" s="4"/>
      <c r="O52" s="123"/>
      <c r="P52" s="123"/>
      <c r="Q52" s="50"/>
      <c r="R52" s="50"/>
    </row>
    <row r="53" spans="1:18" ht="18.75" customHeight="1" x14ac:dyDescent="0.3">
      <c r="A53" s="2"/>
      <c r="B53" s="63"/>
      <c r="C53" s="63"/>
      <c r="D53" s="36"/>
      <c r="E53" s="63"/>
      <c r="F53" s="63"/>
      <c r="G53" s="2"/>
      <c r="H53" s="100"/>
      <c r="I53" s="36"/>
      <c r="J53" s="50"/>
      <c r="K53" s="50"/>
      <c r="L53" s="122"/>
      <c r="M53" s="2"/>
      <c r="N53" s="4"/>
      <c r="O53" s="123"/>
      <c r="P53" s="123"/>
      <c r="Q53" s="50"/>
      <c r="R53" s="50"/>
    </row>
    <row r="54" spans="1:18" ht="18.75" customHeight="1" x14ac:dyDescent="0.3">
      <c r="A54" s="2"/>
      <c r="B54" s="63"/>
      <c r="C54" s="63"/>
      <c r="D54" s="36"/>
      <c r="E54" s="63"/>
      <c r="F54" s="63"/>
      <c r="G54" s="2"/>
      <c r="H54" s="100"/>
      <c r="I54" s="50"/>
      <c r="J54" s="50"/>
      <c r="K54" s="50"/>
      <c r="L54" s="122"/>
      <c r="M54" s="2"/>
      <c r="N54" s="4"/>
      <c r="O54" s="123"/>
      <c r="P54" s="123"/>
      <c r="Q54" s="50"/>
      <c r="R54" s="50"/>
    </row>
    <row r="55" spans="1:18" ht="18.75" customHeight="1" x14ac:dyDescent="0.3">
      <c r="A55" s="2"/>
      <c r="B55" s="63"/>
      <c r="C55" s="63"/>
      <c r="D55" s="36"/>
      <c r="E55" s="63"/>
      <c r="F55" s="63"/>
      <c r="G55" s="2"/>
      <c r="H55" s="100"/>
      <c r="I55" s="36"/>
      <c r="J55" s="50"/>
      <c r="K55" s="50"/>
      <c r="L55" s="122"/>
      <c r="M55" s="2"/>
      <c r="N55" s="4"/>
      <c r="O55" s="123"/>
      <c r="P55" s="123"/>
      <c r="Q55" s="50"/>
      <c r="R55" s="50"/>
    </row>
    <row r="56" spans="1:18" ht="18.75" customHeight="1" x14ac:dyDescent="0.3">
      <c r="A56" s="2"/>
      <c r="B56" s="63"/>
      <c r="C56" s="63"/>
      <c r="D56" s="36"/>
      <c r="E56" s="63"/>
      <c r="F56" s="63"/>
      <c r="G56" s="2"/>
      <c r="H56" s="100"/>
      <c r="I56" s="50"/>
      <c r="J56" s="50"/>
      <c r="K56" s="50"/>
      <c r="L56" s="122"/>
      <c r="M56" s="2"/>
      <c r="N56" s="4"/>
      <c r="O56" s="123"/>
      <c r="P56" s="123"/>
      <c r="Q56" s="50"/>
      <c r="R56" s="50"/>
    </row>
    <row r="57" spans="1:18" ht="18.75" customHeight="1" x14ac:dyDescent="0.3">
      <c r="A57" s="2"/>
      <c r="B57" s="63"/>
      <c r="C57" s="63"/>
      <c r="D57" s="36"/>
      <c r="E57" s="63"/>
      <c r="F57" s="63"/>
      <c r="G57" s="2"/>
      <c r="H57" s="100"/>
      <c r="I57" s="50"/>
      <c r="J57" s="50"/>
      <c r="K57" s="50"/>
      <c r="L57" s="122"/>
      <c r="M57" s="2"/>
      <c r="N57" s="4"/>
      <c r="O57" s="123"/>
      <c r="P57" s="123"/>
      <c r="Q57" s="50"/>
      <c r="R57" s="50"/>
    </row>
    <row r="58" spans="1:18" ht="18.75" customHeight="1" x14ac:dyDescent="0.3">
      <c r="A58" s="2"/>
      <c r="B58" s="63"/>
      <c r="C58" s="63"/>
      <c r="D58" s="36"/>
      <c r="E58" s="63"/>
      <c r="F58" s="63"/>
      <c r="G58" s="2"/>
      <c r="H58" s="100"/>
      <c r="I58" s="36"/>
      <c r="J58" s="50"/>
      <c r="K58" s="50"/>
      <c r="L58" s="122"/>
      <c r="M58" s="2"/>
      <c r="N58" s="4"/>
      <c r="O58" s="123"/>
      <c r="P58" s="123"/>
      <c r="Q58" s="50"/>
      <c r="R58" s="50"/>
    </row>
    <row r="59" spans="1:18" ht="18.75" customHeight="1" x14ac:dyDescent="0.3">
      <c r="A59" s="2"/>
      <c r="B59" s="63"/>
      <c r="C59" s="63"/>
      <c r="D59" s="36"/>
      <c r="E59" s="63"/>
      <c r="F59" s="63"/>
      <c r="G59" s="2"/>
      <c r="H59" s="100"/>
      <c r="I59" s="50"/>
      <c r="J59" s="50"/>
      <c r="K59" s="50"/>
      <c r="L59" s="122"/>
      <c r="M59" s="2"/>
      <c r="N59" s="4"/>
      <c r="O59" s="123"/>
      <c r="P59" s="123"/>
      <c r="Q59" s="50"/>
      <c r="R59" s="50"/>
    </row>
    <row r="60" spans="1:18" ht="18.75" customHeight="1" x14ac:dyDescent="0.3">
      <c r="A60" s="2"/>
      <c r="B60" s="63"/>
      <c r="C60" s="63"/>
      <c r="D60" s="36"/>
      <c r="E60" s="63"/>
      <c r="F60" s="63"/>
      <c r="G60" s="2"/>
      <c r="H60" s="100"/>
      <c r="I60" s="36"/>
      <c r="J60" s="50"/>
      <c r="K60" s="50"/>
      <c r="L60" s="122"/>
      <c r="M60" s="2"/>
      <c r="N60" s="4"/>
      <c r="O60" s="123"/>
      <c r="P60" s="123"/>
      <c r="Q60" s="50"/>
      <c r="R60" s="50"/>
    </row>
    <row r="61" spans="1:18" ht="18.75" customHeight="1" x14ac:dyDescent="0.3">
      <c r="A61" s="2"/>
      <c r="B61" s="63"/>
      <c r="C61" s="63"/>
      <c r="D61" s="36"/>
      <c r="E61" s="63"/>
      <c r="F61" s="63"/>
      <c r="G61" s="2"/>
      <c r="H61" s="100"/>
      <c r="I61" s="36"/>
      <c r="J61" s="50"/>
      <c r="K61" s="50"/>
      <c r="L61" s="122"/>
      <c r="M61" s="2"/>
      <c r="N61" s="4"/>
      <c r="O61" s="123"/>
      <c r="P61" s="123"/>
      <c r="Q61" s="50"/>
      <c r="R61" s="50"/>
    </row>
    <row r="62" spans="1:18" ht="18.75" customHeight="1" x14ac:dyDescent="0.3">
      <c r="A62" s="2"/>
      <c r="B62" s="63"/>
      <c r="C62" s="63"/>
      <c r="D62" s="36"/>
      <c r="E62" s="63"/>
      <c r="F62" s="63"/>
      <c r="G62" s="2"/>
      <c r="H62" s="100"/>
      <c r="I62" s="36"/>
      <c r="J62" s="50"/>
      <c r="K62" s="50"/>
      <c r="L62" s="122"/>
      <c r="M62" s="2"/>
      <c r="N62" s="4"/>
      <c r="O62" s="123"/>
      <c r="P62" s="123"/>
      <c r="Q62" s="50"/>
      <c r="R62" s="50"/>
    </row>
    <row r="63" spans="1:18" ht="18.75" customHeight="1" x14ac:dyDescent="0.3">
      <c r="A63" s="2"/>
      <c r="B63" s="63"/>
      <c r="C63" s="63"/>
      <c r="D63" s="36"/>
      <c r="E63" s="63"/>
      <c r="F63" s="63"/>
      <c r="G63" s="2"/>
      <c r="H63" s="100"/>
      <c r="I63" s="36"/>
      <c r="J63" s="50"/>
      <c r="K63" s="50"/>
      <c r="L63" s="122"/>
      <c r="M63" s="2"/>
      <c r="N63" s="4"/>
      <c r="O63" s="123"/>
      <c r="P63" s="123"/>
      <c r="Q63" s="50"/>
      <c r="R63" s="50"/>
    </row>
    <row r="64" spans="1:18" ht="18.75" customHeight="1" x14ac:dyDescent="0.3">
      <c r="A64" s="2"/>
      <c r="B64" s="63"/>
      <c r="C64" s="63"/>
      <c r="D64" s="63"/>
      <c r="E64" s="63"/>
      <c r="F64" s="63"/>
      <c r="G64" s="2"/>
      <c r="H64" s="100"/>
      <c r="I64" s="36"/>
      <c r="J64" s="50"/>
      <c r="K64" s="50"/>
      <c r="L64" s="122"/>
      <c r="M64" s="2"/>
      <c r="N64" s="4"/>
      <c r="O64" s="123"/>
      <c r="P64" s="123"/>
      <c r="Q64" s="50"/>
      <c r="R64" s="50"/>
    </row>
    <row r="65" spans="1:18" ht="18.75" customHeight="1" x14ac:dyDescent="0.3">
      <c r="A65" s="2"/>
      <c r="B65" s="63"/>
      <c r="C65" s="63"/>
      <c r="D65" s="63"/>
      <c r="E65" s="63"/>
      <c r="F65" s="63"/>
      <c r="G65" s="2"/>
      <c r="H65" s="100"/>
      <c r="I65" s="50"/>
      <c r="J65" s="50"/>
      <c r="K65" s="50"/>
      <c r="L65" s="122"/>
      <c r="M65" s="2"/>
      <c r="N65" s="4"/>
      <c r="O65" s="123"/>
      <c r="P65" s="123"/>
      <c r="Q65" s="50"/>
      <c r="R65" s="50"/>
    </row>
    <row r="66" spans="1:18" ht="18.75" customHeight="1" x14ac:dyDescent="0.3">
      <c r="A66" s="2"/>
      <c r="B66" s="63"/>
      <c r="C66" s="63"/>
      <c r="D66" s="63"/>
      <c r="E66" s="63"/>
      <c r="F66" s="63"/>
      <c r="G66" s="2"/>
      <c r="H66" s="100"/>
      <c r="I66" s="36"/>
      <c r="J66" s="50"/>
      <c r="K66" s="50"/>
      <c r="L66" s="122"/>
      <c r="M66" s="2"/>
      <c r="N66" s="4"/>
      <c r="O66" s="123"/>
      <c r="P66" s="123"/>
      <c r="Q66" s="50"/>
      <c r="R66" s="50"/>
    </row>
    <row r="67" spans="1:18" ht="18.75" customHeight="1" x14ac:dyDescent="0.3">
      <c r="A67" s="2"/>
      <c r="B67" s="63"/>
      <c r="C67" s="63"/>
      <c r="D67" s="63"/>
      <c r="E67" s="63"/>
      <c r="F67" s="63"/>
      <c r="G67" s="2"/>
      <c r="H67" s="100"/>
      <c r="I67" s="50"/>
      <c r="J67" s="50"/>
      <c r="K67" s="50"/>
      <c r="L67" s="122"/>
      <c r="M67" s="2"/>
      <c r="N67" s="4"/>
      <c r="O67" s="123"/>
      <c r="P67" s="123"/>
      <c r="Q67" s="50"/>
      <c r="R67" s="50"/>
    </row>
    <row r="68" spans="1:18" ht="18.75" customHeight="1" x14ac:dyDescent="0.3">
      <c r="A68" s="2"/>
      <c r="B68" s="63"/>
      <c r="C68" s="63"/>
      <c r="D68" s="63"/>
      <c r="E68" s="63"/>
      <c r="F68" s="63"/>
      <c r="G68" s="2"/>
      <c r="H68" s="100"/>
      <c r="I68" s="36"/>
      <c r="J68" s="50"/>
      <c r="K68" s="50"/>
      <c r="L68" s="122"/>
      <c r="M68" s="2"/>
      <c r="N68" s="4"/>
      <c r="O68" s="123"/>
      <c r="P68" s="123"/>
      <c r="Q68" s="50"/>
      <c r="R68" s="50"/>
    </row>
    <row r="69" spans="1:18" ht="18.75" customHeight="1" x14ac:dyDescent="0.3">
      <c r="A69" s="2"/>
      <c r="B69" s="63"/>
      <c r="C69" s="63"/>
      <c r="D69" s="63"/>
      <c r="E69" s="63"/>
      <c r="F69" s="63"/>
      <c r="G69" s="2"/>
      <c r="H69" s="100"/>
      <c r="I69" s="36"/>
      <c r="J69" s="50"/>
      <c r="K69" s="50"/>
      <c r="L69" s="122"/>
      <c r="M69" s="2"/>
      <c r="N69" s="4"/>
      <c r="O69" s="123"/>
      <c r="P69" s="123"/>
      <c r="Q69" s="50"/>
      <c r="R69" s="50"/>
    </row>
    <row r="70" spans="1:18" ht="18.75" customHeight="1" x14ac:dyDescent="0.3">
      <c r="A70" s="2"/>
      <c r="B70" s="63"/>
      <c r="C70" s="63"/>
      <c r="D70" s="63"/>
      <c r="E70" s="63"/>
      <c r="F70" s="63"/>
      <c r="G70" s="2"/>
      <c r="H70" s="100"/>
      <c r="I70" s="50"/>
      <c r="J70" s="50"/>
      <c r="K70" s="50"/>
      <c r="L70" s="122"/>
      <c r="M70" s="2"/>
      <c r="N70" s="4"/>
      <c r="O70" s="123"/>
      <c r="P70" s="123"/>
      <c r="Q70" s="50"/>
      <c r="R70" s="50"/>
    </row>
    <row r="71" spans="1:18" ht="18.75" customHeight="1" x14ac:dyDescent="0.3">
      <c r="A71" s="2"/>
      <c r="B71" s="63"/>
      <c r="C71" s="63"/>
      <c r="D71" s="63"/>
      <c r="E71" s="63"/>
      <c r="F71" s="63"/>
      <c r="G71" s="2"/>
      <c r="H71" s="100"/>
      <c r="I71" s="50"/>
      <c r="J71" s="50"/>
      <c r="K71" s="50"/>
      <c r="L71" s="122"/>
      <c r="M71" s="2"/>
      <c r="N71" s="4"/>
      <c r="O71" s="123"/>
      <c r="P71" s="123"/>
      <c r="Q71" s="50"/>
      <c r="R71" s="50"/>
    </row>
    <row r="72" spans="1:18" ht="18.75" customHeight="1" x14ac:dyDescent="0.3">
      <c r="A72" s="2"/>
      <c r="B72" s="63"/>
      <c r="C72" s="63"/>
      <c r="D72" s="63"/>
      <c r="E72" s="63"/>
      <c r="F72" s="63"/>
      <c r="G72" s="2"/>
      <c r="H72" s="100"/>
      <c r="I72" s="36"/>
      <c r="J72" s="50"/>
      <c r="K72" s="50"/>
      <c r="L72" s="122"/>
      <c r="M72" s="2"/>
      <c r="N72" s="4"/>
      <c r="O72" s="123"/>
      <c r="P72" s="123"/>
      <c r="Q72" s="50"/>
      <c r="R72" s="50"/>
    </row>
    <row r="73" spans="1:18" ht="18.75" customHeight="1" x14ac:dyDescent="0.3">
      <c r="A73" s="2"/>
      <c r="B73" s="63"/>
      <c r="C73" s="63"/>
      <c r="D73" s="63"/>
      <c r="E73" s="63"/>
      <c r="F73" s="63"/>
      <c r="G73" s="2"/>
      <c r="H73" s="100"/>
      <c r="I73" s="50"/>
      <c r="J73" s="50"/>
      <c r="K73" s="50"/>
      <c r="L73" s="122"/>
      <c r="M73" s="2"/>
      <c r="N73" s="4"/>
      <c r="O73" s="123"/>
      <c r="P73" s="123"/>
      <c r="Q73" s="50"/>
      <c r="R73" s="50"/>
    </row>
    <row r="74" spans="1:18" ht="18.75" customHeight="1" x14ac:dyDescent="0.3">
      <c r="A74" s="2"/>
      <c r="B74" s="63"/>
      <c r="C74" s="63"/>
      <c r="D74" s="63"/>
      <c r="E74" s="63"/>
      <c r="F74" s="63"/>
      <c r="G74" s="2"/>
      <c r="H74" s="100"/>
      <c r="I74" s="36"/>
      <c r="J74" s="50"/>
      <c r="K74" s="50"/>
      <c r="L74" s="122"/>
      <c r="M74" s="2"/>
      <c r="N74" s="4"/>
      <c r="O74" s="123"/>
      <c r="P74" s="123"/>
      <c r="Q74" s="50"/>
      <c r="R74" s="50"/>
    </row>
    <row r="75" spans="1:18" ht="18.75" customHeight="1" x14ac:dyDescent="0.3">
      <c r="A75" s="2"/>
      <c r="B75" s="63"/>
      <c r="C75" s="63"/>
      <c r="D75" s="63"/>
      <c r="E75" s="63"/>
      <c r="F75" s="63"/>
      <c r="G75" s="2"/>
      <c r="H75" s="100"/>
      <c r="I75" s="36"/>
      <c r="J75" s="50"/>
      <c r="K75" s="50"/>
      <c r="L75" s="122"/>
      <c r="M75" s="2"/>
      <c r="N75" s="4"/>
      <c r="O75" s="123"/>
      <c r="P75" s="123"/>
      <c r="Q75" s="50"/>
      <c r="R75" s="50"/>
    </row>
    <row r="76" spans="1:18" ht="18.75" customHeight="1" x14ac:dyDescent="0.3">
      <c r="A76" s="2"/>
      <c r="B76" s="63"/>
      <c r="C76" s="63"/>
      <c r="D76" s="63"/>
      <c r="E76" s="63"/>
      <c r="F76" s="63"/>
      <c r="G76" s="2"/>
      <c r="H76" s="100"/>
      <c r="I76" s="50"/>
      <c r="J76" s="50"/>
      <c r="K76" s="50"/>
      <c r="L76" s="122"/>
      <c r="M76" s="2"/>
      <c r="N76" s="4"/>
      <c r="O76" s="123"/>
      <c r="P76" s="123"/>
      <c r="Q76" s="50"/>
      <c r="R76" s="50"/>
    </row>
    <row r="77" spans="1:18" ht="18.75" customHeight="1" x14ac:dyDescent="0.3">
      <c r="A77" s="2"/>
      <c r="B77" s="63"/>
      <c r="C77" s="63"/>
      <c r="D77" s="63"/>
      <c r="E77" s="63"/>
      <c r="F77" s="63"/>
      <c r="G77" s="2"/>
      <c r="H77" s="100"/>
      <c r="I77" s="50"/>
      <c r="J77" s="50"/>
      <c r="K77" s="50"/>
      <c r="L77" s="122"/>
      <c r="M77" s="2"/>
      <c r="N77" s="4"/>
      <c r="O77" s="123"/>
      <c r="P77" s="123"/>
      <c r="Q77" s="50"/>
      <c r="R77" s="50"/>
    </row>
    <row r="78" spans="1:18" ht="18.75" customHeight="1" x14ac:dyDescent="0.3">
      <c r="A78" s="2"/>
      <c r="B78" s="63"/>
      <c r="C78" s="63"/>
      <c r="D78" s="63"/>
      <c r="E78" s="63"/>
      <c r="F78" s="63"/>
      <c r="G78" s="2"/>
      <c r="H78" s="100"/>
      <c r="I78" s="50"/>
      <c r="J78" s="50"/>
      <c r="K78" s="50"/>
      <c r="L78" s="122"/>
      <c r="M78" s="2"/>
      <c r="N78" s="4"/>
      <c r="O78" s="123"/>
      <c r="P78" s="123"/>
      <c r="Q78" s="50"/>
      <c r="R78" s="50"/>
    </row>
    <row r="79" spans="1:18" ht="18.75" customHeight="1" x14ac:dyDescent="0.3">
      <c r="A79" s="2"/>
      <c r="B79" s="63"/>
      <c r="C79" s="63"/>
      <c r="D79" s="63"/>
      <c r="E79" s="63"/>
      <c r="F79" s="63"/>
      <c r="G79" s="2"/>
      <c r="H79" s="100"/>
      <c r="I79" s="50"/>
      <c r="J79" s="50"/>
      <c r="K79" s="50"/>
      <c r="L79" s="122"/>
      <c r="M79" s="2"/>
      <c r="N79" s="4"/>
      <c r="O79" s="123"/>
      <c r="P79" s="123"/>
      <c r="Q79" s="50"/>
      <c r="R79" s="50"/>
    </row>
    <row r="80" spans="1:18" ht="18.75" customHeight="1" x14ac:dyDescent="0.3">
      <c r="A80" s="2"/>
      <c r="B80" s="63"/>
      <c r="C80" s="63"/>
      <c r="D80" s="63"/>
      <c r="E80" s="63"/>
      <c r="F80" s="63"/>
      <c r="G80" s="2"/>
      <c r="H80" s="100"/>
      <c r="I80" s="2"/>
      <c r="J80" s="2"/>
      <c r="K80" s="2"/>
      <c r="L80" s="2"/>
      <c r="M80" s="2"/>
      <c r="N80" s="4"/>
      <c r="O80" s="2"/>
      <c r="P80" s="2"/>
      <c r="Q80" s="2"/>
      <c r="R80" s="2"/>
    </row>
    <row r="81" spans="1:18" ht="18.75" customHeight="1" x14ac:dyDescent="0.3">
      <c r="A81" s="2"/>
      <c r="B81" s="63"/>
      <c r="C81" s="63"/>
      <c r="D81" s="63"/>
      <c r="E81" s="63"/>
      <c r="F81" s="63"/>
      <c r="G81" s="2"/>
      <c r="H81" s="100"/>
      <c r="I81" s="2"/>
      <c r="J81" s="2"/>
      <c r="K81" s="2"/>
      <c r="L81" s="2"/>
      <c r="M81" s="2"/>
      <c r="N81" s="4"/>
      <c r="O81" s="2"/>
      <c r="P81" s="2"/>
      <c r="Q81" s="2"/>
      <c r="R81" s="2"/>
    </row>
    <row r="82" spans="1:18" ht="18.75" customHeight="1" x14ac:dyDescent="0.3">
      <c r="A82" s="2"/>
      <c r="B82" s="63"/>
      <c r="C82" s="63"/>
      <c r="D82" s="63"/>
      <c r="E82" s="63"/>
      <c r="F82" s="63"/>
      <c r="G82" s="2"/>
      <c r="H82" s="100"/>
      <c r="I82" s="2"/>
      <c r="J82" s="2"/>
      <c r="K82" s="2"/>
      <c r="L82" s="2"/>
      <c r="M82" s="2"/>
      <c r="N82" s="4"/>
      <c r="O82" s="2"/>
      <c r="P82" s="2"/>
      <c r="Q82" s="2"/>
      <c r="R82" s="2"/>
    </row>
    <row r="83" spans="1:18" ht="18.75" customHeight="1" x14ac:dyDescent="0.3">
      <c r="A83" s="2"/>
      <c r="B83" s="63"/>
      <c r="C83" s="63"/>
      <c r="D83" s="63"/>
      <c r="E83" s="63"/>
      <c r="F83" s="63"/>
      <c r="G83" s="2"/>
      <c r="H83" s="100"/>
      <c r="I83" s="2"/>
      <c r="J83" s="2"/>
      <c r="K83" s="2"/>
      <c r="L83" s="2"/>
      <c r="M83" s="2"/>
      <c r="N83" s="4"/>
      <c r="O83" s="2"/>
      <c r="P83" s="2"/>
      <c r="Q83" s="2"/>
      <c r="R83" s="2"/>
    </row>
    <row r="84" spans="1:18" ht="18.75" customHeight="1" x14ac:dyDescent="0.3">
      <c r="A84" s="2"/>
      <c r="B84" s="63"/>
      <c r="C84" s="63"/>
      <c r="D84" s="63"/>
      <c r="E84" s="63"/>
      <c r="F84" s="63"/>
      <c r="G84" s="2"/>
      <c r="H84" s="100"/>
      <c r="I84" s="2"/>
      <c r="J84" s="2"/>
      <c r="K84" s="2"/>
      <c r="L84" s="2"/>
      <c r="M84" s="2"/>
      <c r="N84" s="4"/>
      <c r="O84" s="2"/>
      <c r="P84" s="2"/>
      <c r="Q84" s="2"/>
      <c r="R84" s="2"/>
    </row>
    <row r="85" spans="1:18" ht="18.75" customHeight="1" x14ac:dyDescent="0.3">
      <c r="A85" s="2"/>
      <c r="B85" s="63"/>
      <c r="C85" s="63"/>
      <c r="D85" s="63"/>
      <c r="E85" s="63"/>
      <c r="F85" s="63"/>
      <c r="G85" s="2"/>
      <c r="H85" s="100"/>
      <c r="I85" s="2"/>
      <c r="J85" s="2"/>
      <c r="K85" s="2"/>
      <c r="L85" s="2"/>
      <c r="M85" s="2"/>
      <c r="N85" s="4"/>
      <c r="O85" s="2"/>
      <c r="P85" s="2"/>
      <c r="Q85" s="2"/>
      <c r="R85" s="2"/>
    </row>
    <row r="86" spans="1:18" ht="18.75" customHeight="1" x14ac:dyDescent="0.3">
      <c r="A86" s="2"/>
      <c r="B86" s="63"/>
      <c r="C86" s="63"/>
      <c r="D86" s="63"/>
      <c r="E86" s="63"/>
      <c r="F86" s="63"/>
      <c r="G86" s="2"/>
      <c r="H86" s="100"/>
      <c r="I86" s="2"/>
      <c r="J86" s="2"/>
      <c r="K86" s="2"/>
      <c r="L86" s="2"/>
      <c r="M86" s="2"/>
      <c r="N86" s="4"/>
      <c r="O86" s="2"/>
      <c r="P86" s="2"/>
      <c r="Q86" s="2"/>
      <c r="R86" s="2"/>
    </row>
    <row r="87" spans="1:18" ht="18.75" customHeight="1" x14ac:dyDescent="0.3">
      <c r="A87" s="2"/>
      <c r="B87" s="63"/>
      <c r="C87" s="63"/>
      <c r="D87" s="63"/>
      <c r="E87" s="63"/>
      <c r="F87" s="63"/>
      <c r="G87" s="2"/>
      <c r="H87" s="100"/>
      <c r="I87" s="2"/>
      <c r="J87" s="2"/>
      <c r="K87" s="2"/>
      <c r="L87" s="2"/>
      <c r="M87" s="2"/>
      <c r="N87" s="4"/>
      <c r="O87" s="2"/>
      <c r="P87" s="2"/>
      <c r="Q87" s="2"/>
      <c r="R87" s="2"/>
    </row>
    <row r="88" spans="1:18" ht="18.75" customHeight="1" x14ac:dyDescent="0.3">
      <c r="A88" s="2"/>
      <c r="B88" s="63"/>
      <c r="C88" s="63"/>
      <c r="D88" s="63"/>
      <c r="E88" s="63"/>
      <c r="F88" s="63"/>
      <c r="G88" s="2"/>
      <c r="H88" s="100"/>
      <c r="I88" s="2"/>
      <c r="J88" s="2"/>
      <c r="K88" s="2"/>
      <c r="L88" s="2"/>
      <c r="M88" s="2"/>
      <c r="N88" s="4"/>
      <c r="O88" s="2"/>
      <c r="P88" s="2"/>
      <c r="Q88" s="2"/>
      <c r="R88" s="2"/>
    </row>
    <row r="89" spans="1:18" ht="18.75" customHeight="1" x14ac:dyDescent="0.3">
      <c r="A89" s="2"/>
      <c r="B89" s="63"/>
      <c r="C89" s="63"/>
      <c r="D89" s="63"/>
      <c r="E89" s="63"/>
      <c r="F89" s="63"/>
      <c r="G89" s="2"/>
      <c r="H89" s="100"/>
      <c r="I89" s="2"/>
      <c r="J89" s="2"/>
      <c r="K89" s="2"/>
      <c r="L89" s="2"/>
      <c r="M89" s="2"/>
      <c r="N89" s="4"/>
      <c r="O89" s="2"/>
      <c r="P89" s="2"/>
      <c r="Q89" s="2"/>
      <c r="R89" s="2"/>
    </row>
    <row r="90" spans="1:18" ht="18.75" customHeight="1" x14ac:dyDescent="0.3">
      <c r="A90" s="2"/>
      <c r="B90" s="63"/>
      <c r="C90" s="63"/>
      <c r="D90" s="63"/>
      <c r="E90" s="63"/>
      <c r="F90" s="63"/>
      <c r="G90" s="2"/>
      <c r="H90" s="100"/>
      <c r="I90" s="2"/>
      <c r="J90" s="2"/>
      <c r="K90" s="2"/>
      <c r="L90" s="2"/>
      <c r="M90" s="2"/>
      <c r="N90" s="4"/>
      <c r="O90" s="2"/>
      <c r="P90" s="2"/>
      <c r="Q90" s="2"/>
      <c r="R90" s="2"/>
    </row>
    <row r="91" spans="1:18" ht="18.75" customHeight="1" x14ac:dyDescent="0.3">
      <c r="A91" s="2"/>
      <c r="B91" s="63"/>
      <c r="C91" s="63"/>
      <c r="D91" s="63"/>
      <c r="E91" s="63"/>
      <c r="F91" s="63"/>
      <c r="G91" s="2"/>
      <c r="H91" s="100"/>
      <c r="I91" s="2"/>
      <c r="J91" s="2"/>
      <c r="K91" s="2"/>
      <c r="L91" s="2"/>
      <c r="M91" s="2"/>
      <c r="N91" s="4"/>
      <c r="O91" s="2"/>
      <c r="P91" s="2"/>
      <c r="Q91" s="2"/>
      <c r="R91" s="2"/>
    </row>
    <row r="92" spans="1:18" ht="18.75" customHeight="1" x14ac:dyDescent="0.3">
      <c r="A92" s="2"/>
      <c r="B92" s="63"/>
      <c r="C92" s="63"/>
      <c r="D92" s="63"/>
      <c r="E92" s="63"/>
      <c r="F92" s="63"/>
      <c r="G92" s="2"/>
      <c r="H92" s="100"/>
      <c r="I92" s="2"/>
      <c r="J92" s="2"/>
      <c r="K92" s="2"/>
      <c r="L92" s="2"/>
      <c r="M92" s="2"/>
      <c r="N92" s="4"/>
      <c r="O92" s="2"/>
      <c r="P92" s="2"/>
      <c r="Q92" s="2"/>
      <c r="R92" s="2"/>
    </row>
    <row r="93" spans="1:18" ht="18.75" customHeight="1" x14ac:dyDescent="0.3">
      <c r="A93" s="2"/>
      <c r="B93" s="63"/>
      <c r="C93" s="63"/>
      <c r="D93" s="63"/>
      <c r="E93" s="63"/>
      <c r="F93" s="63"/>
      <c r="G93" s="2"/>
      <c r="H93" s="100"/>
      <c r="I93" s="2"/>
      <c r="J93" s="2"/>
      <c r="K93" s="2"/>
      <c r="L93" s="2"/>
      <c r="M93" s="2"/>
      <c r="N93" s="4"/>
      <c r="O93" s="2"/>
      <c r="P93" s="2"/>
      <c r="Q93" s="2"/>
      <c r="R93" s="2"/>
    </row>
    <row r="94" spans="1:18" ht="18.75" customHeight="1" x14ac:dyDescent="0.3">
      <c r="A94" s="2"/>
      <c r="B94" s="63"/>
      <c r="C94" s="63"/>
      <c r="D94" s="63"/>
      <c r="E94" s="63"/>
      <c r="F94" s="63"/>
      <c r="G94" s="2"/>
      <c r="H94" s="100"/>
      <c r="I94" s="2"/>
      <c r="J94" s="2"/>
      <c r="K94" s="2"/>
      <c r="L94" s="2"/>
      <c r="M94" s="2"/>
      <c r="N94" s="4"/>
      <c r="O94" s="2"/>
      <c r="P94" s="2"/>
      <c r="Q94" s="2"/>
      <c r="R94" s="2"/>
    </row>
    <row r="95" spans="1:18" ht="18.75" customHeight="1" x14ac:dyDescent="0.3">
      <c r="A95" s="2"/>
      <c r="B95" s="63"/>
      <c r="C95" s="63"/>
      <c r="D95" s="63"/>
      <c r="E95" s="63"/>
      <c r="F95" s="63"/>
      <c r="G95" s="2"/>
      <c r="H95" s="100"/>
      <c r="I95" s="2"/>
      <c r="J95" s="2"/>
      <c r="K95" s="2"/>
      <c r="L95" s="2"/>
      <c r="M95" s="2"/>
      <c r="N95" s="4"/>
      <c r="O95" s="2"/>
      <c r="P95" s="2"/>
      <c r="Q95" s="2"/>
      <c r="R95" s="2"/>
    </row>
    <row r="96" spans="1:18" ht="18.75" customHeight="1" x14ac:dyDescent="0.3">
      <c r="A96" s="2"/>
      <c r="B96" s="63"/>
      <c r="C96" s="63"/>
      <c r="D96" s="63"/>
      <c r="E96" s="63"/>
      <c r="F96" s="63"/>
      <c r="G96" s="2"/>
      <c r="H96" s="100"/>
      <c r="I96" s="2"/>
      <c r="J96" s="2"/>
      <c r="K96" s="2"/>
      <c r="L96" s="2"/>
      <c r="M96" s="2"/>
      <c r="N96" s="4"/>
      <c r="O96" s="2"/>
      <c r="P96" s="2"/>
      <c r="Q96" s="2"/>
      <c r="R96" s="2"/>
    </row>
    <row r="97" spans="1:18" ht="18.75" customHeight="1" x14ac:dyDescent="0.3">
      <c r="A97" s="2"/>
      <c r="B97" s="63"/>
      <c r="C97" s="63"/>
      <c r="D97" s="63"/>
      <c r="E97" s="63"/>
      <c r="F97" s="63"/>
      <c r="G97" s="2"/>
      <c r="H97" s="100"/>
      <c r="I97" s="2"/>
      <c r="J97" s="2"/>
      <c r="K97" s="2"/>
      <c r="L97" s="2"/>
      <c r="M97" s="2"/>
      <c r="N97" s="4"/>
      <c r="O97" s="2"/>
      <c r="P97" s="2"/>
      <c r="Q97" s="2"/>
      <c r="R97" s="2"/>
    </row>
    <row r="98" spans="1:18" ht="18.75" customHeight="1" x14ac:dyDescent="0.3">
      <c r="A98" s="2"/>
      <c r="B98" s="63"/>
      <c r="C98" s="63"/>
      <c r="D98" s="63"/>
      <c r="E98" s="63"/>
      <c r="F98" s="63"/>
      <c r="G98" s="2"/>
      <c r="H98" s="100"/>
      <c r="I98" s="2"/>
      <c r="J98" s="2"/>
      <c r="K98" s="2"/>
      <c r="L98" s="2"/>
      <c r="M98" s="2"/>
      <c r="N98" s="4"/>
      <c r="O98" s="2"/>
      <c r="P98" s="2"/>
      <c r="Q98" s="2"/>
      <c r="R98" s="2"/>
    </row>
    <row r="99" spans="1:18" ht="18.75" customHeight="1" x14ac:dyDescent="0.3">
      <c r="A99" s="2"/>
      <c r="B99" s="63"/>
      <c r="C99" s="63"/>
      <c r="D99" s="63"/>
      <c r="E99" s="63"/>
      <c r="F99" s="63"/>
      <c r="G99" s="2"/>
      <c r="H99" s="100"/>
      <c r="I99" s="2"/>
      <c r="J99" s="2"/>
      <c r="K99" s="2"/>
      <c r="L99" s="2"/>
      <c r="M99" s="2"/>
      <c r="N99" s="4"/>
      <c r="O99" s="2"/>
      <c r="P99" s="2"/>
      <c r="Q99" s="2"/>
      <c r="R99" s="2"/>
    </row>
    <row r="100" spans="1:18" ht="18.75" customHeight="1" x14ac:dyDescent="0.3">
      <c r="A100" s="2"/>
      <c r="B100" s="63"/>
      <c r="C100" s="63"/>
      <c r="D100" s="63"/>
      <c r="E100" s="63"/>
      <c r="F100" s="63"/>
      <c r="G100" s="2"/>
      <c r="H100" s="100"/>
      <c r="I100" s="2"/>
      <c r="J100" s="2"/>
      <c r="K100" s="2"/>
      <c r="L100" s="2"/>
      <c r="M100" s="2"/>
      <c r="N100" s="4"/>
      <c r="O100" s="2"/>
      <c r="P100" s="2"/>
      <c r="Q100" s="2"/>
      <c r="R100" s="2"/>
    </row>
    <row r="101" spans="1:18" ht="18.75" customHeight="1" x14ac:dyDescent="0.3">
      <c r="A101" s="2"/>
      <c r="B101" s="63"/>
      <c r="C101" s="63"/>
      <c r="D101" s="63"/>
      <c r="E101" s="63"/>
      <c r="F101" s="63"/>
      <c r="G101" s="2"/>
      <c r="H101" s="100"/>
      <c r="I101" s="2"/>
      <c r="J101" s="2"/>
      <c r="K101" s="2"/>
      <c r="L101" s="2"/>
      <c r="M101" s="2"/>
      <c r="N101" s="4"/>
      <c r="O101" s="2"/>
      <c r="P101" s="2"/>
      <c r="Q101" s="2"/>
      <c r="R101" s="2"/>
    </row>
    <row r="102" spans="1:18" ht="18.75" customHeight="1" x14ac:dyDescent="0.3">
      <c r="A102" s="2"/>
      <c r="B102" s="63"/>
      <c r="C102" s="63"/>
      <c r="D102" s="63"/>
      <c r="E102" s="63"/>
      <c r="F102" s="63"/>
      <c r="G102" s="2"/>
      <c r="H102" s="100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8.75" customHeight="1" x14ac:dyDescent="0.3">
      <c r="A103" s="2"/>
      <c r="B103" s="63"/>
      <c r="C103" s="63"/>
      <c r="D103" s="63"/>
      <c r="E103" s="63"/>
      <c r="F103" s="63"/>
      <c r="G103" s="2"/>
      <c r="H103" s="100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8.75" customHeight="1" x14ac:dyDescent="0.3">
      <c r="A104" s="2"/>
      <c r="B104" s="63"/>
      <c r="C104" s="63"/>
      <c r="D104" s="63"/>
      <c r="E104" s="63"/>
      <c r="F104" s="63"/>
      <c r="G104" s="2"/>
      <c r="H104" s="100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8.75" customHeight="1" x14ac:dyDescent="0.3">
      <c r="A105" s="2"/>
      <c r="B105" s="63"/>
      <c r="C105" s="63"/>
      <c r="D105" s="63"/>
      <c r="E105" s="63"/>
      <c r="F105" s="63"/>
      <c r="G105" s="2"/>
      <c r="H105" s="100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8.75" customHeight="1" x14ac:dyDescent="0.3">
      <c r="A106" s="2"/>
      <c r="B106" s="63"/>
      <c r="C106" s="63"/>
      <c r="D106" s="63"/>
      <c r="E106" s="63"/>
      <c r="F106" s="63"/>
      <c r="G106" s="2"/>
      <c r="H106" s="100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8.75" customHeight="1" x14ac:dyDescent="0.3">
      <c r="A107" s="2"/>
      <c r="B107" s="63"/>
      <c r="C107" s="63"/>
      <c r="D107" s="63"/>
      <c r="E107" s="63"/>
      <c r="F107" s="63"/>
      <c r="G107" s="2"/>
      <c r="H107" s="100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8.75" customHeight="1" x14ac:dyDescent="0.3">
      <c r="A108" s="2"/>
      <c r="B108" s="63"/>
      <c r="C108" s="63"/>
      <c r="D108" s="63"/>
      <c r="E108" s="63"/>
      <c r="F108" s="63"/>
      <c r="G108" s="2"/>
      <c r="H108" s="100"/>
      <c r="I108" s="2"/>
      <c r="J108" s="2"/>
      <c r="K108" s="2"/>
      <c r="L108" s="2"/>
      <c r="M108" s="2"/>
      <c r="N108" s="2"/>
      <c r="O108" s="2"/>
      <c r="P108" s="2"/>
      <c r="Q108" s="2"/>
      <c r="R108" s="2"/>
    </row>
  </sheetData>
  <mergeCells count="3">
    <mergeCell ref="E2:F2"/>
    <mergeCell ref="H2:L2"/>
    <mergeCell ref="N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38"/>
  <sheetViews>
    <sheetView tabSelected="1" workbookViewId="0"/>
  </sheetViews>
  <sheetFormatPr defaultRowHeight="14.4" x14ac:dyDescent="0.3"/>
  <cols>
    <col min="1" max="1" width="10.44140625" style="51" bestFit="1" customWidth="1"/>
    <col min="2" max="2" width="9.44140625" style="51" bestFit="1" customWidth="1"/>
    <col min="3" max="3" width="20.109375" style="51" bestFit="1" customWidth="1"/>
    <col min="4" max="5" width="15.88671875" style="90" bestFit="1" customWidth="1"/>
    <col min="6" max="6" width="13.33203125" style="42" bestFit="1" customWidth="1"/>
    <col min="7" max="8" width="22.6640625" style="9" bestFit="1" customWidth="1"/>
    <col min="9" max="9" width="18.88671875" style="51" bestFit="1" customWidth="1"/>
    <col min="10" max="10" width="18.88671875" style="70" bestFit="1" customWidth="1"/>
    <col min="11" max="11" width="17.6640625" style="91" bestFit="1" customWidth="1"/>
    <col min="12" max="12" width="18.6640625" style="92" bestFit="1" customWidth="1"/>
    <col min="13" max="13" width="22.109375" style="9" bestFit="1" customWidth="1"/>
    <col min="14" max="18" width="13.5546875" style="9" bestFit="1" customWidth="1"/>
  </cols>
  <sheetData>
    <row r="1" spans="1:18" ht="18.75" customHeight="1" x14ac:dyDescent="0.3">
      <c r="A1" s="72" t="s">
        <v>330</v>
      </c>
      <c r="B1" s="72" t="s">
        <v>62</v>
      </c>
      <c r="C1" s="72" t="s">
        <v>331</v>
      </c>
      <c r="D1" s="73" t="s">
        <v>434</v>
      </c>
      <c r="E1" s="73" t="s">
        <v>435</v>
      </c>
      <c r="F1" s="74" t="s">
        <v>332</v>
      </c>
      <c r="G1" s="72" t="s">
        <v>436</v>
      </c>
      <c r="H1" s="72" t="s">
        <v>208</v>
      </c>
      <c r="I1" s="72" t="s">
        <v>437</v>
      </c>
      <c r="J1" s="75" t="s">
        <v>438</v>
      </c>
      <c r="K1" s="76" t="s">
        <v>439</v>
      </c>
      <c r="L1" s="76" t="s">
        <v>440</v>
      </c>
      <c r="M1" s="2"/>
      <c r="N1" s="2"/>
      <c r="O1" s="2"/>
      <c r="P1" s="2"/>
      <c r="Q1" s="2"/>
      <c r="R1" s="2"/>
    </row>
    <row r="2" spans="1:18" ht="18.75" customHeight="1" x14ac:dyDescent="0.3">
      <c r="A2" s="77" t="s">
        <v>3</v>
      </c>
      <c r="B2" s="77" t="s">
        <v>441</v>
      </c>
      <c r="C2" s="77" t="s">
        <v>442</v>
      </c>
      <c r="D2" s="78">
        <v>50.583294000000002</v>
      </c>
      <c r="E2" s="78">
        <v>-111.88075499999999</v>
      </c>
      <c r="F2" s="79">
        <v>19</v>
      </c>
      <c r="G2" s="80" t="s">
        <v>443</v>
      </c>
      <c r="H2" s="81" t="s">
        <v>159</v>
      </c>
      <c r="I2" s="80" t="s">
        <v>12</v>
      </c>
      <c r="J2" s="55">
        <v>2</v>
      </c>
      <c r="K2" s="82">
        <f>ROUND((D2+90)*2, 0)</f>
        <v>281</v>
      </c>
      <c r="L2" s="82">
        <f>ROUND((E2+180)*(3/2), 0)</f>
        <v>102</v>
      </c>
      <c r="M2" s="49"/>
      <c r="N2" s="83"/>
      <c r="O2" s="84"/>
      <c r="P2" s="84"/>
      <c r="Q2" s="77"/>
      <c r="R2" s="77"/>
    </row>
    <row r="3" spans="1:18" ht="18.75" customHeight="1" x14ac:dyDescent="0.3">
      <c r="A3" s="77" t="s">
        <v>2</v>
      </c>
      <c r="B3" s="77" t="s">
        <v>444</v>
      </c>
      <c r="C3" s="77" t="s">
        <v>4</v>
      </c>
      <c r="D3" s="78">
        <v>49.551901000000001</v>
      </c>
      <c r="E3" s="78">
        <v>-111.07698000000001</v>
      </c>
      <c r="F3" s="79">
        <v>685</v>
      </c>
      <c r="G3" s="80" t="s">
        <v>445</v>
      </c>
      <c r="H3" s="81" t="s">
        <v>159</v>
      </c>
      <c r="I3" s="80" t="s">
        <v>10</v>
      </c>
      <c r="J3" s="55">
        <v>3075</v>
      </c>
      <c r="K3" s="82">
        <f>ROUND((D3+90)*2, 0)</f>
        <v>279</v>
      </c>
      <c r="L3" s="82">
        <f>ROUND((E3+180)*(3/2), 0)</f>
        <v>103</v>
      </c>
      <c r="M3" s="49"/>
      <c r="N3" s="85"/>
      <c r="O3" s="85"/>
      <c r="P3" s="85"/>
      <c r="Q3" s="50"/>
      <c r="R3" s="2"/>
    </row>
    <row r="4" spans="1:18" ht="18.75" customHeight="1" x14ac:dyDescent="0.3">
      <c r="A4" s="77" t="s">
        <v>2</v>
      </c>
      <c r="B4" s="77" t="s">
        <v>446</v>
      </c>
      <c r="C4" s="77" t="s">
        <v>4</v>
      </c>
      <c r="D4" s="78">
        <v>51.8723478</v>
      </c>
      <c r="E4" s="78">
        <v>-113.31805199999999</v>
      </c>
      <c r="F4" s="79">
        <v>295</v>
      </c>
      <c r="G4" s="80" t="s">
        <v>447</v>
      </c>
      <c r="H4" s="86" t="s">
        <v>183</v>
      </c>
      <c r="I4" s="80" t="s">
        <v>448</v>
      </c>
      <c r="J4" s="55">
        <v>3075</v>
      </c>
      <c r="K4" s="82">
        <f>ROUND((D4+90)*2, 0)</f>
        <v>284</v>
      </c>
      <c r="L4" s="82">
        <f>ROUND((E4+180)*(3/2), 0)</f>
        <v>100</v>
      </c>
      <c r="M4" s="49"/>
      <c r="N4" s="2"/>
      <c r="O4" s="2"/>
      <c r="P4" s="2"/>
      <c r="Q4" s="2"/>
      <c r="R4" s="2"/>
    </row>
    <row r="5" spans="1:18" ht="18.75" customHeight="1" x14ac:dyDescent="0.3">
      <c r="A5" s="77" t="s">
        <v>2</v>
      </c>
      <c r="B5" s="77" t="s">
        <v>449</v>
      </c>
      <c r="C5" s="77" t="s">
        <v>4</v>
      </c>
      <c r="D5" s="78">
        <v>49.385938000000003</v>
      </c>
      <c r="E5" s="78">
        <v>-112.9487846</v>
      </c>
      <c r="F5" s="79">
        <v>110</v>
      </c>
      <c r="G5" s="80" t="s">
        <v>450</v>
      </c>
      <c r="H5" s="81" t="s">
        <v>159</v>
      </c>
      <c r="I5" s="80" t="s">
        <v>451</v>
      </c>
      <c r="J5" s="55">
        <v>3075</v>
      </c>
      <c r="K5" s="82">
        <f>ROUND((D5+90)*2, 0)</f>
        <v>279</v>
      </c>
      <c r="L5" s="82">
        <f>ROUND((E5+180)*(3/2), 0)</f>
        <v>101</v>
      </c>
      <c r="M5" s="49"/>
      <c r="N5" s="2"/>
      <c r="O5" s="2"/>
      <c r="P5" s="2"/>
      <c r="Q5" s="2"/>
      <c r="R5" s="2"/>
    </row>
    <row r="6" spans="1:18" ht="18.75" customHeight="1" x14ac:dyDescent="0.3">
      <c r="A6" s="77" t="s">
        <v>2</v>
      </c>
      <c r="B6" s="77" t="s">
        <v>452</v>
      </c>
      <c r="C6" s="77" t="s">
        <v>4</v>
      </c>
      <c r="D6" s="78">
        <v>49.1896694</v>
      </c>
      <c r="E6" s="78">
        <v>-113.68055529999999</v>
      </c>
      <c r="F6" s="79">
        <v>782</v>
      </c>
      <c r="G6" s="80" t="s">
        <v>453</v>
      </c>
      <c r="H6" s="81" t="s">
        <v>205</v>
      </c>
      <c r="I6" s="80" t="s">
        <v>454</v>
      </c>
      <c r="J6" s="55">
        <v>3075</v>
      </c>
      <c r="K6" s="82">
        <f>ROUND((D6+90)*2, 0)</f>
        <v>278</v>
      </c>
      <c r="L6" s="82">
        <f>ROUND((E6+180)*(3/2), 0)</f>
        <v>99</v>
      </c>
      <c r="M6" s="49"/>
      <c r="N6" s="2"/>
      <c r="O6" s="2"/>
      <c r="P6" s="2"/>
      <c r="Q6" s="2"/>
      <c r="R6" s="2"/>
    </row>
    <row r="7" spans="1:18" ht="18.75" customHeight="1" x14ac:dyDescent="0.3">
      <c r="A7" s="77"/>
      <c r="B7" s="77"/>
      <c r="C7" s="77"/>
      <c r="D7" s="78"/>
      <c r="E7" s="78"/>
      <c r="F7" s="79"/>
      <c r="G7" s="33"/>
      <c r="H7" s="33"/>
      <c r="I7" s="52"/>
      <c r="J7" s="68"/>
      <c r="K7" s="87"/>
      <c r="L7" s="88"/>
      <c r="M7" s="49"/>
      <c r="N7" s="2"/>
      <c r="O7" s="2"/>
      <c r="P7" s="2"/>
      <c r="Q7" s="2"/>
      <c r="R7" s="2"/>
    </row>
    <row r="8" spans="1:18" ht="18.75" customHeight="1" x14ac:dyDescent="0.3">
      <c r="A8" s="77"/>
      <c r="B8" s="77"/>
      <c r="C8" s="77"/>
      <c r="D8" s="78"/>
      <c r="E8" s="78"/>
      <c r="F8" s="79"/>
      <c r="G8" s="33"/>
      <c r="H8" s="33"/>
      <c r="I8" s="52"/>
      <c r="J8" s="68"/>
      <c r="K8" s="87"/>
      <c r="L8" s="88"/>
      <c r="M8" s="49"/>
      <c r="N8" s="2"/>
      <c r="O8" s="2"/>
      <c r="P8" s="2"/>
      <c r="Q8" s="2"/>
      <c r="R8" s="2"/>
    </row>
    <row r="9" spans="1:18" ht="18.75" customHeight="1" x14ac:dyDescent="0.3">
      <c r="A9" s="77"/>
      <c r="B9" s="77"/>
      <c r="C9" s="77"/>
      <c r="D9" s="78"/>
      <c r="E9" s="78"/>
      <c r="F9" s="79"/>
      <c r="G9" s="33"/>
      <c r="H9" s="33"/>
      <c r="I9" s="52"/>
      <c r="J9" s="68"/>
      <c r="K9" s="87"/>
      <c r="L9" s="88"/>
      <c r="M9" s="49"/>
      <c r="N9" s="2"/>
      <c r="O9" s="2"/>
      <c r="P9" s="2"/>
      <c r="Q9" s="2"/>
      <c r="R9" s="2"/>
    </row>
    <row r="10" spans="1:18" ht="18.75" customHeight="1" x14ac:dyDescent="0.3">
      <c r="A10" s="77"/>
      <c r="B10" s="77"/>
      <c r="C10" s="77"/>
      <c r="D10" s="78"/>
      <c r="E10" s="78"/>
      <c r="F10" s="79"/>
      <c r="G10" s="33"/>
      <c r="H10" s="33"/>
      <c r="I10" s="52"/>
      <c r="J10" s="68"/>
      <c r="K10" s="87"/>
      <c r="L10" s="88"/>
      <c r="M10" s="49"/>
      <c r="N10" s="2"/>
      <c r="O10" s="2"/>
      <c r="P10" s="2"/>
      <c r="Q10" s="2"/>
      <c r="R10" s="2"/>
    </row>
    <row r="11" spans="1:18" ht="18.75" customHeight="1" x14ac:dyDescent="0.3">
      <c r="A11" s="77"/>
      <c r="B11" s="77"/>
      <c r="C11" s="77"/>
      <c r="D11" s="78"/>
      <c r="E11" s="78"/>
      <c r="F11" s="79"/>
      <c r="G11" s="33"/>
      <c r="H11" s="33"/>
      <c r="I11" s="52"/>
      <c r="J11" s="68"/>
      <c r="K11" s="87"/>
      <c r="L11" s="88"/>
      <c r="M11" s="49"/>
      <c r="N11" s="2"/>
      <c r="O11" s="2"/>
      <c r="P11" s="2"/>
      <c r="Q11" s="2"/>
      <c r="R11" s="2"/>
    </row>
    <row r="12" spans="1:18" ht="18.75" customHeight="1" x14ac:dyDescent="0.3">
      <c r="A12" s="77"/>
      <c r="B12" s="77"/>
      <c r="C12" s="77"/>
      <c r="D12" s="78"/>
      <c r="E12" s="78"/>
      <c r="F12" s="79"/>
      <c r="G12" s="33"/>
      <c r="H12" s="33"/>
      <c r="I12" s="52"/>
      <c r="J12" s="68"/>
      <c r="K12" s="87"/>
      <c r="L12" s="88"/>
      <c r="M12" s="49"/>
      <c r="N12" s="2"/>
      <c r="O12" s="2"/>
      <c r="P12" s="2"/>
      <c r="Q12" s="2"/>
      <c r="R12" s="2"/>
    </row>
    <row r="13" spans="1:18" ht="18.75" customHeight="1" x14ac:dyDescent="0.3">
      <c r="A13" s="77"/>
      <c r="B13" s="77"/>
      <c r="C13" s="77"/>
      <c r="D13" s="78"/>
      <c r="E13" s="78"/>
      <c r="F13" s="79"/>
      <c r="G13" s="33"/>
      <c r="H13" s="33"/>
      <c r="I13" s="52"/>
      <c r="J13" s="68"/>
      <c r="K13" s="87"/>
      <c r="L13" s="88"/>
      <c r="M13" s="49"/>
      <c r="N13" s="2"/>
      <c r="O13" s="2"/>
      <c r="P13" s="2"/>
      <c r="Q13" s="2"/>
      <c r="R13" s="2"/>
    </row>
    <row r="14" spans="1:18" ht="18.75" customHeight="1" x14ac:dyDescent="0.3">
      <c r="A14" s="77"/>
      <c r="B14" s="77"/>
      <c r="C14" s="77"/>
      <c r="D14" s="78"/>
      <c r="E14" s="78"/>
      <c r="F14" s="79"/>
      <c r="G14" s="33"/>
      <c r="H14" s="33"/>
      <c r="I14" s="52"/>
      <c r="J14" s="68"/>
      <c r="K14" s="87"/>
      <c r="L14" s="88"/>
      <c r="M14" s="49"/>
      <c r="N14" s="2"/>
      <c r="O14" s="2"/>
      <c r="P14" s="2"/>
      <c r="Q14" s="2"/>
      <c r="R14" s="2"/>
    </row>
    <row r="15" spans="1:18" ht="18.75" customHeight="1" x14ac:dyDescent="0.3">
      <c r="A15" s="77"/>
      <c r="B15" s="77"/>
      <c r="C15" s="77"/>
      <c r="D15" s="78"/>
      <c r="E15" s="78"/>
      <c r="F15" s="79"/>
      <c r="G15" s="33"/>
      <c r="H15" s="33"/>
      <c r="I15" s="52"/>
      <c r="J15" s="68"/>
      <c r="K15" s="87"/>
      <c r="L15" s="88"/>
      <c r="M15" s="89"/>
      <c r="N15" s="2"/>
      <c r="O15" s="2"/>
      <c r="P15" s="2"/>
      <c r="Q15" s="2"/>
      <c r="R15" s="2"/>
    </row>
    <row r="16" spans="1:18" ht="18.75" customHeight="1" x14ac:dyDescent="0.3">
      <c r="A16" s="77"/>
      <c r="B16" s="77"/>
      <c r="C16" s="77"/>
      <c r="D16" s="78"/>
      <c r="E16" s="78"/>
      <c r="F16" s="79"/>
      <c r="G16" s="33"/>
      <c r="H16" s="33"/>
      <c r="I16" s="52"/>
      <c r="J16" s="68"/>
      <c r="K16" s="87"/>
      <c r="L16" s="88"/>
      <c r="M16" s="49"/>
      <c r="N16" s="2"/>
      <c r="O16" s="2"/>
      <c r="P16" s="2"/>
      <c r="Q16" s="2"/>
      <c r="R16" s="2"/>
    </row>
    <row r="17" spans="1:18" ht="18.75" customHeight="1" x14ac:dyDescent="0.3">
      <c r="A17" s="77"/>
      <c r="B17" s="77"/>
      <c r="C17" s="77"/>
      <c r="D17" s="78"/>
      <c r="E17" s="78"/>
      <c r="F17" s="79"/>
      <c r="G17" s="33"/>
      <c r="H17" s="33"/>
      <c r="I17" s="52"/>
      <c r="J17" s="68"/>
      <c r="K17" s="87"/>
      <c r="L17" s="88"/>
      <c r="M17" s="64"/>
      <c r="N17" s="2"/>
      <c r="O17" s="2"/>
      <c r="P17" s="2"/>
      <c r="Q17" s="2"/>
      <c r="R17" s="2"/>
    </row>
    <row r="18" spans="1:18" ht="18.75" customHeight="1" x14ac:dyDescent="0.3">
      <c r="A18" s="77"/>
      <c r="B18" s="77"/>
      <c r="C18" s="77"/>
      <c r="D18" s="78"/>
      <c r="E18" s="78"/>
      <c r="F18" s="79"/>
      <c r="G18" s="33"/>
      <c r="H18" s="33"/>
      <c r="I18" s="52"/>
      <c r="J18" s="68"/>
      <c r="K18" s="87"/>
      <c r="L18" s="88"/>
      <c r="M18" s="49"/>
      <c r="N18" s="2"/>
      <c r="O18" s="2"/>
      <c r="P18" s="2"/>
      <c r="Q18" s="2"/>
      <c r="R18" s="2"/>
    </row>
    <row r="19" spans="1:18" ht="18.75" customHeight="1" x14ac:dyDescent="0.3">
      <c r="A19" s="77"/>
      <c r="B19" s="77"/>
      <c r="C19" s="77"/>
      <c r="D19" s="78"/>
      <c r="E19" s="78"/>
      <c r="F19" s="79"/>
      <c r="G19" s="33"/>
      <c r="H19" s="33"/>
      <c r="I19" s="52"/>
      <c r="J19" s="68"/>
      <c r="K19" s="87"/>
      <c r="L19" s="88"/>
      <c r="M19" s="49"/>
      <c r="N19" s="2"/>
      <c r="O19" s="2"/>
      <c r="P19" s="2"/>
      <c r="Q19" s="2"/>
      <c r="R19" s="2"/>
    </row>
    <row r="20" spans="1:18" ht="18.75" customHeight="1" x14ac:dyDescent="0.3">
      <c r="A20" s="77"/>
      <c r="B20" s="77"/>
      <c r="C20" s="77"/>
      <c r="D20" s="78"/>
      <c r="E20" s="78"/>
      <c r="F20" s="79"/>
      <c r="G20" s="33"/>
      <c r="H20" s="33"/>
      <c r="I20" s="52"/>
      <c r="J20" s="68"/>
      <c r="K20" s="87"/>
      <c r="L20" s="88"/>
      <c r="M20" s="49"/>
      <c r="N20" s="2"/>
      <c r="O20" s="2"/>
      <c r="P20" s="2"/>
      <c r="Q20" s="2"/>
      <c r="R20" s="2"/>
    </row>
    <row r="21" spans="1:18" ht="18.75" customHeight="1" x14ac:dyDescent="0.3">
      <c r="A21" s="77"/>
      <c r="B21" s="77"/>
      <c r="C21" s="77"/>
      <c r="D21" s="78"/>
      <c r="E21" s="78"/>
      <c r="F21" s="79"/>
      <c r="G21" s="33"/>
      <c r="H21" s="33"/>
      <c r="I21" s="52"/>
      <c r="J21" s="68"/>
      <c r="K21" s="87"/>
      <c r="L21" s="88"/>
      <c r="M21" s="49"/>
      <c r="N21" s="2"/>
      <c r="O21" s="2"/>
      <c r="P21" s="2"/>
      <c r="Q21" s="2"/>
      <c r="R21" s="2"/>
    </row>
    <row r="22" spans="1:18" ht="18.75" customHeight="1" x14ac:dyDescent="0.3">
      <c r="A22" s="77"/>
      <c r="B22" s="77"/>
      <c r="C22" s="77"/>
      <c r="D22" s="78"/>
      <c r="E22" s="78"/>
      <c r="F22" s="79"/>
      <c r="G22" s="33"/>
      <c r="H22" s="33"/>
      <c r="I22" s="52"/>
      <c r="J22" s="68"/>
      <c r="K22" s="87"/>
      <c r="L22" s="88"/>
      <c r="M22" s="49"/>
      <c r="N22" s="2"/>
      <c r="O22" s="2"/>
      <c r="P22" s="2"/>
      <c r="Q22" s="2"/>
      <c r="R22" s="2"/>
    </row>
    <row r="23" spans="1:18" ht="18.75" customHeight="1" x14ac:dyDescent="0.3">
      <c r="A23" s="77"/>
      <c r="B23" s="77"/>
      <c r="C23" s="77"/>
      <c r="D23" s="78"/>
      <c r="E23" s="78"/>
      <c r="F23" s="79"/>
      <c r="G23" s="33"/>
      <c r="H23" s="33"/>
      <c r="I23" s="52"/>
      <c r="J23" s="68"/>
      <c r="K23" s="87"/>
      <c r="L23" s="88"/>
      <c r="M23" s="49"/>
      <c r="N23" s="2"/>
      <c r="O23" s="2"/>
      <c r="P23" s="2"/>
      <c r="Q23" s="2"/>
      <c r="R23" s="2"/>
    </row>
    <row r="24" spans="1:18" ht="18.75" customHeight="1" x14ac:dyDescent="0.3">
      <c r="A24" s="77"/>
      <c r="B24" s="77"/>
      <c r="C24" s="77"/>
      <c r="D24" s="78"/>
      <c r="E24" s="78"/>
      <c r="F24" s="79"/>
      <c r="G24" s="33"/>
      <c r="H24" s="33"/>
      <c r="I24" s="52"/>
      <c r="J24" s="68"/>
      <c r="K24" s="87"/>
      <c r="L24" s="88"/>
      <c r="M24" s="49"/>
      <c r="N24" s="2"/>
      <c r="O24" s="2"/>
      <c r="P24" s="2"/>
      <c r="Q24" s="2"/>
      <c r="R24" s="2"/>
    </row>
    <row r="25" spans="1:18" ht="18.75" customHeight="1" x14ac:dyDescent="0.3">
      <c r="A25" s="77"/>
      <c r="B25" s="77"/>
      <c r="C25" s="77"/>
      <c r="D25" s="78"/>
      <c r="E25" s="78"/>
      <c r="F25" s="79"/>
      <c r="G25" s="33"/>
      <c r="H25" s="33"/>
      <c r="I25" s="52"/>
      <c r="J25" s="68"/>
      <c r="K25" s="87"/>
      <c r="L25" s="88"/>
      <c r="M25" s="49"/>
      <c r="N25" s="2"/>
      <c r="O25" s="2"/>
      <c r="P25" s="2"/>
      <c r="Q25" s="2"/>
      <c r="R25" s="2"/>
    </row>
    <row r="26" spans="1:18" ht="18.75" customHeight="1" x14ac:dyDescent="0.3">
      <c r="A26" s="77"/>
      <c r="B26" s="77"/>
      <c r="C26" s="77"/>
      <c r="D26" s="78"/>
      <c r="E26" s="78"/>
      <c r="F26" s="79"/>
      <c r="G26" s="33"/>
      <c r="H26" s="33"/>
      <c r="I26" s="52"/>
      <c r="J26" s="68"/>
      <c r="K26" s="87"/>
      <c r="L26" s="88"/>
      <c r="M26" s="89"/>
      <c r="N26" s="2"/>
      <c r="O26" s="2"/>
      <c r="P26" s="2"/>
      <c r="Q26" s="2"/>
      <c r="R26" s="2"/>
    </row>
    <row r="27" spans="1:18" ht="18.75" customHeight="1" x14ac:dyDescent="0.3">
      <c r="A27" s="77"/>
      <c r="B27" s="77"/>
      <c r="C27" s="77"/>
      <c r="D27" s="78"/>
      <c r="E27" s="78"/>
      <c r="F27" s="79"/>
      <c r="G27" s="33"/>
      <c r="H27" s="33"/>
      <c r="I27" s="52"/>
      <c r="J27" s="68"/>
      <c r="K27" s="87"/>
      <c r="L27" s="88"/>
      <c r="M27" s="89"/>
      <c r="N27" s="2"/>
      <c r="O27" s="2"/>
      <c r="P27" s="2"/>
      <c r="Q27" s="2"/>
      <c r="R27" s="2"/>
    </row>
    <row r="28" spans="1:18" ht="18.75" customHeight="1" x14ac:dyDescent="0.3">
      <c r="A28" s="77"/>
      <c r="B28" s="77"/>
      <c r="C28" s="77"/>
      <c r="D28" s="78"/>
      <c r="E28" s="78"/>
      <c r="F28" s="79"/>
      <c r="G28" s="33"/>
      <c r="H28" s="33"/>
      <c r="I28" s="52"/>
      <c r="J28" s="68"/>
      <c r="K28" s="87"/>
      <c r="L28" s="88"/>
      <c r="M28" s="49"/>
      <c r="N28" s="2"/>
      <c r="O28" s="2"/>
      <c r="P28" s="2"/>
      <c r="Q28" s="2"/>
      <c r="R28" s="2"/>
    </row>
    <row r="29" spans="1:18" ht="18.75" customHeight="1" x14ac:dyDescent="0.3">
      <c r="A29" s="77"/>
      <c r="B29" s="77"/>
      <c r="C29" s="77"/>
      <c r="D29" s="78"/>
      <c r="E29" s="78"/>
      <c r="F29" s="79"/>
      <c r="G29" s="33"/>
      <c r="H29" s="33"/>
      <c r="I29" s="52"/>
      <c r="J29" s="68"/>
      <c r="K29" s="87"/>
      <c r="L29" s="88"/>
      <c r="M29" s="49"/>
      <c r="N29" s="2"/>
      <c r="O29" s="2"/>
      <c r="P29" s="2"/>
      <c r="Q29" s="2"/>
      <c r="R29" s="2"/>
    </row>
    <row r="30" spans="1:18" ht="18.75" customHeight="1" x14ac:dyDescent="0.3">
      <c r="A30" s="77"/>
      <c r="B30" s="77"/>
      <c r="C30" s="77"/>
      <c r="D30" s="78"/>
      <c r="E30" s="78"/>
      <c r="F30" s="79"/>
      <c r="G30" s="33"/>
      <c r="H30" s="33"/>
      <c r="I30" s="52"/>
      <c r="J30" s="68"/>
      <c r="K30" s="87"/>
      <c r="L30" s="88"/>
      <c r="M30" s="49"/>
      <c r="N30" s="2"/>
      <c r="O30" s="2"/>
      <c r="P30" s="2"/>
      <c r="Q30" s="2"/>
      <c r="R30" s="2"/>
    </row>
    <row r="31" spans="1:18" ht="18.75" customHeight="1" x14ac:dyDescent="0.3">
      <c r="A31" s="77"/>
      <c r="B31" s="77"/>
      <c r="C31" s="77"/>
      <c r="D31" s="78"/>
      <c r="E31" s="78"/>
      <c r="F31" s="79"/>
      <c r="G31" s="33"/>
      <c r="H31" s="33"/>
      <c r="I31" s="52"/>
      <c r="J31" s="68"/>
      <c r="K31" s="87"/>
      <c r="L31" s="88"/>
      <c r="M31" s="49"/>
      <c r="N31" s="2"/>
      <c r="O31" s="2"/>
      <c r="P31" s="2"/>
      <c r="Q31" s="2"/>
      <c r="R31" s="2"/>
    </row>
    <row r="32" spans="1:18" ht="18.75" customHeight="1" x14ac:dyDescent="0.3">
      <c r="A32" s="77"/>
      <c r="B32" s="77"/>
      <c r="C32" s="77"/>
      <c r="D32" s="78"/>
      <c r="E32" s="78"/>
      <c r="F32" s="79"/>
      <c r="G32" s="29"/>
      <c r="H32" s="29"/>
      <c r="I32" s="52"/>
      <c r="J32" s="68"/>
      <c r="K32" s="87"/>
      <c r="L32" s="88"/>
      <c r="M32" s="2"/>
      <c r="N32" s="2"/>
      <c r="O32" s="2"/>
      <c r="P32" s="2"/>
      <c r="Q32" s="2"/>
      <c r="R32" s="2"/>
    </row>
    <row r="33" spans="1:18" ht="18.75" customHeight="1" x14ac:dyDescent="0.3">
      <c r="A33" s="77"/>
      <c r="B33" s="77"/>
      <c r="C33" s="77"/>
      <c r="D33" s="78"/>
      <c r="E33" s="78"/>
      <c r="F33" s="79"/>
      <c r="G33" s="29"/>
      <c r="H33" s="29"/>
      <c r="I33" s="52"/>
      <c r="J33" s="68"/>
      <c r="K33" s="87"/>
      <c r="L33" s="88"/>
      <c r="M33" s="2"/>
      <c r="N33" s="2"/>
      <c r="O33" s="2"/>
      <c r="P33" s="2"/>
      <c r="Q33" s="2"/>
      <c r="R33" s="2"/>
    </row>
    <row r="34" spans="1:18" ht="18.75" customHeight="1" x14ac:dyDescent="0.3">
      <c r="A34" s="77"/>
      <c r="B34" s="77"/>
      <c r="C34" s="77"/>
      <c r="D34" s="78"/>
      <c r="E34" s="78"/>
      <c r="F34" s="79"/>
      <c r="G34" s="29"/>
      <c r="H34" s="29"/>
      <c r="I34" s="52"/>
      <c r="J34" s="68"/>
      <c r="K34" s="87"/>
      <c r="L34" s="88"/>
      <c r="M34" s="2"/>
      <c r="N34" s="2"/>
      <c r="O34" s="2"/>
      <c r="P34" s="2"/>
      <c r="Q34" s="2"/>
      <c r="R34" s="2"/>
    </row>
    <row r="35" spans="1:18" ht="18.75" customHeight="1" x14ac:dyDescent="0.3">
      <c r="A35" s="77"/>
      <c r="B35" s="77"/>
      <c r="C35" s="77"/>
      <c r="D35" s="78"/>
      <c r="E35" s="78"/>
      <c r="F35" s="79"/>
      <c r="G35" s="29"/>
      <c r="H35" s="29"/>
      <c r="I35" s="52"/>
      <c r="J35" s="68"/>
      <c r="K35" s="87"/>
      <c r="L35" s="88"/>
      <c r="M35" s="2"/>
      <c r="N35" s="2"/>
      <c r="O35" s="2"/>
      <c r="P35" s="2"/>
      <c r="Q35" s="2"/>
      <c r="R35" s="2"/>
    </row>
    <row r="36" spans="1:18" ht="18.75" customHeight="1" x14ac:dyDescent="0.3">
      <c r="A36" s="77"/>
      <c r="B36" s="77"/>
      <c r="C36" s="77"/>
      <c r="D36" s="78"/>
      <c r="E36" s="78"/>
      <c r="F36" s="79"/>
      <c r="G36" s="29"/>
      <c r="H36" s="29"/>
      <c r="I36" s="52"/>
      <c r="J36" s="68"/>
      <c r="K36" s="87"/>
      <c r="L36" s="88"/>
      <c r="M36" s="2"/>
      <c r="N36" s="2"/>
      <c r="O36" s="2"/>
      <c r="P36" s="2"/>
      <c r="Q36" s="2"/>
      <c r="R36" s="2"/>
    </row>
    <row r="37" spans="1:18" ht="18.75" customHeight="1" x14ac:dyDescent="0.3">
      <c r="A37" s="77"/>
      <c r="B37" s="77"/>
      <c r="C37" s="77"/>
      <c r="D37" s="78"/>
      <c r="E37" s="78"/>
      <c r="F37" s="79"/>
      <c r="G37" s="29"/>
      <c r="H37" s="29"/>
      <c r="I37" s="52"/>
      <c r="J37" s="68"/>
      <c r="K37" s="87"/>
      <c r="L37" s="88"/>
      <c r="M37" s="2"/>
      <c r="N37" s="2"/>
      <c r="O37" s="2"/>
      <c r="P37" s="2"/>
      <c r="Q37" s="2"/>
      <c r="R37" s="2"/>
    </row>
    <row r="38" spans="1:18" ht="18.75" customHeight="1" x14ac:dyDescent="0.3">
      <c r="A38" s="77"/>
      <c r="B38" s="77"/>
      <c r="C38" s="77"/>
      <c r="D38" s="78"/>
      <c r="E38" s="78"/>
      <c r="F38" s="79"/>
      <c r="G38" s="29"/>
      <c r="H38" s="29"/>
      <c r="I38" s="52"/>
      <c r="J38" s="68"/>
      <c r="K38" s="87"/>
      <c r="L38" s="88"/>
      <c r="M38" s="2"/>
      <c r="N38" s="2"/>
      <c r="O38" s="2"/>
      <c r="P38" s="2"/>
      <c r="Q38" s="2"/>
      <c r="R3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V88"/>
  <sheetViews>
    <sheetView workbookViewId="0"/>
  </sheetViews>
  <sheetFormatPr defaultRowHeight="14.4" x14ac:dyDescent="0.3"/>
  <cols>
    <col min="1" max="1" width="35.33203125" style="51" bestFit="1" customWidth="1"/>
    <col min="2" max="2" width="19.109375" style="51" bestFit="1" customWidth="1"/>
    <col min="3" max="3" width="20.6640625" style="69" bestFit="1" customWidth="1"/>
    <col min="4" max="4" width="10.6640625" style="69" bestFit="1" customWidth="1"/>
    <col min="5" max="5" width="8" style="70" bestFit="1" customWidth="1"/>
    <col min="6" max="6" width="18.44140625" style="70" bestFit="1" customWidth="1"/>
    <col min="7" max="7" width="21.33203125" style="69" bestFit="1" customWidth="1"/>
    <col min="8" max="8" width="11.88671875" style="71" bestFit="1" customWidth="1"/>
    <col min="9" max="9" width="14" style="9" bestFit="1" customWidth="1"/>
    <col min="10" max="10" width="9.109375" style="9" bestFit="1" customWidth="1"/>
    <col min="11" max="11" width="9.109375" style="71" bestFit="1" customWidth="1"/>
    <col min="12" max="12" width="24.109375" style="9" bestFit="1" customWidth="1"/>
    <col min="13" max="22" width="13.5546875" style="9" bestFit="1" customWidth="1"/>
  </cols>
  <sheetData>
    <row r="1" spans="1:22" s="43" customFormat="1" ht="18.75" customHeight="1" x14ac:dyDescent="0.3">
      <c r="A1" s="53" t="s">
        <v>330</v>
      </c>
      <c r="B1" s="53" t="s">
        <v>62</v>
      </c>
      <c r="C1" s="53" t="s">
        <v>331</v>
      </c>
      <c r="D1" s="54" t="s">
        <v>339</v>
      </c>
      <c r="E1" s="55" t="s">
        <v>340</v>
      </c>
      <c r="F1" s="56" t="s">
        <v>332</v>
      </c>
      <c r="G1" s="57" t="s">
        <v>208</v>
      </c>
      <c r="H1" s="56" t="s">
        <v>313</v>
      </c>
      <c r="I1" s="53" t="s">
        <v>314</v>
      </c>
      <c r="J1" s="53" t="s">
        <v>338</v>
      </c>
      <c r="K1" s="58" t="s">
        <v>337</v>
      </c>
      <c r="L1" s="44" t="s">
        <v>313</v>
      </c>
      <c r="M1" s="44" t="s">
        <v>314</v>
      </c>
      <c r="N1" s="44" t="s">
        <v>338</v>
      </c>
      <c r="O1" s="44" t="s">
        <v>342</v>
      </c>
      <c r="P1" s="44" t="s">
        <v>343</v>
      </c>
      <c r="Q1" s="44" t="s">
        <v>344</v>
      </c>
      <c r="R1" s="44" t="s">
        <v>345</v>
      </c>
      <c r="S1" s="44" t="s">
        <v>346</v>
      </c>
      <c r="T1" s="44" t="s">
        <v>347</v>
      </c>
      <c r="U1" s="44" t="s">
        <v>348</v>
      </c>
      <c r="V1" s="44" t="s">
        <v>349</v>
      </c>
    </row>
    <row r="2" spans="1:22" ht="18.75" customHeight="1" x14ac:dyDescent="0.3">
      <c r="A2" s="54" t="s">
        <v>350</v>
      </c>
      <c r="B2" s="54" t="s">
        <v>350</v>
      </c>
      <c r="C2" s="54" t="s">
        <v>49</v>
      </c>
      <c r="D2" s="59" t="s">
        <v>351</v>
      </c>
      <c r="E2" s="55">
        <f t="shared" ref="E2:E14" si="0">ROUND(F2*0.1,0)</f>
        <v>2</v>
      </c>
      <c r="F2" s="60">
        <v>16.899999999999999</v>
      </c>
      <c r="G2" s="57" t="s">
        <v>111</v>
      </c>
      <c r="H2" s="61"/>
      <c r="I2" s="62"/>
      <c r="J2" s="2"/>
      <c r="K2" s="36"/>
      <c r="L2" s="50"/>
      <c r="M2" s="50"/>
      <c r="N2" s="50"/>
      <c r="O2" s="2"/>
      <c r="P2" s="2"/>
      <c r="Q2" s="2"/>
      <c r="R2" s="2"/>
      <c r="S2" s="2"/>
      <c r="T2" s="2"/>
      <c r="U2" s="2"/>
      <c r="V2" s="2"/>
    </row>
    <row r="3" spans="1:22" ht="18.75" customHeight="1" x14ac:dyDescent="0.3">
      <c r="A3" s="54" t="s">
        <v>352</v>
      </c>
      <c r="B3" s="54" t="s">
        <v>352</v>
      </c>
      <c r="C3" s="54" t="s">
        <v>49</v>
      </c>
      <c r="D3" s="59" t="s">
        <v>351</v>
      </c>
      <c r="E3" s="55">
        <f t="shared" si="0"/>
        <v>2</v>
      </c>
      <c r="F3" s="55">
        <v>15</v>
      </c>
      <c r="G3" s="57" t="s">
        <v>80</v>
      </c>
      <c r="H3" s="36"/>
      <c r="I3" s="50"/>
      <c r="J3" s="2"/>
      <c r="K3" s="36"/>
      <c r="L3" s="50"/>
      <c r="M3" s="50"/>
      <c r="N3" s="50"/>
      <c r="O3" s="2"/>
      <c r="P3" s="2"/>
      <c r="Q3" s="2"/>
      <c r="R3" s="2"/>
      <c r="S3" s="2"/>
      <c r="T3" s="2"/>
      <c r="U3" s="2"/>
      <c r="V3" s="2"/>
    </row>
    <row r="4" spans="1:22" ht="18.75" customHeight="1" x14ac:dyDescent="0.3">
      <c r="A4" s="54" t="s">
        <v>353</v>
      </c>
      <c r="B4" s="54" t="s">
        <v>353</v>
      </c>
      <c r="C4" s="54" t="s">
        <v>49</v>
      </c>
      <c r="D4" s="59" t="s">
        <v>351</v>
      </c>
      <c r="E4" s="55">
        <f t="shared" si="0"/>
        <v>2</v>
      </c>
      <c r="F4" s="55">
        <v>23</v>
      </c>
      <c r="G4" s="57" t="s">
        <v>97</v>
      </c>
      <c r="H4" s="36"/>
      <c r="I4" s="50"/>
      <c r="J4" s="2"/>
      <c r="K4" s="36"/>
      <c r="L4" s="2"/>
      <c r="M4" s="50"/>
      <c r="N4" s="50"/>
      <c r="O4" s="2"/>
      <c r="P4" s="2"/>
      <c r="Q4" s="2"/>
      <c r="R4" s="2"/>
      <c r="S4" s="2"/>
      <c r="T4" s="2"/>
      <c r="U4" s="2"/>
      <c r="V4" s="2"/>
    </row>
    <row r="5" spans="1:22" ht="18.75" customHeight="1" x14ac:dyDescent="0.3">
      <c r="A5" s="54" t="s">
        <v>354</v>
      </c>
      <c r="B5" s="54" t="s">
        <v>354</v>
      </c>
      <c r="C5" s="54" t="s">
        <v>49</v>
      </c>
      <c r="D5" s="59" t="s">
        <v>351</v>
      </c>
      <c r="E5" s="55">
        <f t="shared" si="0"/>
        <v>5</v>
      </c>
      <c r="F5" s="55">
        <v>50</v>
      </c>
      <c r="G5" s="57" t="s">
        <v>94</v>
      </c>
      <c r="H5" s="36"/>
      <c r="I5" s="50"/>
      <c r="J5" s="2"/>
      <c r="K5" s="36"/>
      <c r="L5" s="2"/>
      <c r="M5" s="50"/>
      <c r="N5" s="50"/>
      <c r="O5" s="2"/>
      <c r="P5" s="2"/>
      <c r="Q5" s="2"/>
      <c r="R5" s="2"/>
      <c r="S5" s="2"/>
      <c r="T5" s="2"/>
      <c r="U5" s="2"/>
      <c r="V5" s="2"/>
    </row>
    <row r="6" spans="1:22" ht="18.75" customHeight="1" x14ac:dyDescent="0.3">
      <c r="A6" s="54" t="s">
        <v>355</v>
      </c>
      <c r="B6" s="54" t="s">
        <v>355</v>
      </c>
      <c r="C6" s="54" t="s">
        <v>49</v>
      </c>
      <c r="D6" s="59" t="s">
        <v>351</v>
      </c>
      <c r="E6" s="55">
        <f t="shared" si="0"/>
        <v>0</v>
      </c>
      <c r="F6" s="55">
        <v>4</v>
      </c>
      <c r="G6" s="57" t="s">
        <v>77</v>
      </c>
      <c r="H6" s="36"/>
      <c r="I6" s="50"/>
      <c r="J6" s="49"/>
      <c r="K6" s="63"/>
      <c r="L6" s="2"/>
      <c r="M6" s="50"/>
      <c r="N6" s="50"/>
      <c r="O6" s="2"/>
      <c r="P6" s="2"/>
      <c r="Q6" s="2"/>
      <c r="R6" s="2"/>
      <c r="S6" s="2"/>
      <c r="T6" s="2"/>
      <c r="U6" s="2"/>
      <c r="V6" s="2"/>
    </row>
    <row r="7" spans="1:22" ht="18.75" customHeight="1" x14ac:dyDescent="0.3">
      <c r="A7" s="54" t="s">
        <v>356</v>
      </c>
      <c r="B7" s="54" t="s">
        <v>356</v>
      </c>
      <c r="C7" s="54" t="s">
        <v>49</v>
      </c>
      <c r="D7" s="59" t="s">
        <v>351</v>
      </c>
      <c r="E7" s="55">
        <f t="shared" si="0"/>
        <v>0</v>
      </c>
      <c r="F7" s="55">
        <v>1</v>
      </c>
      <c r="G7" s="57" t="s">
        <v>113</v>
      </c>
      <c r="H7" s="36"/>
      <c r="I7" s="50"/>
      <c r="J7" s="49"/>
      <c r="K7" s="63"/>
      <c r="L7" s="2"/>
      <c r="M7" s="50"/>
      <c r="N7" s="50"/>
      <c r="O7" s="2"/>
      <c r="P7" s="2"/>
      <c r="Q7" s="2"/>
      <c r="R7" s="2"/>
      <c r="S7" s="2"/>
      <c r="T7" s="2"/>
      <c r="U7" s="2"/>
      <c r="V7" s="2"/>
    </row>
    <row r="8" spans="1:22" ht="18.75" customHeight="1" x14ac:dyDescent="0.3">
      <c r="A8" s="54" t="s">
        <v>357</v>
      </c>
      <c r="B8" s="54" t="s">
        <v>357</v>
      </c>
      <c r="C8" s="54" t="s">
        <v>49</v>
      </c>
      <c r="D8" s="59" t="s">
        <v>351</v>
      </c>
      <c r="E8" s="55">
        <f t="shared" si="0"/>
        <v>1</v>
      </c>
      <c r="F8" s="55">
        <v>12</v>
      </c>
      <c r="G8" s="57" t="s">
        <v>183</v>
      </c>
      <c r="H8" s="36"/>
      <c r="I8" s="50"/>
      <c r="J8" s="49"/>
      <c r="K8" s="63"/>
      <c r="L8" s="2"/>
      <c r="M8" s="50"/>
      <c r="N8" s="50"/>
      <c r="O8" s="2"/>
      <c r="P8" s="2"/>
      <c r="Q8" s="2"/>
      <c r="R8" s="2"/>
      <c r="S8" s="2"/>
      <c r="T8" s="2"/>
      <c r="U8" s="2"/>
      <c r="V8" s="2"/>
    </row>
    <row r="9" spans="1:22" ht="18.75" customHeight="1" x14ac:dyDescent="0.3">
      <c r="A9" s="54" t="s">
        <v>358</v>
      </c>
      <c r="B9" s="54" t="s">
        <v>358</v>
      </c>
      <c r="C9" s="54" t="s">
        <v>49</v>
      </c>
      <c r="D9" s="59" t="s">
        <v>351</v>
      </c>
      <c r="E9" s="55">
        <f t="shared" si="0"/>
        <v>1</v>
      </c>
      <c r="F9" s="55">
        <v>9</v>
      </c>
      <c r="G9" s="57" t="s">
        <v>77</v>
      </c>
      <c r="H9" s="36"/>
      <c r="I9" s="50"/>
      <c r="J9" s="64"/>
      <c r="K9" s="63"/>
      <c r="L9" s="2"/>
      <c r="M9" s="50"/>
      <c r="N9" s="50"/>
      <c r="O9" s="2"/>
      <c r="P9" s="2"/>
      <c r="Q9" s="2"/>
      <c r="R9" s="2"/>
      <c r="S9" s="2"/>
      <c r="T9" s="2"/>
      <c r="U9" s="2"/>
      <c r="V9" s="2"/>
    </row>
    <row r="10" spans="1:22" ht="18.75" customHeight="1" x14ac:dyDescent="0.3">
      <c r="A10" s="54" t="s">
        <v>359</v>
      </c>
      <c r="B10" s="54" t="s">
        <v>359</v>
      </c>
      <c r="C10" s="54" t="s">
        <v>49</v>
      </c>
      <c r="D10" s="59" t="s">
        <v>351</v>
      </c>
      <c r="E10" s="55">
        <f t="shared" si="0"/>
        <v>7</v>
      </c>
      <c r="F10" s="55">
        <v>68</v>
      </c>
      <c r="G10" s="57" t="s">
        <v>97</v>
      </c>
      <c r="H10" s="36"/>
      <c r="I10" s="50"/>
      <c r="J10" s="49"/>
      <c r="K10" s="63"/>
      <c r="L10" s="2"/>
      <c r="M10" s="50"/>
      <c r="N10" s="50"/>
      <c r="O10" s="2"/>
      <c r="P10" s="2"/>
      <c r="Q10" s="2"/>
      <c r="R10" s="2"/>
      <c r="S10" s="2"/>
      <c r="T10" s="2"/>
      <c r="U10" s="2"/>
      <c r="V10" s="2"/>
    </row>
    <row r="11" spans="1:22" ht="18.75" customHeight="1" x14ac:dyDescent="0.3">
      <c r="A11" s="54" t="s">
        <v>360</v>
      </c>
      <c r="B11" s="54" t="s">
        <v>360</v>
      </c>
      <c r="C11" s="54" t="s">
        <v>49</v>
      </c>
      <c r="D11" s="59" t="s">
        <v>351</v>
      </c>
      <c r="E11" s="55">
        <f t="shared" si="0"/>
        <v>3</v>
      </c>
      <c r="F11" s="55">
        <v>32</v>
      </c>
      <c r="G11" s="57" t="s">
        <v>80</v>
      </c>
      <c r="H11" s="61"/>
      <c r="I11" s="62"/>
      <c r="J11" s="49"/>
      <c r="K11" s="63"/>
      <c r="L11" s="2"/>
      <c r="M11" s="50"/>
      <c r="N11" s="50"/>
      <c r="O11" s="2"/>
      <c r="P11" s="2"/>
      <c r="Q11" s="2"/>
      <c r="R11" s="2"/>
      <c r="S11" s="2"/>
      <c r="T11" s="2"/>
      <c r="U11" s="2"/>
      <c r="V11" s="2"/>
    </row>
    <row r="12" spans="1:22" ht="17.25" customHeight="1" x14ac:dyDescent="0.3">
      <c r="A12" s="54" t="s">
        <v>361</v>
      </c>
      <c r="B12" s="54" t="s">
        <v>361</v>
      </c>
      <c r="C12" s="54" t="s">
        <v>49</v>
      </c>
      <c r="D12" s="59" t="s">
        <v>351</v>
      </c>
      <c r="E12" s="55">
        <f t="shared" si="0"/>
        <v>3</v>
      </c>
      <c r="F12" s="60">
        <v>25.1</v>
      </c>
      <c r="G12" s="57" t="s">
        <v>73</v>
      </c>
      <c r="H12" s="36"/>
      <c r="I12" s="50"/>
      <c r="J12" s="49"/>
      <c r="K12" s="6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 x14ac:dyDescent="0.3">
      <c r="A13" s="54" t="s">
        <v>362</v>
      </c>
      <c r="B13" s="54" t="s">
        <v>362</v>
      </c>
      <c r="C13" s="54" t="s">
        <v>49</v>
      </c>
      <c r="D13" s="59" t="s">
        <v>351</v>
      </c>
      <c r="E13" s="55">
        <f t="shared" si="0"/>
        <v>4</v>
      </c>
      <c r="F13" s="55">
        <v>36</v>
      </c>
      <c r="G13" s="57" t="s">
        <v>159</v>
      </c>
      <c r="H13" s="65"/>
      <c r="I13" s="47"/>
      <c r="J13" s="47"/>
      <c r="K13" s="6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 x14ac:dyDescent="0.3">
      <c r="A14" s="54" t="s">
        <v>363</v>
      </c>
      <c r="B14" s="54" t="s">
        <v>363</v>
      </c>
      <c r="C14" s="54" t="s">
        <v>49</v>
      </c>
      <c r="D14" s="59" t="s">
        <v>351</v>
      </c>
      <c r="E14" s="55">
        <f t="shared" si="0"/>
        <v>13</v>
      </c>
      <c r="F14" s="55">
        <v>131</v>
      </c>
      <c r="G14" s="57" t="s">
        <v>111</v>
      </c>
      <c r="H14" s="65"/>
      <c r="I14" s="47"/>
      <c r="J14" s="47"/>
      <c r="K14" s="6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 x14ac:dyDescent="0.3">
      <c r="A15" s="54" t="s">
        <v>364</v>
      </c>
      <c r="B15" s="54" t="s">
        <v>364</v>
      </c>
      <c r="C15" s="54" t="s">
        <v>33</v>
      </c>
      <c r="D15" s="59" t="s">
        <v>365</v>
      </c>
      <c r="E15" s="55">
        <v>0</v>
      </c>
      <c r="F15" s="55">
        <v>555</v>
      </c>
      <c r="G15" s="57" t="s">
        <v>183</v>
      </c>
      <c r="H15" s="36"/>
      <c r="I15" s="50"/>
      <c r="J15" s="50"/>
      <c r="K15" s="6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 x14ac:dyDescent="0.3">
      <c r="A16" s="54" t="s">
        <v>366</v>
      </c>
      <c r="B16" s="54" t="s">
        <v>366</v>
      </c>
      <c r="C16" s="54" t="s">
        <v>33</v>
      </c>
      <c r="D16" s="59" t="s">
        <v>365</v>
      </c>
      <c r="E16" s="55">
        <v>0</v>
      </c>
      <c r="F16" s="55">
        <v>1371</v>
      </c>
      <c r="G16" s="57" t="s">
        <v>182</v>
      </c>
      <c r="H16" s="36"/>
      <c r="I16" s="50"/>
      <c r="J16" s="50"/>
      <c r="K16" s="6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 x14ac:dyDescent="0.3">
      <c r="A17" s="54" t="s">
        <v>367</v>
      </c>
      <c r="B17" s="54" t="s">
        <v>367</v>
      </c>
      <c r="C17" s="54" t="s">
        <v>33</v>
      </c>
      <c r="D17" s="59" t="s">
        <v>365</v>
      </c>
      <c r="E17" s="55">
        <v>0</v>
      </c>
      <c r="F17" s="55">
        <v>151</v>
      </c>
      <c r="G17" s="57" t="s">
        <v>80</v>
      </c>
      <c r="H17" s="36"/>
      <c r="I17" s="50"/>
      <c r="J17" s="50"/>
      <c r="K17" s="6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 x14ac:dyDescent="0.3">
      <c r="A18" s="54" t="s">
        <v>368</v>
      </c>
      <c r="B18" s="54" t="s">
        <v>368</v>
      </c>
      <c r="C18" s="54" t="s">
        <v>33</v>
      </c>
      <c r="D18" s="59" t="s">
        <v>365</v>
      </c>
      <c r="E18" s="55">
        <v>0</v>
      </c>
      <c r="F18" s="55">
        <v>1366</v>
      </c>
      <c r="G18" s="57" t="s">
        <v>182</v>
      </c>
      <c r="H18" s="36"/>
      <c r="I18" s="50"/>
      <c r="J18" s="50"/>
      <c r="K18" s="6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 x14ac:dyDescent="0.3">
      <c r="A19" s="54" t="s">
        <v>369</v>
      </c>
      <c r="B19" s="54" t="s">
        <v>369</v>
      </c>
      <c r="C19" s="54" t="s">
        <v>33</v>
      </c>
      <c r="D19" s="59" t="s">
        <v>365</v>
      </c>
      <c r="E19" s="55">
        <v>0</v>
      </c>
      <c r="F19" s="55">
        <v>816</v>
      </c>
      <c r="G19" s="57" t="s">
        <v>159</v>
      </c>
      <c r="H19" s="36"/>
      <c r="I19" s="50"/>
      <c r="J19" s="50"/>
      <c r="K19" s="6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 customHeight="1" x14ac:dyDescent="0.3">
      <c r="A20" s="54" t="s">
        <v>370</v>
      </c>
      <c r="B20" s="54" t="s">
        <v>370</v>
      </c>
      <c r="C20" s="54" t="s">
        <v>33</v>
      </c>
      <c r="D20" s="59" t="s">
        <v>365</v>
      </c>
      <c r="E20" s="55">
        <v>0</v>
      </c>
      <c r="F20" s="55">
        <v>807</v>
      </c>
      <c r="G20" s="57" t="s">
        <v>91</v>
      </c>
      <c r="H20" s="36"/>
      <c r="I20" s="50"/>
      <c r="J20" s="50"/>
      <c r="K20" s="6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 x14ac:dyDescent="0.3">
      <c r="A21" s="54" t="s">
        <v>371</v>
      </c>
      <c r="B21" s="54" t="s">
        <v>371</v>
      </c>
      <c r="C21" s="54" t="s">
        <v>372</v>
      </c>
      <c r="D21" s="59" t="s">
        <v>373</v>
      </c>
      <c r="E21" s="55">
        <v>0</v>
      </c>
      <c r="F21" s="55">
        <v>156</v>
      </c>
      <c r="G21" s="57" t="s">
        <v>196</v>
      </c>
      <c r="H21" s="36"/>
      <c r="I21" s="50"/>
      <c r="J21" s="50"/>
      <c r="K21" s="6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 customHeight="1" x14ac:dyDescent="0.3">
      <c r="A22" s="54" t="s">
        <v>374</v>
      </c>
      <c r="B22" s="54" t="s">
        <v>374</v>
      </c>
      <c r="C22" s="54" t="s">
        <v>372</v>
      </c>
      <c r="D22" s="59" t="s">
        <v>373</v>
      </c>
      <c r="E22" s="55">
        <v>0</v>
      </c>
      <c r="F22" s="55">
        <v>32</v>
      </c>
      <c r="G22" s="57" t="s">
        <v>205</v>
      </c>
      <c r="H22" s="36"/>
      <c r="I22" s="50"/>
      <c r="J22" s="50"/>
      <c r="K22" s="6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8.75" customHeight="1" x14ac:dyDescent="0.3">
      <c r="A23" s="54" t="s">
        <v>375</v>
      </c>
      <c r="B23" s="54" t="s">
        <v>375</v>
      </c>
      <c r="C23" s="54" t="s">
        <v>372</v>
      </c>
      <c r="D23" s="59" t="s">
        <v>373</v>
      </c>
      <c r="E23" s="55">
        <v>0</v>
      </c>
      <c r="F23" s="55">
        <v>96</v>
      </c>
      <c r="G23" s="57" t="s">
        <v>196</v>
      </c>
      <c r="H23" s="36"/>
      <c r="I23" s="50"/>
      <c r="J23" s="50"/>
      <c r="K23" s="6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 x14ac:dyDescent="0.3">
      <c r="A24" s="54" t="s">
        <v>376</v>
      </c>
      <c r="B24" s="54" t="s">
        <v>376</v>
      </c>
      <c r="C24" s="54" t="s">
        <v>377</v>
      </c>
      <c r="D24" s="59" t="s">
        <v>373</v>
      </c>
      <c r="E24" s="55">
        <v>0</v>
      </c>
      <c r="F24" s="60">
        <v>11.2</v>
      </c>
      <c r="G24" s="57" t="s">
        <v>196</v>
      </c>
      <c r="H24" s="36"/>
      <c r="I24" s="50"/>
      <c r="J24" s="50"/>
      <c r="K24" s="6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 x14ac:dyDescent="0.3">
      <c r="A25" s="54" t="s">
        <v>378</v>
      </c>
      <c r="B25" s="54" t="s">
        <v>378</v>
      </c>
      <c r="C25" s="54" t="s">
        <v>377</v>
      </c>
      <c r="D25" s="59" t="s">
        <v>373</v>
      </c>
      <c r="E25" s="55">
        <v>0</v>
      </c>
      <c r="F25" s="60">
        <v>14.7</v>
      </c>
      <c r="G25" s="57" t="s">
        <v>205</v>
      </c>
      <c r="H25" s="36"/>
      <c r="I25" s="50"/>
      <c r="J25" s="50"/>
      <c r="K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 x14ac:dyDescent="0.3">
      <c r="A26" s="54" t="s">
        <v>379</v>
      </c>
      <c r="B26" s="54" t="s">
        <v>379</v>
      </c>
      <c r="C26" s="54" t="s">
        <v>377</v>
      </c>
      <c r="D26" s="59" t="s">
        <v>373</v>
      </c>
      <c r="E26" s="55">
        <v>0</v>
      </c>
      <c r="F26" s="60">
        <v>16.8</v>
      </c>
      <c r="G26" s="57" t="s">
        <v>183</v>
      </c>
      <c r="H26" s="36"/>
      <c r="I26" s="50"/>
      <c r="J26" s="50"/>
      <c r="K26" s="6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 x14ac:dyDescent="0.3">
      <c r="A27" s="54" t="s">
        <v>380</v>
      </c>
      <c r="B27" s="54" t="s">
        <v>380</v>
      </c>
      <c r="C27" s="54" t="s">
        <v>377</v>
      </c>
      <c r="D27" s="59" t="s">
        <v>373</v>
      </c>
      <c r="E27" s="55">
        <v>0</v>
      </c>
      <c r="F27" s="55">
        <v>16</v>
      </c>
      <c r="G27" s="57" t="s">
        <v>141</v>
      </c>
      <c r="H27" s="36"/>
      <c r="I27" s="50"/>
      <c r="J27" s="50"/>
      <c r="K27" s="6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 x14ac:dyDescent="0.3">
      <c r="A28" s="54" t="s">
        <v>381</v>
      </c>
      <c r="B28" s="54" t="s">
        <v>381</v>
      </c>
      <c r="C28" s="54" t="s">
        <v>377</v>
      </c>
      <c r="D28" s="59" t="s">
        <v>373</v>
      </c>
      <c r="E28" s="55">
        <v>0</v>
      </c>
      <c r="F28" s="55">
        <v>5</v>
      </c>
      <c r="G28" s="57" t="s">
        <v>196</v>
      </c>
      <c r="H28" s="36"/>
      <c r="I28" s="50"/>
      <c r="J28" s="50"/>
      <c r="K28" s="6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 x14ac:dyDescent="0.3">
      <c r="A29" s="54" t="s">
        <v>382</v>
      </c>
      <c r="B29" s="54" t="s">
        <v>382</v>
      </c>
      <c r="C29" s="54" t="s">
        <v>377</v>
      </c>
      <c r="D29" s="59" t="s">
        <v>373</v>
      </c>
      <c r="E29" s="55">
        <v>0</v>
      </c>
      <c r="F29" s="55">
        <v>7</v>
      </c>
      <c r="G29" s="57" t="s">
        <v>205</v>
      </c>
      <c r="H29" s="36"/>
      <c r="I29" s="50"/>
      <c r="J29" s="50"/>
      <c r="K29" s="6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 x14ac:dyDescent="0.3">
      <c r="A30" s="54" t="s">
        <v>383</v>
      </c>
      <c r="B30" s="54" t="s">
        <v>383</v>
      </c>
      <c r="C30" s="54" t="s">
        <v>377</v>
      </c>
      <c r="D30" s="59" t="s">
        <v>373</v>
      </c>
      <c r="E30" s="55">
        <v>0</v>
      </c>
      <c r="F30" s="55">
        <v>31</v>
      </c>
      <c r="G30" s="57" t="s">
        <v>196</v>
      </c>
      <c r="H30" s="36"/>
      <c r="I30" s="50"/>
      <c r="J30" s="50"/>
      <c r="K30" s="6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 x14ac:dyDescent="0.3">
      <c r="A31" s="54" t="s">
        <v>384</v>
      </c>
      <c r="B31" s="54" t="s">
        <v>384</v>
      </c>
      <c r="C31" s="54" t="s">
        <v>377</v>
      </c>
      <c r="D31" s="59" t="s">
        <v>373</v>
      </c>
      <c r="E31" s="55">
        <v>0</v>
      </c>
      <c r="F31" s="55">
        <v>34</v>
      </c>
      <c r="G31" s="57" t="s">
        <v>205</v>
      </c>
      <c r="H31" s="36"/>
      <c r="I31" s="50"/>
      <c r="J31" s="50"/>
      <c r="K31" s="6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 x14ac:dyDescent="0.3">
      <c r="A32" s="54" t="s">
        <v>385</v>
      </c>
      <c r="B32" s="54" t="s">
        <v>385</v>
      </c>
      <c r="C32" s="54" t="s">
        <v>377</v>
      </c>
      <c r="D32" s="59" t="s">
        <v>373</v>
      </c>
      <c r="E32" s="55">
        <v>0</v>
      </c>
      <c r="F32" s="55">
        <v>3</v>
      </c>
      <c r="G32" s="57" t="s">
        <v>196</v>
      </c>
      <c r="H32" s="36"/>
      <c r="I32" s="50"/>
      <c r="J32" s="50"/>
      <c r="K32" s="6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 x14ac:dyDescent="0.3">
      <c r="A33" s="54" t="s">
        <v>386</v>
      </c>
      <c r="B33" s="54" t="s">
        <v>386</v>
      </c>
      <c r="C33" s="54" t="s">
        <v>377</v>
      </c>
      <c r="D33" s="59" t="s">
        <v>373</v>
      </c>
      <c r="E33" s="55">
        <v>0</v>
      </c>
      <c r="F33" s="60">
        <v>2.7</v>
      </c>
      <c r="G33" s="57" t="s">
        <v>205</v>
      </c>
      <c r="H33" s="36"/>
      <c r="I33" s="50"/>
      <c r="J33" s="50"/>
      <c r="K33" s="6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 x14ac:dyDescent="0.3">
      <c r="A34" s="54" t="s">
        <v>387</v>
      </c>
      <c r="B34" s="54" t="s">
        <v>387</v>
      </c>
      <c r="C34" s="54" t="s">
        <v>388</v>
      </c>
      <c r="D34" s="59" t="s">
        <v>389</v>
      </c>
      <c r="E34" s="55">
        <f t="shared" ref="E34:E75" si="1">ROUND(0.2*F34,0)</f>
        <v>18</v>
      </c>
      <c r="F34" s="55">
        <v>90</v>
      </c>
      <c r="G34" s="57" t="s">
        <v>80</v>
      </c>
      <c r="H34" s="36"/>
      <c r="I34" s="50"/>
      <c r="J34" s="50"/>
      <c r="K34" s="6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 x14ac:dyDescent="0.3">
      <c r="A35" s="54" t="s">
        <v>390</v>
      </c>
      <c r="B35" s="54" t="s">
        <v>390</v>
      </c>
      <c r="C35" s="54" t="s">
        <v>388</v>
      </c>
      <c r="D35" s="59" t="s">
        <v>389</v>
      </c>
      <c r="E35" s="55">
        <f t="shared" si="1"/>
        <v>5</v>
      </c>
      <c r="F35" s="55">
        <v>27</v>
      </c>
      <c r="G35" s="57" t="s">
        <v>205</v>
      </c>
      <c r="H35" s="36"/>
      <c r="I35" s="50"/>
      <c r="J35" s="50"/>
      <c r="K35" s="6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 x14ac:dyDescent="0.3">
      <c r="A36" s="54" t="s">
        <v>391</v>
      </c>
      <c r="B36" s="54" t="s">
        <v>391</v>
      </c>
      <c r="C36" s="54" t="s">
        <v>388</v>
      </c>
      <c r="D36" s="59" t="s">
        <v>389</v>
      </c>
      <c r="E36" s="55">
        <f t="shared" si="1"/>
        <v>4</v>
      </c>
      <c r="F36" s="55">
        <v>20</v>
      </c>
      <c r="G36" s="57" t="s">
        <v>73</v>
      </c>
      <c r="H36" s="36"/>
      <c r="I36" s="50"/>
      <c r="J36" s="50"/>
      <c r="K36" s="6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 x14ac:dyDescent="0.3">
      <c r="A37" s="54" t="s">
        <v>392</v>
      </c>
      <c r="B37" s="54" t="s">
        <v>392</v>
      </c>
      <c r="C37" s="54" t="s">
        <v>388</v>
      </c>
      <c r="D37" s="59" t="s">
        <v>389</v>
      </c>
      <c r="E37" s="55">
        <f t="shared" si="1"/>
        <v>13</v>
      </c>
      <c r="F37" s="55">
        <v>63</v>
      </c>
      <c r="G37" s="57" t="s">
        <v>97</v>
      </c>
      <c r="H37" s="36"/>
      <c r="I37" s="50"/>
      <c r="J37" s="50"/>
      <c r="K37" s="6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 x14ac:dyDescent="0.3">
      <c r="A38" s="54" t="s">
        <v>393</v>
      </c>
      <c r="B38" s="54" t="s">
        <v>393</v>
      </c>
      <c r="C38" s="54" t="s">
        <v>388</v>
      </c>
      <c r="D38" s="59" t="s">
        <v>389</v>
      </c>
      <c r="E38" s="55">
        <f t="shared" si="1"/>
        <v>2</v>
      </c>
      <c r="F38" s="55">
        <v>10</v>
      </c>
      <c r="G38" s="57" t="s">
        <v>126</v>
      </c>
      <c r="H38" s="36"/>
      <c r="I38" s="50"/>
      <c r="J38" s="50"/>
      <c r="K38" s="6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 x14ac:dyDescent="0.3">
      <c r="A39" s="54" t="s">
        <v>394</v>
      </c>
      <c r="B39" s="54" t="s">
        <v>394</v>
      </c>
      <c r="C39" s="54" t="s">
        <v>388</v>
      </c>
      <c r="D39" s="59" t="s">
        <v>389</v>
      </c>
      <c r="E39" s="55">
        <f t="shared" si="1"/>
        <v>9</v>
      </c>
      <c r="F39" s="55">
        <v>45</v>
      </c>
      <c r="G39" s="57" t="s">
        <v>73</v>
      </c>
      <c r="H39" s="36"/>
      <c r="I39" s="50"/>
      <c r="J39" s="50"/>
      <c r="K39" s="6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 x14ac:dyDescent="0.3">
      <c r="A40" s="54" t="s">
        <v>395</v>
      </c>
      <c r="B40" s="54" t="s">
        <v>395</v>
      </c>
      <c r="C40" s="54" t="s">
        <v>388</v>
      </c>
      <c r="D40" s="59" t="s">
        <v>389</v>
      </c>
      <c r="E40" s="55">
        <f t="shared" si="1"/>
        <v>14</v>
      </c>
      <c r="F40" s="55">
        <v>68</v>
      </c>
      <c r="G40" s="57" t="s">
        <v>159</v>
      </c>
      <c r="H40" s="36"/>
      <c r="I40" s="50"/>
      <c r="J40" s="50"/>
      <c r="K40" s="6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 x14ac:dyDescent="0.3">
      <c r="A41" s="54" t="s">
        <v>396</v>
      </c>
      <c r="B41" s="54" t="s">
        <v>396</v>
      </c>
      <c r="C41" s="54" t="s">
        <v>388</v>
      </c>
      <c r="D41" s="59" t="s">
        <v>389</v>
      </c>
      <c r="E41" s="55">
        <f t="shared" si="1"/>
        <v>21</v>
      </c>
      <c r="F41" s="55">
        <v>105</v>
      </c>
      <c r="G41" s="57" t="s">
        <v>80</v>
      </c>
      <c r="H41" s="36"/>
      <c r="I41" s="50"/>
      <c r="J41" s="50"/>
      <c r="K41" s="6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 x14ac:dyDescent="0.3">
      <c r="A42" s="54" t="s">
        <v>397</v>
      </c>
      <c r="B42" s="54" t="s">
        <v>397</v>
      </c>
      <c r="C42" s="54" t="s">
        <v>388</v>
      </c>
      <c r="D42" s="59" t="s">
        <v>389</v>
      </c>
      <c r="E42" s="55">
        <f t="shared" si="1"/>
        <v>7</v>
      </c>
      <c r="F42" s="55">
        <v>35</v>
      </c>
      <c r="G42" s="57" t="s">
        <v>159</v>
      </c>
      <c r="H42" s="36"/>
      <c r="I42" s="50"/>
      <c r="J42" s="50"/>
      <c r="K42" s="6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 x14ac:dyDescent="0.3">
      <c r="A43" s="54" t="s">
        <v>398</v>
      </c>
      <c r="B43" s="54" t="s">
        <v>398</v>
      </c>
      <c r="C43" s="54" t="s">
        <v>388</v>
      </c>
      <c r="D43" s="59" t="s">
        <v>389</v>
      </c>
      <c r="E43" s="55">
        <f t="shared" si="1"/>
        <v>1</v>
      </c>
      <c r="F43" s="55">
        <v>6</v>
      </c>
      <c r="G43" s="57" t="s">
        <v>77</v>
      </c>
      <c r="H43" s="36"/>
      <c r="I43" s="50"/>
      <c r="J43" s="50"/>
      <c r="K43" s="6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 x14ac:dyDescent="0.3">
      <c r="A44" s="54" t="s">
        <v>399</v>
      </c>
      <c r="B44" s="54" t="s">
        <v>399</v>
      </c>
      <c r="C44" s="54" t="s">
        <v>388</v>
      </c>
      <c r="D44" s="59" t="s">
        <v>389</v>
      </c>
      <c r="E44" s="55">
        <f t="shared" si="1"/>
        <v>2</v>
      </c>
      <c r="F44" s="55">
        <v>9</v>
      </c>
      <c r="G44" s="57" t="s">
        <v>80</v>
      </c>
      <c r="H44" s="36"/>
      <c r="I44" s="50"/>
      <c r="J44" s="50"/>
      <c r="K44" s="6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 x14ac:dyDescent="0.3">
      <c r="A45" s="54" t="s">
        <v>400</v>
      </c>
      <c r="B45" s="54" t="s">
        <v>400</v>
      </c>
      <c r="C45" s="54" t="s">
        <v>388</v>
      </c>
      <c r="D45" s="59" t="s">
        <v>389</v>
      </c>
      <c r="E45" s="55">
        <f t="shared" si="1"/>
        <v>3</v>
      </c>
      <c r="F45" s="55">
        <v>15</v>
      </c>
      <c r="G45" s="57" t="s">
        <v>79</v>
      </c>
      <c r="H45" s="36"/>
      <c r="I45" s="50"/>
      <c r="J45" s="50"/>
      <c r="K45" s="6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 x14ac:dyDescent="0.3">
      <c r="A46" s="54" t="s">
        <v>401</v>
      </c>
      <c r="B46" s="54" t="s">
        <v>401</v>
      </c>
      <c r="C46" s="54" t="s">
        <v>388</v>
      </c>
      <c r="D46" s="59" t="s">
        <v>389</v>
      </c>
      <c r="E46" s="55">
        <f t="shared" si="1"/>
        <v>1</v>
      </c>
      <c r="F46" s="55">
        <v>5</v>
      </c>
      <c r="G46" s="57" t="s">
        <v>183</v>
      </c>
      <c r="H46" s="36"/>
      <c r="I46" s="50"/>
      <c r="J46" s="50"/>
      <c r="K46" s="6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 x14ac:dyDescent="0.3">
      <c r="A47" s="54" t="s">
        <v>402</v>
      </c>
      <c r="B47" s="54" t="s">
        <v>402</v>
      </c>
      <c r="C47" s="54" t="s">
        <v>388</v>
      </c>
      <c r="D47" s="59" t="s">
        <v>389</v>
      </c>
      <c r="E47" s="55">
        <f t="shared" si="1"/>
        <v>29</v>
      </c>
      <c r="F47" s="55">
        <v>144</v>
      </c>
      <c r="G47" s="57" t="s">
        <v>196</v>
      </c>
      <c r="H47" s="36"/>
      <c r="I47" s="50"/>
      <c r="J47" s="50"/>
      <c r="K47" s="6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 x14ac:dyDescent="0.3">
      <c r="A48" s="54" t="s">
        <v>403</v>
      </c>
      <c r="B48" s="54" t="s">
        <v>403</v>
      </c>
      <c r="C48" s="54" t="s">
        <v>388</v>
      </c>
      <c r="D48" s="59" t="s">
        <v>389</v>
      </c>
      <c r="E48" s="55">
        <f t="shared" si="1"/>
        <v>2</v>
      </c>
      <c r="F48" s="55">
        <v>11</v>
      </c>
      <c r="G48" s="57" t="s">
        <v>80</v>
      </c>
      <c r="H48" s="36"/>
      <c r="I48" s="50"/>
      <c r="J48" s="50"/>
      <c r="K48" s="6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 x14ac:dyDescent="0.3">
      <c r="A49" s="54" t="s">
        <v>404</v>
      </c>
      <c r="B49" s="54" t="s">
        <v>404</v>
      </c>
      <c r="C49" s="54" t="s">
        <v>388</v>
      </c>
      <c r="D49" s="59" t="s">
        <v>389</v>
      </c>
      <c r="E49" s="55">
        <f t="shared" si="1"/>
        <v>50</v>
      </c>
      <c r="F49" s="55">
        <v>250</v>
      </c>
      <c r="G49" s="57" t="s">
        <v>131</v>
      </c>
      <c r="H49" s="36"/>
      <c r="I49" s="50"/>
      <c r="J49" s="50"/>
      <c r="K49" s="6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 x14ac:dyDescent="0.3">
      <c r="A50" s="54" t="s">
        <v>405</v>
      </c>
      <c r="B50" s="54" t="s">
        <v>405</v>
      </c>
      <c r="C50" s="54" t="s">
        <v>388</v>
      </c>
      <c r="D50" s="59" t="s">
        <v>389</v>
      </c>
      <c r="E50" s="55">
        <f t="shared" si="1"/>
        <v>3</v>
      </c>
      <c r="F50" s="55">
        <v>15</v>
      </c>
      <c r="G50" s="57" t="s">
        <v>97</v>
      </c>
      <c r="H50" s="36"/>
      <c r="I50" s="50"/>
      <c r="J50" s="50"/>
      <c r="K50" s="6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 x14ac:dyDescent="0.3">
      <c r="A51" s="54" t="s">
        <v>406</v>
      </c>
      <c r="B51" s="54" t="s">
        <v>406</v>
      </c>
      <c r="C51" s="54" t="s">
        <v>388</v>
      </c>
      <c r="D51" s="59" t="s">
        <v>389</v>
      </c>
      <c r="E51" s="55">
        <f t="shared" si="1"/>
        <v>1</v>
      </c>
      <c r="F51" s="55">
        <v>6</v>
      </c>
      <c r="G51" s="57" t="s">
        <v>183</v>
      </c>
      <c r="H51" s="63"/>
      <c r="I51" s="2"/>
      <c r="J51" s="2"/>
      <c r="K51" s="6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 x14ac:dyDescent="0.3">
      <c r="A52" s="54" t="s">
        <v>407</v>
      </c>
      <c r="B52" s="54" t="s">
        <v>407</v>
      </c>
      <c r="C52" s="54" t="s">
        <v>408</v>
      </c>
      <c r="D52" s="59" t="s">
        <v>389</v>
      </c>
      <c r="E52" s="55">
        <f t="shared" si="1"/>
        <v>184</v>
      </c>
      <c r="F52" s="55">
        <v>920</v>
      </c>
      <c r="G52" s="57" t="s">
        <v>183</v>
      </c>
      <c r="H52" s="63"/>
      <c r="I52" s="2"/>
      <c r="J52" s="2"/>
      <c r="K52" s="6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 x14ac:dyDescent="0.3">
      <c r="A53" s="54" t="s">
        <v>409</v>
      </c>
      <c r="B53" s="54" t="s">
        <v>409</v>
      </c>
      <c r="C53" s="54" t="s">
        <v>408</v>
      </c>
      <c r="D53" s="59" t="s">
        <v>389</v>
      </c>
      <c r="E53" s="55">
        <f t="shared" si="1"/>
        <v>4</v>
      </c>
      <c r="F53" s="55">
        <v>18</v>
      </c>
      <c r="G53" s="57" t="s">
        <v>94</v>
      </c>
      <c r="H53" s="63"/>
      <c r="I53" s="2"/>
      <c r="J53" s="2"/>
      <c r="K53" s="6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 x14ac:dyDescent="0.3">
      <c r="A54" s="54" t="s">
        <v>410</v>
      </c>
      <c r="B54" s="54" t="s">
        <v>410</v>
      </c>
      <c r="C54" s="54" t="s">
        <v>408</v>
      </c>
      <c r="D54" s="59" t="s">
        <v>389</v>
      </c>
      <c r="E54" s="55">
        <f t="shared" si="1"/>
        <v>89</v>
      </c>
      <c r="F54" s="55">
        <v>445</v>
      </c>
      <c r="G54" s="57" t="s">
        <v>102</v>
      </c>
      <c r="H54" s="63"/>
      <c r="I54" s="2"/>
      <c r="J54" s="2"/>
      <c r="K54" s="6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 x14ac:dyDescent="0.3">
      <c r="A55" s="54" t="s">
        <v>411</v>
      </c>
      <c r="B55" s="54" t="s">
        <v>411</v>
      </c>
      <c r="C55" s="54" t="s">
        <v>408</v>
      </c>
      <c r="D55" s="59" t="s">
        <v>389</v>
      </c>
      <c r="E55" s="55">
        <f t="shared" si="1"/>
        <v>281</v>
      </c>
      <c r="F55" s="55">
        <v>1405</v>
      </c>
      <c r="G55" s="57" t="s">
        <v>141</v>
      </c>
      <c r="H55" s="63"/>
      <c r="I55" s="2"/>
      <c r="J55" s="2"/>
      <c r="K55" s="6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 x14ac:dyDescent="0.3">
      <c r="A56" s="54" t="s">
        <v>412</v>
      </c>
      <c r="B56" s="54" t="s">
        <v>412</v>
      </c>
      <c r="C56" s="54" t="s">
        <v>408</v>
      </c>
      <c r="D56" s="59" t="s">
        <v>389</v>
      </c>
      <c r="E56" s="55">
        <f t="shared" si="1"/>
        <v>108</v>
      </c>
      <c r="F56" s="55">
        <v>542</v>
      </c>
      <c r="G56" s="57" t="s">
        <v>113</v>
      </c>
      <c r="H56" s="63"/>
      <c r="I56" s="2"/>
      <c r="J56" s="2"/>
      <c r="K56" s="6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s="43" customFormat="1" ht="18.75" customHeight="1" x14ac:dyDescent="0.3">
      <c r="A57" s="54" t="s">
        <v>413</v>
      </c>
      <c r="B57" s="54" t="s">
        <v>413</v>
      </c>
      <c r="C57" s="54" t="s">
        <v>408</v>
      </c>
      <c r="D57" s="59" t="s">
        <v>389</v>
      </c>
      <c r="E57" s="55">
        <f t="shared" si="1"/>
        <v>37</v>
      </c>
      <c r="F57" s="55">
        <v>183</v>
      </c>
      <c r="G57" s="57" t="s">
        <v>143</v>
      </c>
      <c r="H57" s="66"/>
      <c r="I57" s="67"/>
      <c r="J57" s="67"/>
      <c r="K57" s="66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</row>
    <row r="58" spans="1:22" ht="18.75" customHeight="1" x14ac:dyDescent="0.3">
      <c r="A58" s="54" t="s">
        <v>414</v>
      </c>
      <c r="B58" s="54" t="s">
        <v>414</v>
      </c>
      <c r="C58" s="54" t="s">
        <v>408</v>
      </c>
      <c r="D58" s="59" t="s">
        <v>389</v>
      </c>
      <c r="E58" s="55">
        <f t="shared" si="1"/>
        <v>20</v>
      </c>
      <c r="F58" s="55">
        <v>100</v>
      </c>
      <c r="G58" s="57" t="s">
        <v>80</v>
      </c>
      <c r="H58" s="63"/>
      <c r="I58" s="2"/>
      <c r="J58" s="2"/>
      <c r="K58" s="6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s="43" customFormat="1" ht="18.75" customHeight="1" x14ac:dyDescent="0.3">
      <c r="A59" s="54" t="s">
        <v>415</v>
      </c>
      <c r="B59" s="54" t="s">
        <v>415</v>
      </c>
      <c r="C59" s="54" t="s">
        <v>408</v>
      </c>
      <c r="D59" s="59" t="s">
        <v>389</v>
      </c>
      <c r="E59" s="55">
        <f t="shared" si="1"/>
        <v>41</v>
      </c>
      <c r="F59" s="55">
        <v>207</v>
      </c>
      <c r="G59" s="57" t="s">
        <v>143</v>
      </c>
      <c r="H59" s="66"/>
      <c r="I59" s="67"/>
      <c r="J59" s="67"/>
      <c r="K59" s="66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</row>
    <row r="60" spans="1:22" ht="18.75" customHeight="1" x14ac:dyDescent="0.3">
      <c r="A60" s="54" t="s">
        <v>416</v>
      </c>
      <c r="B60" s="54" t="s">
        <v>416</v>
      </c>
      <c r="C60" s="54" t="s">
        <v>408</v>
      </c>
      <c r="D60" s="59" t="s">
        <v>389</v>
      </c>
      <c r="E60" s="55">
        <f t="shared" si="1"/>
        <v>36</v>
      </c>
      <c r="F60" s="55">
        <v>179</v>
      </c>
      <c r="G60" s="57" t="s">
        <v>109</v>
      </c>
      <c r="H60" s="63"/>
      <c r="I60" s="2"/>
      <c r="J60" s="2"/>
      <c r="K60" s="6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 x14ac:dyDescent="0.3">
      <c r="A61" s="54" t="s">
        <v>417</v>
      </c>
      <c r="B61" s="54" t="s">
        <v>417</v>
      </c>
      <c r="C61" s="54" t="s">
        <v>408</v>
      </c>
      <c r="D61" s="59" t="s">
        <v>389</v>
      </c>
      <c r="E61" s="55">
        <f t="shared" si="1"/>
        <v>37</v>
      </c>
      <c r="F61" s="55">
        <v>183</v>
      </c>
      <c r="G61" s="57" t="s">
        <v>105</v>
      </c>
      <c r="H61" s="63"/>
      <c r="I61" s="2"/>
      <c r="J61" s="2"/>
      <c r="K61" s="6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 x14ac:dyDescent="0.3">
      <c r="A62" s="54" t="s">
        <v>418</v>
      </c>
      <c r="B62" s="54" t="s">
        <v>418</v>
      </c>
      <c r="C62" s="54" t="s">
        <v>408</v>
      </c>
      <c r="D62" s="59" t="s">
        <v>389</v>
      </c>
      <c r="E62" s="55">
        <f t="shared" si="1"/>
        <v>9</v>
      </c>
      <c r="F62" s="55">
        <v>47</v>
      </c>
      <c r="G62" s="57" t="s">
        <v>73</v>
      </c>
      <c r="H62" s="63"/>
      <c r="I62" s="2"/>
      <c r="J62" s="2"/>
      <c r="K62" s="6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 x14ac:dyDescent="0.3">
      <c r="A63" s="54" t="s">
        <v>419</v>
      </c>
      <c r="B63" s="54" t="s">
        <v>419</v>
      </c>
      <c r="C63" s="54" t="s">
        <v>408</v>
      </c>
      <c r="D63" s="59" t="s">
        <v>389</v>
      </c>
      <c r="E63" s="55">
        <f t="shared" si="1"/>
        <v>9</v>
      </c>
      <c r="F63" s="55">
        <v>46</v>
      </c>
      <c r="G63" s="57" t="s">
        <v>126</v>
      </c>
      <c r="H63" s="63"/>
      <c r="I63" s="2"/>
      <c r="J63" s="2"/>
      <c r="K63" s="6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 x14ac:dyDescent="0.3">
      <c r="A64" s="54" t="s">
        <v>420</v>
      </c>
      <c r="B64" s="54" t="s">
        <v>420</v>
      </c>
      <c r="C64" s="54" t="s">
        <v>408</v>
      </c>
      <c r="D64" s="59" t="s">
        <v>389</v>
      </c>
      <c r="E64" s="55">
        <f t="shared" si="1"/>
        <v>2</v>
      </c>
      <c r="F64" s="55">
        <v>10</v>
      </c>
      <c r="G64" s="57" t="s">
        <v>80</v>
      </c>
      <c r="H64" s="63"/>
      <c r="I64" s="2"/>
      <c r="J64" s="2"/>
      <c r="K64" s="6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 x14ac:dyDescent="0.3">
      <c r="A65" s="54" t="s">
        <v>421</v>
      </c>
      <c r="B65" s="54" t="s">
        <v>421</v>
      </c>
      <c r="C65" s="54" t="s">
        <v>408</v>
      </c>
      <c r="D65" s="59" t="s">
        <v>389</v>
      </c>
      <c r="E65" s="55">
        <f t="shared" si="1"/>
        <v>39</v>
      </c>
      <c r="F65" s="55">
        <v>195</v>
      </c>
      <c r="G65" s="57" t="s">
        <v>124</v>
      </c>
      <c r="H65" s="63"/>
      <c r="I65" s="2"/>
      <c r="J65" s="2"/>
      <c r="K65" s="6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 x14ac:dyDescent="0.3">
      <c r="A66" s="54" t="s">
        <v>422</v>
      </c>
      <c r="B66" s="54" t="s">
        <v>422</v>
      </c>
      <c r="C66" s="54" t="s">
        <v>408</v>
      </c>
      <c r="D66" s="59" t="s">
        <v>389</v>
      </c>
      <c r="E66" s="55">
        <f t="shared" si="1"/>
        <v>8</v>
      </c>
      <c r="F66" s="55">
        <v>42</v>
      </c>
      <c r="G66" s="57" t="s">
        <v>176</v>
      </c>
      <c r="H66" s="63"/>
      <c r="I66" s="2"/>
      <c r="J66" s="2"/>
      <c r="K66" s="6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 x14ac:dyDescent="0.3">
      <c r="A67" s="54" t="s">
        <v>423</v>
      </c>
      <c r="B67" s="54" t="s">
        <v>423</v>
      </c>
      <c r="C67" s="54" t="s">
        <v>408</v>
      </c>
      <c r="D67" s="59" t="s">
        <v>389</v>
      </c>
      <c r="E67" s="55">
        <f t="shared" si="1"/>
        <v>3</v>
      </c>
      <c r="F67" s="55">
        <v>15</v>
      </c>
      <c r="G67" s="57" t="s">
        <v>196</v>
      </c>
      <c r="H67" s="63"/>
      <c r="I67" s="2"/>
      <c r="J67" s="2"/>
      <c r="K67" s="6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 x14ac:dyDescent="0.3">
      <c r="A68" s="54" t="s">
        <v>424</v>
      </c>
      <c r="B68" s="54" t="s">
        <v>424</v>
      </c>
      <c r="C68" s="54" t="s">
        <v>408</v>
      </c>
      <c r="D68" s="59" t="s">
        <v>389</v>
      </c>
      <c r="E68" s="55">
        <f t="shared" si="1"/>
        <v>2</v>
      </c>
      <c r="F68" s="55">
        <v>10</v>
      </c>
      <c r="G68" s="57" t="s">
        <v>161</v>
      </c>
      <c r="H68" s="63"/>
      <c r="I68" s="2"/>
      <c r="J68" s="2"/>
      <c r="K68" s="6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 x14ac:dyDescent="0.3">
      <c r="A69" s="54" t="s">
        <v>425</v>
      </c>
      <c r="B69" s="54" t="s">
        <v>425</v>
      </c>
      <c r="C69" s="54" t="s">
        <v>408</v>
      </c>
      <c r="D69" s="59" t="s">
        <v>389</v>
      </c>
      <c r="E69" s="55">
        <f t="shared" si="1"/>
        <v>16</v>
      </c>
      <c r="F69" s="55">
        <v>80</v>
      </c>
      <c r="G69" s="57" t="s">
        <v>205</v>
      </c>
      <c r="H69" s="63"/>
      <c r="I69" s="2"/>
      <c r="J69" s="2"/>
      <c r="K69" s="6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 x14ac:dyDescent="0.3">
      <c r="A70" s="54" t="s">
        <v>426</v>
      </c>
      <c r="B70" s="54" t="s">
        <v>426</v>
      </c>
      <c r="C70" s="54" t="s">
        <v>408</v>
      </c>
      <c r="D70" s="59" t="s">
        <v>389</v>
      </c>
      <c r="E70" s="55">
        <f t="shared" si="1"/>
        <v>21</v>
      </c>
      <c r="F70" s="55">
        <v>105</v>
      </c>
      <c r="G70" s="57" t="s">
        <v>109</v>
      </c>
      <c r="H70" s="63"/>
      <c r="I70" s="2"/>
      <c r="J70" s="2"/>
      <c r="K70" s="6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 x14ac:dyDescent="0.3">
      <c r="A71" s="54" t="s">
        <v>427</v>
      </c>
      <c r="B71" s="54" t="s">
        <v>427</v>
      </c>
      <c r="C71" s="54" t="s">
        <v>428</v>
      </c>
      <c r="D71" s="59" t="s">
        <v>429</v>
      </c>
      <c r="E71" s="55">
        <f t="shared" si="1"/>
        <v>198</v>
      </c>
      <c r="F71" s="55">
        <v>990</v>
      </c>
      <c r="G71" s="57" t="s">
        <v>200</v>
      </c>
      <c r="H71" s="36">
        <v>1</v>
      </c>
      <c r="I71" s="2"/>
      <c r="J71" s="2"/>
      <c r="K71" s="55">
        <v>990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 x14ac:dyDescent="0.3">
      <c r="A72" s="54" t="s">
        <v>430</v>
      </c>
      <c r="B72" s="54" t="s">
        <v>430</v>
      </c>
      <c r="C72" s="54" t="s">
        <v>428</v>
      </c>
      <c r="D72" s="59" t="s">
        <v>429</v>
      </c>
      <c r="E72" s="55">
        <f t="shared" si="1"/>
        <v>84</v>
      </c>
      <c r="F72" s="55">
        <v>420</v>
      </c>
      <c r="G72" s="57" t="s">
        <v>183</v>
      </c>
      <c r="H72" s="36">
        <v>1</v>
      </c>
      <c r="I72" s="2"/>
      <c r="J72" s="2"/>
      <c r="K72" s="55">
        <v>420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 x14ac:dyDescent="0.3">
      <c r="A73" s="54" t="s">
        <v>431</v>
      </c>
      <c r="B73" s="54" t="s">
        <v>431</v>
      </c>
      <c r="C73" s="54" t="s">
        <v>428</v>
      </c>
      <c r="D73" s="59" t="s">
        <v>429</v>
      </c>
      <c r="E73" s="55">
        <f t="shared" si="1"/>
        <v>62</v>
      </c>
      <c r="F73" s="55">
        <v>310</v>
      </c>
      <c r="G73" s="57" t="s">
        <v>141</v>
      </c>
      <c r="H73" s="36">
        <v>1</v>
      </c>
      <c r="I73" s="2"/>
      <c r="J73" s="2"/>
      <c r="K73" s="55">
        <v>310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 x14ac:dyDescent="0.3">
      <c r="A74" s="54" t="s">
        <v>432</v>
      </c>
      <c r="B74" s="54" t="s">
        <v>432</v>
      </c>
      <c r="C74" s="54" t="s">
        <v>428</v>
      </c>
      <c r="D74" s="59" t="s">
        <v>429</v>
      </c>
      <c r="E74" s="55">
        <f t="shared" si="1"/>
        <v>16</v>
      </c>
      <c r="F74" s="55">
        <v>80</v>
      </c>
      <c r="G74" s="57" t="s">
        <v>73</v>
      </c>
      <c r="H74" s="36">
        <v>1</v>
      </c>
      <c r="I74" s="2"/>
      <c r="J74" s="2"/>
      <c r="K74" s="55">
        <v>80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 x14ac:dyDescent="0.3">
      <c r="A75" s="54" t="s">
        <v>433</v>
      </c>
      <c r="B75" s="54" t="s">
        <v>433</v>
      </c>
      <c r="C75" s="54" t="s">
        <v>428</v>
      </c>
      <c r="D75" s="59" t="s">
        <v>429</v>
      </c>
      <c r="E75" s="55">
        <f t="shared" si="1"/>
        <v>51</v>
      </c>
      <c r="F75" s="55">
        <v>255</v>
      </c>
      <c r="G75" s="57" t="s">
        <v>159</v>
      </c>
      <c r="H75" s="36">
        <v>1</v>
      </c>
      <c r="I75" s="2"/>
      <c r="J75" s="2"/>
      <c r="K75" s="55">
        <v>255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 x14ac:dyDescent="0.3">
      <c r="A76" s="31"/>
      <c r="B76" s="31"/>
      <c r="C76" s="33"/>
      <c r="D76" s="54"/>
      <c r="E76" s="55"/>
      <c r="F76" s="68"/>
      <c r="G76" s="57"/>
      <c r="H76" s="63"/>
      <c r="I76" s="2"/>
      <c r="J76" s="2"/>
      <c r="K76" s="6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 x14ac:dyDescent="0.3">
      <c r="A77" s="31"/>
      <c r="B77" s="31"/>
      <c r="C77" s="33"/>
      <c r="D77" s="54"/>
      <c r="E77" s="55"/>
      <c r="F77" s="68"/>
      <c r="G77" s="57"/>
      <c r="H77" s="63"/>
      <c r="I77" s="2"/>
      <c r="J77" s="2"/>
      <c r="K77" s="6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 x14ac:dyDescent="0.3">
      <c r="A78" s="31"/>
      <c r="B78" s="31"/>
      <c r="C78" s="33"/>
      <c r="D78" s="54"/>
      <c r="E78" s="55"/>
      <c r="F78" s="68"/>
      <c r="G78" s="57"/>
      <c r="H78" s="63"/>
      <c r="I78" s="2"/>
      <c r="J78" s="2"/>
      <c r="K78" s="6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 x14ac:dyDescent="0.3">
      <c r="A79" s="31"/>
      <c r="B79" s="31"/>
      <c r="C79" s="33"/>
      <c r="D79" s="54"/>
      <c r="E79" s="55"/>
      <c r="F79" s="68"/>
      <c r="G79" s="57"/>
      <c r="H79" s="63"/>
      <c r="I79" s="2"/>
      <c r="J79" s="2"/>
      <c r="K79" s="6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 x14ac:dyDescent="0.3">
      <c r="A80" s="31"/>
      <c r="B80" s="31"/>
      <c r="C80" s="33"/>
      <c r="D80" s="54"/>
      <c r="E80" s="55"/>
      <c r="F80" s="68"/>
      <c r="G80" s="57"/>
      <c r="H80" s="63"/>
      <c r="I80" s="2"/>
      <c r="J80" s="2"/>
      <c r="K80" s="6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 x14ac:dyDescent="0.3">
      <c r="A81" s="31"/>
      <c r="B81" s="31"/>
      <c r="C81" s="33"/>
      <c r="D81" s="54"/>
      <c r="E81" s="55"/>
      <c r="F81" s="68"/>
      <c r="G81" s="57"/>
      <c r="H81" s="63"/>
      <c r="I81" s="2"/>
      <c r="J81" s="2"/>
      <c r="K81" s="6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 x14ac:dyDescent="0.3">
      <c r="A82" s="31"/>
      <c r="B82" s="31"/>
      <c r="C82" s="33"/>
      <c r="D82" s="54"/>
      <c r="E82" s="55"/>
      <c r="F82" s="68"/>
      <c r="G82" s="57"/>
      <c r="H82" s="63"/>
      <c r="I82" s="2"/>
      <c r="J82" s="2"/>
      <c r="K82" s="6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 x14ac:dyDescent="0.3">
      <c r="A83" s="31"/>
      <c r="B83" s="31"/>
      <c r="C83" s="33"/>
      <c r="D83" s="54"/>
      <c r="E83" s="55"/>
      <c r="F83" s="68"/>
      <c r="G83" s="57"/>
      <c r="H83" s="63"/>
      <c r="I83" s="2"/>
      <c r="J83" s="2"/>
      <c r="K83" s="6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 x14ac:dyDescent="0.3">
      <c r="A84" s="31"/>
      <c r="B84" s="31"/>
      <c r="C84" s="33"/>
      <c r="D84" s="54"/>
      <c r="E84" s="55"/>
      <c r="F84" s="68"/>
      <c r="G84" s="57"/>
      <c r="H84" s="63"/>
      <c r="I84" s="2"/>
      <c r="J84" s="2"/>
      <c r="K84" s="6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 x14ac:dyDescent="0.3">
      <c r="A85" s="31"/>
      <c r="B85" s="31"/>
      <c r="C85" s="33"/>
      <c r="D85" s="54"/>
      <c r="E85" s="55"/>
      <c r="F85" s="68"/>
      <c r="G85" s="57"/>
      <c r="H85" s="63"/>
      <c r="I85" s="2"/>
      <c r="J85" s="2"/>
      <c r="K85" s="6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 x14ac:dyDescent="0.3">
      <c r="A86" s="31"/>
      <c r="B86" s="31"/>
      <c r="C86" s="33"/>
      <c r="D86" s="54"/>
      <c r="E86" s="55"/>
      <c r="F86" s="68"/>
      <c r="G86" s="57"/>
      <c r="H86" s="63"/>
      <c r="I86" s="2"/>
      <c r="J86" s="2"/>
      <c r="K86" s="6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 x14ac:dyDescent="0.3">
      <c r="A87" s="31"/>
      <c r="B87" s="31"/>
      <c r="C87" s="33"/>
      <c r="D87" s="54"/>
      <c r="E87" s="55"/>
      <c r="F87" s="68"/>
      <c r="G87" s="57"/>
      <c r="H87" s="63"/>
      <c r="I87" s="2"/>
      <c r="J87" s="2"/>
      <c r="K87" s="6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 x14ac:dyDescent="0.3">
      <c r="A88" s="31"/>
      <c r="B88" s="31"/>
      <c r="C88" s="33"/>
      <c r="D88" s="54"/>
      <c r="E88" s="55"/>
      <c r="F88" s="68"/>
      <c r="G88" s="57"/>
      <c r="H88" s="63"/>
      <c r="I88" s="2"/>
      <c r="J88" s="2"/>
      <c r="K88" s="6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Q16"/>
  <sheetViews>
    <sheetView workbookViewId="0"/>
  </sheetViews>
  <sheetFormatPr defaultRowHeight="14.4" x14ac:dyDescent="0.3"/>
  <cols>
    <col min="1" max="1" width="13.33203125" style="9" bestFit="1" customWidth="1"/>
    <col min="2" max="2" width="16.44140625" style="9" bestFit="1" customWidth="1"/>
    <col min="3" max="5" width="8" style="9" bestFit="1" customWidth="1"/>
    <col min="6" max="6" width="10.44140625" style="9" bestFit="1" customWidth="1"/>
    <col min="7" max="7" width="8" style="9" bestFit="1" customWidth="1"/>
    <col min="8" max="8" width="8.88671875" style="9" bestFit="1" customWidth="1"/>
    <col min="9" max="13" width="8" style="9" bestFit="1" customWidth="1"/>
    <col min="14" max="14" width="8.88671875" style="9" bestFit="1" customWidth="1"/>
    <col min="15" max="17" width="13.5546875" style="9" bestFit="1" customWidth="1"/>
  </cols>
  <sheetData>
    <row r="1" spans="1:17" s="43" customFormat="1" ht="18.75" customHeight="1" x14ac:dyDescent="0.3">
      <c r="A1" s="44" t="s">
        <v>330</v>
      </c>
      <c r="B1" s="44" t="s">
        <v>62</v>
      </c>
      <c r="C1" s="44" t="s">
        <v>331</v>
      </c>
      <c r="D1" s="44" t="s">
        <v>340</v>
      </c>
      <c r="E1" s="44" t="s">
        <v>332</v>
      </c>
      <c r="F1" s="45" t="s">
        <v>333</v>
      </c>
      <c r="G1" s="45" t="s">
        <v>334</v>
      </c>
      <c r="H1" s="44" t="s">
        <v>341</v>
      </c>
      <c r="I1" s="44" t="s">
        <v>208</v>
      </c>
      <c r="J1" s="46" t="s">
        <v>339</v>
      </c>
      <c r="K1" s="44" t="s">
        <v>337</v>
      </c>
      <c r="L1" s="44" t="s">
        <v>313</v>
      </c>
      <c r="M1" s="44" t="s">
        <v>314</v>
      </c>
      <c r="N1" s="44" t="s">
        <v>338</v>
      </c>
      <c r="O1" s="45"/>
      <c r="P1" s="45"/>
      <c r="Q1" s="45"/>
    </row>
    <row r="2" spans="1:17" ht="18.75" customHeight="1" x14ac:dyDescent="0.3">
      <c r="A2" s="50"/>
      <c r="B2" s="50"/>
      <c r="C2" s="50"/>
      <c r="D2" s="50"/>
      <c r="E2" s="50"/>
      <c r="F2" s="50"/>
      <c r="G2" s="50"/>
      <c r="H2" s="50"/>
      <c r="I2" s="2"/>
      <c r="J2" s="50"/>
      <c r="K2" s="50"/>
      <c r="L2" s="50"/>
      <c r="M2" s="50"/>
      <c r="N2" s="2"/>
      <c r="O2" s="2"/>
      <c r="P2" s="2"/>
      <c r="Q2" s="2"/>
    </row>
    <row r="3" spans="1:17" ht="18.75" customHeight="1" x14ac:dyDescent="0.3">
      <c r="A3" s="50"/>
      <c r="B3" s="2"/>
      <c r="C3" s="50"/>
      <c r="D3" s="50"/>
      <c r="E3" s="50"/>
      <c r="F3" s="50"/>
      <c r="G3" s="50"/>
      <c r="H3" s="50"/>
      <c r="I3" s="50"/>
      <c r="J3" s="50"/>
      <c r="K3" s="2"/>
      <c r="L3" s="2"/>
      <c r="M3" s="2"/>
      <c r="N3" s="2"/>
      <c r="O3" s="2"/>
      <c r="P3" s="2"/>
      <c r="Q3" s="2"/>
    </row>
    <row r="4" spans="1:17" ht="18.75" customHeight="1" x14ac:dyDescent="0.3">
      <c r="A4" s="50"/>
      <c r="B4" s="50"/>
      <c r="C4" s="50"/>
      <c r="D4" s="50"/>
      <c r="E4" s="50"/>
      <c r="F4" s="50"/>
      <c r="G4" s="50"/>
      <c r="H4" s="50"/>
      <c r="I4" s="2"/>
      <c r="J4" s="50"/>
      <c r="K4" s="2"/>
      <c r="L4" s="2"/>
      <c r="M4" s="2"/>
      <c r="N4" s="2"/>
      <c r="O4" s="2"/>
      <c r="P4" s="2"/>
      <c r="Q4" s="2"/>
    </row>
    <row r="5" spans="1:17" ht="18.75" customHeight="1" x14ac:dyDescent="0.3">
      <c r="A5" s="50"/>
      <c r="B5" s="50"/>
      <c r="C5" s="50"/>
      <c r="D5" s="50"/>
      <c r="E5" s="50"/>
      <c r="F5" s="50"/>
      <c r="G5" s="50"/>
      <c r="H5" s="50"/>
      <c r="I5" s="50"/>
      <c r="J5" s="50"/>
      <c r="K5" s="2"/>
      <c r="L5" s="2"/>
      <c r="M5" s="2"/>
      <c r="N5" s="2"/>
      <c r="O5" s="2"/>
      <c r="P5" s="2"/>
      <c r="Q5" s="2"/>
    </row>
    <row r="6" spans="1:17" ht="18.75" customHeight="1" x14ac:dyDescent="0.3">
      <c r="A6" s="50"/>
      <c r="B6" s="50"/>
      <c r="C6" s="50"/>
      <c r="D6" s="50"/>
      <c r="E6" s="50"/>
      <c r="F6" s="50"/>
      <c r="G6" s="50"/>
      <c r="H6" s="4"/>
      <c r="I6" s="50"/>
      <c r="J6" s="2"/>
      <c r="K6" s="2"/>
      <c r="L6" s="2"/>
      <c r="M6" s="2"/>
      <c r="N6" s="2"/>
      <c r="O6" s="2"/>
      <c r="P6" s="2"/>
      <c r="Q6" s="2"/>
    </row>
    <row r="7" spans="1:17" ht="18.75" customHeight="1" x14ac:dyDescent="0.3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2"/>
      <c r="P7" s="2"/>
      <c r="Q7" s="2"/>
    </row>
    <row r="8" spans="1:17" ht="18.75" customHeight="1" x14ac:dyDescent="0.3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2"/>
      <c r="P8" s="2"/>
      <c r="Q8" s="2"/>
    </row>
    <row r="9" spans="1:17" ht="18.75" customHeight="1" x14ac:dyDescent="0.3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2"/>
      <c r="P9" s="2"/>
      <c r="Q9" s="2"/>
    </row>
    <row r="10" spans="1:17" ht="18.75" customHeight="1" x14ac:dyDescent="0.3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2"/>
      <c r="P10" s="2"/>
      <c r="Q10" s="2"/>
    </row>
    <row r="11" spans="1:17" ht="18.75" customHeight="1" x14ac:dyDescent="0.3">
      <c r="A11" s="50"/>
      <c r="B11" s="52"/>
      <c r="C11" s="52"/>
      <c r="D11" s="50"/>
      <c r="E11" s="52"/>
      <c r="F11" s="52"/>
      <c r="G11" s="52"/>
      <c r="H11" s="52"/>
      <c r="I11" s="52"/>
      <c r="J11" s="2"/>
      <c r="K11" s="2"/>
      <c r="L11" s="2"/>
      <c r="M11" s="2"/>
      <c r="N11" s="2"/>
      <c r="O11" s="2"/>
      <c r="P11" s="2"/>
      <c r="Q11" s="2"/>
    </row>
    <row r="12" spans="1:17" ht="18.7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8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8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8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8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O29"/>
  <sheetViews>
    <sheetView workbookViewId="0"/>
  </sheetViews>
  <sheetFormatPr defaultRowHeight="14.4" x14ac:dyDescent="0.3"/>
  <cols>
    <col min="1" max="1" width="16" style="9" bestFit="1" customWidth="1"/>
    <col min="2" max="2" width="12.6640625" style="9" bestFit="1" customWidth="1"/>
    <col min="3" max="3" width="6.5546875" style="9" bestFit="1" customWidth="1"/>
    <col min="4" max="4" width="8.5546875" style="9" bestFit="1" customWidth="1"/>
    <col min="5" max="5" width="9" style="9" bestFit="1" customWidth="1"/>
    <col min="6" max="6" width="6.6640625" style="9" bestFit="1" customWidth="1"/>
    <col min="7" max="7" width="17.33203125" style="51" bestFit="1" customWidth="1"/>
    <col min="8" max="8" width="10.5546875" style="9" bestFit="1" customWidth="1"/>
    <col min="9" max="9" width="11.5546875" style="9" bestFit="1" customWidth="1"/>
    <col min="10" max="15" width="13.5546875" style="9" bestFit="1" customWidth="1"/>
  </cols>
  <sheetData>
    <row r="1" spans="1:15" s="43" customFormat="1" ht="53.25" customHeight="1" x14ac:dyDescent="0.3">
      <c r="A1" s="44" t="s">
        <v>330</v>
      </c>
      <c r="B1" s="44" t="s">
        <v>62</v>
      </c>
      <c r="C1" s="44" t="s">
        <v>331</v>
      </c>
      <c r="D1" s="44" t="s">
        <v>332</v>
      </c>
      <c r="E1" s="44" t="s">
        <v>333</v>
      </c>
      <c r="F1" s="45" t="s">
        <v>334</v>
      </c>
      <c r="G1" s="45" t="s">
        <v>335</v>
      </c>
      <c r="H1" s="45" t="s">
        <v>336</v>
      </c>
      <c r="I1" s="44" t="s">
        <v>208</v>
      </c>
      <c r="J1" s="44" t="s">
        <v>337</v>
      </c>
      <c r="K1" s="44" t="s">
        <v>313</v>
      </c>
      <c r="L1" s="44" t="s">
        <v>314</v>
      </c>
      <c r="M1" s="44" t="s">
        <v>338</v>
      </c>
      <c r="N1" s="46" t="s">
        <v>339</v>
      </c>
      <c r="O1" s="45" t="s">
        <v>340</v>
      </c>
    </row>
    <row r="2" spans="1:15" ht="18.75" customHeight="1" x14ac:dyDescent="0.3">
      <c r="A2" s="47"/>
      <c r="B2" s="47"/>
      <c r="C2" s="47"/>
      <c r="D2" s="47"/>
      <c r="E2" s="47"/>
      <c r="F2" s="47"/>
      <c r="G2" s="14"/>
      <c r="H2" s="48"/>
      <c r="I2" s="14"/>
      <c r="J2" s="47"/>
      <c r="K2" s="47"/>
      <c r="L2" s="47"/>
      <c r="M2" s="47"/>
      <c r="N2" s="14"/>
      <c r="O2" s="14"/>
    </row>
    <row r="3" spans="1:15" ht="18.75" customHeight="1" x14ac:dyDescent="0.3">
      <c r="A3" s="47"/>
      <c r="B3" s="47"/>
      <c r="C3" s="47"/>
      <c r="D3" s="47"/>
      <c r="E3" s="47"/>
      <c r="F3" s="47"/>
      <c r="G3" s="14"/>
      <c r="H3" s="48"/>
      <c r="I3" s="14"/>
      <c r="J3" s="47"/>
      <c r="K3" s="47"/>
      <c r="L3" s="47"/>
      <c r="M3" s="47"/>
      <c r="N3" s="14"/>
      <c r="O3" s="14"/>
    </row>
    <row r="4" spans="1:15" ht="18.75" customHeight="1" x14ac:dyDescent="0.3">
      <c r="A4" s="47"/>
      <c r="B4" s="47"/>
      <c r="C4" s="47"/>
      <c r="D4" s="47"/>
      <c r="E4" s="47"/>
      <c r="F4" s="47"/>
      <c r="G4" s="14"/>
      <c r="H4" s="48"/>
      <c r="I4" s="14"/>
      <c r="J4" s="47"/>
      <c r="K4" s="47"/>
      <c r="L4" s="47"/>
      <c r="M4" s="47"/>
      <c r="N4" s="14"/>
      <c r="O4" s="14"/>
    </row>
    <row r="5" spans="1:15" ht="18.75" customHeight="1" x14ac:dyDescent="0.3">
      <c r="A5" s="47"/>
      <c r="B5" s="47"/>
      <c r="C5" s="47"/>
      <c r="D5" s="47"/>
      <c r="E5" s="47"/>
      <c r="F5" s="47"/>
      <c r="G5" s="14"/>
      <c r="H5" s="48"/>
      <c r="I5" s="14"/>
      <c r="J5" s="14"/>
      <c r="K5" s="14"/>
      <c r="L5" s="14"/>
      <c r="M5" s="47"/>
      <c r="N5" s="14"/>
      <c r="O5" s="14"/>
    </row>
    <row r="6" spans="1:15" ht="18.75" customHeight="1" x14ac:dyDescent="0.3">
      <c r="A6" s="47"/>
      <c r="B6" s="47"/>
      <c r="C6" s="47"/>
      <c r="D6" s="47"/>
      <c r="E6" s="47"/>
      <c r="F6" s="47"/>
      <c r="G6" s="14"/>
      <c r="H6" s="48"/>
      <c r="I6" s="14"/>
      <c r="J6" s="14"/>
      <c r="K6" s="14"/>
      <c r="L6" s="14"/>
      <c r="M6" s="47"/>
      <c r="N6" s="14"/>
      <c r="O6" s="14"/>
    </row>
    <row r="7" spans="1:15" ht="18.75" customHeight="1" x14ac:dyDescent="0.3">
      <c r="A7" s="47"/>
      <c r="B7" s="47"/>
      <c r="C7" s="47"/>
      <c r="D7" s="47"/>
      <c r="E7" s="47"/>
      <c r="F7" s="47"/>
      <c r="G7" s="14"/>
      <c r="H7" s="48"/>
      <c r="I7" s="14"/>
      <c r="J7" s="14"/>
      <c r="K7" s="14"/>
      <c r="L7" s="14"/>
      <c r="M7" s="47"/>
      <c r="N7" s="14"/>
      <c r="O7" s="14"/>
    </row>
    <row r="8" spans="1:15" ht="18.75" customHeight="1" x14ac:dyDescent="0.3">
      <c r="A8" s="47"/>
      <c r="B8" s="47"/>
      <c r="C8" s="47"/>
      <c r="D8" s="47"/>
      <c r="E8" s="47"/>
      <c r="F8" s="47"/>
      <c r="G8" s="14"/>
      <c r="H8" s="48"/>
      <c r="I8" s="14"/>
      <c r="J8" s="14"/>
      <c r="K8" s="14"/>
      <c r="L8" s="14"/>
      <c r="M8" s="47"/>
      <c r="N8" s="14"/>
      <c r="O8" s="14"/>
    </row>
    <row r="9" spans="1:15" ht="18.75" customHeight="1" x14ac:dyDescent="0.3">
      <c r="A9" s="47"/>
      <c r="B9" s="47"/>
      <c r="C9" s="47"/>
      <c r="D9" s="47"/>
      <c r="E9" s="47"/>
      <c r="F9" s="47"/>
      <c r="G9" s="14"/>
      <c r="H9" s="48"/>
      <c r="I9" s="14"/>
      <c r="J9" s="14"/>
      <c r="K9" s="14"/>
      <c r="L9" s="14"/>
      <c r="M9" s="47"/>
      <c r="N9" s="14"/>
      <c r="O9" s="14"/>
    </row>
    <row r="10" spans="1:15" ht="18.75" customHeight="1" x14ac:dyDescent="0.3">
      <c r="A10" s="47"/>
      <c r="B10" s="47"/>
      <c r="C10" s="47"/>
      <c r="D10" s="47"/>
      <c r="E10" s="47"/>
      <c r="F10" s="47"/>
      <c r="G10" s="14"/>
      <c r="H10" s="48"/>
      <c r="I10" s="14"/>
      <c r="J10" s="14"/>
      <c r="K10" s="14"/>
      <c r="L10" s="14"/>
      <c r="M10" s="47"/>
      <c r="N10" s="14"/>
      <c r="O10" s="14"/>
    </row>
    <row r="11" spans="1:15" ht="18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2"/>
      <c r="K11" s="2"/>
      <c r="L11" s="2"/>
      <c r="M11" s="2"/>
      <c r="N11" s="2"/>
      <c r="O11" s="2"/>
    </row>
    <row r="12" spans="1:15" ht="18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2"/>
      <c r="K12" s="2"/>
      <c r="L12" s="2"/>
      <c r="M12" s="2"/>
      <c r="N12" s="2"/>
      <c r="O12" s="2"/>
    </row>
    <row r="13" spans="1:15" ht="18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2"/>
      <c r="K13" s="2"/>
      <c r="L13" s="2"/>
      <c r="M13" s="2"/>
      <c r="N13" s="2"/>
      <c r="O13" s="2"/>
    </row>
    <row r="14" spans="1:15" ht="18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2"/>
      <c r="K14" s="2"/>
      <c r="L14" s="2"/>
      <c r="M14" s="2"/>
      <c r="N14" s="2"/>
      <c r="O14" s="2"/>
    </row>
    <row r="15" spans="1:15" ht="18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2"/>
      <c r="K15" s="2"/>
      <c r="L15" s="2"/>
      <c r="M15" s="2"/>
      <c r="N15" s="2"/>
      <c r="O15" s="2"/>
    </row>
    <row r="16" spans="1:15" ht="18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2"/>
      <c r="K16" s="2"/>
      <c r="L16" s="2"/>
      <c r="M16" s="2"/>
      <c r="N16" s="2"/>
      <c r="O16" s="2"/>
    </row>
    <row r="17" spans="1:15" ht="18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2"/>
      <c r="K17" s="2"/>
      <c r="L17" s="2"/>
      <c r="M17" s="2"/>
      <c r="N17" s="2"/>
      <c r="O17" s="2"/>
    </row>
    <row r="18" spans="1:15" ht="18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2"/>
      <c r="K18" s="2"/>
      <c r="L18" s="2"/>
      <c r="M18" s="2"/>
      <c r="N18" s="2"/>
      <c r="O18" s="2"/>
    </row>
    <row r="19" spans="1:15" ht="18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  <c r="M19" s="2"/>
      <c r="N19" s="2"/>
      <c r="O19" s="2"/>
    </row>
    <row r="20" spans="1:15" ht="18.75" customHeight="1" x14ac:dyDescent="0.3">
      <c r="A20" s="1"/>
      <c r="B20" s="1"/>
      <c r="C20" s="1"/>
      <c r="D20" s="1"/>
      <c r="E20" s="1"/>
      <c r="F20" s="1"/>
      <c r="G20" s="49"/>
      <c r="H20" s="1"/>
      <c r="I20" s="1"/>
      <c r="J20" s="2"/>
      <c r="K20" s="2"/>
      <c r="L20" s="2"/>
      <c r="M20" s="2"/>
      <c r="N20" s="2"/>
      <c r="O20" s="2"/>
    </row>
    <row r="21" spans="1:15" ht="18.75" customHeight="1" x14ac:dyDescent="0.3">
      <c r="A21" s="1"/>
      <c r="B21" s="1"/>
      <c r="C21" s="1"/>
      <c r="D21" s="1"/>
      <c r="E21" s="1"/>
      <c r="F21" s="1"/>
      <c r="G21" s="49"/>
      <c r="H21" s="1"/>
      <c r="I21" s="1"/>
      <c r="J21" s="2"/>
      <c r="K21" s="2"/>
      <c r="L21" s="2"/>
      <c r="M21" s="2"/>
      <c r="N21" s="2"/>
      <c r="O21" s="2"/>
    </row>
    <row r="22" spans="1:15" ht="18.75" customHeight="1" x14ac:dyDescent="0.3">
      <c r="A22" s="1"/>
      <c r="B22" s="1"/>
      <c r="C22" s="1"/>
      <c r="D22" s="1"/>
      <c r="E22" s="1"/>
      <c r="F22" s="1"/>
      <c r="G22" s="49"/>
      <c r="H22" s="1"/>
      <c r="I22" s="1"/>
      <c r="J22" s="2"/>
      <c r="K22" s="2"/>
      <c r="L22" s="2"/>
      <c r="M22" s="2"/>
      <c r="N22" s="2"/>
      <c r="O22" s="2"/>
    </row>
    <row r="23" spans="1:15" ht="18.75" customHeight="1" x14ac:dyDescent="0.3">
      <c r="A23" s="1"/>
      <c r="B23" s="1"/>
      <c r="C23" s="1"/>
      <c r="D23" s="1"/>
      <c r="E23" s="1"/>
      <c r="F23" s="1"/>
      <c r="G23" s="49"/>
      <c r="H23" s="1"/>
      <c r="I23" s="1"/>
      <c r="J23" s="2"/>
      <c r="K23" s="2"/>
      <c r="L23" s="2"/>
      <c r="M23" s="2"/>
      <c r="N23" s="2"/>
      <c r="O23" s="2"/>
    </row>
    <row r="24" spans="1:15" ht="18.75" customHeight="1" x14ac:dyDescent="0.3">
      <c r="A24" s="1"/>
      <c r="B24" s="1"/>
      <c r="C24" s="1"/>
      <c r="D24" s="1"/>
      <c r="E24" s="1"/>
      <c r="F24" s="1"/>
      <c r="G24" s="49"/>
      <c r="H24" s="1"/>
      <c r="I24" s="1"/>
      <c r="J24" s="2"/>
      <c r="K24" s="2"/>
      <c r="L24" s="2"/>
      <c r="M24" s="2"/>
      <c r="N24" s="2"/>
      <c r="O24" s="2"/>
    </row>
    <row r="25" spans="1:15" ht="18.75" customHeight="1" x14ac:dyDescent="0.3">
      <c r="A25" s="1"/>
      <c r="B25" s="1"/>
      <c r="C25" s="1"/>
      <c r="D25" s="1"/>
      <c r="E25" s="1"/>
      <c r="F25" s="1"/>
      <c r="G25" s="49"/>
      <c r="H25" s="1"/>
      <c r="I25" s="1"/>
      <c r="J25" s="2"/>
      <c r="K25" s="2"/>
      <c r="L25" s="2"/>
      <c r="M25" s="2"/>
      <c r="N25" s="2"/>
      <c r="O25" s="2"/>
    </row>
    <row r="26" spans="1:15" ht="18.75" customHeight="1" x14ac:dyDescent="0.3">
      <c r="A26" s="1"/>
      <c r="B26" s="1"/>
      <c r="C26" s="1"/>
      <c r="D26" s="1"/>
      <c r="E26" s="1"/>
      <c r="F26" s="1"/>
      <c r="G26" s="49"/>
      <c r="H26" s="1"/>
      <c r="I26" s="1"/>
      <c r="J26" s="2"/>
      <c r="K26" s="2"/>
      <c r="L26" s="2"/>
      <c r="M26" s="2"/>
      <c r="N26" s="2"/>
      <c r="O26" s="2"/>
    </row>
    <row r="27" spans="1:15" ht="18.75" customHeight="1" x14ac:dyDescent="0.3">
      <c r="A27" s="1"/>
      <c r="B27" s="1"/>
      <c r="C27" s="1"/>
      <c r="D27" s="1"/>
      <c r="E27" s="1"/>
      <c r="F27" s="1"/>
      <c r="G27" s="49"/>
      <c r="H27" s="1"/>
      <c r="I27" s="1"/>
      <c r="J27" s="2"/>
      <c r="K27" s="2"/>
      <c r="L27" s="2"/>
      <c r="M27" s="2"/>
      <c r="N27" s="2"/>
      <c r="O27" s="2"/>
    </row>
    <row r="28" spans="1:15" ht="18.75" customHeight="1" x14ac:dyDescent="0.3">
      <c r="A28" s="1"/>
      <c r="B28" s="1"/>
      <c r="C28" s="1"/>
      <c r="D28" s="1"/>
      <c r="E28" s="1"/>
      <c r="F28" s="1"/>
      <c r="G28" s="49"/>
      <c r="H28" s="1"/>
      <c r="I28" s="1"/>
      <c r="J28" s="2"/>
      <c r="K28" s="2"/>
      <c r="L28" s="2"/>
      <c r="M28" s="2"/>
      <c r="N28" s="2"/>
      <c r="O28" s="2"/>
    </row>
    <row r="29" spans="1:15" ht="18.75" customHeight="1" x14ac:dyDescent="0.3">
      <c r="A29" s="2"/>
      <c r="B29" s="2"/>
      <c r="C29" s="2"/>
      <c r="D29" s="2"/>
      <c r="E29" s="2"/>
      <c r="F29" s="2"/>
      <c r="G29" s="50"/>
      <c r="H29" s="2"/>
      <c r="I29" s="2"/>
      <c r="J29" s="2"/>
      <c r="K29" s="2"/>
      <c r="L29" s="2"/>
      <c r="M29" s="2"/>
      <c r="N29" s="2"/>
      <c r="O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19"/>
  <sheetViews>
    <sheetView workbookViewId="0"/>
  </sheetViews>
  <sheetFormatPr defaultRowHeight="14.4" x14ac:dyDescent="0.3"/>
  <cols>
    <col min="1" max="1" width="38" style="9" bestFit="1" customWidth="1"/>
    <col min="2" max="2" width="16.6640625" style="42" bestFit="1" customWidth="1"/>
    <col min="3" max="3" width="17.6640625" style="42" bestFit="1" customWidth="1"/>
  </cols>
  <sheetData>
    <row r="1" spans="1:3" ht="18.75" customHeight="1" x14ac:dyDescent="0.3">
      <c r="A1" s="2" t="s">
        <v>312</v>
      </c>
      <c r="B1" s="36">
        <v>1</v>
      </c>
      <c r="C1" s="36">
        <v>2</v>
      </c>
    </row>
    <row r="2" spans="1:3" ht="18.75" customHeight="1" x14ac:dyDescent="0.3">
      <c r="A2" s="2"/>
      <c r="B2" s="36" t="s">
        <v>313</v>
      </c>
      <c r="C2" s="36" t="s">
        <v>314</v>
      </c>
    </row>
    <row r="3" spans="1:3" ht="18.75" customHeight="1" x14ac:dyDescent="0.3">
      <c r="A3" s="2" t="s">
        <v>315</v>
      </c>
      <c r="B3" s="36">
        <v>0</v>
      </c>
      <c r="C3" s="36">
        <v>0</v>
      </c>
    </row>
    <row r="4" spans="1:3" ht="18.75" customHeight="1" x14ac:dyDescent="0.3">
      <c r="A4" s="2"/>
      <c r="B4" s="37"/>
      <c r="C4" s="37"/>
    </row>
    <row r="5" spans="1:3" ht="18.75" customHeight="1" x14ac:dyDescent="0.3">
      <c r="A5" s="2" t="s">
        <v>316</v>
      </c>
      <c r="B5" s="37"/>
      <c r="C5" s="37"/>
    </row>
    <row r="6" spans="1:3" ht="18.75" customHeight="1" x14ac:dyDescent="0.3">
      <c r="A6" s="2"/>
      <c r="B6" s="36" t="s">
        <v>317</v>
      </c>
      <c r="C6" s="36" t="s">
        <v>318</v>
      </c>
    </row>
    <row r="7" spans="1:3" ht="18.75" customHeight="1" x14ac:dyDescent="0.3">
      <c r="A7" s="2" t="s">
        <v>319</v>
      </c>
      <c r="B7" s="38">
        <v>1.3</v>
      </c>
      <c r="C7" s="38">
        <v>0.7</v>
      </c>
    </row>
    <row r="8" spans="1:3" ht="18.75" customHeight="1" x14ac:dyDescent="0.3">
      <c r="A8" s="2"/>
      <c r="B8" s="39"/>
      <c r="C8" s="39"/>
    </row>
    <row r="9" spans="1:3" ht="18.75" customHeight="1" x14ac:dyDescent="0.3">
      <c r="A9" s="2"/>
      <c r="B9" s="36" t="s">
        <v>320</v>
      </c>
      <c r="C9" s="36" t="s">
        <v>321</v>
      </c>
    </row>
    <row r="10" spans="1:3" ht="18.75" customHeight="1" x14ac:dyDescent="0.3">
      <c r="A10" s="2" t="s">
        <v>322</v>
      </c>
      <c r="B10" s="40">
        <v>0</v>
      </c>
      <c r="C10" s="40">
        <v>0</v>
      </c>
    </row>
    <row r="11" spans="1:3" ht="18.75" customHeight="1" x14ac:dyDescent="0.3">
      <c r="A11" s="2"/>
      <c r="B11" s="37"/>
      <c r="C11" s="37"/>
    </row>
    <row r="12" spans="1:3" ht="18.75" customHeight="1" x14ac:dyDescent="0.3">
      <c r="A12" s="2"/>
      <c r="B12" s="36" t="s">
        <v>320</v>
      </c>
      <c r="C12" s="37"/>
    </row>
    <row r="13" spans="1:3" ht="18.75" customHeight="1" x14ac:dyDescent="0.3">
      <c r="A13" s="2" t="s">
        <v>323</v>
      </c>
      <c r="B13" s="40">
        <f>B10*24</f>
        <v>0</v>
      </c>
      <c r="C13" s="37"/>
    </row>
    <row r="14" spans="1:3" ht="18.75" customHeight="1" x14ac:dyDescent="0.3">
      <c r="A14" s="2"/>
      <c r="B14" s="37"/>
      <c r="C14" s="37"/>
    </row>
    <row r="15" spans="1:3" ht="18.75" customHeight="1" x14ac:dyDescent="0.3">
      <c r="A15" s="2"/>
      <c r="B15" s="36" t="s">
        <v>324</v>
      </c>
      <c r="C15" s="36" t="s">
        <v>325</v>
      </c>
    </row>
    <row r="16" spans="1:3" ht="18.75" customHeight="1" x14ac:dyDescent="0.3">
      <c r="A16" s="2" t="s">
        <v>326</v>
      </c>
      <c r="B16" s="40">
        <v>1000</v>
      </c>
      <c r="C16" s="40">
        <v>-1000</v>
      </c>
    </row>
    <row r="17" spans="1:3" ht="18.75" customHeight="1" x14ac:dyDescent="0.3">
      <c r="A17" s="2"/>
      <c r="B17" s="37"/>
      <c r="C17" s="37"/>
    </row>
    <row r="18" spans="1:3" ht="18.75" customHeight="1" x14ac:dyDescent="0.3">
      <c r="A18" s="2"/>
      <c r="B18" s="36" t="s">
        <v>327</v>
      </c>
      <c r="C18" s="36" t="s">
        <v>328</v>
      </c>
    </row>
    <row r="19" spans="1:3" ht="18.75" customHeight="1" x14ac:dyDescent="0.3">
      <c r="A19" s="2" t="s">
        <v>329</v>
      </c>
      <c r="B19" s="41">
        <v>1</v>
      </c>
      <c r="C19" s="4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111"/>
  <sheetViews>
    <sheetView workbookViewId="0"/>
  </sheetViews>
  <sheetFormatPr defaultRowHeight="14.4" x14ac:dyDescent="0.3"/>
  <cols>
    <col min="1" max="1" width="19.109375" style="9" bestFit="1" customWidth="1"/>
    <col min="2" max="2" width="18.5546875" style="18" bestFit="1" customWidth="1"/>
    <col min="3" max="3" width="53.109375" style="9" bestFit="1" customWidth="1"/>
    <col min="4" max="4" width="15.44140625" style="35" bestFit="1" customWidth="1"/>
    <col min="5" max="5" width="18.44140625" style="9" bestFit="1" customWidth="1"/>
  </cols>
  <sheetData>
    <row r="1" spans="1:5" ht="18.75" customHeight="1" x14ac:dyDescent="0.3">
      <c r="A1" s="25" t="s">
        <v>206</v>
      </c>
      <c r="B1" s="26" t="s">
        <v>207</v>
      </c>
      <c r="C1" s="27" t="s">
        <v>208</v>
      </c>
      <c r="D1" s="28" t="s">
        <v>209</v>
      </c>
      <c r="E1" s="25" t="s">
        <v>210</v>
      </c>
    </row>
    <row r="2" spans="1:5" ht="18.75" customHeight="1" x14ac:dyDescent="0.3">
      <c r="A2" s="29" t="s">
        <v>211</v>
      </c>
      <c r="B2" s="30">
        <v>0.11</v>
      </c>
      <c r="C2" s="31" t="s">
        <v>120</v>
      </c>
      <c r="D2" s="32">
        <v>1.9206845046008591E-3</v>
      </c>
      <c r="E2" s="29" t="s">
        <v>212</v>
      </c>
    </row>
    <row r="3" spans="1:5" ht="18.75" customHeight="1" x14ac:dyDescent="0.3">
      <c r="A3" s="29" t="s">
        <v>213</v>
      </c>
      <c r="B3" s="30">
        <v>0.11</v>
      </c>
      <c r="C3" s="31" t="s">
        <v>122</v>
      </c>
      <c r="D3" s="32">
        <v>1.9206845046008591E-3</v>
      </c>
      <c r="E3" s="29" t="s">
        <v>212</v>
      </c>
    </row>
    <row r="4" spans="1:5" ht="18.75" customHeight="1" x14ac:dyDescent="0.3">
      <c r="A4" s="29" t="s">
        <v>214</v>
      </c>
      <c r="B4" s="30">
        <v>0.2</v>
      </c>
      <c r="C4" s="31" t="s">
        <v>183</v>
      </c>
      <c r="D4" s="32">
        <v>1.0262159852969198E-3</v>
      </c>
      <c r="E4" s="29" t="s">
        <v>215</v>
      </c>
    </row>
    <row r="5" spans="1:5" ht="18.75" customHeight="1" x14ac:dyDescent="0.3">
      <c r="A5" s="29" t="s">
        <v>216</v>
      </c>
      <c r="B5" s="30">
        <v>0.2</v>
      </c>
      <c r="C5" s="31" t="s">
        <v>205</v>
      </c>
      <c r="D5" s="32">
        <v>9.2126475993779461E-2</v>
      </c>
      <c r="E5" s="29" t="s">
        <v>217</v>
      </c>
    </row>
    <row r="6" spans="1:5" ht="18.75" customHeight="1" x14ac:dyDescent="0.3">
      <c r="A6" s="29" t="s">
        <v>218</v>
      </c>
      <c r="B6" s="30">
        <v>0.2</v>
      </c>
      <c r="C6" s="31" t="s">
        <v>94</v>
      </c>
      <c r="D6" s="32">
        <v>1.4403609384892463E-3</v>
      </c>
      <c r="E6" s="29" t="s">
        <v>219</v>
      </c>
    </row>
    <row r="7" spans="1:5" ht="18.75" customHeight="1" x14ac:dyDescent="0.3">
      <c r="A7" s="29" t="s">
        <v>220</v>
      </c>
      <c r="B7" s="30">
        <v>0.2</v>
      </c>
      <c r="C7" s="31" t="s">
        <v>147</v>
      </c>
      <c r="D7" s="32">
        <v>3.6382993109467876E-3</v>
      </c>
      <c r="E7" s="29" t="s">
        <v>221</v>
      </c>
    </row>
    <row r="8" spans="1:5" ht="18.75" customHeight="1" x14ac:dyDescent="0.3">
      <c r="A8" s="29" t="s">
        <v>222</v>
      </c>
      <c r="B8" s="30">
        <v>0.09</v>
      </c>
      <c r="C8" s="31" t="s">
        <v>147</v>
      </c>
      <c r="D8" s="32">
        <v>1.3628870161721588E-3</v>
      </c>
      <c r="E8" s="29" t="s">
        <v>223</v>
      </c>
    </row>
    <row r="9" spans="1:5" ht="18.75" customHeight="1" x14ac:dyDescent="0.3">
      <c r="A9" s="29" t="s">
        <v>224</v>
      </c>
      <c r="B9" s="30">
        <v>0.08</v>
      </c>
      <c r="C9" s="31" t="s">
        <v>103</v>
      </c>
      <c r="D9" s="32">
        <v>1.4553197243787151E-3</v>
      </c>
      <c r="E9" s="29" t="s">
        <v>221</v>
      </c>
    </row>
    <row r="10" spans="1:5" ht="18.75" customHeight="1" x14ac:dyDescent="0.3">
      <c r="A10" s="29" t="s">
        <v>225</v>
      </c>
      <c r="B10" s="30">
        <v>0.09</v>
      </c>
      <c r="C10" s="31" t="s">
        <v>103</v>
      </c>
      <c r="D10" s="32">
        <v>1.3628870161721588E-3</v>
      </c>
      <c r="E10" s="29" t="s">
        <v>223</v>
      </c>
    </row>
    <row r="11" spans="1:5" ht="18.75" customHeight="1" x14ac:dyDescent="0.3">
      <c r="A11" s="29" t="s">
        <v>226</v>
      </c>
      <c r="B11" s="30">
        <v>0.09</v>
      </c>
      <c r="C11" s="31" t="s">
        <v>72</v>
      </c>
      <c r="D11" s="32">
        <v>1.3628870161721588E-3</v>
      </c>
      <c r="E11" s="29" t="s">
        <v>223</v>
      </c>
    </row>
    <row r="12" spans="1:5" ht="18.75" customHeight="1" x14ac:dyDescent="0.3">
      <c r="A12" s="29" t="s">
        <v>227</v>
      </c>
      <c r="B12" s="30">
        <v>0.08</v>
      </c>
      <c r="C12" s="31" t="s">
        <v>129</v>
      </c>
      <c r="D12" s="32">
        <v>2.6869756034594038E-2</v>
      </c>
      <c r="E12" s="29" t="s">
        <v>228</v>
      </c>
    </row>
    <row r="13" spans="1:5" ht="18.75" customHeight="1" x14ac:dyDescent="0.3">
      <c r="A13" s="29" t="s">
        <v>229</v>
      </c>
      <c r="B13" s="30">
        <v>0.2</v>
      </c>
      <c r="C13" s="31" t="s">
        <v>87</v>
      </c>
      <c r="D13" s="32">
        <v>1.4403609384892463E-3</v>
      </c>
      <c r="E13" s="29" t="s">
        <v>219</v>
      </c>
    </row>
    <row r="14" spans="1:5" ht="18.75" customHeight="1" x14ac:dyDescent="0.3">
      <c r="A14" s="29" t="s">
        <v>230</v>
      </c>
      <c r="B14" s="30">
        <v>0.08</v>
      </c>
      <c r="C14" s="31" t="s">
        <v>131</v>
      </c>
      <c r="D14" s="32">
        <v>2.6869756034594038E-2</v>
      </c>
      <c r="E14" s="29" t="s">
        <v>228</v>
      </c>
    </row>
    <row r="15" spans="1:5" ht="18.75" customHeight="1" x14ac:dyDescent="0.3">
      <c r="A15" s="29" t="s">
        <v>231</v>
      </c>
      <c r="B15" s="30">
        <v>0.33</v>
      </c>
      <c r="C15" s="31" t="s">
        <v>194</v>
      </c>
      <c r="D15" s="32">
        <v>4.5200022128381494E-3</v>
      </c>
      <c r="E15" s="29" t="s">
        <v>232</v>
      </c>
    </row>
    <row r="16" spans="1:5" ht="18.75" customHeight="1" x14ac:dyDescent="0.3">
      <c r="A16" s="29" t="s">
        <v>233</v>
      </c>
      <c r="B16" s="30">
        <v>0.2</v>
      </c>
      <c r="C16" s="31" t="s">
        <v>194</v>
      </c>
      <c r="D16" s="32">
        <v>9.2126475993779461E-2</v>
      </c>
      <c r="E16" s="29" t="s">
        <v>217</v>
      </c>
    </row>
    <row r="17" spans="1:5" ht="18.75" customHeight="1" x14ac:dyDescent="0.3">
      <c r="A17" s="29" t="s">
        <v>234</v>
      </c>
      <c r="B17" s="30">
        <v>0.08</v>
      </c>
      <c r="C17" s="31" t="s">
        <v>137</v>
      </c>
      <c r="D17" s="32">
        <v>1.4553197243787151E-3</v>
      </c>
      <c r="E17" s="29" t="s">
        <v>221</v>
      </c>
    </row>
    <row r="18" spans="1:5" ht="18.75" customHeight="1" x14ac:dyDescent="0.3">
      <c r="A18" s="29" t="s">
        <v>235</v>
      </c>
      <c r="B18" s="30">
        <v>0.09</v>
      </c>
      <c r="C18" s="31" t="s">
        <v>137</v>
      </c>
      <c r="D18" s="32">
        <v>1.3628870161721588E-3</v>
      </c>
      <c r="E18" s="29" t="s">
        <v>223</v>
      </c>
    </row>
    <row r="19" spans="1:5" ht="18.75" customHeight="1" x14ac:dyDescent="0.3">
      <c r="A19" s="29" t="s">
        <v>236</v>
      </c>
      <c r="B19" s="30">
        <v>0.08</v>
      </c>
      <c r="C19" s="31" t="s">
        <v>115</v>
      </c>
      <c r="D19" s="32">
        <v>2.6869756034594038E-2</v>
      </c>
      <c r="E19" s="29" t="s">
        <v>228</v>
      </c>
    </row>
    <row r="20" spans="1:5" ht="18.75" customHeight="1" x14ac:dyDescent="0.3">
      <c r="A20" s="29" t="s">
        <v>237</v>
      </c>
      <c r="B20" s="30">
        <v>0.08</v>
      </c>
      <c r="C20" s="31" t="s">
        <v>173</v>
      </c>
      <c r="D20" s="32">
        <v>2.6869756034594038E-2</v>
      </c>
      <c r="E20" s="29" t="s">
        <v>228</v>
      </c>
    </row>
    <row r="21" spans="1:5" ht="18.75" customHeight="1" x14ac:dyDescent="0.3">
      <c r="A21" s="29" t="s">
        <v>238</v>
      </c>
      <c r="B21" s="30">
        <v>0.08</v>
      </c>
      <c r="C21" s="33" t="s">
        <v>143</v>
      </c>
      <c r="D21" s="32">
        <v>1.4553197243787151E-3</v>
      </c>
      <c r="E21" s="29" t="s">
        <v>221</v>
      </c>
    </row>
    <row r="22" spans="1:5" ht="18.75" customHeight="1" x14ac:dyDescent="0.3">
      <c r="A22" s="29" t="s">
        <v>239</v>
      </c>
      <c r="B22" s="30">
        <v>0.09</v>
      </c>
      <c r="C22" s="33" t="s">
        <v>143</v>
      </c>
      <c r="D22" s="32">
        <v>1.3628870161721588E-3</v>
      </c>
      <c r="E22" s="29" t="s">
        <v>223</v>
      </c>
    </row>
    <row r="23" spans="1:5" ht="18.75" customHeight="1" x14ac:dyDescent="0.3">
      <c r="A23" s="29" t="s">
        <v>240</v>
      </c>
      <c r="B23" s="30">
        <v>0.2</v>
      </c>
      <c r="C23" s="31" t="s">
        <v>199</v>
      </c>
      <c r="D23" s="32">
        <v>9.2126475993779461E-2</v>
      </c>
      <c r="E23" s="29" t="s">
        <v>217</v>
      </c>
    </row>
    <row r="24" spans="1:5" ht="18.75" customHeight="1" x14ac:dyDescent="0.3">
      <c r="A24" s="29" t="s">
        <v>241</v>
      </c>
      <c r="B24" s="30">
        <v>0.08</v>
      </c>
      <c r="C24" s="31" t="s">
        <v>167</v>
      </c>
      <c r="D24" s="32">
        <v>2.6869756034594038E-2</v>
      </c>
      <c r="E24" s="29" t="s">
        <v>228</v>
      </c>
    </row>
    <row r="25" spans="1:5" ht="18.75" customHeight="1" x14ac:dyDescent="0.3">
      <c r="A25" s="29" t="s">
        <v>242</v>
      </c>
      <c r="B25" s="30">
        <v>1</v>
      </c>
      <c r="C25" s="31" t="s">
        <v>161</v>
      </c>
      <c r="D25" s="32">
        <v>1.0221837024470302E-2</v>
      </c>
      <c r="E25" s="29" t="s">
        <v>243</v>
      </c>
    </row>
    <row r="26" spans="1:5" ht="18.75" customHeight="1" x14ac:dyDescent="0.3">
      <c r="A26" s="29" t="s">
        <v>244</v>
      </c>
      <c r="B26" s="30">
        <v>0.5</v>
      </c>
      <c r="C26" s="31" t="s">
        <v>161</v>
      </c>
      <c r="D26" s="32">
        <v>2.5742069126605076E-2</v>
      </c>
      <c r="E26" s="29" t="s">
        <v>245</v>
      </c>
    </row>
    <row r="27" spans="1:5" ht="18.75" customHeight="1" x14ac:dyDescent="0.3">
      <c r="A27" s="29" t="s">
        <v>246</v>
      </c>
      <c r="B27" s="30">
        <v>0.5</v>
      </c>
      <c r="C27" s="31" t="s">
        <v>161</v>
      </c>
      <c r="D27" s="32">
        <v>1.1979936934112744E-2</v>
      </c>
      <c r="E27" s="29" t="s">
        <v>247</v>
      </c>
    </row>
    <row r="28" spans="1:5" ht="18.75" customHeight="1" x14ac:dyDescent="0.3">
      <c r="A28" s="29" t="s">
        <v>248</v>
      </c>
      <c r="B28" s="30">
        <v>0.2</v>
      </c>
      <c r="C28" s="33" t="s">
        <v>188</v>
      </c>
      <c r="D28" s="32">
        <v>1.0262159852969198E-3</v>
      </c>
      <c r="E28" s="29" t="s">
        <v>215</v>
      </c>
    </row>
    <row r="29" spans="1:5" ht="18.75" customHeight="1" x14ac:dyDescent="0.3">
      <c r="A29" s="29" t="s">
        <v>249</v>
      </c>
      <c r="B29" s="30">
        <v>0.5</v>
      </c>
      <c r="C29" s="33" t="s">
        <v>188</v>
      </c>
      <c r="D29" s="32">
        <v>4.744570863068346E-3</v>
      </c>
      <c r="E29" s="29" t="s">
        <v>250</v>
      </c>
    </row>
    <row r="30" spans="1:5" ht="18.75" customHeight="1" x14ac:dyDescent="0.3">
      <c r="A30" s="29" t="s">
        <v>251</v>
      </c>
      <c r="B30" s="30">
        <v>0.25</v>
      </c>
      <c r="C30" s="31" t="s">
        <v>111</v>
      </c>
      <c r="D30" s="32">
        <v>4.125713793972475E-3</v>
      </c>
      <c r="E30" s="29" t="s">
        <v>252</v>
      </c>
    </row>
    <row r="31" spans="1:5" ht="18.75" customHeight="1" x14ac:dyDescent="0.3">
      <c r="A31" s="29" t="s">
        <v>253</v>
      </c>
      <c r="B31" s="30">
        <v>0.08</v>
      </c>
      <c r="C31" s="31" t="s">
        <v>111</v>
      </c>
      <c r="D31" s="32">
        <v>1.4553197243787151E-3</v>
      </c>
      <c r="E31" s="29" t="s">
        <v>221</v>
      </c>
    </row>
    <row r="32" spans="1:5" ht="18.75" customHeight="1" x14ac:dyDescent="0.3">
      <c r="A32" s="29" t="s">
        <v>254</v>
      </c>
      <c r="B32" s="30">
        <v>0.25</v>
      </c>
      <c r="C32" s="31" t="s">
        <v>118</v>
      </c>
      <c r="D32" s="32">
        <v>4.125713793972475E-3</v>
      </c>
      <c r="E32" s="29" t="s">
        <v>252</v>
      </c>
    </row>
    <row r="33" spans="1:5" ht="18.75" customHeight="1" x14ac:dyDescent="0.3">
      <c r="A33" s="29" t="s">
        <v>255</v>
      </c>
      <c r="B33" s="30">
        <v>0.11</v>
      </c>
      <c r="C33" s="31" t="s">
        <v>118</v>
      </c>
      <c r="D33" s="32">
        <v>1.9206845046008591E-3</v>
      </c>
      <c r="E33" s="29" t="s">
        <v>212</v>
      </c>
    </row>
    <row r="34" spans="1:5" ht="18.75" customHeight="1" x14ac:dyDescent="0.3">
      <c r="A34" s="29" t="s">
        <v>256</v>
      </c>
      <c r="B34" s="30">
        <v>0.08</v>
      </c>
      <c r="C34" s="31" t="s">
        <v>156</v>
      </c>
      <c r="D34" s="32">
        <v>2.6869756034594038E-2</v>
      </c>
      <c r="E34" s="29" t="s">
        <v>228</v>
      </c>
    </row>
    <row r="35" spans="1:5" ht="18.75" customHeight="1" x14ac:dyDescent="0.3">
      <c r="A35" s="29" t="s">
        <v>257</v>
      </c>
      <c r="B35" s="30">
        <v>0.11</v>
      </c>
      <c r="C35" s="31" t="s">
        <v>156</v>
      </c>
      <c r="D35" s="32">
        <v>1.9206845046008591E-3</v>
      </c>
      <c r="E35" s="29" t="s">
        <v>212</v>
      </c>
    </row>
    <row r="36" spans="1:5" ht="18.75" customHeight="1" x14ac:dyDescent="0.3">
      <c r="A36" s="29" t="s">
        <v>258</v>
      </c>
      <c r="B36" s="30">
        <v>0.08</v>
      </c>
      <c r="C36" s="31" t="s">
        <v>176</v>
      </c>
      <c r="D36" s="32">
        <v>2.6869756034594038E-2</v>
      </c>
      <c r="E36" s="29" t="s">
        <v>228</v>
      </c>
    </row>
    <row r="37" spans="1:5" ht="18.75" customHeight="1" x14ac:dyDescent="0.3">
      <c r="A37" s="29" t="s">
        <v>259</v>
      </c>
      <c r="B37" s="30">
        <v>0.5</v>
      </c>
      <c r="C37" s="31" t="s">
        <v>124</v>
      </c>
      <c r="D37" s="32">
        <v>1.1979936934112744E-2</v>
      </c>
      <c r="E37" s="29" t="s">
        <v>247</v>
      </c>
    </row>
    <row r="38" spans="1:5" ht="18.75" customHeight="1" x14ac:dyDescent="0.3">
      <c r="A38" s="29" t="s">
        <v>260</v>
      </c>
      <c r="B38" s="30">
        <v>0.08</v>
      </c>
      <c r="C38" s="31" t="s">
        <v>124</v>
      </c>
      <c r="D38" s="32">
        <v>2.6869756034594038E-2</v>
      </c>
      <c r="E38" s="29" t="s">
        <v>228</v>
      </c>
    </row>
    <row r="39" spans="1:5" ht="18.75" customHeight="1" x14ac:dyDescent="0.3">
      <c r="A39" s="29" t="s">
        <v>261</v>
      </c>
      <c r="B39" s="30">
        <v>0.2</v>
      </c>
      <c r="C39" s="31" t="s">
        <v>182</v>
      </c>
      <c r="D39" s="32">
        <v>1.4403609384892463E-3</v>
      </c>
      <c r="E39" s="29" t="s">
        <v>219</v>
      </c>
    </row>
    <row r="40" spans="1:5" ht="18.75" customHeight="1" x14ac:dyDescent="0.3">
      <c r="A40" s="29" t="s">
        <v>262</v>
      </c>
      <c r="B40" s="30">
        <v>0.08</v>
      </c>
      <c r="C40" s="31" t="s">
        <v>107</v>
      </c>
      <c r="D40" s="32">
        <v>1.4553197243787151E-3</v>
      </c>
      <c r="E40" s="29" t="s">
        <v>221</v>
      </c>
    </row>
    <row r="41" spans="1:5" ht="18.75" customHeight="1" x14ac:dyDescent="0.3">
      <c r="A41" s="29" t="s">
        <v>263</v>
      </c>
      <c r="B41" s="30">
        <v>0.08</v>
      </c>
      <c r="C41" s="31" t="s">
        <v>105</v>
      </c>
      <c r="D41" s="32">
        <v>1.4553197243787151E-3</v>
      </c>
      <c r="E41" s="29" t="s">
        <v>221</v>
      </c>
    </row>
    <row r="42" spans="1:5" ht="18.75" customHeight="1" x14ac:dyDescent="0.3">
      <c r="A42" s="29" t="s">
        <v>264</v>
      </c>
      <c r="B42" s="30">
        <v>0.08</v>
      </c>
      <c r="C42" s="31" t="s">
        <v>126</v>
      </c>
      <c r="D42" s="32">
        <v>2.6869756034594038E-2</v>
      </c>
      <c r="E42" s="29" t="s">
        <v>228</v>
      </c>
    </row>
    <row r="43" spans="1:5" ht="18.75" customHeight="1" x14ac:dyDescent="0.3">
      <c r="A43" s="29" t="s">
        <v>265</v>
      </c>
      <c r="B43" s="30">
        <v>1</v>
      </c>
      <c r="C43" s="31" t="s">
        <v>200</v>
      </c>
      <c r="D43" s="32">
        <v>9.5781469939208424E-3</v>
      </c>
      <c r="E43" s="29" t="s">
        <v>266</v>
      </c>
    </row>
    <row r="44" spans="1:5" ht="18.75" customHeight="1" x14ac:dyDescent="0.3">
      <c r="A44" s="29" t="s">
        <v>267</v>
      </c>
      <c r="B44" s="30">
        <v>0.2</v>
      </c>
      <c r="C44" s="31" t="s">
        <v>200</v>
      </c>
      <c r="D44" s="32">
        <v>9.2126475993779461E-2</v>
      </c>
      <c r="E44" s="29" t="s">
        <v>217</v>
      </c>
    </row>
    <row r="45" spans="1:5" ht="18.75" customHeight="1" x14ac:dyDescent="0.3">
      <c r="A45" s="29" t="s">
        <v>268</v>
      </c>
      <c r="B45" s="30">
        <v>0.5</v>
      </c>
      <c r="C45" s="31" t="s">
        <v>200</v>
      </c>
      <c r="D45" s="32">
        <v>2.5742069126605076E-2</v>
      </c>
      <c r="E45" s="29" t="s">
        <v>245</v>
      </c>
    </row>
    <row r="46" spans="1:5" ht="18.75" customHeight="1" x14ac:dyDescent="0.3">
      <c r="A46" s="29" t="s">
        <v>269</v>
      </c>
      <c r="B46" s="30">
        <v>0.2</v>
      </c>
      <c r="C46" s="31" t="s">
        <v>200</v>
      </c>
      <c r="D46" s="32">
        <v>1.0262159852969198E-3</v>
      </c>
      <c r="E46" s="29" t="s">
        <v>215</v>
      </c>
    </row>
    <row r="47" spans="1:5" ht="18.75" customHeight="1" x14ac:dyDescent="0.3">
      <c r="A47" s="29" t="s">
        <v>270</v>
      </c>
      <c r="B47" s="30">
        <v>0.5</v>
      </c>
      <c r="C47" s="31" t="s">
        <v>200</v>
      </c>
      <c r="D47" s="32">
        <v>4.744570863068346E-3</v>
      </c>
      <c r="E47" s="29" t="s">
        <v>250</v>
      </c>
    </row>
    <row r="48" spans="1:5" ht="18.75" customHeight="1" x14ac:dyDescent="0.3">
      <c r="A48" s="29" t="s">
        <v>271</v>
      </c>
      <c r="B48" s="30">
        <v>0.08</v>
      </c>
      <c r="C48" s="31" t="s">
        <v>109</v>
      </c>
      <c r="D48" s="32">
        <v>1.4553197243787151E-3</v>
      </c>
      <c r="E48" s="29" t="s">
        <v>221</v>
      </c>
    </row>
    <row r="49" spans="1:5" ht="18.75" customHeight="1" x14ac:dyDescent="0.3">
      <c r="A49" s="29" t="s">
        <v>272</v>
      </c>
      <c r="B49" s="30">
        <v>0.25</v>
      </c>
      <c r="C49" s="31" t="s">
        <v>80</v>
      </c>
      <c r="D49" s="32">
        <v>8.9054441965246149E-4</v>
      </c>
      <c r="E49" s="29" t="s">
        <v>273</v>
      </c>
    </row>
    <row r="50" spans="1:5" ht="18.75" customHeight="1" x14ac:dyDescent="0.3">
      <c r="A50" s="29" t="s">
        <v>274</v>
      </c>
      <c r="B50" s="30">
        <v>1</v>
      </c>
      <c r="C50" s="31" t="s">
        <v>80</v>
      </c>
      <c r="D50" s="32">
        <v>2.9597939601812069E-2</v>
      </c>
      <c r="E50" s="29" t="s">
        <v>275</v>
      </c>
    </row>
    <row r="51" spans="1:5" ht="18.75" customHeight="1" x14ac:dyDescent="0.3">
      <c r="A51" s="29" t="s">
        <v>276</v>
      </c>
      <c r="B51" s="30">
        <v>0.09</v>
      </c>
      <c r="C51" s="31" t="s">
        <v>149</v>
      </c>
      <c r="D51" s="32">
        <v>1.3628870161721588E-3</v>
      </c>
      <c r="E51" s="29" t="s">
        <v>223</v>
      </c>
    </row>
    <row r="52" spans="1:5" ht="18.75" customHeight="1" x14ac:dyDescent="0.3">
      <c r="A52" s="29" t="s">
        <v>277</v>
      </c>
      <c r="B52" s="30">
        <v>0.11</v>
      </c>
      <c r="C52" s="31" t="s">
        <v>79</v>
      </c>
      <c r="D52" s="32">
        <v>1.9206845046008591E-3</v>
      </c>
      <c r="E52" s="29" t="s">
        <v>212</v>
      </c>
    </row>
    <row r="53" spans="1:5" ht="18.75" customHeight="1" x14ac:dyDescent="0.3">
      <c r="A53" s="29" t="s">
        <v>278</v>
      </c>
      <c r="B53" s="30">
        <v>0.25</v>
      </c>
      <c r="C53" s="31" t="s">
        <v>79</v>
      </c>
      <c r="D53" s="32">
        <v>8.9054441965246149E-4</v>
      </c>
      <c r="E53" s="29" t="s">
        <v>273</v>
      </c>
    </row>
    <row r="54" spans="1:5" ht="18.75" customHeight="1" x14ac:dyDescent="0.3">
      <c r="A54" s="29" t="s">
        <v>279</v>
      </c>
      <c r="B54" s="30">
        <v>0.08</v>
      </c>
      <c r="C54" s="31" t="s">
        <v>135</v>
      </c>
      <c r="D54" s="32">
        <v>1.4553197243787151E-3</v>
      </c>
      <c r="E54" s="29" t="s">
        <v>221</v>
      </c>
    </row>
    <row r="55" spans="1:5" ht="18.75" customHeight="1" x14ac:dyDescent="0.3">
      <c r="A55" s="29" t="s">
        <v>280</v>
      </c>
      <c r="B55" s="30">
        <v>0.09</v>
      </c>
      <c r="C55" s="31" t="s">
        <v>135</v>
      </c>
      <c r="D55" s="32">
        <v>1.3628870161721588E-3</v>
      </c>
      <c r="E55" s="29" t="s">
        <v>223</v>
      </c>
    </row>
    <row r="56" spans="1:5" ht="18.75" customHeight="1" x14ac:dyDescent="0.3">
      <c r="A56" s="29" t="s">
        <v>281</v>
      </c>
      <c r="B56" s="30">
        <v>0.11</v>
      </c>
      <c r="C56" s="31" t="s">
        <v>77</v>
      </c>
      <c r="D56" s="32">
        <v>1.9206845046008591E-3</v>
      </c>
      <c r="E56" s="29" t="s">
        <v>212</v>
      </c>
    </row>
    <row r="57" spans="1:5" ht="18.75" customHeight="1" x14ac:dyDescent="0.3">
      <c r="A57" s="29" t="s">
        <v>282</v>
      </c>
      <c r="B57" s="30">
        <v>1</v>
      </c>
      <c r="C57" s="31" t="s">
        <v>159</v>
      </c>
      <c r="D57" s="32">
        <v>2.0315575307184964E-2</v>
      </c>
      <c r="E57" s="29" t="s">
        <v>283</v>
      </c>
    </row>
    <row r="58" spans="1:5" ht="18.75" customHeight="1" x14ac:dyDescent="0.3">
      <c r="A58" s="29" t="s">
        <v>284</v>
      </c>
      <c r="B58" s="30">
        <v>1</v>
      </c>
      <c r="C58" s="31" t="s">
        <v>159</v>
      </c>
      <c r="D58" s="32">
        <v>4.1731422916397747E-2</v>
      </c>
      <c r="E58" s="29" t="s">
        <v>285</v>
      </c>
    </row>
    <row r="59" spans="1:5" ht="18.75" customHeight="1" x14ac:dyDescent="0.3">
      <c r="A59" s="29" t="s">
        <v>286</v>
      </c>
      <c r="B59" s="30">
        <v>1</v>
      </c>
      <c r="C59" s="31" t="s">
        <v>159</v>
      </c>
      <c r="D59" s="32">
        <v>2.3537221781703517E-3</v>
      </c>
      <c r="E59" s="29" t="s">
        <v>287</v>
      </c>
    </row>
    <row r="60" spans="1:5" ht="18.75" customHeight="1" x14ac:dyDescent="0.3">
      <c r="A60" s="29" t="s">
        <v>288</v>
      </c>
      <c r="B60" s="30">
        <v>0.33</v>
      </c>
      <c r="C60" s="31" t="s">
        <v>159</v>
      </c>
      <c r="D60" s="32">
        <v>4.5200022128381494E-3</v>
      </c>
      <c r="E60" s="29" t="s">
        <v>232</v>
      </c>
    </row>
    <row r="61" spans="1:5" ht="18.75" customHeight="1" x14ac:dyDescent="0.3">
      <c r="A61" s="29" t="s">
        <v>289</v>
      </c>
      <c r="B61" s="30">
        <v>0.09</v>
      </c>
      <c r="C61" s="31" t="s">
        <v>85</v>
      </c>
      <c r="D61" s="32">
        <v>1.3628870161721588E-3</v>
      </c>
      <c r="E61" s="29" t="s">
        <v>223</v>
      </c>
    </row>
    <row r="62" spans="1:5" ht="18.75" customHeight="1" x14ac:dyDescent="0.3">
      <c r="A62" s="29" t="s">
        <v>290</v>
      </c>
      <c r="B62" s="30">
        <v>0.25</v>
      </c>
      <c r="C62" s="31" t="s">
        <v>85</v>
      </c>
      <c r="D62" s="32">
        <v>8.9054441965246149E-4</v>
      </c>
      <c r="E62" s="29" t="s">
        <v>273</v>
      </c>
    </row>
    <row r="63" spans="1:5" ht="18.75" customHeight="1" x14ac:dyDescent="0.3">
      <c r="A63" s="29" t="s">
        <v>291</v>
      </c>
      <c r="B63" s="30">
        <v>0.08</v>
      </c>
      <c r="C63" s="33" t="s">
        <v>164</v>
      </c>
      <c r="D63" s="32">
        <v>2.6869756034594038E-2</v>
      </c>
      <c r="E63" s="29" t="s">
        <v>228</v>
      </c>
    </row>
    <row r="64" spans="1:5" ht="18.75" customHeight="1" x14ac:dyDescent="0.3">
      <c r="A64" s="29" t="s">
        <v>292</v>
      </c>
      <c r="B64" s="30">
        <v>0.11</v>
      </c>
      <c r="C64" s="33" t="s">
        <v>164</v>
      </c>
      <c r="D64" s="32">
        <v>1.9206845046008591E-3</v>
      </c>
      <c r="E64" s="29" t="s">
        <v>212</v>
      </c>
    </row>
    <row r="65" spans="1:5" ht="18.75" customHeight="1" x14ac:dyDescent="0.3">
      <c r="A65" s="29" t="s">
        <v>293</v>
      </c>
      <c r="B65" s="30">
        <v>0.2</v>
      </c>
      <c r="C65" s="31" t="s">
        <v>171</v>
      </c>
      <c r="D65" s="32">
        <v>1.0262159852969198E-3</v>
      </c>
      <c r="E65" s="29" t="s">
        <v>215</v>
      </c>
    </row>
    <row r="66" spans="1:5" ht="18.75" customHeight="1" x14ac:dyDescent="0.3">
      <c r="A66" s="29" t="s">
        <v>294</v>
      </c>
      <c r="B66" s="30">
        <v>0.08</v>
      </c>
      <c r="C66" s="31" t="s">
        <v>171</v>
      </c>
      <c r="D66" s="32">
        <v>2.6869756034594038E-2</v>
      </c>
      <c r="E66" s="29" t="s">
        <v>228</v>
      </c>
    </row>
    <row r="67" spans="1:5" ht="18.75" customHeight="1" x14ac:dyDescent="0.3">
      <c r="A67" s="29" t="s">
        <v>295</v>
      </c>
      <c r="B67" s="30">
        <v>0.08</v>
      </c>
      <c r="C67" s="31" t="s">
        <v>178</v>
      </c>
      <c r="D67" s="32">
        <v>2.6869756034594038E-2</v>
      </c>
      <c r="E67" s="29" t="s">
        <v>228</v>
      </c>
    </row>
    <row r="68" spans="1:5" ht="18.75" customHeight="1" x14ac:dyDescent="0.3">
      <c r="A68" s="29" t="s">
        <v>296</v>
      </c>
      <c r="B68" s="30">
        <v>0.25</v>
      </c>
      <c r="C68" s="31" t="s">
        <v>133</v>
      </c>
      <c r="D68" s="32">
        <v>4.125713793972475E-3</v>
      </c>
      <c r="E68" s="29" t="s">
        <v>252</v>
      </c>
    </row>
    <row r="69" spans="1:5" ht="18.75" customHeight="1" x14ac:dyDescent="0.3">
      <c r="A69" s="29" t="s">
        <v>297</v>
      </c>
      <c r="B69" s="30">
        <v>0.08</v>
      </c>
      <c r="C69" s="31" t="s">
        <v>133</v>
      </c>
      <c r="D69" s="32">
        <v>1.4553197243787151E-3</v>
      </c>
      <c r="E69" s="29" t="s">
        <v>221</v>
      </c>
    </row>
    <row r="70" spans="1:5" ht="18.75" customHeight="1" x14ac:dyDescent="0.3">
      <c r="A70" s="29" t="s">
        <v>298</v>
      </c>
      <c r="B70" s="30">
        <v>0.08</v>
      </c>
      <c r="C70" s="31" t="s">
        <v>141</v>
      </c>
      <c r="D70" s="32">
        <v>1.4553197243787151E-3</v>
      </c>
      <c r="E70" s="29" t="s">
        <v>221</v>
      </c>
    </row>
    <row r="71" spans="1:5" ht="18.75" customHeight="1" x14ac:dyDescent="0.3">
      <c r="A71" s="29" t="s">
        <v>299</v>
      </c>
      <c r="B71" s="30">
        <v>0.25</v>
      </c>
      <c r="C71" s="31" t="s">
        <v>97</v>
      </c>
      <c r="D71" s="32">
        <v>8.9054441965246149E-4</v>
      </c>
      <c r="E71" s="29" t="s">
        <v>273</v>
      </c>
    </row>
    <row r="72" spans="1:5" ht="18.75" customHeight="1" x14ac:dyDescent="0.3">
      <c r="A72" s="29" t="s">
        <v>300</v>
      </c>
      <c r="B72" s="30">
        <v>0.08</v>
      </c>
      <c r="C72" s="31" t="s">
        <v>102</v>
      </c>
      <c r="D72" s="32">
        <v>1.4553197243787151E-3</v>
      </c>
      <c r="E72" s="29" t="s">
        <v>221</v>
      </c>
    </row>
    <row r="73" spans="1:5" ht="18.75" customHeight="1" x14ac:dyDescent="0.3">
      <c r="A73" s="29" t="s">
        <v>301</v>
      </c>
      <c r="B73" s="30">
        <v>0.33</v>
      </c>
      <c r="C73" s="31" t="s">
        <v>196</v>
      </c>
      <c r="D73" s="32">
        <v>4.5200022128381494E-3</v>
      </c>
      <c r="E73" s="29" t="s">
        <v>232</v>
      </c>
    </row>
    <row r="74" spans="1:5" ht="18.75" customHeight="1" x14ac:dyDescent="0.3">
      <c r="A74" s="29" t="s">
        <v>302</v>
      </c>
      <c r="B74" s="30">
        <v>0.2</v>
      </c>
      <c r="C74" s="31" t="s">
        <v>196</v>
      </c>
      <c r="D74" s="32">
        <v>9.2126475993779461E-2</v>
      </c>
      <c r="E74" s="29" t="s">
        <v>217</v>
      </c>
    </row>
    <row r="75" spans="1:5" ht="18.75" customHeight="1" x14ac:dyDescent="0.3">
      <c r="A75" s="29" t="s">
        <v>303</v>
      </c>
      <c r="B75" s="30">
        <v>0.1</v>
      </c>
      <c r="C75" s="31" t="s">
        <v>91</v>
      </c>
      <c r="D75" s="32">
        <v>1.9206845046008591E-3</v>
      </c>
      <c r="E75" s="29" t="s">
        <v>212</v>
      </c>
    </row>
    <row r="76" spans="1:5" ht="18.75" customHeight="1" x14ac:dyDescent="0.3">
      <c r="A76" s="29" t="s">
        <v>304</v>
      </c>
      <c r="B76" s="30">
        <v>0.2</v>
      </c>
      <c r="C76" s="31" t="s">
        <v>91</v>
      </c>
      <c r="D76" s="32">
        <v>1.4403609384892463E-3</v>
      </c>
      <c r="E76" s="29" t="s">
        <v>219</v>
      </c>
    </row>
    <row r="77" spans="1:5" ht="18.75" customHeight="1" x14ac:dyDescent="0.3">
      <c r="A77" s="29" t="s">
        <v>305</v>
      </c>
      <c r="B77" s="30">
        <v>0.2</v>
      </c>
      <c r="C77" s="31" t="s">
        <v>154</v>
      </c>
      <c r="D77" s="32">
        <v>1.0262159852969198E-3</v>
      </c>
      <c r="E77" s="29" t="s">
        <v>215</v>
      </c>
    </row>
    <row r="78" spans="1:5" ht="18.75" customHeight="1" x14ac:dyDescent="0.3">
      <c r="A78" s="29" t="s">
        <v>306</v>
      </c>
      <c r="B78" s="30">
        <v>0.09</v>
      </c>
      <c r="C78" s="31" t="s">
        <v>139</v>
      </c>
      <c r="D78" s="32">
        <v>1.3628870161721588E-3</v>
      </c>
      <c r="E78" s="29" t="s">
        <v>223</v>
      </c>
    </row>
    <row r="79" spans="1:5" ht="18.75" customHeight="1" x14ac:dyDescent="0.3">
      <c r="A79" s="29" t="s">
        <v>307</v>
      </c>
      <c r="B79" s="30">
        <v>0.11</v>
      </c>
      <c r="C79" s="31" t="s">
        <v>89</v>
      </c>
      <c r="D79" s="32">
        <v>1.9206845046008591E-3</v>
      </c>
      <c r="E79" s="29" t="s">
        <v>212</v>
      </c>
    </row>
    <row r="80" spans="1:5" ht="18.75" customHeight="1" x14ac:dyDescent="0.3">
      <c r="A80" s="29" t="s">
        <v>308</v>
      </c>
      <c r="B80" s="30">
        <v>0.2</v>
      </c>
      <c r="C80" s="31" t="s">
        <v>89</v>
      </c>
      <c r="D80" s="32">
        <v>1.4403609384892463E-3</v>
      </c>
      <c r="E80" s="29" t="s">
        <v>219</v>
      </c>
    </row>
    <row r="81" spans="1:5" ht="18.75" customHeight="1" x14ac:dyDescent="0.3">
      <c r="A81" s="29" t="s">
        <v>309</v>
      </c>
      <c r="B81" s="30">
        <v>0.09</v>
      </c>
      <c r="C81" s="31" t="s">
        <v>75</v>
      </c>
      <c r="D81" s="32">
        <v>1.3628870161721588E-3</v>
      </c>
      <c r="E81" s="29" t="s">
        <v>223</v>
      </c>
    </row>
    <row r="82" spans="1:5" ht="18.75" customHeight="1" x14ac:dyDescent="0.3">
      <c r="A82" s="29" t="s">
        <v>310</v>
      </c>
      <c r="B82" s="30">
        <v>0.09</v>
      </c>
      <c r="C82" s="31" t="s">
        <v>73</v>
      </c>
      <c r="D82" s="32">
        <v>1.3628870161721588E-3</v>
      </c>
      <c r="E82" s="29" t="s">
        <v>223</v>
      </c>
    </row>
    <row r="83" spans="1:5" ht="18.75" customHeight="1" x14ac:dyDescent="0.3">
      <c r="A83" s="29" t="s">
        <v>311</v>
      </c>
      <c r="B83" s="30">
        <v>0.25</v>
      </c>
      <c r="C83" s="31" t="s">
        <v>113</v>
      </c>
      <c r="D83" s="32">
        <v>4.125713793972475E-3</v>
      </c>
      <c r="E83" s="29" t="s">
        <v>252</v>
      </c>
    </row>
    <row r="84" spans="1:5" ht="18.75" customHeight="1" x14ac:dyDescent="0.3">
      <c r="A84" s="14"/>
      <c r="B84" s="17"/>
      <c r="C84" s="14"/>
      <c r="D84" s="17"/>
      <c r="E84" s="14"/>
    </row>
    <row r="85" spans="1:5" ht="18.75" customHeight="1" x14ac:dyDescent="0.3">
      <c r="A85" s="14"/>
      <c r="B85" s="15"/>
      <c r="C85" s="14"/>
      <c r="D85" s="34"/>
      <c r="E85" s="14"/>
    </row>
    <row r="86" spans="1:5" ht="18.75" customHeight="1" x14ac:dyDescent="0.3">
      <c r="A86" s="14"/>
      <c r="B86" s="15"/>
      <c r="C86" s="14"/>
      <c r="D86" s="34"/>
      <c r="E86" s="14"/>
    </row>
    <row r="87" spans="1:5" ht="18.75" customHeight="1" x14ac:dyDescent="0.3">
      <c r="A87" s="14"/>
      <c r="B87" s="15"/>
      <c r="C87" s="14"/>
      <c r="D87" s="34"/>
      <c r="E87" s="14"/>
    </row>
    <row r="88" spans="1:5" ht="18.75" customHeight="1" x14ac:dyDescent="0.3">
      <c r="A88" s="14"/>
      <c r="B88" s="15"/>
      <c r="C88" s="14"/>
      <c r="D88" s="34"/>
      <c r="E88" s="14"/>
    </row>
    <row r="89" spans="1:5" ht="18.75" customHeight="1" x14ac:dyDescent="0.3">
      <c r="A89" s="14"/>
      <c r="B89" s="15"/>
      <c r="C89" s="14"/>
      <c r="D89" s="34"/>
      <c r="E89" s="14"/>
    </row>
    <row r="90" spans="1:5" ht="18.75" customHeight="1" x14ac:dyDescent="0.3">
      <c r="A90" s="14"/>
      <c r="B90" s="15"/>
      <c r="C90" s="14"/>
      <c r="D90" s="34"/>
      <c r="E90" s="14"/>
    </row>
    <row r="91" spans="1:5" ht="18.75" customHeight="1" x14ac:dyDescent="0.3">
      <c r="A91" s="14"/>
      <c r="B91" s="15"/>
      <c r="C91" s="14"/>
      <c r="D91" s="34"/>
      <c r="E91" s="14"/>
    </row>
    <row r="92" spans="1:5" ht="18.75" customHeight="1" x14ac:dyDescent="0.3">
      <c r="A92" s="14"/>
      <c r="B92" s="15"/>
      <c r="C92" s="14"/>
      <c r="D92" s="34"/>
      <c r="E92" s="14"/>
    </row>
    <row r="93" spans="1:5" ht="18.75" customHeight="1" x14ac:dyDescent="0.3">
      <c r="A93" s="14"/>
      <c r="B93" s="15"/>
      <c r="C93" s="14"/>
      <c r="D93" s="34"/>
      <c r="E93" s="14"/>
    </row>
    <row r="94" spans="1:5" ht="18.75" customHeight="1" x14ac:dyDescent="0.3">
      <c r="A94" s="14"/>
      <c r="B94" s="15"/>
      <c r="C94" s="14"/>
      <c r="D94" s="34"/>
      <c r="E94" s="14"/>
    </row>
    <row r="95" spans="1:5" ht="18.75" customHeight="1" x14ac:dyDescent="0.3">
      <c r="A95" s="14"/>
      <c r="B95" s="15"/>
      <c r="C95" s="14"/>
      <c r="D95" s="34"/>
      <c r="E95" s="14"/>
    </row>
    <row r="96" spans="1:5" ht="18.75" customHeight="1" x14ac:dyDescent="0.3">
      <c r="A96" s="14"/>
      <c r="B96" s="15"/>
      <c r="C96" s="14"/>
      <c r="D96" s="34"/>
      <c r="E96" s="14"/>
    </row>
    <row r="97" spans="1:5" ht="18.75" customHeight="1" x14ac:dyDescent="0.3">
      <c r="A97" s="14"/>
      <c r="B97" s="15"/>
      <c r="C97" s="14"/>
      <c r="D97" s="34"/>
      <c r="E97" s="14"/>
    </row>
    <row r="98" spans="1:5" ht="18.75" customHeight="1" x14ac:dyDescent="0.3">
      <c r="A98" s="14"/>
      <c r="B98" s="15"/>
      <c r="C98" s="14"/>
      <c r="D98" s="34"/>
      <c r="E98" s="14"/>
    </row>
    <row r="99" spans="1:5" ht="18.75" customHeight="1" x14ac:dyDescent="0.3">
      <c r="A99" s="14"/>
      <c r="B99" s="15"/>
      <c r="C99" s="14"/>
      <c r="D99" s="34"/>
      <c r="E99" s="14"/>
    </row>
    <row r="100" spans="1:5" ht="18.75" customHeight="1" x14ac:dyDescent="0.3">
      <c r="A100" s="14"/>
      <c r="B100" s="15"/>
      <c r="C100" s="14"/>
      <c r="D100" s="34"/>
      <c r="E100" s="14"/>
    </row>
    <row r="101" spans="1:5" ht="18.75" customHeight="1" x14ac:dyDescent="0.3">
      <c r="A101" s="14"/>
      <c r="B101" s="15"/>
      <c r="C101" s="14"/>
      <c r="D101" s="34"/>
      <c r="E101" s="14"/>
    </row>
    <row r="102" spans="1:5" ht="18.75" customHeight="1" x14ac:dyDescent="0.3">
      <c r="A102" s="14"/>
      <c r="B102" s="15"/>
      <c r="C102" s="14"/>
      <c r="D102" s="34"/>
      <c r="E102" s="14"/>
    </row>
    <row r="103" spans="1:5" ht="18.75" customHeight="1" x14ac:dyDescent="0.3">
      <c r="A103" s="14"/>
      <c r="B103" s="15"/>
      <c r="C103" s="14"/>
      <c r="D103" s="34"/>
      <c r="E103" s="14"/>
    </row>
    <row r="104" spans="1:5" ht="18.75" customHeight="1" x14ac:dyDescent="0.3">
      <c r="A104" s="14"/>
      <c r="B104" s="15"/>
      <c r="C104" s="14"/>
      <c r="D104" s="34"/>
      <c r="E104" s="14"/>
    </row>
    <row r="105" spans="1:5" ht="18.75" customHeight="1" x14ac:dyDescent="0.3">
      <c r="A105" s="14"/>
      <c r="B105" s="15"/>
      <c r="C105" s="14"/>
      <c r="D105" s="34"/>
      <c r="E105" s="14"/>
    </row>
    <row r="106" spans="1:5" ht="18.75" customHeight="1" x14ac:dyDescent="0.3">
      <c r="A106" s="14"/>
      <c r="B106" s="15"/>
      <c r="C106" s="14"/>
      <c r="D106" s="34"/>
      <c r="E106" s="14"/>
    </row>
    <row r="107" spans="1:5" ht="18.75" customHeight="1" x14ac:dyDescent="0.3">
      <c r="A107" s="14"/>
      <c r="B107" s="15"/>
      <c r="C107" s="14"/>
      <c r="D107" s="34"/>
      <c r="E107" s="14"/>
    </row>
    <row r="108" spans="1:5" ht="18.75" customHeight="1" x14ac:dyDescent="0.3">
      <c r="A108" s="14"/>
      <c r="B108" s="15"/>
      <c r="C108" s="14"/>
      <c r="D108" s="34"/>
      <c r="E108" s="14"/>
    </row>
    <row r="109" spans="1:5" ht="18.75" customHeight="1" x14ac:dyDescent="0.3">
      <c r="A109" s="14"/>
      <c r="B109" s="15"/>
      <c r="C109" s="14"/>
      <c r="D109" s="34"/>
      <c r="E109" s="14"/>
    </row>
    <row r="110" spans="1:5" ht="18.75" customHeight="1" x14ac:dyDescent="0.3">
      <c r="A110" s="14"/>
      <c r="B110" s="15"/>
      <c r="C110" s="14"/>
      <c r="D110" s="34"/>
      <c r="E110" s="14"/>
    </row>
    <row r="111" spans="1:5" ht="18.75" customHeight="1" x14ac:dyDescent="0.3">
      <c r="A111" s="14"/>
      <c r="B111" s="15"/>
      <c r="C111" s="14"/>
      <c r="D111" s="34"/>
      <c r="E1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site independent</vt:lpstr>
      <vt:lpstr>modeled attributes</vt:lpstr>
      <vt:lpstr>scenario analysis</vt:lpstr>
      <vt:lpstr>vre plants</vt:lpstr>
      <vt:lpstr>non-vre plants</vt:lpstr>
      <vt:lpstr>storage</vt:lpstr>
      <vt:lpstr>EV_aggregator</vt:lpstr>
      <vt:lpstr>demand response</vt:lpstr>
      <vt:lpstr>demand centres</vt:lpstr>
      <vt:lpstr>existing transmission</vt:lpstr>
      <vt:lpstr>excel input instructions</vt:lpstr>
      <vt:lpstr>lists</vt:lpstr>
      <vt:lpstr>mono_c_Si</vt:lpstr>
      <vt:lpstr>mono_tech</vt:lpstr>
      <vt:lpstr>multi_c_Si</vt:lpstr>
      <vt:lpstr>multi_tech</vt:lpstr>
      <vt:lpstr>'site independent'!Print_Area</vt:lpstr>
      <vt:lpstr>Solar</vt:lpstr>
      <vt:lpstr>thin_film</vt:lpstr>
      <vt:lpstr>thin_tech</vt:lpstr>
      <vt:lpstr>VRE</vt:lpstr>
      <vt:lpstr>Wind</vt:lpstr>
      <vt:lpstr>wind_offshore</vt:lpstr>
      <vt:lpstr>wind_onshore</vt:lpstr>
      <vt:lpstr>wind_tech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Noah Leverton</cp:lastModifiedBy>
  <dcterms:created xsi:type="dcterms:W3CDTF">2022-06-17T22:20:16Z</dcterms:created>
  <dcterms:modified xsi:type="dcterms:W3CDTF">2022-06-20T23:45:36Z</dcterms:modified>
</cp:coreProperties>
</file>