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oah\Documents\Summer 2022 Co-op\copper-silver-linking-tool\files_needed_for_tool\model_inputs\"/>
    </mc:Choice>
  </mc:AlternateContent>
  <xr:revisionPtr revIDLastSave="0" documentId="13_ncr:1_{8A117443-052A-4450-BA3D-DEA07C73C098}" xr6:coauthVersionLast="47" xr6:coauthVersionMax="47" xr10:uidLastSave="{00000000-0000-0000-0000-000000000000}"/>
  <bookViews>
    <workbookView xWindow="-28920" yWindow="1695" windowWidth="29040" windowHeight="15840" tabRatio="774" firstSheet="2" activeTab="8" xr2:uid="{00000000-000D-0000-FFFF-FFFF00000000}"/>
  </bookViews>
  <sheets>
    <sheet name="site independent" sheetId="1" r:id="rId1"/>
    <sheet name="modeled attributes" sheetId="35" r:id="rId2"/>
    <sheet name="scenario analysis" sheetId="38" r:id="rId3"/>
    <sheet name="vre plants" sheetId="22" r:id="rId4"/>
    <sheet name="non-vre plants" sheetId="41" r:id="rId5"/>
    <sheet name="storage" sheetId="25" r:id="rId6"/>
    <sheet name="EV_aggregator" sheetId="26" r:id="rId7"/>
    <sheet name="demand response" sheetId="18" r:id="rId8"/>
    <sheet name="demand centres" sheetId="14" r:id="rId9"/>
    <sheet name="existing transmission" sheetId="32" r:id="rId10"/>
    <sheet name="modeled attributes _original" sheetId="36" r:id="rId11"/>
    <sheet name="excel input instructions" sheetId="24" r:id="rId12"/>
    <sheet name="lists" sheetId="39" r:id="rId13"/>
  </sheets>
  <definedNames>
    <definedName name="code" localSheetId="4">#REF!</definedName>
    <definedName name="code">#REF!</definedName>
    <definedName name="mono_c_Si">lists!$F$9:$F$11</definedName>
    <definedName name="mono_tech">lists!$E$9:$E$11</definedName>
    <definedName name="multi_c_Si">lists!$D$9:$D$11</definedName>
    <definedName name="multi_tech">lists!$C$9:$C$11</definedName>
    <definedName name="_xlnm.Print_Area" localSheetId="0">'site independent'!$A$1:$O$134</definedName>
    <definedName name="renumber" localSheetId="4">#REF!</definedName>
    <definedName name="renumber">#REF!</definedName>
    <definedName name="rerank" localSheetId="4">#REF!</definedName>
    <definedName name="rerank">#REF!</definedName>
    <definedName name="Solar">lists!$C$4:$C$6</definedName>
    <definedName name="thin_film">lists!$E$9:$E$11</definedName>
    <definedName name="thin_tech">lists!$D$9:$D$11</definedName>
    <definedName name="total" localSheetId="4">#REF!</definedName>
    <definedName name="total">#REF!</definedName>
    <definedName name="user" localSheetId="4">#REF!</definedName>
    <definedName name="user">#REF!</definedName>
    <definedName name="VRE">lists!$B$3:$C$3</definedName>
    <definedName name="Wind">lists!$B$4:$B$5</definedName>
    <definedName name="wind_offshore">lists!$C$9</definedName>
    <definedName name="wind_onshore">lists!$B$9:$B$11</definedName>
    <definedName name="wind_tech">lists!$B$9:$B$11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1" i="41" l="1"/>
  <c r="E142" i="41"/>
  <c r="E143" i="41"/>
  <c r="E140" i="41"/>
  <c r="E3" i="41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2" i="41"/>
  <c r="I29" i="35" l="1"/>
  <c r="H29" i="35"/>
  <c r="G29" i="35"/>
  <c r="F29" i="35"/>
  <c r="E29" i="35"/>
  <c r="D29" i="35"/>
  <c r="C29" i="35"/>
  <c r="B29" i="35"/>
  <c r="H2" i="32" l="1" a="1"/>
  <c r="H2" i="32" s="1"/>
  <c r="I2" i="32" s="1"/>
  <c r="H3" i="32" a="1"/>
  <c r="H3" i="32" s="1"/>
  <c r="I3" i="32" s="1"/>
  <c r="H4" i="32" a="1"/>
  <c r="H4" i="32" s="1"/>
  <c r="I4" i="32" s="1"/>
  <c r="H5" i="32" a="1"/>
  <c r="H5" i="32" s="1"/>
  <c r="I5" i="32" s="1"/>
  <c r="H6" i="32" a="1"/>
  <c r="H6" i="32" s="1"/>
  <c r="I6" i="32" s="1"/>
  <c r="H7" i="32" a="1"/>
  <c r="H7" i="32" s="1"/>
  <c r="I7" i="32" s="1"/>
  <c r="H8" i="32" a="1"/>
  <c r="H8" i="32" s="1"/>
  <c r="I8" i="32" s="1"/>
  <c r="H9" i="32" a="1"/>
  <c r="H9" i="32" s="1"/>
  <c r="I9" i="32" s="1"/>
  <c r="H10" i="32" a="1"/>
  <c r="H10" i="32" s="1"/>
  <c r="I10" i="32" s="1"/>
  <c r="H11" i="32" a="1"/>
  <c r="H11" i="32" s="1"/>
  <c r="I11" i="32" s="1"/>
  <c r="H12" i="32" a="1"/>
  <c r="H12" i="32" s="1"/>
  <c r="I12" i="32" s="1"/>
  <c r="H13" i="32" a="1"/>
  <c r="H13" i="32" s="1"/>
  <c r="I13" i="32" s="1"/>
  <c r="H14" i="32" a="1"/>
  <c r="H14" i="32" s="1"/>
  <c r="I14" i="32" s="1"/>
  <c r="H15" i="32" a="1"/>
  <c r="H15" i="32" s="1"/>
  <c r="I15" i="32" s="1"/>
  <c r="H16" i="32" a="1"/>
  <c r="H16" i="32" s="1"/>
  <c r="I16" i="32" s="1"/>
  <c r="H17" i="32" a="1"/>
  <c r="H17" i="32" s="1"/>
  <c r="I17" i="32" s="1"/>
  <c r="H18" i="32" a="1"/>
  <c r="H18" i="32" s="1"/>
  <c r="I18" i="32" s="1"/>
  <c r="H19" i="32" a="1"/>
  <c r="H19" i="32" s="1"/>
  <c r="I19" i="32" s="1"/>
  <c r="H20" i="32" a="1"/>
  <c r="H20" i="32" s="1"/>
  <c r="I20" i="32" s="1"/>
  <c r="H21" i="32" a="1"/>
  <c r="H21" i="32" s="1"/>
  <c r="I21" i="32" s="1"/>
  <c r="H22" i="32" a="1"/>
  <c r="H22" i="32" s="1"/>
  <c r="I22" i="32" s="1"/>
  <c r="H23" i="32" a="1"/>
  <c r="H23" i="32" s="1"/>
  <c r="I23" i="32" s="1"/>
  <c r="H24" i="32" a="1"/>
  <c r="H24" i="32" s="1"/>
  <c r="I24" i="32" s="1"/>
  <c r="H25" i="32" a="1"/>
  <c r="H25" i="32" s="1"/>
  <c r="I25" i="32" s="1"/>
  <c r="H26" i="32" a="1"/>
  <c r="H26" i="32" s="1"/>
  <c r="I26" i="32" s="1"/>
  <c r="H27" i="32" a="1"/>
  <c r="H27" i="32" s="1"/>
  <c r="I27" i="32" s="1"/>
  <c r="H28" i="32" a="1"/>
  <c r="H28" i="32" s="1"/>
  <c r="I28" i="32" s="1"/>
  <c r="H29" i="32" a="1"/>
  <c r="H29" i="32" s="1"/>
  <c r="I29" i="32" s="1"/>
  <c r="H30" i="32" a="1"/>
  <c r="H30" i="32" s="1"/>
  <c r="I30" i="32" s="1"/>
  <c r="H31" i="32" a="1"/>
  <c r="H31" i="32" s="1"/>
  <c r="I31" i="32" s="1"/>
  <c r="H32" i="32" a="1"/>
  <c r="H32" i="32" s="1"/>
  <c r="I32" i="32" s="1"/>
  <c r="H33" i="32" a="1"/>
  <c r="H33" i="32" s="1"/>
  <c r="I33" i="32" s="1"/>
  <c r="H34" i="32" a="1"/>
  <c r="H34" i="32" s="1"/>
  <c r="I34" i="32" s="1"/>
  <c r="H35" i="32" a="1"/>
  <c r="H35" i="32" s="1"/>
  <c r="I35" i="32" s="1"/>
  <c r="H36" i="32" a="1"/>
  <c r="H36" i="32" s="1"/>
  <c r="I36" i="32" s="1"/>
  <c r="H37" i="32" a="1"/>
  <c r="H37" i="32" s="1"/>
  <c r="I37" i="32" s="1"/>
  <c r="A6" i="38" l="1"/>
  <c r="A7" i="38"/>
  <c r="A8" i="38"/>
  <c r="A9" i="38"/>
  <c r="A10" i="38"/>
  <c r="A11" i="38"/>
  <c r="A12" i="38"/>
  <c r="A13" i="38"/>
  <c r="A14" i="38"/>
  <c r="A15" i="38"/>
  <c r="A16" i="38"/>
  <c r="A17" i="38"/>
  <c r="A18" i="38"/>
  <c r="A19" i="38"/>
  <c r="F130" i="1"/>
  <c r="F129" i="1"/>
  <c r="F128" i="1"/>
  <c r="F127" i="1"/>
  <c r="F126" i="1"/>
  <c r="F125" i="1"/>
  <c r="F124" i="1"/>
  <c r="F123" i="1"/>
  <c r="F101" i="1"/>
  <c r="F100" i="1"/>
  <c r="F99" i="1"/>
  <c r="F98" i="1"/>
  <c r="F97" i="1"/>
  <c r="F96" i="1"/>
  <c r="F95" i="1"/>
  <c r="F94" i="1"/>
  <c r="F93" i="1"/>
  <c r="F92" i="1"/>
  <c r="F91" i="1"/>
  <c r="F90" i="1"/>
  <c r="B81" i="1"/>
  <c r="B80" i="1"/>
  <c r="B79" i="1"/>
  <c r="B78" i="1"/>
  <c r="B77" i="1"/>
  <c r="B75" i="1" s="1"/>
  <c r="B76" i="1"/>
  <c r="B74" i="1" s="1"/>
  <c r="H66" i="1"/>
  <c r="H65" i="1"/>
  <c r="H63" i="1"/>
  <c r="H62" i="1"/>
  <c r="H61" i="1"/>
  <c r="I61" i="1" s="1"/>
  <c r="C45" i="1"/>
  <c r="B45" i="1"/>
  <c r="K41" i="1"/>
  <c r="J41" i="1"/>
  <c r="C41" i="1"/>
  <c r="B41" i="1"/>
  <c r="J40" i="1"/>
  <c r="C40" i="1"/>
  <c r="B40" i="1"/>
  <c r="C39" i="1"/>
  <c r="B39" i="1"/>
  <c r="K38" i="1"/>
  <c r="J38" i="1"/>
  <c r="C38" i="1"/>
  <c r="B38" i="1"/>
  <c r="C37" i="1"/>
  <c r="B37" i="1"/>
  <c r="C36" i="1"/>
  <c r="B36" i="1"/>
  <c r="K35" i="1"/>
  <c r="J35" i="1"/>
  <c r="C35" i="1"/>
  <c r="B35" i="1"/>
  <c r="K33" i="1"/>
  <c r="J33" i="1"/>
  <c r="C33" i="1"/>
  <c r="B33" i="1"/>
  <c r="K32" i="1"/>
  <c r="J32" i="1"/>
  <c r="C32" i="1"/>
  <c r="B32" i="1"/>
  <c r="K31" i="1"/>
  <c r="J31" i="1"/>
  <c r="C31" i="1"/>
  <c r="B31" i="1"/>
  <c r="L22" i="1"/>
  <c r="G12" i="1"/>
  <c r="G11" i="1"/>
  <c r="D11" i="1"/>
  <c r="G10" i="1"/>
  <c r="P6" i="1"/>
  <c r="P7" i="1" s="1"/>
  <c r="P8" i="1" s="1"/>
  <c r="G5" i="1"/>
  <c r="P10" i="1" l="1"/>
  <c r="P11" i="1" s="1"/>
  <c r="P12" i="1" s="1"/>
  <c r="P13" i="1" s="1"/>
  <c r="P9" i="1"/>
  <c r="K9" i="22"/>
  <c r="L9" i="22"/>
  <c r="K8" i="22"/>
  <c r="P14" i="1" l="1"/>
  <c r="P15" i="1" s="1"/>
  <c r="P16" i="1" s="1"/>
  <c r="P17" i="1"/>
  <c r="P18" i="1" s="1"/>
  <c r="P19" i="1" s="1"/>
  <c r="H6" i="38" a="1"/>
  <c r="H6" i="38" s="1"/>
  <c r="K5" i="38" l="1" a="1"/>
  <c r="I5" i="38"/>
  <c r="B25" i="38"/>
  <c r="B23" i="38"/>
  <c r="B20" i="38"/>
  <c r="B13" i="18" l="1"/>
  <c r="B22" i="38" l="1"/>
  <c r="B21" i="38" l="1"/>
  <c r="J3" i="22" l="1"/>
  <c r="J4" i="22" s="1"/>
  <c r="J5" i="22" s="1"/>
  <c r="J6" i="22" s="1"/>
  <c r="J7" i="22" s="1"/>
  <c r="J8" i="22" s="1"/>
  <c r="J10" i="22" s="1"/>
  <c r="L8" i="22"/>
  <c r="L6" i="22"/>
  <c r="K6" i="22"/>
  <c r="L5" i="22"/>
  <c r="K5" i="22"/>
  <c r="K4" i="22"/>
  <c r="K2" i="22"/>
  <c r="L2" i="22"/>
  <c r="K3" i="22"/>
  <c r="L3" i="22"/>
  <c r="K7" i="22"/>
  <c r="L7" i="22"/>
  <c r="K10" i="22"/>
  <c r="L10" i="22"/>
  <c r="J9" i="22" l="1"/>
  <c r="L4" i="22"/>
  <c r="N5" i="38" l="1" a="1"/>
  <c r="N5" i="38" s="1"/>
  <c r="N6" i="38" s="1" a="1"/>
  <c r="N6" i="38" s="1"/>
  <c r="O5" i="38" l="1"/>
  <c r="Q5" i="38"/>
  <c r="L5" i="38" a="1"/>
  <c r="I6" i="38"/>
  <c r="R6" i="38"/>
  <c r="Q6" i="38"/>
  <c r="O6" i="38"/>
  <c r="P6" i="38"/>
  <c r="N7" i="38" a="1"/>
  <c r="N7" i="38" s="1"/>
  <c r="P5" i="38"/>
  <c r="R5" i="38"/>
  <c r="N8" i="38" l="1" a="1"/>
  <c r="N8" i="38" s="1"/>
  <c r="P7" i="38"/>
  <c r="R7" i="38"/>
  <c r="O7" i="38"/>
  <c r="Q7" i="38"/>
  <c r="H7" i="38" a="1"/>
  <c r="H7" i="38" s="1"/>
  <c r="L6" i="38" a="1"/>
  <c r="K6" i="38" a="1"/>
  <c r="H8" i="38" l="1" a="1"/>
  <c r="H8" i="38" s="1"/>
  <c r="I8" i="38" s="1"/>
  <c r="I7" i="38"/>
  <c r="L7" i="38" a="1"/>
  <c r="K7" i="38" a="1"/>
  <c r="N9" i="38" a="1"/>
  <c r="N9" i="38" s="1"/>
  <c r="Q8" i="38"/>
  <c r="P8" i="38"/>
  <c r="O8" i="38"/>
  <c r="R8" i="38"/>
  <c r="K8" i="38" l="1" a="1"/>
  <c r="L8" i="38" a="1"/>
  <c r="H9" i="38" a="1"/>
  <c r="H9" i="38" s="1"/>
  <c r="K9" i="38" s="1" a="1"/>
  <c r="Q9" i="38"/>
  <c r="P9" i="38"/>
  <c r="O9" i="38"/>
  <c r="R9" i="38"/>
  <c r="N10" i="38" a="1"/>
  <c r="N10" i="38" s="1"/>
  <c r="L9" i="38" l="1" a="1"/>
  <c r="H10" i="38" a="1"/>
  <c r="H10" i="38" s="1"/>
  <c r="I9" i="38"/>
  <c r="R10" i="38"/>
  <c r="Q10" i="38"/>
  <c r="P10" i="38"/>
  <c r="O10" i="38"/>
  <c r="N11" i="38" a="1"/>
  <c r="N11" i="38" s="1"/>
  <c r="K10" i="38" l="1" a="1"/>
  <c r="L10" i="38" a="1"/>
  <c r="H11" i="38" a="1"/>
  <c r="H11" i="38" s="1"/>
  <c r="I10" i="38"/>
  <c r="R11" i="38"/>
  <c r="O11" i="38"/>
  <c r="Q11" i="38"/>
  <c r="P11" i="38"/>
  <c r="N12" i="38" a="1"/>
  <c r="N12" i="38" s="1"/>
  <c r="N13" i="38" s="1" a="1"/>
  <c r="N13" i="38" s="1"/>
  <c r="I11" i="38" l="1"/>
  <c r="K11" i="38" a="1"/>
  <c r="L11" i="38" a="1"/>
  <c r="H12" i="38" a="1"/>
  <c r="H12" i="38" s="1"/>
  <c r="Q13" i="38"/>
  <c r="P13" i="38"/>
  <c r="O13" i="38"/>
  <c r="R13" i="38"/>
  <c r="Q12" i="38"/>
  <c r="P12" i="38"/>
  <c r="O12" i="38"/>
  <c r="R12" i="38"/>
  <c r="N14" i="38" a="1"/>
  <c r="N14" i="38" s="1"/>
  <c r="N20" i="38" s="1" a="1"/>
  <c r="N20" i="38" s="1"/>
  <c r="N21" i="38" s="1" a="1"/>
  <c r="N21" i="38" s="1"/>
  <c r="I12" i="38" l="1"/>
  <c r="L12" i="38" a="1"/>
  <c r="K12" i="38" a="1"/>
  <c r="H13" i="38" a="1"/>
  <c r="H13" i="38" s="1"/>
  <c r="Q21" i="38"/>
  <c r="P21" i="38"/>
  <c r="O21" i="38"/>
  <c r="R21" i="38"/>
  <c r="R14" i="38"/>
  <c r="Q14" i="38"/>
  <c r="P14" i="38"/>
  <c r="O14" i="38"/>
  <c r="R20" i="38"/>
  <c r="P20" i="38"/>
  <c r="O20" i="38"/>
  <c r="Q20" i="38"/>
  <c r="N22" i="38" a="1"/>
  <c r="N22" i="38" s="1"/>
  <c r="I13" i="38" l="1"/>
  <c r="K13" i="38" a="1"/>
  <c r="L13" i="38" a="1"/>
  <c r="H14" i="38" a="1"/>
  <c r="H14" i="38" s="1"/>
  <c r="Q22" i="38"/>
  <c r="P22" i="38"/>
  <c r="O22" i="38"/>
  <c r="R22" i="38"/>
  <c r="N23" i="38" a="1"/>
  <c r="N23" i="38" s="1"/>
  <c r="I14" i="38" l="1"/>
  <c r="L14" i="38" a="1"/>
  <c r="K14" i="38" a="1"/>
  <c r="H20" i="38" a="1"/>
  <c r="H20" i="38" s="1"/>
  <c r="R23" i="38"/>
  <c r="Q23" i="38"/>
  <c r="P23" i="38"/>
  <c r="O23" i="38"/>
  <c r="N24" i="38" a="1"/>
  <c r="N24" i="38" s="1"/>
  <c r="L20" i="38" l="1" a="1"/>
  <c r="K20" i="38" a="1"/>
  <c r="H21" i="38" a="1"/>
  <c r="H21" i="38" s="1"/>
  <c r="I20" i="38"/>
  <c r="N25" i="38" a="1"/>
  <c r="N25" i="38" s="1"/>
  <c r="R24" i="38"/>
  <c r="Q24" i="38"/>
  <c r="P24" i="38"/>
  <c r="O24" i="38"/>
  <c r="I21" i="38" l="1"/>
  <c r="L21" i="38" a="1"/>
  <c r="K21" i="38" a="1"/>
  <c r="H22" i="38" a="1"/>
  <c r="H22" i="38" s="1"/>
  <c r="N26" i="38" a="1"/>
  <c r="N26" i="38" s="1"/>
  <c r="Q25" i="38"/>
  <c r="P25" i="38"/>
  <c r="O25" i="38"/>
  <c r="R25" i="38"/>
  <c r="I22" i="38" l="1"/>
  <c r="L22" i="38" a="1"/>
  <c r="K22" i="38" a="1"/>
  <c r="H23" i="38" a="1"/>
  <c r="H23" i="38" s="1"/>
  <c r="N27" i="38" a="1"/>
  <c r="N27" i="38" s="1"/>
  <c r="Q26" i="38"/>
  <c r="P26" i="38"/>
  <c r="O26" i="38"/>
  <c r="R26" i="38"/>
  <c r="J9" i="38"/>
  <c r="J13" i="38"/>
  <c r="J5" i="38"/>
  <c r="J8" i="38"/>
  <c r="J12" i="38"/>
  <c r="J14" i="38"/>
  <c r="I23" i="38" l="1"/>
  <c r="L23" i="38" a="1"/>
  <c r="K23" i="38" a="1"/>
  <c r="J23" i="38"/>
  <c r="H24" i="38" a="1"/>
  <c r="H24" i="38" s="1"/>
  <c r="R27" i="38"/>
  <c r="Q27" i="38"/>
  <c r="P27" i="38"/>
  <c r="O27" i="38"/>
  <c r="N28" i="38" a="1"/>
  <c r="N28" i="38" s="1"/>
  <c r="J21" i="38"/>
  <c r="J11" i="38"/>
  <c r="J7" i="38"/>
  <c r="J20" i="38"/>
  <c r="J6" i="38"/>
  <c r="J22" i="38"/>
  <c r="J10" i="38"/>
  <c r="K24" i="38" l="1" a="1"/>
  <c r="L24" i="38" a="1"/>
  <c r="I24" i="38"/>
  <c r="J24" i="38"/>
  <c r="H25" i="38" a="1"/>
  <c r="H25" i="38" s="1"/>
  <c r="N29" i="38" a="1"/>
  <c r="N29" i="38" s="1"/>
  <c r="R28" i="38"/>
  <c r="O28" i="38"/>
  <c r="Q28" i="38"/>
  <c r="P28" i="38"/>
  <c r="L25" i="38" l="1" a="1"/>
  <c r="K25" i="38" a="1"/>
  <c r="H26" i="38" a="1"/>
  <c r="H26" i="38" s="1"/>
  <c r="I25" i="38"/>
  <c r="J25" i="38"/>
  <c r="N30" i="38" a="1"/>
  <c r="N30" i="38" s="1"/>
  <c r="Q29" i="38"/>
  <c r="P29" i="38"/>
  <c r="O29" i="38"/>
  <c r="R29" i="38"/>
  <c r="L26" i="38" l="1" a="1"/>
  <c r="K26" i="38" a="1"/>
  <c r="H27" i="38" a="1"/>
  <c r="H27" i="38" s="1"/>
  <c r="I26" i="38"/>
  <c r="J26" i="38"/>
  <c r="N31" i="38" a="1"/>
  <c r="N31" i="38" s="1"/>
  <c r="Q30" i="38"/>
  <c r="P30" i="38"/>
  <c r="O30" i="38"/>
  <c r="R30" i="38"/>
  <c r="L27" i="38" l="1" a="1"/>
  <c r="K27" i="38" a="1"/>
  <c r="H28" i="38" a="1"/>
  <c r="H28" i="38" s="1"/>
  <c r="J27" i="38"/>
  <c r="I27" i="38"/>
  <c r="N32" i="38" a="1"/>
  <c r="N32" i="38" s="1"/>
  <c r="R31" i="38"/>
  <c r="Q31" i="38"/>
  <c r="P31" i="38"/>
  <c r="O31" i="38"/>
  <c r="K28" i="38" l="1" a="1"/>
  <c r="L28" i="38" a="1"/>
  <c r="J28" i="38"/>
  <c r="I28" i="38"/>
  <c r="H29" i="38" a="1"/>
  <c r="H29" i="38" s="1"/>
  <c r="N33" i="38" a="1"/>
  <c r="N33" i="38" s="1"/>
  <c r="R32" i="38"/>
  <c r="O32" i="38"/>
  <c r="Q32" i="38"/>
  <c r="P32" i="38"/>
  <c r="L29" i="38" l="1" a="1"/>
  <c r="K29" i="38" a="1"/>
  <c r="H30" i="38" a="1"/>
  <c r="H30" i="38" s="1"/>
  <c r="I29" i="38"/>
  <c r="J29" i="38"/>
  <c r="N34" i="38" a="1"/>
  <c r="N34" i="38" s="1"/>
  <c r="Q33" i="38"/>
  <c r="P33" i="38"/>
  <c r="O33" i="38"/>
  <c r="R33" i="38"/>
  <c r="K30" i="38" l="1" a="1"/>
  <c r="L30" i="38" a="1"/>
  <c r="I30" i="38"/>
  <c r="J30" i="38"/>
  <c r="H31" i="38" a="1"/>
  <c r="H31" i="38" s="1"/>
  <c r="N35" i="38" a="1"/>
  <c r="N35" i="38" s="1"/>
  <c r="Q34" i="38"/>
  <c r="P34" i="38"/>
  <c r="O34" i="38"/>
  <c r="R34" i="38"/>
  <c r="L31" i="38" l="1" a="1"/>
  <c r="K31" i="38" a="1"/>
  <c r="I31" i="38"/>
  <c r="J31" i="38"/>
  <c r="H32" i="38" a="1"/>
  <c r="H32" i="38" s="1"/>
  <c r="N36" i="38" a="1"/>
  <c r="N36" i="38" s="1"/>
  <c r="R35" i="38"/>
  <c r="Q35" i="38"/>
  <c r="P35" i="38"/>
  <c r="O35" i="38"/>
  <c r="K32" i="38" l="1" a="1"/>
  <c r="L32" i="38" a="1"/>
  <c r="I32" i="38"/>
  <c r="J32" i="38"/>
  <c r="H33" i="38" a="1"/>
  <c r="H33" i="38" s="1"/>
  <c r="N37" i="38" a="1"/>
  <c r="N37" i="38" s="1"/>
  <c r="R36" i="38"/>
  <c r="P36" i="38"/>
  <c r="O36" i="38"/>
  <c r="Q36" i="38"/>
  <c r="L33" i="38" l="1" a="1"/>
  <c r="K33" i="38" a="1"/>
  <c r="H34" i="38" a="1"/>
  <c r="H34" i="38" s="1"/>
  <c r="I33" i="38"/>
  <c r="J33" i="38"/>
  <c r="N38" i="38" a="1"/>
  <c r="N38" i="38" s="1"/>
  <c r="Q37" i="38"/>
  <c r="P37" i="38"/>
  <c r="O37" i="38"/>
  <c r="R37" i="38"/>
  <c r="L34" i="38" l="1" a="1"/>
  <c r="K34" i="38" a="1"/>
  <c r="I34" i="38"/>
  <c r="J34" i="38"/>
  <c r="H35" i="38" a="1"/>
  <c r="H35" i="38" s="1"/>
  <c r="N39" i="38" a="1"/>
  <c r="N39" i="38" s="1"/>
  <c r="Q38" i="38"/>
  <c r="P38" i="38"/>
  <c r="O38" i="38"/>
  <c r="R38" i="38"/>
  <c r="H36" i="38" l="1" a="1"/>
  <c r="H36" i="38" s="1"/>
  <c r="J36" i="38" s="1"/>
  <c r="L35" i="38" a="1"/>
  <c r="K35" i="38" a="1"/>
  <c r="I35" i="38"/>
  <c r="J35" i="38"/>
  <c r="N40" i="38" a="1"/>
  <c r="N40" i="38" s="1"/>
  <c r="R39" i="38"/>
  <c r="Q39" i="38"/>
  <c r="P39" i="38"/>
  <c r="O39" i="38"/>
  <c r="E3" i="38"/>
  <c r="H37" i="38" l="1" a="1"/>
  <c r="H37" i="38" s="1"/>
  <c r="I37" i="38" s="1"/>
  <c r="I36" i="38"/>
  <c r="L36" i="38" a="1"/>
  <c r="K36" i="38" a="1"/>
  <c r="E21" i="38"/>
  <c r="F21" i="38" s="1"/>
  <c r="N41" i="38" a="1"/>
  <c r="N41" i="38" s="1"/>
  <c r="R40" i="38"/>
  <c r="Q40" i="38"/>
  <c r="P40" i="38"/>
  <c r="O40" i="38"/>
  <c r="E22" i="38"/>
  <c r="E25" i="38"/>
  <c r="E24" i="38"/>
  <c r="E23" i="38"/>
  <c r="D3" i="38"/>
  <c r="C3" i="38"/>
  <c r="B24" i="38"/>
  <c r="H38" i="38" l="1" a="1"/>
  <c r="H38" i="38" s="1"/>
  <c r="J37" i="38"/>
  <c r="L37" i="38" a="1"/>
  <c r="K37" i="38" a="1"/>
  <c r="F22" i="38"/>
  <c r="D21" i="38"/>
  <c r="C21" i="38"/>
  <c r="N42" i="38" a="1"/>
  <c r="N42" i="38" s="1"/>
  <c r="Q41" i="38"/>
  <c r="P41" i="38"/>
  <c r="O41" i="38"/>
  <c r="R41" i="38"/>
  <c r="F25" i="38"/>
  <c r="F23" i="38"/>
  <c r="F24" i="38"/>
  <c r="D25" i="38"/>
  <c r="D22" i="38"/>
  <c r="D24" i="38"/>
  <c r="D23" i="38"/>
  <c r="C25" i="38"/>
  <c r="C24" i="38"/>
  <c r="C23" i="38"/>
  <c r="C22" i="38"/>
  <c r="D27" i="38"/>
  <c r="C27" i="38"/>
  <c r="B14" i="38"/>
  <c r="B13" i="38"/>
  <c r="B12" i="38"/>
  <c r="B11" i="38"/>
  <c r="B10" i="38"/>
  <c r="B9" i="38"/>
  <c r="B8" i="38"/>
  <c r="B7" i="38"/>
  <c r="B6" i="38"/>
  <c r="A5" i="38"/>
  <c r="B5" i="38" s="1"/>
  <c r="J38" i="38" l="1"/>
  <c r="I38" i="38"/>
  <c r="H39" i="38" a="1"/>
  <c r="H39" i="38" s="1"/>
  <c r="L38" i="38" a="1"/>
  <c r="K38" i="38" a="1"/>
  <c r="E5" i="38"/>
  <c r="E7" i="38"/>
  <c r="F7" i="38" s="1"/>
  <c r="E9" i="38"/>
  <c r="F9" i="38" s="1"/>
  <c r="E11" i="38"/>
  <c r="F11" i="38" s="1"/>
  <c r="E13" i="38"/>
  <c r="F13" i="38" s="1"/>
  <c r="E6" i="38"/>
  <c r="F6" i="38" s="1"/>
  <c r="E8" i="38"/>
  <c r="F8" i="38" s="1"/>
  <c r="E10" i="38"/>
  <c r="F10" i="38" s="1"/>
  <c r="E12" i="38"/>
  <c r="E14" i="38"/>
  <c r="F14" i="38" s="1"/>
  <c r="N43" i="38" a="1"/>
  <c r="N43" i="38" s="1"/>
  <c r="Q42" i="38"/>
  <c r="P42" i="38"/>
  <c r="O42" i="38"/>
  <c r="R42" i="38"/>
  <c r="D5" i="38"/>
  <c r="C5" i="38"/>
  <c r="D7" i="38"/>
  <c r="C7" i="38"/>
  <c r="D9" i="38"/>
  <c r="C9" i="38"/>
  <c r="D11" i="38"/>
  <c r="C11" i="38"/>
  <c r="D13" i="38"/>
  <c r="C13" i="38"/>
  <c r="D6" i="38"/>
  <c r="C6" i="38"/>
  <c r="D8" i="38"/>
  <c r="C8" i="38"/>
  <c r="D10" i="38"/>
  <c r="C10" i="38"/>
  <c r="D12" i="38"/>
  <c r="C12" i="38"/>
  <c r="D14" i="38"/>
  <c r="C14" i="38"/>
  <c r="F5" i="38"/>
  <c r="K39" i="38" l="1" a="1"/>
  <c r="L39" i="38" a="1"/>
  <c r="J39" i="38"/>
  <c r="I39" i="38"/>
  <c r="H40" i="38" a="1"/>
  <c r="H40" i="38" s="1"/>
  <c r="F12" i="38"/>
  <c r="D30" i="38" a="1"/>
  <c r="D30" i="38" s="1"/>
  <c r="D32" i="38" s="1"/>
  <c r="C30" i="38" a="1"/>
  <c r="C30" i="38" s="1"/>
  <c r="C32" i="38" s="1"/>
  <c r="N44" i="38" a="1"/>
  <c r="N44" i="38" s="1"/>
  <c r="R43" i="38"/>
  <c r="Q43" i="38"/>
  <c r="P43" i="38"/>
  <c r="O43" i="38"/>
  <c r="J22" i="36"/>
  <c r="I22" i="36"/>
  <c r="H22" i="36"/>
  <c r="G22" i="36"/>
  <c r="F22" i="36"/>
  <c r="E22" i="36"/>
  <c r="D22" i="36"/>
  <c r="C22" i="36"/>
  <c r="B22" i="36"/>
  <c r="J14" i="36"/>
  <c r="I14" i="36"/>
  <c r="H14" i="36"/>
  <c r="F14" i="36"/>
  <c r="E14" i="36"/>
  <c r="D14" i="36"/>
  <c r="C14" i="36"/>
  <c r="A14" i="36"/>
  <c r="J13" i="36"/>
  <c r="I13" i="36"/>
  <c r="G13" i="36"/>
  <c r="F13" i="36"/>
  <c r="E13" i="36"/>
  <c r="D13" i="36"/>
  <c r="C13" i="36"/>
  <c r="A13" i="36"/>
  <c r="J12" i="36"/>
  <c r="I12" i="36"/>
  <c r="G12" i="36"/>
  <c r="F12" i="36"/>
  <c r="E12" i="36"/>
  <c r="D12" i="36"/>
  <c r="C12" i="36"/>
  <c r="A12" i="36"/>
  <c r="J11" i="36"/>
  <c r="I11" i="36"/>
  <c r="H11" i="36"/>
  <c r="G11" i="36"/>
  <c r="F11" i="36"/>
  <c r="E11" i="36"/>
  <c r="D11" i="36"/>
  <c r="C11" i="36"/>
  <c r="A11" i="36"/>
  <c r="J10" i="36"/>
  <c r="I10" i="36"/>
  <c r="H10" i="36"/>
  <c r="G10" i="36"/>
  <c r="F10" i="36"/>
  <c r="E10" i="36"/>
  <c r="D10" i="36"/>
  <c r="C10" i="36"/>
  <c r="A10" i="36"/>
  <c r="J9" i="36"/>
  <c r="I9" i="36"/>
  <c r="H9" i="36"/>
  <c r="G9" i="36"/>
  <c r="F9" i="36"/>
  <c r="E9" i="36"/>
  <c r="D9" i="36"/>
  <c r="C9" i="36"/>
  <c r="A9" i="36"/>
  <c r="J8" i="36"/>
  <c r="I8" i="36"/>
  <c r="H8" i="36"/>
  <c r="G8" i="36"/>
  <c r="F8" i="36"/>
  <c r="E8" i="36"/>
  <c r="D8" i="36"/>
  <c r="C8" i="36"/>
  <c r="A8" i="36"/>
  <c r="J7" i="36"/>
  <c r="I7" i="36"/>
  <c r="H7" i="36"/>
  <c r="G7" i="36"/>
  <c r="F7" i="36"/>
  <c r="E7" i="36"/>
  <c r="D7" i="36"/>
  <c r="C7" i="36"/>
  <c r="A7" i="36"/>
  <c r="J6" i="36"/>
  <c r="I6" i="36"/>
  <c r="H6" i="36"/>
  <c r="G6" i="36"/>
  <c r="F6" i="36"/>
  <c r="E6" i="36"/>
  <c r="D6" i="36"/>
  <c r="C6" i="36"/>
  <c r="A6" i="36"/>
  <c r="J5" i="36"/>
  <c r="I5" i="36"/>
  <c r="H5" i="36"/>
  <c r="G5" i="36"/>
  <c r="F5" i="36"/>
  <c r="E5" i="36"/>
  <c r="D5" i="36"/>
  <c r="C5" i="36"/>
  <c r="B5" i="36"/>
  <c r="A5" i="36"/>
  <c r="H41" i="38" l="1" a="1"/>
  <c r="H41" i="38" s="1"/>
  <c r="H42" i="38" s="1" a="1"/>
  <c r="H42" i="38" s="1"/>
  <c r="L40" i="38" a="1"/>
  <c r="K40" i="38" a="1"/>
  <c r="I40" i="38"/>
  <c r="J40" i="38"/>
  <c r="N45" i="38" a="1"/>
  <c r="N45" i="38" s="1"/>
  <c r="R44" i="38"/>
  <c r="O44" i="38"/>
  <c r="Q44" i="38"/>
  <c r="P44" i="38"/>
  <c r="I42" i="38" l="1"/>
  <c r="L42" i="38" a="1"/>
  <c r="K42" i="38" a="1"/>
  <c r="J42" i="38"/>
  <c r="L41" i="38" a="1"/>
  <c r="K41" i="38" a="1"/>
  <c r="J41" i="38"/>
  <c r="I41" i="38"/>
  <c r="H43" i="38" a="1"/>
  <c r="H43" i="38" s="1"/>
  <c r="N46" i="38" a="1"/>
  <c r="N46" i="38" s="1"/>
  <c r="Q45" i="38"/>
  <c r="P45" i="38"/>
  <c r="O45" i="38"/>
  <c r="R45" i="38"/>
  <c r="B7" i="36"/>
  <c r="B6" i="36"/>
  <c r="I43" i="38" l="1"/>
  <c r="L43" i="38" a="1"/>
  <c r="K43" i="38" a="1"/>
  <c r="J43" i="38"/>
  <c r="H44" i="38" a="1"/>
  <c r="H44" i="38" s="1"/>
  <c r="N47" i="38" a="1"/>
  <c r="N47" i="38" s="1"/>
  <c r="Q46" i="38"/>
  <c r="P46" i="38"/>
  <c r="O46" i="38"/>
  <c r="R46" i="38"/>
  <c r="I44" i="38" l="1"/>
  <c r="K44" i="38" a="1"/>
  <c r="L44" i="38" a="1"/>
  <c r="J44" i="38"/>
  <c r="H45" i="38" a="1"/>
  <c r="H45" i="38" s="1"/>
  <c r="B8" i="36"/>
  <c r="N48" i="38" a="1"/>
  <c r="N48" i="38" s="1"/>
  <c r="R47" i="38"/>
  <c r="Q47" i="38"/>
  <c r="P47" i="38"/>
  <c r="O47" i="38"/>
  <c r="I45" i="38" l="1"/>
  <c r="L45" i="38" a="1"/>
  <c r="K45" i="38" a="1"/>
  <c r="J45" i="38"/>
  <c r="H46" i="38" a="1"/>
  <c r="H46" i="38" s="1"/>
  <c r="N49" i="38" a="1"/>
  <c r="N49" i="38" s="1"/>
  <c r="R48" i="38"/>
  <c r="O48" i="38"/>
  <c r="Q48" i="38"/>
  <c r="P48" i="38"/>
  <c r="B9" i="36"/>
  <c r="B11" i="36"/>
  <c r="B10" i="36"/>
  <c r="I46" i="38" l="1"/>
  <c r="K46" i="38" a="1"/>
  <c r="L46" i="38" a="1"/>
  <c r="J46" i="38"/>
  <c r="H47" i="38" a="1"/>
  <c r="H47" i="38" s="1"/>
  <c r="N50" i="38" a="1"/>
  <c r="N50" i="38" s="1"/>
  <c r="Q49" i="38"/>
  <c r="P49" i="38"/>
  <c r="O49" i="38"/>
  <c r="R49" i="38"/>
  <c r="B12" i="36"/>
  <c r="I47" i="38" l="1"/>
  <c r="K47" i="38" a="1"/>
  <c r="L47" i="38" a="1"/>
  <c r="J47" i="38"/>
  <c r="H48" i="38" a="1"/>
  <c r="H48" i="38" s="1"/>
  <c r="N51" i="38" a="1"/>
  <c r="N51" i="38" s="1"/>
  <c r="Q50" i="38"/>
  <c r="P50" i="38"/>
  <c r="O50" i="38"/>
  <c r="R50" i="38"/>
  <c r="B13" i="36"/>
  <c r="B14" i="36"/>
  <c r="I48" i="38" l="1"/>
  <c r="L48" i="38" a="1"/>
  <c r="K48" i="38" a="1"/>
  <c r="J48" i="38"/>
  <c r="H49" i="38" a="1"/>
  <c r="H49" i="38" s="1"/>
  <c r="N52" i="38" a="1"/>
  <c r="N52" i="38" s="1"/>
  <c r="R51" i="38"/>
  <c r="Q51" i="38"/>
  <c r="P51" i="38"/>
  <c r="O51" i="38"/>
  <c r="I49" i="38" l="1"/>
  <c r="L49" i="38" a="1"/>
  <c r="K49" i="38" a="1"/>
  <c r="J49" i="38"/>
  <c r="H50" i="38" a="1"/>
  <c r="H50" i="38" s="1"/>
  <c r="N53" i="38" a="1"/>
  <c r="N53" i="38" s="1"/>
  <c r="R52" i="38"/>
  <c r="P52" i="38"/>
  <c r="O52" i="38"/>
  <c r="Q52" i="38"/>
  <c r="I50" i="38" l="1"/>
  <c r="K50" i="38" a="1"/>
  <c r="L50" i="38" a="1"/>
  <c r="J50" i="38"/>
  <c r="H51" i="38" a="1"/>
  <c r="H51" i="38" s="1"/>
  <c r="N54" i="38" a="1"/>
  <c r="N54" i="38" s="1"/>
  <c r="Q53" i="38"/>
  <c r="P53" i="38"/>
  <c r="O53" i="38"/>
  <c r="R53" i="38"/>
  <c r="I51" i="38" l="1"/>
  <c r="L51" i="38" a="1"/>
  <c r="K51" i="38" a="1"/>
  <c r="J51" i="38"/>
  <c r="H52" i="38" a="1"/>
  <c r="H52" i="38" s="1"/>
  <c r="N55" i="38" a="1"/>
  <c r="N55" i="38" s="1"/>
  <c r="Q54" i="38"/>
  <c r="P54" i="38"/>
  <c r="O54" i="38"/>
  <c r="R54" i="38"/>
  <c r="I52" i="38" l="1"/>
  <c r="L52" i="38" a="1"/>
  <c r="K52" i="38" a="1"/>
  <c r="J52" i="38"/>
  <c r="H53" i="38" a="1"/>
  <c r="H53" i="38" s="1"/>
  <c r="N56" i="38" a="1"/>
  <c r="N56" i="38" s="1"/>
  <c r="R55" i="38"/>
  <c r="Q55" i="38"/>
  <c r="P55" i="38"/>
  <c r="O55" i="38"/>
  <c r="I53" i="38" l="1"/>
  <c r="L53" i="38" a="1"/>
  <c r="K53" i="38" a="1"/>
  <c r="J53" i="38"/>
  <c r="H54" i="38" a="1"/>
  <c r="H54" i="38" s="1"/>
  <c r="N57" i="38" a="1"/>
  <c r="N57" i="38" s="1"/>
  <c r="R56" i="38"/>
  <c r="Q56" i="38"/>
  <c r="P56" i="38"/>
  <c r="O56" i="38"/>
  <c r="I54" i="38" l="1"/>
  <c r="L54" i="38" a="1"/>
  <c r="K54" i="38" a="1"/>
  <c r="J54" i="38"/>
  <c r="H55" i="38" a="1"/>
  <c r="H55" i="38" s="1"/>
  <c r="N58" i="38" a="1"/>
  <c r="N58" i="38" s="1"/>
  <c r="Q57" i="38"/>
  <c r="P57" i="38"/>
  <c r="O57" i="38"/>
  <c r="R57" i="38"/>
  <c r="I55" i="38" l="1"/>
  <c r="K55" i="38" a="1"/>
  <c r="L55" i="38" a="1"/>
  <c r="J55" i="38"/>
  <c r="H56" i="38" a="1"/>
  <c r="H56" i="38" s="1"/>
  <c r="N59" i="38" a="1"/>
  <c r="N59" i="38" s="1"/>
  <c r="Q58" i="38"/>
  <c r="P58" i="38"/>
  <c r="O58" i="38"/>
  <c r="R58" i="38"/>
  <c r="I56" i="38" l="1"/>
  <c r="L56" i="38" a="1"/>
  <c r="K56" i="38" a="1"/>
  <c r="J56" i="38"/>
  <c r="H57" i="38" a="1"/>
  <c r="H57" i="38" s="1"/>
  <c r="N60" i="38" a="1"/>
  <c r="N60" i="38" s="1"/>
  <c r="R59" i="38"/>
  <c r="Q59" i="38"/>
  <c r="P59" i="38"/>
  <c r="O59" i="38"/>
  <c r="I57" i="38" l="1"/>
  <c r="L57" i="38" a="1"/>
  <c r="K57" i="38" a="1"/>
  <c r="J57" i="38"/>
  <c r="H58" i="38" a="1"/>
  <c r="H58" i="38" s="1"/>
  <c r="N61" i="38" a="1"/>
  <c r="N61" i="38" s="1"/>
  <c r="R60" i="38"/>
  <c r="O60" i="38"/>
  <c r="Q60" i="38"/>
  <c r="P60" i="38"/>
  <c r="I58" i="38" l="1"/>
  <c r="L58" i="38" a="1"/>
  <c r="K58" i="38" a="1"/>
  <c r="J58" i="38"/>
  <c r="H59" i="38" a="1"/>
  <c r="H59" i="38" s="1"/>
  <c r="N62" i="38" a="1"/>
  <c r="N62" i="38" s="1"/>
  <c r="Q61" i="38"/>
  <c r="P61" i="38"/>
  <c r="O61" i="38"/>
  <c r="R61" i="38"/>
  <c r="I59" i="38" l="1"/>
  <c r="K59" i="38" a="1"/>
  <c r="L59" i="38" a="1"/>
  <c r="J59" i="38"/>
  <c r="H60" i="38" a="1"/>
  <c r="H60" i="38" s="1"/>
  <c r="N63" i="38" a="1"/>
  <c r="N63" i="38" s="1"/>
  <c r="Q62" i="38"/>
  <c r="P62" i="38"/>
  <c r="O62" i="38"/>
  <c r="R62" i="38"/>
  <c r="I60" i="38" l="1"/>
  <c r="K60" i="38" a="1"/>
  <c r="L60" i="38" a="1"/>
  <c r="J60" i="38"/>
  <c r="H61" i="38" a="1"/>
  <c r="H61" i="38" s="1"/>
  <c r="N64" i="38" a="1"/>
  <c r="N64" i="38" s="1"/>
  <c r="R63" i="38"/>
  <c r="Q63" i="38"/>
  <c r="P63" i="38"/>
  <c r="O63" i="38"/>
  <c r="I61" i="38" l="1"/>
  <c r="L61" i="38" a="1"/>
  <c r="K61" i="38" a="1"/>
  <c r="J61" i="38"/>
  <c r="H62" i="38" a="1"/>
  <c r="H62" i="38" s="1"/>
  <c r="N65" i="38" a="1"/>
  <c r="N65" i="38" s="1"/>
  <c r="R64" i="38"/>
  <c r="O64" i="38"/>
  <c r="Q64" i="38"/>
  <c r="P64" i="38"/>
  <c r="I62" i="38" l="1"/>
  <c r="L62" i="38" a="1"/>
  <c r="K62" i="38" a="1"/>
  <c r="J62" i="38"/>
  <c r="H63" i="38" a="1"/>
  <c r="H63" i="38" s="1"/>
  <c r="N66" i="38" a="1"/>
  <c r="N66" i="38" s="1"/>
  <c r="Q65" i="38"/>
  <c r="P65" i="38"/>
  <c r="O65" i="38"/>
  <c r="R65" i="38"/>
  <c r="I63" i="38" l="1"/>
  <c r="L63" i="38" a="1"/>
  <c r="K63" i="38" a="1"/>
  <c r="J63" i="38"/>
  <c r="H64" i="38" a="1"/>
  <c r="H64" i="38" s="1"/>
  <c r="N67" i="38" a="1"/>
  <c r="N67" i="38" s="1"/>
  <c r="Q66" i="38"/>
  <c r="P66" i="38"/>
  <c r="O66" i="38"/>
  <c r="R66" i="38"/>
  <c r="I64" i="38" l="1"/>
  <c r="K64" i="38" a="1"/>
  <c r="L64" i="38" a="1"/>
  <c r="J64" i="38"/>
  <c r="H65" i="38" a="1"/>
  <c r="H65" i="38" s="1"/>
  <c r="N68" i="38" a="1"/>
  <c r="N68" i="38" s="1"/>
  <c r="R67" i="38"/>
  <c r="Q67" i="38"/>
  <c r="P67" i="38"/>
  <c r="O67" i="38"/>
  <c r="I65" i="38" l="1"/>
  <c r="K65" i="38" a="1"/>
  <c r="L65" i="38" a="1"/>
  <c r="J65" i="38"/>
  <c r="H66" i="38" a="1"/>
  <c r="H66" i="38" s="1"/>
  <c r="N69" i="38" a="1"/>
  <c r="N69" i="38" s="1"/>
  <c r="R68" i="38"/>
  <c r="P68" i="38"/>
  <c r="O68" i="38"/>
  <c r="Q68" i="38"/>
  <c r="I66" i="38" l="1"/>
  <c r="K66" i="38" a="1"/>
  <c r="L66" i="38" a="1"/>
  <c r="J66" i="38"/>
  <c r="H67" i="38" a="1"/>
  <c r="H67" i="38" s="1"/>
  <c r="N70" i="38" a="1"/>
  <c r="N70" i="38" s="1"/>
  <c r="Q69" i="38"/>
  <c r="P69" i="38"/>
  <c r="O69" i="38"/>
  <c r="R69" i="38"/>
  <c r="I67" i="38" l="1"/>
  <c r="K67" i="38" a="1"/>
  <c r="L67" i="38" a="1"/>
  <c r="J67" i="38"/>
  <c r="H68" i="38" a="1"/>
  <c r="H68" i="38" s="1"/>
  <c r="N71" i="38" a="1"/>
  <c r="N71" i="38" s="1"/>
  <c r="Q70" i="38"/>
  <c r="P70" i="38"/>
  <c r="O70" i="38"/>
  <c r="R70" i="38"/>
  <c r="I68" i="38" l="1"/>
  <c r="L68" i="38" a="1"/>
  <c r="K68" i="38" a="1"/>
  <c r="J68" i="38"/>
  <c r="H69" i="38" a="1"/>
  <c r="H69" i="38" s="1"/>
  <c r="N72" i="38" a="1"/>
  <c r="N72" i="38" s="1"/>
  <c r="R71" i="38"/>
  <c r="Q71" i="38"/>
  <c r="P71" i="38"/>
  <c r="O71" i="38"/>
  <c r="I69" i="38" l="1"/>
  <c r="L69" i="38" a="1"/>
  <c r="K69" i="38" a="1"/>
  <c r="J69" i="38"/>
  <c r="H70" i="38" a="1"/>
  <c r="H70" i="38" s="1"/>
  <c r="N73" i="38" a="1"/>
  <c r="N73" i="38" s="1"/>
  <c r="R72" i="38"/>
  <c r="Q72" i="38"/>
  <c r="P72" i="38"/>
  <c r="O72" i="38"/>
  <c r="I70" i="38" l="1"/>
  <c r="K70" i="38" a="1"/>
  <c r="L70" i="38" a="1"/>
  <c r="J70" i="38"/>
  <c r="H71" i="38" a="1"/>
  <c r="H71" i="38" s="1"/>
  <c r="N74" i="38" a="1"/>
  <c r="N74" i="38" s="1"/>
  <c r="Q73" i="38"/>
  <c r="P73" i="38"/>
  <c r="O73" i="38"/>
  <c r="R73" i="38"/>
  <c r="I71" i="38" l="1"/>
  <c r="L71" i="38" a="1"/>
  <c r="K71" i="38" a="1"/>
  <c r="J71" i="38"/>
  <c r="H72" i="38" a="1"/>
  <c r="H72" i="38" s="1"/>
  <c r="N75" i="38" a="1"/>
  <c r="N75" i="38" s="1"/>
  <c r="Q74" i="38"/>
  <c r="P74" i="38"/>
  <c r="O74" i="38"/>
  <c r="R74" i="38"/>
  <c r="I72" i="38" l="1"/>
  <c r="L72" i="38" a="1"/>
  <c r="K72" i="38" a="1"/>
  <c r="J72" i="38"/>
  <c r="H73" i="38" a="1"/>
  <c r="H73" i="38" s="1"/>
  <c r="N76" i="38" a="1"/>
  <c r="N76" i="38" s="1"/>
  <c r="R75" i="38"/>
  <c r="Q75" i="38"/>
  <c r="P75" i="38"/>
  <c r="O75" i="38"/>
  <c r="I73" i="38" l="1"/>
  <c r="K73" i="38" a="1"/>
  <c r="L73" i="38" a="1"/>
  <c r="J73" i="38"/>
  <c r="H74" i="38" a="1"/>
  <c r="H74" i="38" s="1"/>
  <c r="N77" i="38" a="1"/>
  <c r="N77" i="38" s="1"/>
  <c r="R76" i="38"/>
  <c r="O76" i="38"/>
  <c r="Q76" i="38"/>
  <c r="P76" i="38"/>
  <c r="I74" i="38" l="1"/>
  <c r="L74" i="38" a="1"/>
  <c r="K74" i="38" a="1"/>
  <c r="J74" i="38"/>
  <c r="H75" i="38" a="1"/>
  <c r="H75" i="38" s="1"/>
  <c r="N78" i="38" a="1"/>
  <c r="N78" i="38" s="1"/>
  <c r="Q77" i="38"/>
  <c r="P77" i="38"/>
  <c r="O77" i="38"/>
  <c r="R77" i="38"/>
  <c r="I75" i="38" l="1"/>
  <c r="L75" i="38" a="1"/>
  <c r="J75" i="38"/>
  <c r="H76" i="38" a="1"/>
  <c r="H76" i="38" s="1"/>
  <c r="N79" i="38" a="1"/>
  <c r="N79" i="38" s="1"/>
  <c r="Q78" i="38"/>
  <c r="P78" i="38"/>
  <c r="O78" i="38"/>
  <c r="R78" i="38"/>
  <c r="I76" i="38" l="1"/>
  <c r="L76" i="38" a="1"/>
  <c r="L76" i="38" s="1"/>
  <c r="K76" i="38" a="1"/>
  <c r="K76" i="38" s="1"/>
  <c r="J76" i="38"/>
  <c r="H77" i="38" a="1"/>
  <c r="H77" i="38" s="1"/>
  <c r="R79" i="38"/>
  <c r="Q79" i="38"/>
  <c r="P79" i="38"/>
  <c r="O79" i="38"/>
  <c r="L22" i="38"/>
  <c r="K29" i="38"/>
  <c r="K49" i="38"/>
  <c r="K14" i="38"/>
  <c r="L35" i="38"/>
  <c r="K35" i="38"/>
  <c r="L59" i="38"/>
  <c r="K70" i="38"/>
  <c r="L33" i="38"/>
  <c r="L57" i="38"/>
  <c r="L51" i="38"/>
  <c r="K75" i="38"/>
  <c r="L25" i="38"/>
  <c r="L44" i="38"/>
  <c r="K6" i="38"/>
  <c r="L53" i="38"/>
  <c r="K73" i="38"/>
  <c r="L64" i="38"/>
  <c r="K68" i="38"/>
  <c r="L52" i="38"/>
  <c r="L47" i="38"/>
  <c r="L29" i="38"/>
  <c r="K56" i="38"/>
  <c r="L49" i="38"/>
  <c r="L65" i="38"/>
  <c r="K8" i="38"/>
  <c r="L26" i="38"/>
  <c r="K59" i="38"/>
  <c r="K38" i="38"/>
  <c r="L28" i="38"/>
  <c r="L42" i="38"/>
  <c r="K21" i="38"/>
  <c r="L75" i="38"/>
  <c r="K20" i="38"/>
  <c r="L69" i="38"/>
  <c r="K71" i="38"/>
  <c r="L41" i="38"/>
  <c r="L21" i="38"/>
  <c r="K28" i="38"/>
  <c r="L40" i="38"/>
  <c r="L10" i="38"/>
  <c r="K32" i="38"/>
  <c r="K13" i="38"/>
  <c r="L32" i="38"/>
  <c r="L37" i="38"/>
  <c r="L70" i="38"/>
  <c r="K26" i="38"/>
  <c r="L8" i="38"/>
  <c r="K11" i="38"/>
  <c r="L48" i="38"/>
  <c r="K60" i="38"/>
  <c r="K67" i="38"/>
  <c r="L13" i="38"/>
  <c r="L11" i="38"/>
  <c r="K58" i="38"/>
  <c r="L38" i="38"/>
  <c r="K31" i="38"/>
  <c r="K50" i="38"/>
  <c r="K63" i="38"/>
  <c r="K65" i="38"/>
  <c r="K9" i="38"/>
  <c r="K64" i="38"/>
  <c r="K30" i="38"/>
  <c r="K23" i="38"/>
  <c r="K22" i="38"/>
  <c r="K25" i="38"/>
  <c r="K46" i="38"/>
  <c r="L74" i="38"/>
  <c r="K41" i="38"/>
  <c r="K45" i="38"/>
  <c r="K62" i="38"/>
  <c r="L5" i="38"/>
  <c r="K48" i="38"/>
  <c r="L72" i="38"/>
  <c r="K74" i="38"/>
  <c r="K66" i="38"/>
  <c r="L55" i="38"/>
  <c r="K12" i="38"/>
  <c r="L36" i="38"/>
  <c r="L67" i="38"/>
  <c r="K10" i="38"/>
  <c r="L12" i="38"/>
  <c r="K37" i="38"/>
  <c r="L39" i="38"/>
  <c r="K7" i="38"/>
  <c r="K5" i="38"/>
  <c r="K24" i="38"/>
  <c r="L46" i="38"/>
  <c r="K69" i="38"/>
  <c r="L6" i="38"/>
  <c r="L63" i="38"/>
  <c r="L62" i="38"/>
  <c r="L31" i="38"/>
  <c r="L60" i="38"/>
  <c r="K54" i="38"/>
  <c r="L45" i="38"/>
  <c r="L20" i="38"/>
  <c r="L66" i="38"/>
  <c r="K61" i="38"/>
  <c r="K57" i="38"/>
  <c r="L30" i="38"/>
  <c r="K36" i="38"/>
  <c r="K39" i="38"/>
  <c r="L50" i="38"/>
  <c r="L23" i="38"/>
  <c r="K44" i="38"/>
  <c r="K72" i="38"/>
  <c r="L34" i="38"/>
  <c r="K40" i="38"/>
  <c r="K55" i="38"/>
  <c r="L27" i="38"/>
  <c r="L56" i="38"/>
  <c r="L71" i="38"/>
  <c r="K43" i="38"/>
  <c r="L14" i="38"/>
  <c r="L58" i="38"/>
  <c r="K33" i="38"/>
  <c r="L9" i="38"/>
  <c r="K47" i="38"/>
  <c r="K53" i="38"/>
  <c r="L7" i="38"/>
  <c r="L73" i="38"/>
  <c r="K27" i="38"/>
  <c r="L61" i="38"/>
  <c r="K51" i="38"/>
  <c r="L54" i="38"/>
  <c r="L68" i="38"/>
  <c r="L43" i="38"/>
  <c r="K34" i="38"/>
  <c r="K42" i="38"/>
  <c r="K52" i="38"/>
  <c r="L24" i="38"/>
  <c r="I77" i="38" l="1"/>
  <c r="L77" i="38" a="1"/>
  <c r="L77" i="38" s="1"/>
  <c r="K77" i="38" a="1"/>
  <c r="K77" i="38" s="1"/>
  <c r="J77" i="38"/>
  <c r="H78" i="38" a="1"/>
  <c r="H78" i="38" s="1"/>
  <c r="I78" i="38" l="1"/>
  <c r="K78" i="38" a="1"/>
  <c r="K78" i="38" s="1"/>
  <c r="L78" i="38" a="1"/>
  <c r="L78" i="38" s="1"/>
  <c r="J78" i="38"/>
  <c r="H79" i="38" a="1"/>
  <c r="H79" i="38" s="1"/>
  <c r="I79" i="38" l="1"/>
  <c r="L79" i="38" a="1"/>
  <c r="L79" i="38" s="1"/>
  <c r="K79" i="38" a="1"/>
  <c r="K79" i="38" s="1"/>
  <c r="J79" i="3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Madeleine</author>
  </authors>
  <commentList>
    <comment ref="V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Madeleine:</t>
        </r>
        <r>
          <rPr>
            <sz val="9"/>
            <color indexed="81"/>
            <rFont val="Tahoma"/>
            <family val="2"/>
          </rPr>
          <t xml:space="preserve">
Note: the operating reserve coefficient is a fraction of generation in Nils' paper</t>
        </r>
      </text>
    </comment>
    <comment ref="B7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Madeleine:</t>
        </r>
        <r>
          <rPr>
            <sz val="9"/>
            <color indexed="81"/>
            <rFont val="Tahoma"/>
            <family val="2"/>
          </rPr>
          <t xml:space="preserve">
Need to get real values here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Madeleine</author>
  </authors>
  <commentList>
    <comment ref="L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Madeleine: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<sst xmlns="http://schemas.openxmlformats.org/spreadsheetml/2006/main" count="1809" uniqueCount="785">
  <si>
    <t>technology assumptions</t>
  </si>
  <si>
    <t>nuclear</t>
  </si>
  <si>
    <t>hydro</t>
  </si>
  <si>
    <t>variable renewable energy sources</t>
  </si>
  <si>
    <t>wind</t>
  </si>
  <si>
    <t>balancing technologies</t>
  </si>
  <si>
    <t>efficiency</t>
  </si>
  <si>
    <t>GHG emissions</t>
  </si>
  <si>
    <t>storage</t>
  </si>
  <si>
    <t>geothermal</t>
  </si>
  <si>
    <t>biomass</t>
  </si>
  <si>
    <t>levelized capital cost</t>
  </si>
  <si>
    <t>fixed o&amp;m cost</t>
  </si>
  <si>
    <t>wind - offshore</t>
  </si>
  <si>
    <t>2012 $/MWh</t>
  </si>
  <si>
    <t>non-vre sources</t>
  </si>
  <si>
    <t>solar PV</t>
  </si>
  <si>
    <t>solar thermal</t>
  </si>
  <si>
    <t>backup generation</t>
  </si>
  <si>
    <t>curtailment</t>
  </si>
  <si>
    <t>coal</t>
  </si>
  <si>
    <t>hours</t>
  </si>
  <si>
    <t>kg CO2e/MWh</t>
  </si>
  <si>
    <t>given by power curves</t>
  </si>
  <si>
    <t>transmission</t>
  </si>
  <si>
    <t>[MW]</t>
  </si>
  <si>
    <t xml:space="preserve"> -- electric vehicles</t>
  </si>
  <si>
    <t>nominal pwr at STC [Wp]</t>
  </si>
  <si>
    <r>
      <t xml:space="preserve">"Levelized cost and levelized avoided cost of new generation resources in the Annual Energy Outlook 2014" </t>
    </r>
    <r>
      <rPr>
        <i/>
        <sz val="11"/>
        <color theme="1"/>
        <rFont val="Calibri"/>
        <family val="2"/>
        <scheme val="minor"/>
      </rPr>
      <t>US Energy Information Administration</t>
    </r>
  </si>
  <si>
    <r>
      <t xml:space="preserve">"FAQ: What is the efficiency of different types of power plants?" </t>
    </r>
    <r>
      <rPr>
        <i/>
        <sz val="11"/>
        <color theme="1"/>
        <rFont val="Calibri"/>
        <family val="2"/>
        <scheme val="minor"/>
      </rPr>
      <t>US Energy Information Administration</t>
    </r>
  </si>
  <si>
    <r>
      <t xml:space="preserve">Table 8.1. Average Operating Heat Rate for Selected Energy Sources, 2003-2013. </t>
    </r>
    <r>
      <rPr>
        <i/>
        <sz val="11"/>
        <color theme="1"/>
        <rFont val="Calibri"/>
        <family val="2"/>
        <scheme val="minor"/>
      </rPr>
      <t>US Energy Information Administration</t>
    </r>
  </si>
  <si>
    <r>
      <t xml:space="preserve">Annual Energy Review 2010. Appendix F: Alternatives for Estimating Energy Consumption. Table F1. Conversion Efficiencies of noncombustible Renewable Energy Sources. </t>
    </r>
    <r>
      <rPr>
        <i/>
        <sz val="11"/>
        <color theme="1"/>
        <rFont val="Calibri"/>
        <family val="2"/>
        <scheme val="minor"/>
      </rPr>
      <t>US Energy Information Administration.</t>
    </r>
  </si>
  <si>
    <r>
      <t xml:space="preserve">"Biomass Energy Economics" </t>
    </r>
    <r>
      <rPr>
        <i/>
        <sz val="11"/>
        <color theme="1"/>
        <rFont val="Calibri"/>
        <family val="2"/>
        <scheme val="minor"/>
      </rPr>
      <t>Pacific Energy Systems, Inc.</t>
    </r>
  </si>
  <si>
    <t>variable o&amp;m cost (inc. fuel)</t>
  </si>
  <si>
    <t>Climate Change 2014: Mitigation of Climate Change. Contribution of Working Group III to the Fifth Assessment Report of the Intergovernmental Panel on Climate Change. Annex III: Technology-specific cost and performance parameters. Table A.III.2 Emissions of selected electricity supply technologies</t>
  </si>
  <si>
    <t>references colour coded</t>
  </si>
  <si>
    <t>hot start</t>
  </si>
  <si>
    <t>warm start</t>
  </si>
  <si>
    <t>cold start</t>
  </si>
  <si>
    <t>"Technical Assessment of the Operation of Coal and Gas Fired Plants" Report to the DECC</t>
  </si>
  <si>
    <t>"the westinghouse pressurized water reactor nuclear power plant" Table 16-1 Estimated Startup Time in Hours Required by NSSS</t>
  </si>
  <si>
    <t>estimated start up times (notice to full load)</t>
  </si>
  <si>
    <t>%/min</t>
  </si>
  <si>
    <t>http://www.powerauthority.on.ca/current-electricity-contracts/sc-cc</t>
  </si>
  <si>
    <t>(max)</t>
  </si>
  <si>
    <t>spin ramp rate</t>
  </si>
  <si>
    <t xml:space="preserve"> - building new lines</t>
  </si>
  <si>
    <t xml:space="preserve"> - using existing lines</t>
  </si>
  <si>
    <t>$ / kWh</t>
  </si>
  <si>
    <t>$ / km</t>
  </si>
  <si>
    <t>AEO 2015 table 8</t>
  </si>
  <si>
    <t xml:space="preserve"> -- 230 kV single circuit</t>
  </si>
  <si>
    <t xml:space="preserve"> -- 230 kV double circuit</t>
  </si>
  <si>
    <t xml:space="preserve"> -- 500 kV single circuit</t>
  </si>
  <si>
    <t xml:space="preserve"> -- 500 kV double circuit</t>
  </si>
  <si>
    <t xml:space="preserve"> -- 500 kV HVDC Bi-pole</t>
  </si>
  <si>
    <t xml:space="preserve"> -- 600 kV HVDC Bi-pole</t>
  </si>
  <si>
    <t>assumptions: aluminum conductor steel reinforced (ACSR), Tubular (230 kV)/Lattice (345 kV - 600 kV), &gt;10 miles</t>
  </si>
  <si>
    <t>"Capital Costs for Transmission and Substations" prepared for the Western Electricity Coordinating Council</t>
  </si>
  <si>
    <t>source gives in $/mile. 1 mile = 1.60934 km</t>
  </si>
  <si>
    <t>ghg emission reductions</t>
  </si>
  <si>
    <t>petroleum displacement</t>
  </si>
  <si>
    <t>assuming 50% penetration, reduces GHG emissions by 27%</t>
  </si>
  <si>
    <t>benefits to grid</t>
  </si>
  <si>
    <t>cars can serve as distributed generators</t>
  </si>
  <si>
    <t>costs</t>
  </si>
  <si>
    <t>37% improvement in fuel economy</t>
  </si>
  <si>
    <t>88% improvement in fuel efficiency</t>
  </si>
  <si>
    <t>up to 6.5 million boe/day</t>
  </si>
  <si>
    <t>storage support - particularly for wind when generation at night corresponds with typical charge time</t>
  </si>
  <si>
    <t>assume average vehicle travels about 50 km/day - battery could easily displace fuel for such distance</t>
  </si>
  <si>
    <t>vehicle class</t>
  </si>
  <si>
    <t>compact sedan</t>
  </si>
  <si>
    <t>mid-size sedan</t>
  </si>
  <si>
    <t>mid-size SUV</t>
  </si>
  <si>
    <t>full-size SUV</t>
  </si>
  <si>
    <t>annual revenue for V2G ancillary services (grid regulation) $4000/vehicle</t>
  </si>
  <si>
    <t>HEV cost premium avg $4000</t>
  </si>
  <si>
    <t>30% ghg reduction</t>
  </si>
  <si>
    <t>O&amp;M (inc. fuel) costs 15% lower</t>
  </si>
  <si>
    <t xml:space="preserve"> -- hybrid buses</t>
  </si>
  <si>
    <t>sector integration - transportation</t>
  </si>
  <si>
    <t>"Hybrid Buses Costs and Benefits" EESI</t>
  </si>
  <si>
    <t>https://www.ttc.ca/Routes/General_Information/General_Information.jsp</t>
  </si>
  <si>
    <t>required battery size [kWh]</t>
  </si>
  <si>
    <t>"Impacts Assessment of PHEV on Electric Utilities and Regional US Power Grids Part 1: Technical Analysis" PNNL</t>
  </si>
  <si>
    <t>Sovacool, B. and Hirsh, R. "Beyond batteries: an examination of the benefits and barriers to PHEVs and a V2G transition"</t>
  </si>
  <si>
    <t>** cost savings dependent on electricity pricing - current avg 110 c/L for gas, 8.0 c/kWh off peak (CAD)</t>
  </si>
  <si>
    <t>base msrp</t>
  </si>
  <si>
    <t>est. tax credit</t>
  </si>
  <si>
    <t>body type</t>
  </si>
  <si>
    <t>seats</t>
  </si>
  <si>
    <t>charge rate</t>
  </si>
  <si>
    <t>bmw i3</t>
  </si>
  <si>
    <t>sedan</t>
  </si>
  <si>
    <t>batt size [kWh]</t>
  </si>
  <si>
    <t>charge rate [kW]</t>
  </si>
  <si>
    <t>chevrolet spark</t>
  </si>
  <si>
    <t>coupe</t>
  </si>
  <si>
    <t>fiat 500 e</t>
  </si>
  <si>
    <t>ford focus</t>
  </si>
  <si>
    <t>ford focus electric</t>
  </si>
  <si>
    <t>kia soul ev</t>
  </si>
  <si>
    <t>mercedes B-class electric</t>
  </si>
  <si>
    <t>mitsubishi i-MiEV</t>
  </si>
  <si>
    <t>nissan LEAF</t>
  </si>
  <si>
    <t>smart electric drive</t>
  </si>
  <si>
    <t>tesla model s</t>
  </si>
  <si>
    <t>volkswagen E-golf</t>
  </si>
  <si>
    <t>tesla model X</t>
  </si>
  <si>
    <t>SUV</t>
  </si>
  <si>
    <t>smart</t>
  </si>
  <si>
    <t>ghg emissions</t>
  </si>
  <si>
    <t>6.9/5.7/6.3</t>
  </si>
  <si>
    <t>130g/km</t>
  </si>
  <si>
    <t>est. tax credit (US)</t>
  </si>
  <si>
    <t>fuel consumption (city/hwy/combined) [L/100km]</t>
  </si>
  <si>
    <t>9.3/6.7/8.1</t>
  </si>
  <si>
    <t>ford explorer</t>
  </si>
  <si>
    <t>suv</t>
  </si>
  <si>
    <t>13.7/9.7</t>
  </si>
  <si>
    <t>EPA range (miles conv to km)</t>
  </si>
  <si>
    <t xml:space="preserve"> -- comparison with gas vehicles</t>
  </si>
  <si>
    <t>no tax credits</t>
  </si>
  <si>
    <t>http://www.plugincars.com/cars</t>
  </si>
  <si>
    <t>http://www.thesmart.ca/ca/en/index.html</t>
  </si>
  <si>
    <t>http://www.ford.ca/cars/focus/specifications/</t>
  </si>
  <si>
    <t>fiat 500</t>
  </si>
  <si>
    <t>8.7/6.9</t>
  </si>
  <si>
    <t>http://www.fiatcanada.com/en/2015/500/</t>
  </si>
  <si>
    <t xml:space="preserve"> --plug-in hybrid</t>
  </si>
  <si>
    <t>cadillac ELR</t>
  </si>
  <si>
    <t>epa range (elec only)</t>
  </si>
  <si>
    <t>battery size</t>
  </si>
  <si>
    <t>chevy volt</t>
  </si>
  <si>
    <t>ford c-max energi</t>
  </si>
  <si>
    <t>wagon</t>
  </si>
  <si>
    <t>ford fusion energi</t>
  </si>
  <si>
    <t>honda accord PH</t>
  </si>
  <si>
    <t>porsche panamera s e-hybrid</t>
  </si>
  <si>
    <t>porsche cayenne s e-hybrid</t>
  </si>
  <si>
    <t>toyota prius PH</t>
  </si>
  <si>
    <t>cost premium avg 200 000 (~500 000 compared to 300 000) - mostly offset by govt</t>
  </si>
  <si>
    <t>orion VII can carry average 51 passengers at peak times - vehicle displacement?</t>
  </si>
  <si>
    <t>demand response - shifting</t>
  </si>
  <si>
    <t>assume x% flexibility - user input</t>
  </si>
  <si>
    <t>assume different flexibilities during different hours</t>
  </si>
  <si>
    <t>DR capacity = load * participation rate * sheddability</t>
  </si>
  <si>
    <t>participation = min (controllability, acceptability)</t>
  </si>
  <si>
    <t>commercial</t>
  </si>
  <si>
    <t xml:space="preserve"> - cooling</t>
  </si>
  <si>
    <t xml:space="preserve"> - heating</t>
  </si>
  <si>
    <t>residential</t>
  </si>
  <si>
    <t xml:space="preserve"> - water heating</t>
  </si>
  <si>
    <t>industrial</t>
  </si>
  <si>
    <t xml:space="preserve"> - agricultural water pumping</t>
  </si>
  <si>
    <t xml:space="preserve"> - data centres</t>
  </si>
  <si>
    <t xml:space="preserve"> - regrigerated warehouses</t>
  </si>
  <si>
    <t>municipal</t>
  </si>
  <si>
    <t xml:space="preserve"> - fresh water pumping</t>
  </si>
  <si>
    <t xml:space="preserve"> - waste water pumping</t>
  </si>
  <si>
    <t>lighting and ventilation are not easily shiftable!</t>
  </si>
  <si>
    <t>41-49</t>
  </si>
  <si>
    <t>sheddability (%)</t>
  </si>
  <si>
    <t>acceptability (%)</t>
  </si>
  <si>
    <t>15-25</t>
  </si>
  <si>
    <t>3-77</t>
  </si>
  <si>
    <t>46-51</t>
  </si>
  <si>
    <t>10-25</t>
  </si>
  <si>
    <t>0-77</t>
  </si>
  <si>
    <t>20-70</t>
  </si>
  <si>
    <t>2-52</t>
  </si>
  <si>
    <t>13-39</t>
  </si>
  <si>
    <t>20-30</t>
  </si>
  <si>
    <t>2-48</t>
  </si>
  <si>
    <t>0-1.5</t>
  </si>
  <si>
    <t>25</t>
  </si>
  <si>
    <t>13-26</t>
  </si>
  <si>
    <t>participation (%)</t>
  </si>
  <si>
    <t>"Grid Integration of Aggregated Demand Response, Part 1: Load Availability Profiles and Constraints for the Western Interconnection." NREL</t>
  </si>
  <si>
    <t>divide year into heating/cooling, keep others year round</t>
  </si>
  <si>
    <t>for multiple end uses, take average of shed * participation?</t>
  </si>
  <si>
    <t>for zeros, use a small non-zero number…</t>
  </si>
  <si>
    <t>** would need demand data by sector</t>
  </si>
  <si>
    <t>controllability (%)</t>
  </si>
  <si>
    <t>average</t>
  </si>
  <si>
    <t>S*P</t>
  </si>
  <si>
    <t>for ranges, take midpoint?</t>
  </si>
  <si>
    <t>0.45*0.20=0.09</t>
  </si>
  <si>
    <t>0.45*0.26=0.117</t>
  </si>
  <si>
    <t>0.25*0.01=0.0025</t>
  </si>
  <si>
    <t>0.25*0.20=0.05</t>
  </si>
  <si>
    <t>summer = 9%</t>
  </si>
  <si>
    <t>winter = 8.6 %</t>
  </si>
  <si>
    <t>summer = 8.35%</t>
  </si>
  <si>
    <t>winter = 2.5%</t>
  </si>
  <si>
    <t>ind/mun fairly flat over day</t>
  </si>
  <si>
    <t>cooling peaks from 12-8pm</t>
  </si>
  <si>
    <t>heating peaks from 7-9 am</t>
  </si>
  <si>
    <t>peaks 7am, 6pm</t>
  </si>
  <si>
    <t>shreddability (%)</t>
  </si>
  <si>
    <t>area</t>
  </si>
  <si>
    <t>area [m^2]</t>
  </si>
  <si>
    <t>CdTe</t>
  </si>
  <si>
    <t>Trina TSM-PDG5-255</t>
  </si>
  <si>
    <t>multi c-Si</t>
  </si>
  <si>
    <t>mono c-Si</t>
  </si>
  <si>
    <t>Canadian Solar CS6V-225MM</t>
  </si>
  <si>
    <t>First Solar FS395</t>
  </si>
  <si>
    <t>diesel</t>
  </si>
  <si>
    <t>longitude</t>
  </si>
  <si>
    <t>latitude</t>
  </si>
  <si>
    <t>total system LCOE</t>
  </si>
  <si>
    <t>transmission investment</t>
  </si>
  <si>
    <t>*(likely conservative) estimate based on the fact that simple cycle is less efficient</t>
  </si>
  <si>
    <t>cycling costs</t>
  </si>
  <si>
    <r>
      <t xml:space="preserve">"Power Plant Cycling Costs" </t>
    </r>
    <r>
      <rPr>
        <i/>
        <sz val="11"/>
        <color theme="1"/>
        <rFont val="Calibri"/>
        <family val="2"/>
        <scheme val="minor"/>
      </rPr>
      <t>Prepared for the National Renewable Energy Laboratory</t>
    </r>
  </si>
  <si>
    <r>
      <t xml:space="preserve">"Cost and Performance Data for Power Generation Technologies" </t>
    </r>
    <r>
      <rPr>
        <i/>
        <sz val="11"/>
        <color theme="1"/>
        <rFont val="Calibri"/>
        <family val="2"/>
        <scheme val="minor"/>
      </rPr>
      <t>Prepared for the National Renewable Energy Laboratory</t>
    </r>
  </si>
  <si>
    <t>$/MW cap.</t>
  </si>
  <si>
    <t>depends on sources data</t>
  </si>
  <si>
    <t>output - last resort</t>
  </si>
  <si>
    <t>Trends in GHG Emissions in the Alberta Electricity Market</t>
  </si>
  <si>
    <t>length</t>
  </si>
  <si>
    <t>plant ID</t>
  </si>
  <si>
    <t>wind offshore</t>
  </si>
  <si>
    <t>PHS</t>
  </si>
  <si>
    <t>CAES</t>
  </si>
  <si>
    <t>batteries</t>
  </si>
  <si>
    <t>fuel oil</t>
  </si>
  <si>
    <t>FES</t>
  </si>
  <si>
    <t>hydrogen</t>
  </si>
  <si>
    <t>thermal</t>
  </si>
  <si>
    <t>vanadium</t>
  </si>
  <si>
    <t>SMES</t>
  </si>
  <si>
    <t>flow battery</t>
  </si>
  <si>
    <t>capacitors</t>
  </si>
  <si>
    <t>supercapacitors</t>
  </si>
  <si>
    <t>capital cost power</t>
  </si>
  <si>
    <t>capital cost capacity</t>
  </si>
  <si>
    <t>annual operating costs</t>
  </si>
  <si>
    <t>$/kWyr</t>
  </si>
  <si>
    <t>(avg) $/kW</t>
  </si>
  <si>
    <t>min</t>
  </si>
  <si>
    <t>max</t>
  </si>
  <si>
    <t>applicable grid system size (MW)</t>
  </si>
  <si>
    <t>storage capacity (kWh)</t>
  </si>
  <si>
    <t>discharge rate</t>
  </si>
  <si>
    <t>kW</t>
  </si>
  <si>
    <t>"Electricity Storage and Renewables for Island Power" IRENA 2012</t>
  </si>
  <si>
    <t>Kousksou et al. "Energy storage: Applications and challenges" Solar Energy Materials &amp; Solar Cells 2014</t>
  </si>
  <si>
    <t>(avg) $/kWh</t>
  </si>
  <si>
    <t>"Energy Technology Perspectives" IEA 2014</t>
  </si>
  <si>
    <t>"Comparison of Lifecycle Greenhouse Gas Emissions of Various Electricity Generation Sources" WNA</t>
  </si>
  <si>
    <t>diesel costs: Lazard LCOE version 8.0</t>
  </si>
  <si>
    <t>assumed fuel oil costs are ~60% of diesel costs based on  http://asian-power.com/regulation/commentary/reducing-diesel-power-plant-hfo-bill</t>
  </si>
  <si>
    <t>region</t>
  </si>
  <si>
    <t>frac pop</t>
  </si>
  <si>
    <t>voltage</t>
  </si>
  <si>
    <t>circuits</t>
  </si>
  <si>
    <t>NG combined</t>
  </si>
  <si>
    <t>NG simple</t>
  </si>
  <si>
    <t>bus</t>
  </si>
  <si>
    <t>reactance</t>
  </si>
  <si>
    <t>name</t>
  </si>
  <si>
    <t>to bus</t>
  </si>
  <si>
    <t>from bus</t>
  </si>
  <si>
    <t>wind_onshore</t>
  </si>
  <si>
    <t>wind_offshore</t>
  </si>
  <si>
    <t>latitude_MERRA</t>
  </si>
  <si>
    <t>longitude_MERRA</t>
  </si>
  <si>
    <t>V_112-3.0</t>
  </si>
  <si>
    <t>TSM-PDG5-255</t>
  </si>
  <si>
    <t>FS395</t>
  </si>
  <si>
    <t>*create dropdown list with these options</t>
  </si>
  <si>
    <t>kind</t>
  </si>
  <si>
    <t>Pb-acid</t>
  </si>
  <si>
    <t>Ni-Cd</t>
  </si>
  <si>
    <t>Na-S</t>
  </si>
  <si>
    <t>Li-ion</t>
  </si>
  <si>
    <t>pumprampmax</t>
  </si>
  <si>
    <t>storagecapacitymax</t>
  </si>
  <si>
    <t>EV</t>
  </si>
  <si>
    <t>solar PV multi c-Si</t>
  </si>
  <si>
    <t>solar PV mono c-Si</t>
  </si>
  <si>
    <t>solar PV thin film</t>
  </si>
  <si>
    <t>Generating Plant IDs</t>
  </si>
  <si>
    <t>Storage Plant IDs</t>
  </si>
  <si>
    <t>capacitor</t>
  </si>
  <si>
    <t>supercapacitor</t>
  </si>
  <si>
    <t>CS6V-225MM</t>
  </si>
  <si>
    <t>TO DO: need to change 'vre plants' sheet so that the area [m^2] and # modules gets updated according to these values, given the module type</t>
  </si>
  <si>
    <t>Col number</t>
  </si>
  <si>
    <t>ramp rate max</t>
  </si>
  <si>
    <t>start up ramp limit</t>
  </si>
  <si>
    <t>cost to commit the unit ($)</t>
  </si>
  <si>
    <t>start up cost</t>
  </si>
  <si>
    <t>cost curve equation</t>
  </si>
  <si>
    <t>0P</t>
  </si>
  <si>
    <t>spinning cost</t>
  </si>
  <si>
    <t>resevoir level</t>
  </si>
  <si>
    <t>initial power</t>
  </si>
  <si>
    <t>initial status</t>
  </si>
  <si>
    <t>hours in status</t>
  </si>
  <si>
    <t>combination of variable cost (P^1) and spinning cost (P^0)</t>
  </si>
  <si>
    <t xml:space="preserve">Notes: </t>
  </si>
  <si>
    <t>[$/ MBTU]</t>
  </si>
  <si>
    <t>shut down cost</t>
  </si>
  <si>
    <t>Non-vre  technology assumptions</t>
  </si>
  <si>
    <t xml:space="preserve">Cost - related Technology Characteristics </t>
  </si>
  <si>
    <t>Operating Characteristics</t>
  </si>
  <si>
    <t>min up time</t>
  </si>
  <si>
    <t>min down time</t>
  </si>
  <si>
    <t>minimum time for which a unit must be on (status =1) after it is committed [hours]</t>
  </si>
  <si>
    <t>[hours]</t>
  </si>
  <si>
    <t xml:space="preserve">minimum time for which a unit must be off (status = 0) after it is de-commited [hours] </t>
  </si>
  <si>
    <t>research these value and add it here</t>
  </si>
  <si>
    <t>minimum up time</t>
  </si>
  <si>
    <t>minimum down time</t>
  </si>
  <si>
    <t>[$ per hour committed]</t>
  </si>
  <si>
    <t>Ramping Characteristics</t>
  </si>
  <si>
    <t>ramp rate min</t>
  </si>
  <si>
    <t>[$ / MWcap]</t>
  </si>
  <si>
    <t>positive change in real power over 1 hour (MW/hr) for a spinning unit (with status = 1)</t>
  </si>
  <si>
    <t>negative change in real power over 1 hou (MW/hr) for a spinning unit (with status =1)</t>
  </si>
  <si>
    <t>negative change in power for spinning unit</t>
  </si>
  <si>
    <t>shut down ramp limit</t>
  </si>
  <si>
    <t>maximum positive change in real power over the first hour after startup (MW/hr)</t>
  </si>
  <si>
    <t>maximum negative change in real power over the last hor before shutdown (MW/hr)</t>
  </si>
  <si>
    <t>[MW/hr p MWcap]</t>
  </si>
  <si>
    <t>start up ramp</t>
  </si>
  <si>
    <t>shut down ramp</t>
  </si>
  <si>
    <t>battery</t>
  </si>
  <si>
    <t>0P + 0</t>
  </si>
  <si>
    <t>col.</t>
  </si>
  <si>
    <t>solar</t>
  </si>
  <si>
    <t>technology type</t>
  </si>
  <si>
    <t>unit capacity [kW]</t>
  </si>
  <si>
    <t>Nils's Paper (Submitted to Energy Economics)</t>
  </si>
  <si>
    <t>[Fraction of installed capacity]</t>
  </si>
  <si>
    <t>Scenario analysis inputs</t>
  </si>
  <si>
    <t>Installed Capacity Metric</t>
  </si>
  <si>
    <t>Flexibility Factor Metric</t>
  </si>
  <si>
    <t xml:space="preserve">Transmission network capacity metric </t>
  </si>
  <si>
    <t>Investment Cost</t>
  </si>
  <si>
    <t>[fraction on installed capacity]</t>
  </si>
  <si>
    <t>[fraction of installed capacity]</t>
  </si>
  <si>
    <t>Cost</t>
  </si>
  <si>
    <t>[$]</t>
  </si>
  <si>
    <t>bus number</t>
  </si>
  <si>
    <t>total installed capacity on bus</t>
  </si>
  <si>
    <t>total transmission capacity to/from bus</t>
  </si>
  <si>
    <t>Max capacity value</t>
  </si>
  <si>
    <t>Operating reserve coeff.</t>
  </si>
  <si>
    <t>Installed capacity by type</t>
  </si>
  <si>
    <t>fraction of load on bus</t>
  </si>
  <si>
    <t>[percentage]</t>
  </si>
  <si>
    <t xml:space="preserve"> VRE Resrouce Metric</t>
  </si>
  <si>
    <t>Proposed wind capacity</t>
  </si>
  <si>
    <t>Proposed multi c-Si solar capacity</t>
  </si>
  <si>
    <t>Proposed mono c-Si solar capacity</t>
  </si>
  <si>
    <t>Proposed thin film solar capacity</t>
  </si>
  <si>
    <t>Total overnight cost in 2014</t>
  </si>
  <si>
    <t>$/kW</t>
  </si>
  <si>
    <t xml:space="preserve">EIA AEO2015 Table 8.2" Cost and Performance characteristics of new central station electricity generating technologies </t>
  </si>
  <si>
    <t>My storage paper with Nils (YSSP report)</t>
  </si>
  <si>
    <t>[$/kW installed]</t>
  </si>
  <si>
    <t>transmission line cost</t>
  </si>
  <si>
    <t>Wind</t>
  </si>
  <si>
    <t>Solar</t>
  </si>
  <si>
    <t>USER: do not alter this sheet</t>
  </si>
  <si>
    <t>VRE generation types</t>
  </si>
  <si>
    <t>Technologies</t>
  </si>
  <si>
    <t>multi_c_Si</t>
  </si>
  <si>
    <t>mono_c_Si</t>
  </si>
  <si>
    <t>thin_film</t>
  </si>
  <si>
    <t>dr_potential</t>
  </si>
  <si>
    <t>over-production</t>
  </si>
  <si>
    <t>under-production</t>
  </si>
  <si>
    <t>maximum</t>
  </si>
  <si>
    <t>minimum</t>
  </si>
  <si>
    <t>maximum hourly dr limit (% of schedule)</t>
  </si>
  <si>
    <t>maximum daily dr (MW)</t>
  </si>
  <si>
    <t>ramping limiatations (MW)</t>
  </si>
  <si>
    <t>increasing_shed</t>
  </si>
  <si>
    <t>decreasing_shed</t>
  </si>
  <si>
    <t>minimum up/down times (hours)</t>
  </si>
  <si>
    <t>uptime</t>
  </si>
  <si>
    <t>downtime</t>
  </si>
  <si>
    <t>constraint:</t>
  </si>
  <si>
    <t>absolute hourly dr limit (MW)</t>
  </si>
  <si>
    <t>index</t>
  </si>
  <si>
    <t>initial values</t>
  </si>
  <si>
    <t>Each unique node must be listed at least once in the 'existing transmission' sheet under the 'from bus' category</t>
  </si>
  <si>
    <t xml:space="preserve"> -- 115 kV double circuit</t>
  </si>
  <si>
    <t xml:space="preserve"> -- 115 kV single circuit</t>
  </si>
  <si>
    <t>line cost</t>
  </si>
  <si>
    <t>city</t>
  </si>
  <si>
    <t>CHSM_6610P_250</t>
  </si>
  <si>
    <t>FS935</t>
  </si>
  <si>
    <t>FS4122_2</t>
  </si>
  <si>
    <t>CS6X_320P</t>
  </si>
  <si>
    <t>pmax</t>
  </si>
  <si>
    <t>storage content</t>
  </si>
  <si>
    <t>MW At Marginal Cost</t>
  </si>
  <si>
    <t xml:space="preserve">On the demand centres sheet, the dr_potential column needs to add to one. Also the dr_potential value for each city needs to be pro-rated by the percentage of load that that city consumes. The fomula in powersystems.py (Load constraints) for the second OPF is scheduled_load(time) - power(time) &gt;= dr_3 (UC dr) *dr_potential for each city. As such if the dr_3*dr_potenail is greater than the scheduled_load value for that city in that hour, then the OPF would have to have a negative power value, which is obviously impossible, and so it fails.  </t>
  </si>
  <si>
    <t>g</t>
  </si>
  <si>
    <t>pmin</t>
  </si>
  <si>
    <t>Imports</t>
  </si>
  <si>
    <t>unpluggedhours</t>
  </si>
  <si>
    <t>tripenergy</t>
  </si>
  <si>
    <t>Wind_1</t>
  </si>
  <si>
    <t>Wind_2</t>
  </si>
  <si>
    <t>Wind_3</t>
  </si>
  <si>
    <t>Wind_4</t>
  </si>
  <si>
    <t>Wind_5</t>
  </si>
  <si>
    <t>Wind_6</t>
  </si>
  <si>
    <t>Wind_7</t>
  </si>
  <si>
    <t>Solar_1</t>
  </si>
  <si>
    <t>NW_falls_g</t>
  </si>
  <si>
    <t>ACK - Ashton Creek</t>
  </si>
  <si>
    <t>NIC - Nicola</t>
  </si>
  <si>
    <t>ROS - Rosedale</t>
  </si>
  <si>
    <t>WSN - Williston</t>
  </si>
  <si>
    <t>BR1 - Bridge1 GS</t>
  </si>
  <si>
    <t>KLY - Kelly Lake</t>
  </si>
  <si>
    <t>UHT - Upper Harrison</t>
  </si>
  <si>
    <t>SEL - Selkirk</t>
  </si>
  <si>
    <t>MDN - Meridian</t>
  </si>
  <si>
    <t>CBK - Cranbrook</t>
  </si>
  <si>
    <t>CBN - Clayburn</t>
  </si>
  <si>
    <t>ING - Ingledow</t>
  </si>
  <si>
    <t>CKY - Cheekye</t>
  </si>
  <si>
    <t>MSA - Malaspina</t>
  </si>
  <si>
    <t>DMR - Dunsmuir</t>
  </si>
  <si>
    <t>GLN - Glenannan</t>
  </si>
  <si>
    <t>TKW - Telkwa</t>
  </si>
  <si>
    <t>GMS - GM Shrum GS</t>
  </si>
  <si>
    <t>PCN - Peace Canyon GS</t>
  </si>
  <si>
    <t>KDY - Kennedy Capacitor Station</t>
  </si>
  <si>
    <t>MCA - Mica GS</t>
  </si>
  <si>
    <t>SKA - Skeena</t>
  </si>
  <si>
    <t>VAS - Vaseux Lake</t>
  </si>
  <si>
    <t>REV - Revelstoke GS</t>
  </si>
  <si>
    <t>WAH - Wahleach</t>
  </si>
  <si>
    <t>SBK - South Bank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</si>
  <si>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</si>
  <si>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</si>
  <si>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</si>
  <si>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</si>
  <si>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</si>
  <si>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</si>
  <si>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</si>
  <si>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</si>
  <si>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</si>
  <si>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</si>
  <si>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</si>
  <si>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</si>
  <si>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</si>
  <si>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</si>
  <si>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</si>
  <si>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</si>
  <si>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</si>
  <si>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</si>
  <si>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</si>
  <si>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</si>
  <si>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</si>
  <si>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</si>
  <si>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</si>
  <si>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</si>
  <si>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</si>
  <si>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</si>
  <si>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</si>
  <si>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</si>
  <si>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</si>
  <si>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</si>
  <si>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</si>
  <si>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</si>
  <si>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</si>
  <si>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</si>
  <si>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</si>
  <si>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</si>
  <si>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NG_CC</t>
  </si>
  <si>
    <t>NG_CG</t>
  </si>
  <si>
    <t>NG_CT</t>
  </si>
  <si>
    <t>Biogas_1</t>
  </si>
  <si>
    <t>Biomass_1</t>
  </si>
  <si>
    <t>Biomass_2</t>
  </si>
  <si>
    <t>Biomass_3</t>
  </si>
  <si>
    <t>Biomass_5</t>
  </si>
  <si>
    <t>Biomass_7</t>
  </si>
  <si>
    <t>Biomass_9</t>
  </si>
  <si>
    <t>Biomass_10</t>
  </si>
  <si>
    <t>Biomass_11</t>
  </si>
  <si>
    <t>Biomass_12</t>
  </si>
  <si>
    <t>Biomass_15</t>
  </si>
  <si>
    <t>Biomass_16</t>
  </si>
  <si>
    <t>Biomass_17</t>
  </si>
  <si>
    <t>Biomass_20</t>
  </si>
  <si>
    <t>Biomass_21</t>
  </si>
  <si>
    <t>Biomass_22</t>
  </si>
  <si>
    <t>Biomass_25</t>
  </si>
  <si>
    <t>Biomass_26</t>
  </si>
  <si>
    <t>Biomass_27</t>
  </si>
  <si>
    <t>Biomass_28</t>
  </si>
  <si>
    <t>Biomass_29</t>
  </si>
  <si>
    <t>Biomass_30</t>
  </si>
  <si>
    <t>Biomass_35</t>
  </si>
  <si>
    <t>Biomass_36</t>
  </si>
  <si>
    <t>Biomass_37</t>
  </si>
  <si>
    <t>Biomass_38</t>
  </si>
  <si>
    <t>Biomass_39</t>
  </si>
  <si>
    <t>Biomass_40</t>
  </si>
  <si>
    <t>NG_CC_1</t>
  </si>
  <si>
    <t>NG_CC_2</t>
  </si>
  <si>
    <t>NG_CG_1</t>
  </si>
  <si>
    <t>NG_CT_1</t>
  </si>
  <si>
    <t>Wind_Onshore</t>
  </si>
  <si>
    <t>Wind_8</t>
  </si>
  <si>
    <t>Natural gas</t>
  </si>
  <si>
    <t>hydro_hourly</t>
  </si>
  <si>
    <t>hydro_daily</t>
  </si>
  <si>
    <t>hydro_monthly</t>
  </si>
  <si>
    <t>biogas</t>
  </si>
  <si>
    <t>hydro_daily_1</t>
  </si>
  <si>
    <t>hydro_monthly_1</t>
  </si>
  <si>
    <t>hydro_hourly_1</t>
  </si>
  <si>
    <t>Load_1</t>
  </si>
  <si>
    <t>Load_4</t>
  </si>
  <si>
    <t>Load_5</t>
  </si>
  <si>
    <t>Load_6</t>
  </si>
  <si>
    <t>Load_7</t>
  </si>
  <si>
    <t>Load_8</t>
  </si>
  <si>
    <t>Load_9</t>
  </si>
  <si>
    <t>Load_10</t>
  </si>
  <si>
    <t>Load_11</t>
  </si>
  <si>
    <t>Load_12</t>
  </si>
  <si>
    <t>Load_13</t>
  </si>
  <si>
    <t>Load_14</t>
  </si>
  <si>
    <t>Load_15</t>
  </si>
  <si>
    <t>Load_16</t>
  </si>
  <si>
    <t>Load_17</t>
  </si>
  <si>
    <t>Load_18</t>
  </si>
  <si>
    <t>Load_19</t>
  </si>
  <si>
    <t>Load_20</t>
  </si>
  <si>
    <t>Load_21</t>
  </si>
  <si>
    <t>Load_22</t>
  </si>
  <si>
    <t>Load_23</t>
  </si>
  <si>
    <t>Load_24</t>
  </si>
  <si>
    <t>Load_25</t>
  </si>
  <si>
    <t>Load_26</t>
  </si>
  <si>
    <t>Load_27</t>
  </si>
  <si>
    <t>Load_28</t>
  </si>
  <si>
    <t>Load_30</t>
  </si>
  <si>
    <t>Load_31</t>
  </si>
  <si>
    <t>Load_32</t>
  </si>
  <si>
    <t>Load_33</t>
  </si>
  <si>
    <t>Load_34</t>
  </si>
  <si>
    <t>Load_35</t>
  </si>
  <si>
    <t>Load_37</t>
  </si>
  <si>
    <t>Load_38</t>
  </si>
  <si>
    <t>Load_39</t>
  </si>
  <si>
    <t>hydro_daily_4</t>
  </si>
  <si>
    <t>hydro_daily_5</t>
  </si>
  <si>
    <t>hydro_daily_7</t>
  </si>
  <si>
    <t>hydro_daily_8</t>
  </si>
  <si>
    <t>hydro_daily_16</t>
  </si>
  <si>
    <t>hydro_daily_21</t>
  </si>
  <si>
    <t>hydro_daily_22</t>
  </si>
  <si>
    <t>hydro_daily_23</t>
  </si>
  <si>
    <t>hydro_daily_25</t>
  </si>
  <si>
    <t>hydro_daily_26</t>
  </si>
  <si>
    <t>hydro_daily_29</t>
  </si>
  <si>
    <t>hydro_daily_30</t>
  </si>
  <si>
    <t>hydro_daily_32</t>
  </si>
  <si>
    <t>hydro_daily_34</t>
  </si>
  <si>
    <t>hydro_hourly_2</t>
  </si>
  <si>
    <t>hydro_hourly_3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</si>
  <si>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</si>
  <si>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</si>
  <si>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</si>
  <si>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</si>
  <si>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</si>
  <si>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</si>
  <si>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</si>
  <si>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hydro_hourly_11</t>
  </si>
  <si>
    <t>hydro_hourly_12</t>
  </si>
  <si>
    <t>hydro_hourly_13</t>
  </si>
  <si>
    <t>hydro_hourly_14</t>
  </si>
  <si>
    <t>hydro_hourly_15</t>
  </si>
  <si>
    <t>hydro_hourly_16</t>
  </si>
  <si>
    <t>hydro_hourly_17</t>
  </si>
  <si>
    <t>hydro_hourly_18</t>
  </si>
  <si>
    <t>hydro_hourly_19</t>
  </si>
  <si>
    <t>hydro_hourly_20</t>
  </si>
  <si>
    <t>hydro_hourly_21</t>
  </si>
  <si>
    <t>hydro_hourly_22</t>
  </si>
  <si>
    <t>hydro_hourly_23</t>
  </si>
  <si>
    <t>hydro_hourly_24</t>
  </si>
  <si>
    <t>hydro_hourly_33</t>
  </si>
  <si>
    <t>hydro_hourly_34</t>
  </si>
  <si>
    <t>hydro_hourly_35</t>
  </si>
  <si>
    <t>hydro_hourly_36</t>
  </si>
  <si>
    <t>hydro_hourly_37</t>
  </si>
  <si>
    <t>hydro_hourly_38</t>
  </si>
  <si>
    <t>hydro_hourly_39</t>
  </si>
  <si>
    <t>hydro_hourly_40</t>
  </si>
  <si>
    <t>hydro_hourly_41</t>
  </si>
  <si>
    <t>hydro_hourly_42</t>
  </si>
  <si>
    <t>hydro_hourly_43</t>
  </si>
  <si>
    <t>hydro_hourly_44</t>
  </si>
  <si>
    <t>hydro_hourly_45</t>
  </si>
  <si>
    <t>hydro_hourly_46</t>
  </si>
  <si>
    <t>hydro_hourly_47</t>
  </si>
  <si>
    <t>hydro_hourly_48</t>
  </si>
  <si>
    <t>hydro_hourly_49</t>
  </si>
  <si>
    <t>hydro_hourly_50</t>
  </si>
  <si>
    <t>hydro_hourly_51</t>
  </si>
  <si>
    <t>hydro_hourly_52</t>
  </si>
  <si>
    <t>hydro_hourly_53</t>
  </si>
  <si>
    <t>hydro_hourly_54</t>
  </si>
  <si>
    <t>hydro_hourly_55</t>
  </si>
  <si>
    <t>hydro_hourly_56</t>
  </si>
  <si>
    <t>hydro_hourly_57</t>
  </si>
  <si>
    <t>hydro_hourly_58</t>
  </si>
  <si>
    <t>hydro_hourly_59</t>
  </si>
  <si>
    <t>hydro_hourly_60</t>
  </si>
  <si>
    <t>hydro_hourly_61</t>
  </si>
  <si>
    <t>hydro_hourly_62</t>
  </si>
  <si>
    <t>hydro_hourly_63</t>
  </si>
  <si>
    <t>hydro_hourly_64</t>
  </si>
  <si>
    <t>hydro_hourly_65</t>
  </si>
  <si>
    <t>hydro_hourly_66</t>
  </si>
  <si>
    <t>hydro_hourly_67</t>
  </si>
  <si>
    <t>hydro_hourly_68</t>
  </si>
  <si>
    <t>hydro_hourly_69</t>
  </si>
  <si>
    <t>hydro_hourly_70</t>
  </si>
  <si>
    <t>bus-old</t>
  </si>
  <si>
    <t>KI2 - Kidd 2</t>
  </si>
  <si>
    <t>CFT - Catalyst Paper Crofton</t>
  </si>
  <si>
    <t>SCK - Soda Creek</t>
  </si>
  <si>
    <t>VNT - Vernon</t>
  </si>
  <si>
    <t>BLW - Barlow</t>
  </si>
  <si>
    <t>PAL- Port Alberni</t>
  </si>
  <si>
    <t>ALH - Arrow Lakes GS</t>
  </si>
  <si>
    <t>CWD - Chetwynd</t>
  </si>
  <si>
    <t>MFE - Morfee</t>
  </si>
  <si>
    <t>NTL - Natal</t>
  </si>
  <si>
    <t>TAC - Tachick</t>
  </si>
  <si>
    <t>GRP - Gold River Pulp</t>
  </si>
  <si>
    <t>KHS - Kicking Horse</t>
  </si>
  <si>
    <t>HMC - Harmac Pacific</t>
  </si>
  <si>
    <t>KWD - Kamwood</t>
  </si>
  <si>
    <t>NEL - Newell</t>
  </si>
  <si>
    <t>MIG - Merritt Green</t>
  </si>
  <si>
    <t>JUL - Jeune Landing</t>
  </si>
  <si>
    <t>POW - Powell</t>
  </si>
  <si>
    <t>ILL - Illecillewaet</t>
  </si>
  <si>
    <t>GIB - Gibsons</t>
  </si>
  <si>
    <t>LEE - FA Lee Terminal Station</t>
  </si>
  <si>
    <t>CSN - Camosun</t>
  </si>
  <si>
    <t>Ash - Ash River GS</t>
  </si>
  <si>
    <t>BRX - Brilliant Expansion</t>
  </si>
  <si>
    <t>RUP - Prince Rupert</t>
  </si>
  <si>
    <t>BND - Barnard</t>
  </si>
  <si>
    <t>CMS - Cheakamus GS</t>
  </si>
  <si>
    <t>COM - Clowhom</t>
  </si>
  <si>
    <t>KCL - Kootenay Canal</t>
  </si>
  <si>
    <t>JHT - John Hart GS</t>
  </si>
  <si>
    <t>LDR - Ladore Falls GS</t>
  </si>
  <si>
    <t>PUN - Puntledge GS</t>
  </si>
  <si>
    <t>SEV - Seven Mile GS</t>
  </si>
  <si>
    <t>LNT - Long Lake</t>
  </si>
  <si>
    <t>WAX - Waneta Expansion</t>
  </si>
  <si>
    <t>MON - Monashee</t>
  </si>
  <si>
    <t>TSV - Tahsis Village</t>
  </si>
  <si>
    <t>KIT - Kitimat</t>
  </si>
  <si>
    <t>SBK - Southbank</t>
  </si>
  <si>
    <t>BET - Bone Creek</t>
  </si>
  <si>
    <t>TIS - Tisdall</t>
  </si>
  <si>
    <t>FCN - Function Junction</t>
  </si>
  <si>
    <t>GCL - Great Central</t>
  </si>
  <si>
    <t>REG - Rearguard Pumping Station</t>
  </si>
  <si>
    <t>GLD - Gold River</t>
  </si>
  <si>
    <t>ETR - East Toba River</t>
  </si>
  <si>
    <t>FKR - Forest Kerr</t>
  </si>
  <si>
    <t>VLM - Valemount</t>
  </si>
  <si>
    <t>KTS - Kokish</t>
  </si>
  <si>
    <t>KCH - Kwoiek Creek</t>
  </si>
  <si>
    <t>SAY - Saltery Bay</t>
  </si>
  <si>
    <t>USR - Upper Stave River</t>
  </si>
  <si>
    <t>SKO - Skookum Creek GS</t>
  </si>
  <si>
    <t>INV - Invermere</t>
  </si>
  <si>
    <t>BSY - Burrard SC</t>
  </si>
  <si>
    <t>TAY - Taylor</t>
  </si>
  <si>
    <t>BMW - Bear Mountain Wind</t>
  </si>
  <si>
    <t>CSS - Cape Scott</t>
  </si>
  <si>
    <t>DKW - Dokie Wind Farm</t>
  </si>
  <si>
    <t>MKL - Meikle GS</t>
  </si>
  <si>
    <t>MKT - Meikle Switching Station</t>
  </si>
  <si>
    <t>WBK - Westbank</t>
  </si>
  <si>
    <t>QTY - Quality</t>
  </si>
  <si>
    <t>RGA - RG Anderson</t>
  </si>
  <si>
    <t>cascade group name</t>
  </si>
  <si>
    <t>number</t>
  </si>
  <si>
    <t>min storage</t>
  </si>
  <si>
    <t>max storage</t>
  </si>
  <si>
    <t>min water discharge</t>
  </si>
  <si>
    <t>max water discharge</t>
  </si>
  <si>
    <t>h factor</t>
  </si>
  <si>
    <t>reactance-old</t>
  </si>
  <si>
    <t>hydro_daily_2</t>
  </si>
  <si>
    <t>hydro_daily_3</t>
  </si>
  <si>
    <t>hydro_daily_6</t>
  </si>
  <si>
    <t>hydro_daily_9</t>
  </si>
  <si>
    <t>hydro_daily_10</t>
  </si>
  <si>
    <t>hydro_daily_11</t>
  </si>
  <si>
    <t>hydro_daily_12</t>
  </si>
  <si>
    <t>hydro_daily_13</t>
  </si>
  <si>
    <t>hydro_daily_14</t>
  </si>
  <si>
    <t>hydro_daily_15</t>
  </si>
  <si>
    <t>hydro_daily_17</t>
  </si>
  <si>
    <t>hydro_daily_18</t>
  </si>
  <si>
    <t>hydro_daily_19</t>
  </si>
  <si>
    <t>hydro_daily_20</t>
  </si>
  <si>
    <t>hydro_daily_24</t>
  </si>
  <si>
    <t>hydro_daily_27</t>
  </si>
  <si>
    <t>hydro_daily_28</t>
  </si>
  <si>
    <t>hydro_daily_31</t>
  </si>
  <si>
    <t>hydro_daily_33</t>
  </si>
  <si>
    <t>hydro_monthly_2</t>
  </si>
  <si>
    <t>hydro_monthly_3</t>
  </si>
  <si>
    <t>hydro_monthly_4</t>
  </si>
  <si>
    <t>hydro_monthly_5</t>
  </si>
  <si>
    <t>hydro_monthly_6</t>
  </si>
  <si>
    <t>hydro_hourly_25</t>
  </si>
  <si>
    <t>hydro_hourly_26</t>
  </si>
  <si>
    <t>hydro_hourly_27</t>
  </si>
  <si>
    <t>hydro_hourly_28</t>
  </si>
  <si>
    <t>hydro_hourly_29</t>
  </si>
  <si>
    <t>hydro_hourly_30</t>
  </si>
  <si>
    <t>hydro_hourly_31</t>
  </si>
  <si>
    <t>hydro_hourly_32</t>
  </si>
  <si>
    <t>importexport_1</t>
  </si>
  <si>
    <t>importexport_2</t>
  </si>
  <si>
    <t>importexport_3</t>
  </si>
  <si>
    <t>importexport</t>
  </si>
  <si>
    <t>75.5P</t>
  </si>
  <si>
    <t>136.5P</t>
  </si>
  <si>
    <t>3.3P</t>
  </si>
  <si>
    <t>100P</t>
  </si>
  <si>
    <t>importexport_4</t>
  </si>
  <si>
    <t/>
  </si>
  <si>
    <t>Load_40</t>
  </si>
  <si>
    <t>Load_41</t>
  </si>
  <si>
    <t>Load_42</t>
  </si>
  <si>
    <t>Load_43</t>
  </si>
  <si>
    <t>Division No. 37</t>
  </si>
  <si>
    <t>Division No. 1</t>
  </si>
  <si>
    <t>Division No. 15</t>
  </si>
  <si>
    <t>Division No. 29</t>
  </si>
  <si>
    <t>Division No. 17</t>
  </si>
  <si>
    <t>Division No. 19</t>
  </si>
  <si>
    <t>Division No. 21</t>
  </si>
  <si>
    <t>Division No. 23</t>
  </si>
  <si>
    <t>Division No. 24</t>
  </si>
  <si>
    <t>Division No. 26</t>
  </si>
  <si>
    <t>Division No. 43</t>
  </si>
  <si>
    <t>Division No. 51</t>
  </si>
  <si>
    <t>Division No. 55</t>
  </si>
  <si>
    <t>Division No. 59</t>
  </si>
  <si>
    <t>Division No. 53</t>
  </si>
  <si>
    <t>Division No. 41</t>
  </si>
  <si>
    <t>Division No. 39</t>
  </si>
  <si>
    <t>Division No. 33</t>
  </si>
  <si>
    <t>Division No. 3</t>
  </si>
  <si>
    <t>Division No. 5</t>
  </si>
  <si>
    <t>Division No. 45</t>
  </si>
  <si>
    <t>Division No. 47</t>
  </si>
  <si>
    <t>Division No. 49</t>
  </si>
  <si>
    <t>Division No. 57</t>
  </si>
  <si>
    <t>Division No. 7</t>
  </si>
  <si>
    <t>Division No. 9</t>
  </si>
  <si>
    <t>Division No. 31</t>
  </si>
  <si>
    <t>Division No. 27</t>
  </si>
  <si>
    <t>Division No.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</si>
</sst>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"/>
    <numFmt numFmtId="167" formatCode="_-* #,##0_-;\-* #,##0_-;_-* &quot;-&quot;??_-;_-@_-"/>
    <numFmt numFmtId="168" formatCode="0.0000"/>
    <numFmt numFmtId="169" formatCode="#,##0.000000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iberation Sans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sz val="9"/>
      <color rgb="FF9999FF"/>
      <name val="Calibri"/>
      <family val="2"/>
      <scheme val="minor"/>
    </font>
    <font>
      <sz val="9"/>
      <color rgb="FF00B050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8"/>
      <color rgb="FF9999FF"/>
      <name val="Calibri"/>
      <family val="2"/>
      <scheme val="minor"/>
    </font>
    <font>
      <sz val="8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rgb="FF0099CC"/>
      <name val="Calibri"/>
      <family val="2"/>
      <scheme val="minor"/>
    </font>
    <font>
      <sz val="8"/>
      <color rgb="FF0099CC"/>
      <name val="Calibri"/>
      <family val="2"/>
      <scheme val="minor"/>
    </font>
    <font>
      <sz val="9"/>
      <color rgb="FF7030A0"/>
      <name val="Calibri"/>
      <family val="2"/>
      <scheme val="minor"/>
    </font>
    <font>
      <sz val="8"/>
      <color rgb="FF7030A0"/>
      <name val="Calibri"/>
      <family val="2"/>
      <scheme val="minor"/>
    </font>
    <font>
      <sz val="14"/>
      <name val="Calibri"/>
      <family val="2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</font>
    <font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999FF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FFFF"/>
        <bgColor indexed="64"/>
      </patternFill>
    </fill>
    <fill>
      <patternFill patternType="gray125">
        <fgColor theme="0" tint="-0.14996795556505021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3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0" fontId="28" fillId="0" borderId="13">
      <alignment horizontal="center" vertical="center" wrapText="1"/>
    </xf>
    <xf numFmtId="4" fontId="30" fillId="0" borderId="13">
      <alignment horizontal="right" vertical="center"/>
    </xf>
    <xf numFmtId="169" fontId="30" fillId="0" borderId="13">
      <alignment horizontal="right" vertical="center"/>
    </xf>
    <xf numFmtId="0" fontId="28" fillId="0" borderId="13">
      <alignment horizontal="left" vertical="center" wrapText="1"/>
    </xf>
    <xf numFmtId="3" fontId="30" fillId="0" borderId="13">
      <alignment horizontal="right" vertical="center"/>
    </xf>
    <xf numFmtId="0" fontId="34" fillId="0" borderId="0">
      <alignment vertical="center"/>
    </xf>
    <xf numFmtId="1" fontId="36" fillId="28" borderId="13">
      <alignment vertical="center"/>
    </xf>
  </cellStyleXfs>
  <cellXfs count="250">
    <xf numFmtId="0" fontId="0" fillId="0" borderId="0" xfId="0"/>
    <xf numFmtId="0" fontId="4" fillId="0" borderId="0" xfId="2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2" fontId="0" fillId="0" borderId="0" xfId="0" applyNumberFormat="1"/>
    <xf numFmtId="0" fontId="0" fillId="10" borderId="0" xfId="0" applyFill="1"/>
    <xf numFmtId="0" fontId="0" fillId="11" borderId="0" xfId="0" applyFill="1"/>
    <xf numFmtId="2" fontId="0" fillId="12" borderId="0" xfId="0" applyNumberFormat="1" applyFill="1"/>
    <xf numFmtId="0" fontId="0" fillId="12" borderId="0" xfId="0" applyFill="1"/>
    <xf numFmtId="0" fontId="0" fillId="0" borderId="0" xfId="0" applyBorder="1"/>
    <xf numFmtId="0" fontId="7" fillId="0" borderId="0" xfId="4"/>
    <xf numFmtId="166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13" borderId="0" xfId="0" applyFill="1"/>
    <xf numFmtId="49" fontId="0" fillId="13" borderId="0" xfId="0" applyNumberFormat="1" applyFill="1"/>
    <xf numFmtId="49" fontId="0" fillId="13" borderId="2" xfId="0" applyNumberFormat="1" applyFill="1" applyBorder="1"/>
    <xf numFmtId="49" fontId="0" fillId="13" borderId="0" xfId="0" applyNumberFormat="1" applyFill="1" applyBorder="1"/>
    <xf numFmtId="49" fontId="0" fillId="13" borderId="3" xfId="0" applyNumberFormat="1" applyFill="1" applyBorder="1"/>
    <xf numFmtId="0" fontId="0" fillId="13" borderId="2" xfId="0" applyFill="1" applyBorder="1" applyAlignment="1">
      <alignment horizontal="center"/>
    </xf>
    <xf numFmtId="0" fontId="0" fillId="13" borderId="0" xfId="0" applyNumberFormat="1" applyFill="1"/>
    <xf numFmtId="9" fontId="0" fillId="13" borderId="0" xfId="3" applyFont="1" applyFill="1"/>
    <xf numFmtId="9" fontId="0" fillId="13" borderId="3" xfId="0" applyNumberFormat="1" applyFill="1" applyBorder="1" applyAlignment="1">
      <alignment horizontal="center"/>
    </xf>
    <xf numFmtId="10" fontId="0" fillId="13" borderId="1" xfId="3" applyNumberFormat="1" applyFont="1" applyFill="1" applyBorder="1"/>
    <xf numFmtId="10" fontId="0" fillId="13" borderId="0" xfId="3" applyNumberFormat="1" applyFont="1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166" fontId="0" fillId="2" borderId="0" xfId="0" applyNumberFormat="1" applyFill="1"/>
    <xf numFmtId="0" fontId="9" fillId="0" borderId="0" xfId="0" applyFont="1"/>
    <xf numFmtId="0" fontId="0" fillId="18" borderId="0" xfId="0" applyFill="1"/>
    <xf numFmtId="0" fontId="0" fillId="0" borderId="0" xfId="0" applyAlignment="1"/>
    <xf numFmtId="0" fontId="5" fillId="0" borderId="0" xfId="0" applyFont="1"/>
    <xf numFmtId="0" fontId="0" fillId="19" borderId="0" xfId="0" applyFill="1"/>
    <xf numFmtId="2" fontId="0" fillId="19" borderId="0" xfId="0" applyNumberFormat="1" applyFill="1"/>
    <xf numFmtId="0" fontId="0" fillId="20" borderId="0" xfId="0" applyFill="1"/>
    <xf numFmtId="2" fontId="0" fillId="20" borderId="0" xfId="0" applyNumberFormat="1" applyFill="1"/>
    <xf numFmtId="0" fontId="0" fillId="21" borderId="0" xfId="0" applyFill="1"/>
    <xf numFmtId="2" fontId="0" fillId="21" borderId="0" xfId="0" applyNumberFormat="1" applyFill="1"/>
    <xf numFmtId="0" fontId="0" fillId="0" borderId="0" xfId="0" applyAlignment="1">
      <alignment horizontal="left"/>
    </xf>
    <xf numFmtId="0" fontId="8" fillId="14" borderId="0" xfId="0" applyFont="1" applyFill="1" applyBorder="1" applyAlignment="1">
      <alignment horizontal="center"/>
    </xf>
    <xf numFmtId="0" fontId="8" fillId="15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11" fillId="0" borderId="0" xfId="0" applyFont="1"/>
    <xf numFmtId="0" fontId="0" fillId="2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5" xfId="0" applyBorder="1"/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0" fillId="0" borderId="8" xfId="0" applyBorder="1"/>
    <xf numFmtId="0" fontId="10" fillId="0" borderId="0" xfId="0" applyFont="1" applyBorder="1" applyAlignment="1">
      <alignment horizontal="center"/>
    </xf>
    <xf numFmtId="2" fontId="0" fillId="0" borderId="0" xfId="5" applyNumberFormat="1" applyFont="1" applyBorder="1" applyAlignment="1">
      <alignment horizontal="center"/>
    </xf>
    <xf numFmtId="2" fontId="0" fillId="0" borderId="9" xfId="5" applyNumberFormat="1" applyFont="1" applyBorder="1" applyAlignment="1">
      <alignment horizontal="center"/>
    </xf>
    <xf numFmtId="0" fontId="0" fillId="0" borderId="11" xfId="0" applyBorder="1"/>
    <xf numFmtId="0" fontId="0" fillId="0" borderId="4" xfId="0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4" fillId="0" borderId="0" xfId="0" applyFont="1" applyBorder="1" applyAlignment="1"/>
    <xf numFmtId="0" fontId="14" fillId="0" borderId="0" xfId="0" applyFont="1" applyBorder="1" applyAlignment="1">
      <alignment wrapText="1"/>
    </xf>
    <xf numFmtId="0" fontId="19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Font="1" applyBorder="1"/>
    <xf numFmtId="0" fontId="0" fillId="0" borderId="0" xfId="0" applyFill="1" applyAlignment="1">
      <alignment horizontal="center"/>
    </xf>
    <xf numFmtId="0" fontId="12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0" fillId="24" borderId="0" xfId="0" applyFill="1"/>
    <xf numFmtId="0" fontId="0" fillId="24" borderId="0" xfId="0" applyFill="1" applyAlignment="1">
      <alignment horizontal="center"/>
    </xf>
    <xf numFmtId="0" fontId="0" fillId="23" borderId="0" xfId="0" applyFill="1" applyAlignment="1">
      <alignment wrapText="1"/>
    </xf>
    <xf numFmtId="0" fontId="0" fillId="24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9" fontId="0" fillId="24" borderId="0" xfId="0" applyNumberFormat="1" applyFill="1" applyAlignment="1">
      <alignment horizontal="center"/>
    </xf>
    <xf numFmtId="0" fontId="12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24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6" fillId="0" borderId="9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25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0" xfId="0" applyFont="1" applyBorder="1" applyAlignment="1">
      <alignment horizontal="center" wrapText="1"/>
    </xf>
    <xf numFmtId="0" fontId="0" fillId="0" borderId="6" xfId="0" applyBorder="1"/>
    <xf numFmtId="0" fontId="22" fillId="0" borderId="0" xfId="0" applyFont="1" applyBorder="1" applyAlignment="1">
      <alignment horizontal="center" wrapText="1"/>
    </xf>
    <xf numFmtId="0" fontId="23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0" fillId="0" borderId="8" xfId="0" applyBorder="1" applyAlignment="1">
      <alignment horizontal="left"/>
    </xf>
    <xf numFmtId="9" fontId="0" fillId="0" borderId="0" xfId="0" applyNumberFormat="1" applyFill="1"/>
    <xf numFmtId="0" fontId="0" fillId="0" borderId="0" xfId="0" applyFont="1"/>
    <xf numFmtId="9" fontId="0" fillId="0" borderId="0" xfId="0" applyNumberFormat="1"/>
    <xf numFmtId="0" fontId="24" fillId="0" borderId="8" xfId="0" applyFont="1" applyBorder="1" applyAlignment="1">
      <alignment horizontal="center" wrapText="1"/>
    </xf>
    <xf numFmtId="0" fontId="24" fillId="0" borderId="9" xfId="0" applyFont="1" applyBorder="1" applyAlignment="1">
      <alignment horizontal="center" wrapText="1"/>
    </xf>
    <xf numFmtId="0" fontId="25" fillId="0" borderId="11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1" fontId="0" fillId="0" borderId="0" xfId="5" applyNumberFormat="1" applyFont="1" applyBorder="1" applyAlignment="1">
      <alignment horizontal="center"/>
    </xf>
    <xf numFmtId="43" fontId="0" fillId="0" borderId="0" xfId="5" applyFont="1" applyFill="1"/>
    <xf numFmtId="167" fontId="0" fillId="0" borderId="0" xfId="5" applyNumberFormat="1" applyFont="1" applyFill="1" applyAlignment="1">
      <alignment horizontal="center"/>
    </xf>
    <xf numFmtId="167" fontId="4" fillId="25" borderId="0" xfId="5" applyNumberFormat="1" applyFont="1" applyFill="1" applyAlignment="1">
      <alignment horizontal="center"/>
    </xf>
    <xf numFmtId="0" fontId="0" fillId="25" borderId="0" xfId="0" applyFill="1"/>
    <xf numFmtId="43" fontId="0" fillId="19" borderId="0" xfId="5" applyFont="1" applyFill="1"/>
    <xf numFmtId="167" fontId="0" fillId="0" borderId="9" xfId="5" applyNumberFormat="1" applyFont="1" applyBorder="1" applyAlignment="1">
      <alignment horizontal="center"/>
    </xf>
    <xf numFmtId="167" fontId="0" fillId="0" borderId="0" xfId="5" applyNumberFormat="1" applyFont="1"/>
    <xf numFmtId="0" fontId="0" fillId="15" borderId="0" xfId="0" applyFill="1" applyAlignment="1">
      <alignment horizontal="left"/>
    </xf>
    <xf numFmtId="0" fontId="0" fillId="15" borderId="0" xfId="0" applyFill="1" applyBorder="1" applyAlignment="1">
      <alignment horizontal="left"/>
    </xf>
    <xf numFmtId="9" fontId="0" fillId="0" borderId="0" xfId="3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3" applyNumberFormat="1" applyFont="1" applyAlignment="1">
      <alignment horizontal="center"/>
    </xf>
    <xf numFmtId="9" fontId="18" fillId="0" borderId="0" xfId="0" applyNumberFormat="1" applyFont="1" applyAlignment="1">
      <alignment horizontal="center"/>
    </xf>
    <xf numFmtId="2" fontId="0" fillId="23" borderId="0" xfId="0" applyNumberFormat="1" applyFill="1"/>
    <xf numFmtId="0" fontId="0" fillId="0" borderId="0" xfId="0" applyBorder="1" applyAlignment="1">
      <alignment horizontal="left"/>
    </xf>
    <xf numFmtId="10" fontId="0" fillId="0" borderId="0" xfId="0" applyNumberFormat="1"/>
    <xf numFmtId="0" fontId="4" fillId="0" borderId="0" xfId="0" applyFont="1" applyFill="1" applyBorder="1"/>
    <xf numFmtId="1" fontId="0" fillId="0" borderId="0" xfId="0" applyNumberFormat="1" applyFill="1" applyBorder="1" applyAlignment="1">
      <alignment horizontal="center"/>
    </xf>
    <xf numFmtId="0" fontId="0" fillId="26" borderId="0" xfId="0" applyFill="1" applyAlignment="1">
      <alignment horizontal="center"/>
    </xf>
    <xf numFmtId="2" fontId="8" fillId="0" borderId="0" xfId="0" applyNumberFormat="1" applyFont="1" applyFill="1"/>
    <xf numFmtId="0" fontId="0" fillId="27" borderId="0" xfId="0" applyFill="1" applyAlignment="1">
      <alignment horizontal="center"/>
    </xf>
    <xf numFmtId="1" fontId="0" fillId="0" borderId="0" xfId="0" applyNumberForma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168" fontId="18" fillId="0" borderId="0" xfId="0" applyNumberFormat="1" applyFont="1" applyAlignment="1">
      <alignment horizontal="center"/>
    </xf>
    <xf numFmtId="168" fontId="0" fillId="0" borderId="0" xfId="0" applyNumberFormat="1"/>
    <xf numFmtId="2" fontId="0" fillId="0" borderId="0" xfId="5" applyNumberFormat="1" applyFont="1" applyFill="1" applyBorder="1" applyAlignment="1">
      <alignment horizontal="center"/>
    </xf>
    <xf numFmtId="2" fontId="0" fillId="0" borderId="9" xfId="5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67" fontId="0" fillId="0" borderId="0" xfId="5" applyNumberFormat="1" applyFont="1" applyBorder="1" applyAlignment="1">
      <alignment horizontal="center"/>
    </xf>
    <xf numFmtId="167" fontId="4" fillId="0" borderId="4" xfId="5" applyNumberFormat="1" applyFont="1" applyBorder="1" applyAlignment="1">
      <alignment horizontal="center"/>
    </xf>
    <xf numFmtId="164" fontId="0" fillId="0" borderId="0" xfId="0" applyNumberFormat="1" applyAlignment="1"/>
    <xf numFmtId="0" fontId="9" fillId="0" borderId="0" xfId="0" applyFont="1" applyFill="1"/>
    <xf numFmtId="165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9" fontId="0" fillId="26" borderId="0" xfId="3" applyFont="1" applyFill="1" applyAlignment="1">
      <alignment horizontal="center"/>
    </xf>
    <xf numFmtId="9" fontId="0" fillId="26" borderId="0" xfId="0" applyNumberForma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quotePrefix="1" applyFont="1" applyFill="1" applyAlignment="1">
      <alignment horizontal="left"/>
    </xf>
    <xf numFmtId="166" fontId="4" fillId="0" borderId="0" xfId="0" quotePrefix="1" applyNumberFormat="1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 wrapText="1"/>
    </xf>
    <xf numFmtId="0" fontId="29" fillId="0" borderId="0" xfId="0" applyFont="1" applyFill="1" applyBorder="1" applyAlignment="1">
      <alignment horizontal="center"/>
    </xf>
    <xf numFmtId="0" fontId="29" fillId="0" borderId="12" xfId="0" applyFont="1" applyFill="1" applyBorder="1" applyAlignment="1">
      <alignment horizontal="center"/>
    </xf>
    <xf numFmtId="0" fontId="29" fillId="0" borderId="0" xfId="0" applyFont="1"/>
    <xf numFmtId="0" fontId="29" fillId="0" borderId="0" xfId="0" applyFont="1" applyFill="1" applyBorder="1"/>
    <xf numFmtId="0" fontId="29" fillId="0" borderId="0" xfId="0" applyFont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4" fillId="0" borderId="0" xfId="0" applyFont="1" applyFill="1"/>
    <xf numFmtId="0" fontId="8" fillId="0" borderId="0" xfId="0" applyFont="1" applyFill="1"/>
    <xf numFmtId="0" fontId="9" fillId="0" borderId="0" xfId="0" applyFont="1" applyFill="1" applyAlignment="1">
      <alignment horizontal="center" vertical="center"/>
    </xf>
    <xf numFmtId="0" fontId="31" fillId="0" borderId="0" xfId="0" applyFont="1" applyFill="1" applyBorder="1" applyAlignment="1">
      <alignment horizontal="center"/>
    </xf>
    <xf numFmtId="0" fontId="32" fillId="0" borderId="0" xfId="0" applyFont="1" applyFill="1" applyAlignment="1">
      <alignment horizontal="center" vertical="center" wrapText="1"/>
    </xf>
    <xf numFmtId="0" fontId="32" fillId="0" borderId="12" xfId="0" applyFont="1" applyFill="1" applyBorder="1" applyAlignment="1">
      <alignment horizontal="center"/>
    </xf>
    <xf numFmtId="0" fontId="32" fillId="0" borderId="0" xfId="0" applyFont="1" applyFill="1"/>
    <xf numFmtId="0" fontId="33" fillId="0" borderId="0" xfId="0" applyFont="1"/>
    <xf numFmtId="9" fontId="29" fillId="0" borderId="0" xfId="3" applyFont="1" applyAlignment="1">
      <alignment horizontal="center" vertical="center"/>
    </xf>
    <xf numFmtId="10" fontId="29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9" fillId="0" borderId="0" xfId="0" applyFont="1" applyBorder="1"/>
    <xf numFmtId="0" fontId="32" fillId="0" borderId="0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 vertical="center" wrapText="1"/>
    </xf>
    <xf numFmtId="0" fontId="32" fillId="22" borderId="0" xfId="0" applyFont="1" applyFill="1"/>
    <xf numFmtId="0" fontId="32" fillId="27" borderId="0" xfId="0" applyFont="1" applyFill="1"/>
    <xf numFmtId="0" fontId="0" fillId="0" borderId="0" xfId="0" applyFill="1"/>
    <xf numFmtId="0" fontId="4" fillId="0" borderId="0" xfId="0" applyFont="1" applyFill="1" applyBorder="1"/>
    <xf numFmtId="0" fontId="4" fillId="0" borderId="0" xfId="0" applyFont="1" applyAlignment="1">
      <alignment horizontal="center"/>
    </xf>
    <xf numFmtId="0" fontId="29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3" fillId="0" borderId="0" xfId="0" applyFont="1" applyFill="1"/>
    <xf numFmtId="0" fontId="35" fillId="0" borderId="0" xfId="0" applyFont="1" applyAlignment="1">
      <alignment horizontal="center"/>
    </xf>
    <xf numFmtId="0" fontId="32" fillId="0" borderId="0" xfId="0" applyFont="1" applyFill="1" applyAlignment="1">
      <alignment horizontal="center" vertical="center"/>
    </xf>
    <xf numFmtId="9" fontId="29" fillId="0" borderId="0" xfId="3" applyFont="1" applyAlignment="1">
      <alignment horizontal="center"/>
    </xf>
    <xf numFmtId="0" fontId="32" fillId="0" borderId="0" xfId="0" applyFont="1"/>
    <xf numFmtId="10" fontId="29" fillId="0" borderId="0" xfId="0" applyNumberFormat="1" applyFont="1" applyAlignment="1">
      <alignment horizontal="center"/>
    </xf>
    <xf numFmtId="0" fontId="29" fillId="22" borderId="0" xfId="0" applyFont="1" applyFill="1" applyAlignment="1">
      <alignment horizontal="center" vertical="center"/>
    </xf>
    <xf numFmtId="0" fontId="14" fillId="0" borderId="0" xfId="0" applyFont="1" applyAlignment="1">
      <alignment wrapText="1"/>
    </xf>
    <xf numFmtId="0" fontId="14" fillId="0" borderId="0" xfId="0" applyFont="1"/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9" xfId="0" applyFont="1" applyBorder="1" applyAlignment="1">
      <alignment vertical="center"/>
    </xf>
    <xf numFmtId="0" fontId="37" fillId="0" borderId="4" xfId="0" applyFont="1" applyBorder="1" applyAlignment="1">
      <alignment vertical="center"/>
    </xf>
    <xf numFmtId="0" fontId="38" fillId="0" borderId="4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10" xfId="0" applyFont="1" applyBorder="1" applyAlignment="1">
      <alignment vertical="center"/>
    </xf>
    <xf numFmtId="0" fontId="10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32" fillId="22" borderId="0" xfId="0" applyFont="1" applyFill="1" applyAlignment="1">
      <alignment horizontal="center" vertical="center"/>
    </xf>
    <xf numFmtId="0" fontId="37" fillId="0" borderId="6" xfId="0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wrapText="1"/>
    </xf>
    <xf numFmtId="0" fontId="26" fillId="0" borderId="7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24" fillId="0" borderId="5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</cellXfs>
  <cellStyles count="13">
    <cellStyle name="Comma" xfId="5" builtinId="3"/>
    <cellStyle name="Decimal-2" xfId="7" xr:uid="{00000000-0005-0000-0000-000001000000}"/>
    <cellStyle name="Decimal-6" xfId="8" xr:uid="{00000000-0005-0000-0000-000002000000}"/>
    <cellStyle name="Estimated" xfId="12" xr:uid="{46CD2174-A909-4273-B6AA-B12C373C086D}"/>
    <cellStyle name="Hyperlink" xfId="4" builtinId="8"/>
    <cellStyle name="Normal" xfId="0" builtinId="0"/>
    <cellStyle name="Normal 2" xfId="1" xr:uid="{00000000-0005-0000-0000-000005000000}"/>
    <cellStyle name="Normal 3" xfId="2" xr:uid="{00000000-0005-0000-0000-000006000000}"/>
    <cellStyle name="Number" xfId="10" xr:uid="{00000000-0005-0000-0000-000007000000}"/>
    <cellStyle name="Percent" xfId="3" builtinId="5"/>
    <cellStyle name="Sub-title" xfId="11" xr:uid="{22872ECB-FBCA-4F2F-BAF9-94FBFFE1FF56}"/>
    <cellStyle name="Text Centre" xfId="6" xr:uid="{00000000-0005-0000-0000-000009000000}"/>
    <cellStyle name="Text Left" xfId="9" xr:uid="{00000000-0005-0000-0000-00000A000000}"/>
  </cellStyles>
  <dxfs count="0"/>
  <tableStyles count="0" defaultTableStyle="TableStyleMedium2" defaultPivotStyle="PivotStyleLight16"/>
  <colors>
    <mruColors>
      <color rgb="FFCC00CC"/>
      <color rgb="FF00FFFF"/>
      <color rgb="FFFF99FF"/>
      <color rgb="FF99FF99"/>
      <color rgb="FF800000"/>
      <color rgb="FF00CC66"/>
      <color rgb="FF006666"/>
      <color rgb="FF009999"/>
      <color rgb="FF00CC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tc.ca/Routes/General_Information/General_Information.jsp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Z138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1" sqref="B21"/>
    </sheetView>
  </sheetViews>
  <sheetFormatPr defaultRowHeight="14.4"/>
  <cols>
    <col min="1" max="1" width="33.109375" bestFit="1" customWidth="1"/>
    <col min="2" max="2" width="15" customWidth="1"/>
    <col min="3" max="3" width="14.109375" customWidth="1"/>
    <col min="4" max="4" width="13.88671875" customWidth="1"/>
    <col min="5" max="5" width="15.33203125" bestFit="1" customWidth="1"/>
    <col min="6" max="6" width="15.5546875" customWidth="1"/>
    <col min="7" max="7" width="15.88671875" customWidth="1"/>
    <col min="8" max="8" width="16.109375" bestFit="1" customWidth="1"/>
    <col min="9" max="9" width="14.44140625" bestFit="1" customWidth="1"/>
    <col min="10" max="10" width="15.44140625" bestFit="1" customWidth="1"/>
    <col min="11" max="11" width="14.44140625" bestFit="1" customWidth="1"/>
    <col min="12" max="16" width="14.44140625" customWidth="1"/>
    <col min="17" max="17" width="9.109375" customWidth="1"/>
    <col min="18" max="18" width="9.6640625" customWidth="1"/>
    <col min="19" max="19" width="7.44140625" customWidth="1"/>
    <col min="20" max="20" width="14.44140625" customWidth="1"/>
    <col min="21" max="21" width="11.6640625" customWidth="1"/>
    <col min="22" max="24" width="14.44140625" customWidth="1"/>
    <col min="25" max="25" width="16.109375" bestFit="1" customWidth="1"/>
  </cols>
  <sheetData>
    <row r="1" spans="1:26">
      <c r="A1" t="s">
        <v>0</v>
      </c>
      <c r="B1" s="56">
        <v>0</v>
      </c>
      <c r="C1" s="56">
        <v>1</v>
      </c>
      <c r="D1" s="56">
        <v>2</v>
      </c>
      <c r="E1" s="56">
        <v>3</v>
      </c>
      <c r="F1" s="56">
        <v>4</v>
      </c>
      <c r="G1" s="56">
        <v>5</v>
      </c>
      <c r="H1" s="56">
        <v>6</v>
      </c>
      <c r="I1" s="56">
        <v>7</v>
      </c>
      <c r="J1" s="56">
        <v>8</v>
      </c>
      <c r="K1" s="56">
        <v>9</v>
      </c>
      <c r="L1" s="56">
        <v>10</v>
      </c>
      <c r="M1" s="56">
        <v>11</v>
      </c>
      <c r="N1" s="56">
        <v>12</v>
      </c>
      <c r="O1" s="56">
        <v>13</v>
      </c>
      <c r="Y1" t="s">
        <v>35</v>
      </c>
    </row>
    <row r="2" spans="1:26" s="57" customFormat="1" ht="15" customHeight="1">
      <c r="I2" s="57" t="s">
        <v>41</v>
      </c>
      <c r="M2" s="57" t="s">
        <v>215</v>
      </c>
      <c r="P2" s="101" t="s">
        <v>315</v>
      </c>
      <c r="Q2" s="101"/>
      <c r="R2" s="101"/>
      <c r="S2" s="101"/>
      <c r="T2" s="101"/>
      <c r="U2" s="101"/>
      <c r="V2" s="102"/>
      <c r="W2" s="104"/>
      <c r="X2" s="104"/>
    </row>
    <row r="3" spans="1:26" s="57" customFormat="1" ht="43.2">
      <c r="A3" s="103" t="s">
        <v>15</v>
      </c>
      <c r="B3" s="57" t="s">
        <v>11</v>
      </c>
      <c r="C3" s="57" t="s">
        <v>12</v>
      </c>
      <c r="D3" s="57" t="s">
        <v>33</v>
      </c>
      <c r="E3" s="57" t="s">
        <v>213</v>
      </c>
      <c r="F3" s="57" t="s">
        <v>212</v>
      </c>
      <c r="G3" s="57" t="s">
        <v>6</v>
      </c>
      <c r="H3" s="57" t="s">
        <v>7</v>
      </c>
      <c r="I3" s="57" t="s">
        <v>36</v>
      </c>
      <c r="J3" s="57" t="s">
        <v>37</v>
      </c>
      <c r="K3" s="57" t="s">
        <v>38</v>
      </c>
      <c r="L3" s="57" t="s">
        <v>45</v>
      </c>
      <c r="M3" s="57" t="s">
        <v>36</v>
      </c>
      <c r="N3" s="57" t="s">
        <v>37</v>
      </c>
      <c r="O3" s="57" t="s">
        <v>38</v>
      </c>
      <c r="P3" s="101" t="s">
        <v>298</v>
      </c>
      <c r="Q3" s="101" t="s">
        <v>316</v>
      </c>
      <c r="R3" s="101" t="s">
        <v>317</v>
      </c>
      <c r="S3" s="101" t="s">
        <v>306</v>
      </c>
      <c r="T3" s="101" t="s">
        <v>324</v>
      </c>
      <c r="U3" s="101" t="s">
        <v>325</v>
      </c>
      <c r="V3" s="102" t="s">
        <v>352</v>
      </c>
      <c r="W3" s="104" t="s">
        <v>351</v>
      </c>
      <c r="X3" s="104" t="s">
        <v>361</v>
      </c>
    </row>
    <row r="4" spans="1:26" ht="43.2">
      <c r="B4" t="s">
        <v>14</v>
      </c>
      <c r="C4" t="s">
        <v>14</v>
      </c>
      <c r="D4" t="s">
        <v>14</v>
      </c>
      <c r="E4" t="s">
        <v>14</v>
      </c>
      <c r="F4" t="s">
        <v>14</v>
      </c>
      <c r="H4" t="s">
        <v>22</v>
      </c>
      <c r="I4" t="s">
        <v>21</v>
      </c>
      <c r="L4" t="s">
        <v>42</v>
      </c>
      <c r="M4" t="s">
        <v>218</v>
      </c>
      <c r="P4" t="s">
        <v>318</v>
      </c>
      <c r="Q4" t="s">
        <v>313</v>
      </c>
      <c r="R4" t="s">
        <v>313</v>
      </c>
      <c r="V4" s="102" t="s">
        <v>338</v>
      </c>
      <c r="W4" s="104" t="s">
        <v>338</v>
      </c>
      <c r="X4" s="104" t="s">
        <v>362</v>
      </c>
    </row>
    <row r="5" spans="1:26">
      <c r="A5" t="s">
        <v>20</v>
      </c>
      <c r="B5" s="59">
        <v>60</v>
      </c>
      <c r="C5" s="59">
        <v>4.2</v>
      </c>
      <c r="D5" s="59">
        <v>30.3</v>
      </c>
      <c r="E5" s="59">
        <v>1.2</v>
      </c>
      <c r="F5" s="59">
        <v>95.6</v>
      </c>
      <c r="G5" s="60">
        <f>3412/10459</f>
        <v>0.32622621665551199</v>
      </c>
      <c r="H5" s="61">
        <v>820</v>
      </c>
      <c r="I5" s="62">
        <v>3</v>
      </c>
      <c r="J5" s="62">
        <v>6.5</v>
      </c>
      <c r="K5" s="62">
        <v>10</v>
      </c>
      <c r="L5" s="63">
        <v>2</v>
      </c>
      <c r="M5" s="64">
        <v>59</v>
      </c>
      <c r="N5" s="64">
        <v>65</v>
      </c>
      <c r="O5" s="64">
        <v>105</v>
      </c>
      <c r="P5" s="65">
        <v>10000</v>
      </c>
      <c r="Q5" s="65">
        <v>3</v>
      </c>
      <c r="R5" s="65">
        <v>3</v>
      </c>
      <c r="S5" s="65">
        <v>0</v>
      </c>
      <c r="T5" s="65"/>
      <c r="U5" s="65"/>
      <c r="V5" s="100">
        <v>0.53</v>
      </c>
      <c r="W5" s="96">
        <v>1</v>
      </c>
      <c r="X5" s="134">
        <v>2917</v>
      </c>
      <c r="Y5" s="3" t="s">
        <v>28</v>
      </c>
    </row>
    <row r="6" spans="1:26">
      <c r="A6" t="s">
        <v>518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65">
        <f>P5</f>
        <v>10000</v>
      </c>
      <c r="Q6" s="65">
        <v>4</v>
      </c>
      <c r="R6" s="65">
        <v>3</v>
      </c>
      <c r="S6" s="65">
        <v>0</v>
      </c>
      <c r="T6" s="65"/>
      <c r="U6" s="65"/>
      <c r="V6" s="100"/>
      <c r="W6" s="96">
        <v>1</v>
      </c>
      <c r="X6" s="134"/>
      <c r="Y6" s="5" t="s">
        <v>29</v>
      </c>
    </row>
    <row r="7" spans="1:26">
      <c r="A7" t="s">
        <v>481</v>
      </c>
      <c r="B7" s="59">
        <v>14.3</v>
      </c>
      <c r="C7" s="59">
        <v>1.7</v>
      </c>
      <c r="D7" s="59">
        <v>49.1</v>
      </c>
      <c r="E7" s="59">
        <v>1.2</v>
      </c>
      <c r="F7" s="59">
        <v>66.3</v>
      </c>
      <c r="G7" s="66">
        <v>0.55000000000000004</v>
      </c>
      <c r="H7" s="61">
        <v>490</v>
      </c>
      <c r="I7" s="62">
        <v>1</v>
      </c>
      <c r="J7" s="62">
        <v>2</v>
      </c>
      <c r="K7" s="62">
        <v>4</v>
      </c>
      <c r="L7" s="63">
        <v>5</v>
      </c>
      <c r="M7" s="64">
        <v>35</v>
      </c>
      <c r="N7" s="64">
        <v>55</v>
      </c>
      <c r="O7" s="64">
        <v>79</v>
      </c>
      <c r="P7" s="65">
        <f t="shared" ref="P7:P19" si="0">P6</f>
        <v>10000</v>
      </c>
      <c r="Q7" s="65">
        <v>4</v>
      </c>
      <c r="R7" s="65">
        <v>3</v>
      </c>
      <c r="S7" s="65">
        <v>0</v>
      </c>
      <c r="T7" s="65"/>
      <c r="U7" s="65"/>
      <c r="V7" s="100">
        <v>0.53</v>
      </c>
      <c r="W7" s="96">
        <v>1</v>
      </c>
      <c r="X7" s="134">
        <v>671</v>
      </c>
      <c r="Z7" s="4" t="s">
        <v>30</v>
      </c>
    </row>
    <row r="8" spans="1:26">
      <c r="A8" t="s">
        <v>483</v>
      </c>
      <c r="B8" s="59">
        <v>40.200000000000003</v>
      </c>
      <c r="C8" s="59">
        <v>2.8</v>
      </c>
      <c r="D8" s="59">
        <v>82</v>
      </c>
      <c r="E8" s="59">
        <v>3.4</v>
      </c>
      <c r="F8" s="59">
        <v>128.4</v>
      </c>
      <c r="G8" s="66">
        <v>0.35</v>
      </c>
      <c r="H8" s="67">
        <v>530</v>
      </c>
      <c r="I8" s="62">
        <v>0.5</v>
      </c>
      <c r="J8" s="62">
        <v>0.5</v>
      </c>
      <c r="K8" s="62">
        <v>0.5</v>
      </c>
      <c r="L8" s="63">
        <v>8</v>
      </c>
      <c r="M8" s="64">
        <v>32</v>
      </c>
      <c r="N8" s="64">
        <v>126</v>
      </c>
      <c r="O8" s="64">
        <v>103</v>
      </c>
      <c r="P8" s="65">
        <f t="shared" si="0"/>
        <v>10000</v>
      </c>
      <c r="Q8" s="65">
        <v>4</v>
      </c>
      <c r="R8" s="65">
        <v>3</v>
      </c>
      <c r="S8" s="65">
        <v>0</v>
      </c>
      <c r="T8" s="65"/>
      <c r="U8" s="65"/>
      <c r="V8" s="100">
        <v>1</v>
      </c>
      <c r="W8" s="96">
        <v>1</v>
      </c>
      <c r="X8" s="134">
        <v>968</v>
      </c>
      <c r="Z8" s="6" t="s">
        <v>31</v>
      </c>
    </row>
    <row r="9" spans="1:26">
      <c r="A9" t="s">
        <v>482</v>
      </c>
      <c r="B9" s="59">
        <v>40.200000000000003</v>
      </c>
      <c r="C9" s="59">
        <v>2.8</v>
      </c>
      <c r="D9" s="59">
        <v>82</v>
      </c>
      <c r="E9" s="59">
        <v>3.4</v>
      </c>
      <c r="F9" s="59">
        <v>128.4</v>
      </c>
      <c r="G9" s="66">
        <v>0.35</v>
      </c>
      <c r="H9" s="67">
        <v>530</v>
      </c>
      <c r="I9" s="62">
        <v>0.5</v>
      </c>
      <c r="J9" s="62">
        <v>0.5</v>
      </c>
      <c r="K9" s="62">
        <v>0.5</v>
      </c>
      <c r="L9" s="63">
        <v>8</v>
      </c>
      <c r="M9" s="64">
        <v>32</v>
      </c>
      <c r="N9" s="64">
        <v>126</v>
      </c>
      <c r="O9" s="64">
        <v>103</v>
      </c>
      <c r="P9" s="65">
        <f t="shared" si="0"/>
        <v>10000</v>
      </c>
      <c r="Q9" s="65">
        <v>4</v>
      </c>
      <c r="R9" s="65">
        <v>3</v>
      </c>
      <c r="S9" s="65">
        <v>0</v>
      </c>
      <c r="T9" s="65"/>
      <c r="U9" s="65"/>
      <c r="V9" s="100">
        <v>1</v>
      </c>
      <c r="W9" s="96">
        <v>1</v>
      </c>
      <c r="X9" s="134">
        <v>968</v>
      </c>
      <c r="Z9" s="6"/>
    </row>
    <row r="10" spans="1:26">
      <c r="A10" t="s">
        <v>209</v>
      </c>
      <c r="B10" s="53">
        <v>8</v>
      </c>
      <c r="C10" s="53">
        <v>2</v>
      </c>
      <c r="D10" s="53">
        <v>288</v>
      </c>
      <c r="E10" s="53"/>
      <c r="F10" s="53"/>
      <c r="G10" s="60">
        <f>3412/10713</f>
        <v>0.31849155231961168</v>
      </c>
      <c r="H10" s="68">
        <v>733</v>
      </c>
      <c r="I10" s="53"/>
      <c r="J10" s="53"/>
      <c r="K10" s="53"/>
      <c r="L10" s="53"/>
      <c r="M10" s="53"/>
      <c r="N10" s="53"/>
      <c r="O10" s="53">
        <v>10000000</v>
      </c>
      <c r="P10" s="65">
        <f>P8</f>
        <v>10000</v>
      </c>
      <c r="Q10" s="65"/>
      <c r="R10" s="65"/>
      <c r="S10" s="65">
        <v>0</v>
      </c>
      <c r="T10" s="65"/>
      <c r="U10" s="65"/>
      <c r="V10" s="100">
        <v>0.86</v>
      </c>
      <c r="W10" s="96">
        <v>1</v>
      </c>
      <c r="X10" s="134"/>
    </row>
    <row r="11" spans="1:26">
      <c r="A11" t="s">
        <v>228</v>
      </c>
      <c r="B11" s="53">
        <v>8</v>
      </c>
      <c r="C11" s="53">
        <v>2</v>
      </c>
      <c r="D11" s="53">
        <f>0.6*D10</f>
        <v>172.79999999999998</v>
      </c>
      <c r="E11" s="53"/>
      <c r="F11" s="53"/>
      <c r="G11" s="60">
        <f>3412/10713</f>
        <v>0.31849155231961168</v>
      </c>
      <c r="H11" s="68">
        <v>733</v>
      </c>
      <c r="I11" s="53"/>
      <c r="J11" s="53"/>
      <c r="K11" s="53"/>
      <c r="L11" s="53"/>
      <c r="M11" s="53"/>
      <c r="N11" s="53"/>
      <c r="O11" s="53">
        <v>10000000</v>
      </c>
      <c r="P11" s="65">
        <f t="shared" si="0"/>
        <v>10000</v>
      </c>
      <c r="Q11" s="65"/>
      <c r="R11" s="65"/>
      <c r="S11" s="65">
        <v>0</v>
      </c>
      <c r="T11" s="65"/>
      <c r="U11" s="65"/>
      <c r="V11" s="100">
        <v>0.86</v>
      </c>
      <c r="W11" s="96">
        <v>1</v>
      </c>
      <c r="X11" s="134"/>
    </row>
    <row r="12" spans="1:26">
      <c r="A12" t="s">
        <v>1</v>
      </c>
      <c r="B12" s="59">
        <v>71.400000000000006</v>
      </c>
      <c r="C12" s="59">
        <v>11.8</v>
      </c>
      <c r="D12" s="59">
        <v>11.8</v>
      </c>
      <c r="E12" s="59">
        <v>1.1000000000000001</v>
      </c>
      <c r="F12" s="59">
        <v>96.1</v>
      </c>
      <c r="G12" s="60">
        <f>3412/10449</f>
        <v>0.32653842472963918</v>
      </c>
      <c r="H12" s="61">
        <v>12</v>
      </c>
      <c r="I12" s="69">
        <v>1</v>
      </c>
      <c r="J12" s="53"/>
      <c r="K12" s="69">
        <v>13</v>
      </c>
      <c r="L12" s="63">
        <v>5</v>
      </c>
      <c r="M12" s="53"/>
      <c r="N12" s="53"/>
      <c r="O12" s="53">
        <v>500</v>
      </c>
      <c r="P12" s="65">
        <f t="shared" si="0"/>
        <v>10000</v>
      </c>
      <c r="Q12" s="65">
        <v>10</v>
      </c>
      <c r="R12" s="65">
        <v>3</v>
      </c>
      <c r="S12" s="65">
        <v>0</v>
      </c>
      <c r="T12" s="65"/>
      <c r="U12" s="65"/>
      <c r="V12" s="100">
        <v>0.2</v>
      </c>
      <c r="W12" s="96">
        <v>1</v>
      </c>
      <c r="X12" s="134">
        <v>5366</v>
      </c>
      <c r="Y12" s="8" t="s">
        <v>32</v>
      </c>
    </row>
    <row r="13" spans="1:26">
      <c r="A13" t="s">
        <v>2</v>
      </c>
      <c r="B13" s="59">
        <v>72</v>
      </c>
      <c r="C13" s="59">
        <v>4.0999999999999996</v>
      </c>
      <c r="D13" s="59">
        <v>6.4</v>
      </c>
      <c r="E13" s="59">
        <v>2</v>
      </c>
      <c r="F13" s="59">
        <v>84.5</v>
      </c>
      <c r="G13" s="70">
        <v>0.9</v>
      </c>
      <c r="H13" s="61">
        <v>24</v>
      </c>
      <c r="I13" s="53"/>
      <c r="P13" s="65">
        <f t="shared" si="0"/>
        <v>10000</v>
      </c>
      <c r="V13" s="100">
        <v>0.66</v>
      </c>
      <c r="W13" s="96">
        <v>1</v>
      </c>
      <c r="X13" s="134">
        <v>2651</v>
      </c>
      <c r="Y13" s="7" t="s">
        <v>34</v>
      </c>
    </row>
    <row r="14" spans="1:26">
      <c r="A14" t="s">
        <v>519</v>
      </c>
      <c r="B14" s="59">
        <v>72</v>
      </c>
      <c r="C14" s="59">
        <v>4.0999999999999996</v>
      </c>
      <c r="D14" s="59">
        <v>6.4</v>
      </c>
      <c r="E14" s="59">
        <v>2</v>
      </c>
      <c r="F14" s="59">
        <v>84.5</v>
      </c>
      <c r="G14" s="70">
        <v>0.9</v>
      </c>
      <c r="H14" s="61">
        <v>24</v>
      </c>
      <c r="I14" s="53"/>
      <c r="P14" s="65">
        <f t="shared" si="0"/>
        <v>10000</v>
      </c>
      <c r="V14" s="100">
        <v>0.66</v>
      </c>
      <c r="W14" s="96">
        <v>1</v>
      </c>
      <c r="X14" s="134">
        <v>2651</v>
      </c>
      <c r="Y14" s="7"/>
    </row>
    <row r="15" spans="1:26">
      <c r="A15" t="s">
        <v>520</v>
      </c>
      <c r="B15" s="59">
        <v>72</v>
      </c>
      <c r="C15" s="59">
        <v>4.0999999999999996</v>
      </c>
      <c r="D15" s="59">
        <v>6.4</v>
      </c>
      <c r="E15" s="59">
        <v>2</v>
      </c>
      <c r="F15" s="59">
        <v>84.5</v>
      </c>
      <c r="G15" s="70">
        <v>0.9</v>
      </c>
      <c r="H15" s="61">
        <v>24</v>
      </c>
      <c r="I15" s="53"/>
      <c r="P15" s="65">
        <f t="shared" si="0"/>
        <v>10000</v>
      </c>
      <c r="V15" s="100">
        <v>0.66</v>
      </c>
      <c r="W15" s="96">
        <v>1</v>
      </c>
      <c r="X15" s="134">
        <v>2651</v>
      </c>
      <c r="Y15" s="7"/>
    </row>
    <row r="16" spans="1:26">
      <c r="A16" t="s">
        <v>521</v>
      </c>
      <c r="B16" s="59">
        <v>72</v>
      </c>
      <c r="C16" s="59">
        <v>4.0999999999999996</v>
      </c>
      <c r="D16" s="59">
        <v>6.4</v>
      </c>
      <c r="E16" s="59">
        <v>2</v>
      </c>
      <c r="F16" s="59">
        <v>84.5</v>
      </c>
      <c r="G16" s="70">
        <v>0.9</v>
      </c>
      <c r="H16" s="61">
        <v>24</v>
      </c>
      <c r="I16" s="53"/>
      <c r="P16" s="65">
        <f t="shared" si="0"/>
        <v>10000</v>
      </c>
      <c r="V16" s="100">
        <v>0.66</v>
      </c>
      <c r="W16" s="96">
        <v>1</v>
      </c>
      <c r="X16" s="134">
        <v>2651</v>
      </c>
      <c r="Y16" s="7"/>
    </row>
    <row r="17" spans="1:25">
      <c r="A17" t="s">
        <v>9</v>
      </c>
      <c r="B17" s="59">
        <v>34.200000000000003</v>
      </c>
      <c r="C17" s="59">
        <v>12.2</v>
      </c>
      <c r="D17" s="59">
        <v>0</v>
      </c>
      <c r="E17" s="59">
        <v>1.4</v>
      </c>
      <c r="F17" s="59">
        <v>47.9</v>
      </c>
      <c r="G17" s="70">
        <v>0.16</v>
      </c>
      <c r="H17" s="61">
        <v>38</v>
      </c>
      <c r="I17" s="53"/>
      <c r="P17" s="65">
        <f>P13</f>
        <v>10000</v>
      </c>
      <c r="V17" s="100">
        <v>0.32</v>
      </c>
      <c r="W17" s="96">
        <v>1</v>
      </c>
      <c r="X17" s="134">
        <v>2448</v>
      </c>
      <c r="Y17" s="9" t="s">
        <v>39</v>
      </c>
    </row>
    <row r="18" spans="1:25">
      <c r="A18" t="s">
        <v>10</v>
      </c>
      <c r="B18" s="59">
        <v>47.4</v>
      </c>
      <c r="C18" s="59">
        <v>14.5</v>
      </c>
      <c r="D18" s="59">
        <v>39.5</v>
      </c>
      <c r="E18" s="59">
        <v>1.2</v>
      </c>
      <c r="F18" s="59">
        <v>102.6</v>
      </c>
      <c r="G18" s="71">
        <v>0.23</v>
      </c>
      <c r="H18" s="61">
        <v>230</v>
      </c>
      <c r="I18" s="53"/>
      <c r="P18" s="65">
        <f t="shared" si="0"/>
        <v>10000</v>
      </c>
      <c r="V18" s="100">
        <v>0.53</v>
      </c>
      <c r="W18" s="96">
        <v>1</v>
      </c>
      <c r="X18" s="134">
        <v>3659</v>
      </c>
      <c r="Y18" s="10" t="s">
        <v>40</v>
      </c>
    </row>
    <row r="19" spans="1:25" ht="15" customHeight="1">
      <c r="A19" t="s">
        <v>522</v>
      </c>
      <c r="B19" s="59">
        <v>47.4</v>
      </c>
      <c r="C19" s="59">
        <v>14.5</v>
      </c>
      <c r="D19" s="59">
        <v>39.5</v>
      </c>
      <c r="E19" s="59">
        <v>1.2</v>
      </c>
      <c r="F19" s="59">
        <v>102.6</v>
      </c>
      <c r="G19" s="71">
        <v>0.23</v>
      </c>
      <c r="H19" s="61">
        <v>230</v>
      </c>
      <c r="I19" s="53"/>
      <c r="P19" s="65">
        <f t="shared" si="0"/>
        <v>10000</v>
      </c>
      <c r="V19" s="100">
        <v>0.53</v>
      </c>
      <c r="W19" s="96">
        <v>1</v>
      </c>
      <c r="X19" s="134">
        <v>3659</v>
      </c>
      <c r="Y19" s="11" t="s">
        <v>43</v>
      </c>
    </row>
    <row r="20" spans="1:25">
      <c r="A20" s="2" t="s">
        <v>3</v>
      </c>
      <c r="B20" s="42" t="s">
        <v>11</v>
      </c>
      <c r="C20" t="s">
        <v>12</v>
      </c>
      <c r="D20" s="42" t="s">
        <v>33</v>
      </c>
      <c r="E20" s="42" t="s">
        <v>213</v>
      </c>
      <c r="F20" s="42" t="s">
        <v>212</v>
      </c>
      <c r="G20" t="s">
        <v>6</v>
      </c>
      <c r="W20" s="5"/>
      <c r="X20" s="134"/>
      <c r="Y20" s="13" t="s">
        <v>217</v>
      </c>
    </row>
    <row r="21" spans="1:25"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23</v>
      </c>
      <c r="W21" s="5"/>
      <c r="X21" s="134"/>
      <c r="Y21" s="41" t="s">
        <v>216</v>
      </c>
    </row>
    <row r="22" spans="1:25">
      <c r="A22" t="s">
        <v>4</v>
      </c>
      <c r="B22" s="3">
        <v>64.099999999999994</v>
      </c>
      <c r="C22" s="3">
        <v>13</v>
      </c>
      <c r="D22" s="3">
        <v>0</v>
      </c>
      <c r="E22" s="3">
        <v>3.2</v>
      </c>
      <c r="F22" s="3">
        <v>80.3</v>
      </c>
      <c r="L22" t="b">
        <f>ISBLANK(L6)</f>
        <v>1</v>
      </c>
      <c r="V22" s="96"/>
      <c r="W22" s="105">
        <v>0.2</v>
      </c>
      <c r="X22" s="134">
        <v>19.8</v>
      </c>
    </row>
    <row r="23" spans="1:25">
      <c r="A23" t="s">
        <v>13</v>
      </c>
      <c r="B23" s="3">
        <v>175.4</v>
      </c>
      <c r="C23" s="3">
        <v>22.8</v>
      </c>
      <c r="D23" s="3">
        <v>0</v>
      </c>
      <c r="E23" s="3">
        <v>5.8</v>
      </c>
      <c r="F23" s="3">
        <v>204.1</v>
      </c>
      <c r="V23" s="96"/>
      <c r="W23" s="100"/>
      <c r="X23" s="134">
        <v>6154</v>
      </c>
      <c r="Y23" s="40" t="s">
        <v>214</v>
      </c>
    </row>
    <row r="24" spans="1:25">
      <c r="A24" t="s">
        <v>16</v>
      </c>
      <c r="B24" s="3">
        <v>114.5</v>
      </c>
      <c r="C24" s="3">
        <v>11.4</v>
      </c>
      <c r="D24" s="3">
        <v>0</v>
      </c>
      <c r="E24" s="3">
        <v>4.0999999999999996</v>
      </c>
      <c r="F24" s="3">
        <v>130</v>
      </c>
      <c r="V24" s="96"/>
      <c r="W24" s="105">
        <v>0.6</v>
      </c>
      <c r="X24" s="134">
        <v>3279</v>
      </c>
      <c r="Y24" t="s">
        <v>221</v>
      </c>
    </row>
    <row r="25" spans="1:25">
      <c r="A25" t="s">
        <v>17</v>
      </c>
      <c r="B25" s="3">
        <v>195</v>
      </c>
      <c r="C25" s="3">
        <v>42.1</v>
      </c>
      <c r="D25" s="3">
        <v>0</v>
      </c>
      <c r="E25" s="39">
        <v>6</v>
      </c>
      <c r="F25" s="3">
        <v>243.1</v>
      </c>
      <c r="V25" s="96"/>
      <c r="W25" s="100"/>
      <c r="X25" s="134">
        <v>4052</v>
      </c>
    </row>
    <row r="26" spans="1:25">
      <c r="V26" s="53"/>
      <c r="W26" s="96"/>
      <c r="X26" s="133"/>
      <c r="Y26" t="s">
        <v>253</v>
      </c>
    </row>
    <row r="27" spans="1:25">
      <c r="A27" s="2" t="s">
        <v>5</v>
      </c>
      <c r="V27" s="53"/>
      <c r="W27" s="5"/>
      <c r="X27" s="5"/>
      <c r="Y27" t="s">
        <v>254</v>
      </c>
    </row>
    <row r="28" spans="1:25">
      <c r="V28" s="53"/>
      <c r="W28" s="5"/>
      <c r="X28" s="5"/>
      <c r="Y28" s="14" t="s">
        <v>252</v>
      </c>
    </row>
    <row r="29" spans="1:25">
      <c r="A29" s="43" t="s">
        <v>8</v>
      </c>
      <c r="B29" t="s">
        <v>237</v>
      </c>
      <c r="C29" t="s">
        <v>238</v>
      </c>
      <c r="D29" t="s">
        <v>239</v>
      </c>
      <c r="E29" t="s">
        <v>6</v>
      </c>
      <c r="F29" t="s">
        <v>244</v>
      </c>
      <c r="H29" t="s">
        <v>245</v>
      </c>
      <c r="J29" t="s">
        <v>92</v>
      </c>
      <c r="K29" t="s">
        <v>246</v>
      </c>
      <c r="V29" s="53"/>
      <c r="W29" s="5"/>
      <c r="X29" s="5"/>
    </row>
    <row r="30" spans="1:25">
      <c r="B30" t="s">
        <v>241</v>
      </c>
      <c r="C30" t="s">
        <v>250</v>
      </c>
      <c r="D30" t="s">
        <v>240</v>
      </c>
      <c r="E30" t="s">
        <v>44</v>
      </c>
      <c r="F30" t="s">
        <v>242</v>
      </c>
      <c r="G30" t="s">
        <v>243</v>
      </c>
      <c r="H30" t="s">
        <v>242</v>
      </c>
      <c r="I30" t="s">
        <v>243</v>
      </c>
      <c r="J30" t="s">
        <v>247</v>
      </c>
      <c r="K30" t="s">
        <v>247</v>
      </c>
      <c r="V30" s="53"/>
      <c r="W30" s="5"/>
      <c r="X30" s="132"/>
      <c r="Y30" s="44" t="s">
        <v>248</v>
      </c>
    </row>
    <row r="31" spans="1:25">
      <c r="A31" t="s">
        <v>225</v>
      </c>
      <c r="B31" s="44">
        <f>AVERAGE(1000, 4000)</f>
        <v>2500</v>
      </c>
      <c r="C31" s="44">
        <f>AVERAGE(100, 250)</f>
        <v>175</v>
      </c>
      <c r="D31" s="44">
        <v>5</v>
      </c>
      <c r="E31" s="45">
        <v>0.85</v>
      </c>
      <c r="F31" s="44">
        <v>200</v>
      </c>
      <c r="G31" s="46">
        <v>5000</v>
      </c>
      <c r="J31" s="44">
        <f>AVERAGE(5000, 4000000)</f>
        <v>2002500</v>
      </c>
      <c r="K31" s="44">
        <f>AVERAGE(5000, 4000000)</f>
        <v>2002500</v>
      </c>
      <c r="V31" s="100">
        <v>1</v>
      </c>
      <c r="W31" s="123">
        <v>0.5</v>
      </c>
      <c r="X31" s="136">
        <v>1000</v>
      </c>
      <c r="Y31" s="46" t="s">
        <v>249</v>
      </c>
    </row>
    <row r="32" spans="1:25">
      <c r="A32" t="s">
        <v>226</v>
      </c>
      <c r="B32" s="44">
        <f>AVERAGE(800, 1000)</f>
        <v>900</v>
      </c>
      <c r="C32" s="44">
        <f>AVERAGE(50, 150)</f>
        <v>100</v>
      </c>
      <c r="D32" s="44">
        <v>5</v>
      </c>
      <c r="E32" s="45">
        <v>0.6</v>
      </c>
      <c r="F32" s="46">
        <v>3</v>
      </c>
      <c r="G32" s="46">
        <v>400</v>
      </c>
      <c r="J32" s="44">
        <f>AVERAGE(50000, 300000)</f>
        <v>175000</v>
      </c>
      <c r="K32" s="44">
        <f>AVERAGE(100000, 500000)</f>
        <v>300000</v>
      </c>
      <c r="V32" s="100">
        <v>1</v>
      </c>
      <c r="W32" s="123">
        <v>0.5</v>
      </c>
      <c r="X32" s="136">
        <v>650</v>
      </c>
      <c r="Y32" s="48" t="s">
        <v>251</v>
      </c>
    </row>
    <row r="33" spans="1:25">
      <c r="A33" t="s">
        <v>229</v>
      </c>
      <c r="B33" s="44">
        <f>AVERAGE(2000, 4000)</f>
        <v>3000</v>
      </c>
      <c r="C33" s="44">
        <f>AVERAGE(1500, 3000)</f>
        <v>2250</v>
      </c>
      <c r="D33" s="44">
        <v>15</v>
      </c>
      <c r="E33" s="45">
        <v>0.95</v>
      </c>
      <c r="F33" s="44">
        <v>0.1</v>
      </c>
      <c r="G33" s="44">
        <v>200</v>
      </c>
      <c r="H33" s="44">
        <v>1</v>
      </c>
      <c r="I33" s="44">
        <v>25</v>
      </c>
      <c r="J33" s="44">
        <f>AVERAGE(100, 300)</f>
        <v>200</v>
      </c>
      <c r="K33" s="44">
        <f>AVERAGE(100, 300)</f>
        <v>200</v>
      </c>
      <c r="V33" s="53"/>
      <c r="W33" s="5"/>
      <c r="X33" s="136"/>
      <c r="Y33" s="99" t="s">
        <v>337</v>
      </c>
    </row>
    <row r="34" spans="1:25">
      <c r="A34" t="s">
        <v>227</v>
      </c>
      <c r="E34" s="12"/>
      <c r="V34" s="100">
        <v>1</v>
      </c>
      <c r="W34" s="123">
        <v>0.5</v>
      </c>
      <c r="X34" s="136">
        <v>1500</v>
      </c>
      <c r="Y34" s="135" t="s">
        <v>363</v>
      </c>
    </row>
    <row r="35" spans="1:25">
      <c r="A35" t="s">
        <v>275</v>
      </c>
      <c r="B35" s="44">
        <f>AVERAGE(300, 800)</f>
        <v>550</v>
      </c>
      <c r="C35" s="44">
        <f>AVERAGE(150, 500)</f>
        <v>325</v>
      </c>
      <c r="D35" s="44">
        <v>30</v>
      </c>
      <c r="E35" s="45">
        <v>0.9</v>
      </c>
      <c r="F35" s="44">
        <v>0</v>
      </c>
      <c r="G35" s="44">
        <v>10</v>
      </c>
      <c r="H35" s="44">
        <v>0.5</v>
      </c>
      <c r="I35" s="44">
        <v>10</v>
      </c>
      <c r="J35" s="44">
        <f>AVERAGE(0.1, 1.5)</f>
        <v>0.8</v>
      </c>
      <c r="K35" s="44">
        <f>AVERAGE(0.5, 2)</f>
        <v>1.25</v>
      </c>
      <c r="W35" s="5"/>
      <c r="X35" s="132"/>
      <c r="Y35" s="44" t="s">
        <v>364</v>
      </c>
    </row>
    <row r="36" spans="1:25">
      <c r="A36" t="s">
        <v>276</v>
      </c>
      <c r="B36" s="46">
        <f>AVERAGE(500, 1500)</f>
        <v>1000</v>
      </c>
      <c r="C36" s="46">
        <f>AVERAGE(800, 1500)</f>
        <v>1150</v>
      </c>
      <c r="E36" s="47">
        <v>0.65</v>
      </c>
      <c r="F36" s="46">
        <v>0</v>
      </c>
      <c r="G36" s="46">
        <v>40</v>
      </c>
    </row>
    <row r="37" spans="1:25">
      <c r="A37" t="s">
        <v>277</v>
      </c>
      <c r="B37" s="44">
        <f>AVERAGE(1000, 2000)</f>
        <v>1500</v>
      </c>
      <c r="C37" s="44">
        <f>AVERAGE(125, 250)</f>
        <v>187.5</v>
      </c>
      <c r="D37" s="44">
        <v>15</v>
      </c>
      <c r="E37" s="45">
        <v>0.9</v>
      </c>
      <c r="F37" s="46">
        <v>0.05</v>
      </c>
      <c r="G37" s="46">
        <v>8</v>
      </c>
      <c r="I37" s="5"/>
      <c r="J37" s="44">
        <v>50</v>
      </c>
      <c r="K37" s="44">
        <v>50</v>
      </c>
    </row>
    <row r="38" spans="1:25">
      <c r="A38" t="s">
        <v>278</v>
      </c>
      <c r="B38" s="44">
        <f>AVERAGE(400, 1000)</f>
        <v>700</v>
      </c>
      <c r="C38" s="44">
        <f>AVERAGE(500, 1500)</f>
        <v>1000</v>
      </c>
      <c r="D38" s="44">
        <v>25</v>
      </c>
      <c r="E38" s="45">
        <v>0.95</v>
      </c>
      <c r="F38" s="44">
        <v>0</v>
      </c>
      <c r="G38" s="44">
        <v>10</v>
      </c>
      <c r="H38" s="44">
        <v>0.5</v>
      </c>
      <c r="I38" s="44">
        <v>10</v>
      </c>
      <c r="J38" s="44">
        <f>AVERAGE(0.2, 2)</f>
        <v>1.1000000000000001</v>
      </c>
      <c r="K38" s="44">
        <f>AVERAGE(0.5, 10)</f>
        <v>5.25</v>
      </c>
    </row>
    <row r="39" spans="1:25">
      <c r="A39" t="s">
        <v>232</v>
      </c>
      <c r="B39" s="48">
        <f>AVERAGE(1000, 4000)</f>
        <v>2500</v>
      </c>
      <c r="C39" s="48">
        <f>AVERAGE(350, 800)</f>
        <v>575</v>
      </c>
      <c r="E39" s="49">
        <v>0.85</v>
      </c>
      <c r="F39">
        <v>0.05</v>
      </c>
      <c r="G39">
        <v>10</v>
      </c>
      <c r="H39">
        <v>20</v>
      </c>
      <c r="I39">
        <v>50</v>
      </c>
    </row>
    <row r="40" spans="1:25">
      <c r="A40" t="s">
        <v>230</v>
      </c>
      <c r="B40" s="46">
        <f>AVERAGE(500, 1500)</f>
        <v>1000</v>
      </c>
      <c r="C40" s="46">
        <f>AVERAGE(10, 20)</f>
        <v>15</v>
      </c>
      <c r="E40" s="47">
        <v>0.5</v>
      </c>
      <c r="F40" s="44">
        <v>0.1</v>
      </c>
      <c r="G40" s="44">
        <v>10</v>
      </c>
      <c r="J40" s="44">
        <f>AVERAGE(0.01, 5)</f>
        <v>2.5049999999999999</v>
      </c>
    </row>
    <row r="41" spans="1:25">
      <c r="A41" t="s">
        <v>234</v>
      </c>
      <c r="B41" s="44">
        <f>AVERAGE(1200, 2000)</f>
        <v>1600</v>
      </c>
      <c r="C41" s="44">
        <f>AVERAGE(350, 800)</f>
        <v>575</v>
      </c>
      <c r="D41" s="44">
        <v>30</v>
      </c>
      <c r="E41" s="45">
        <v>0.85</v>
      </c>
      <c r="F41" s="44">
        <v>2.5000000000000001E-2</v>
      </c>
      <c r="G41" s="44">
        <v>10</v>
      </c>
      <c r="H41" s="44">
        <v>20</v>
      </c>
      <c r="I41" s="44">
        <v>50</v>
      </c>
      <c r="J41" s="44">
        <f>AVERAGE(5, 20)</f>
        <v>12.5</v>
      </c>
      <c r="K41" s="44">
        <f>AVERAGE(5, 25)</f>
        <v>15</v>
      </c>
    </row>
    <row r="42" spans="1:25">
      <c r="A42" t="s">
        <v>235</v>
      </c>
      <c r="B42" s="46">
        <v>400</v>
      </c>
      <c r="C42" s="46">
        <v>1000</v>
      </c>
      <c r="E42" s="47">
        <v>0.65</v>
      </c>
      <c r="F42">
        <v>0</v>
      </c>
      <c r="G42" s="46">
        <v>0.05</v>
      </c>
    </row>
    <row r="43" spans="1:25">
      <c r="A43" t="s">
        <v>236</v>
      </c>
      <c r="B43" s="46">
        <v>300</v>
      </c>
      <c r="C43" s="46">
        <v>2000</v>
      </c>
      <c r="E43" s="47">
        <v>0.95</v>
      </c>
      <c r="F43" s="5">
        <v>0</v>
      </c>
      <c r="G43" s="46">
        <v>0.3</v>
      </c>
    </row>
    <row r="44" spans="1:25">
      <c r="A44" t="s">
        <v>233</v>
      </c>
      <c r="B44" s="46">
        <v>300</v>
      </c>
      <c r="C44" s="46">
        <v>10000</v>
      </c>
      <c r="E44" s="49">
        <v>0.95</v>
      </c>
      <c r="F44" s="46">
        <v>0.1</v>
      </c>
      <c r="G44" s="46">
        <v>10</v>
      </c>
    </row>
    <row r="45" spans="1:25">
      <c r="A45" t="s">
        <v>231</v>
      </c>
      <c r="B45" s="46">
        <f>AVERAGE(200, 300)</f>
        <v>250</v>
      </c>
      <c r="C45" s="46">
        <f>AVERAGE(3, 50)</f>
        <v>26.5</v>
      </c>
      <c r="E45" s="47">
        <v>0.6</v>
      </c>
      <c r="F45" s="46">
        <v>0</v>
      </c>
      <c r="G45" s="46">
        <v>300</v>
      </c>
    </row>
    <row r="46" spans="1:25">
      <c r="B46" s="46"/>
      <c r="C46" s="46"/>
      <c r="E46" s="47"/>
      <c r="F46" s="46"/>
      <c r="G46" s="46"/>
    </row>
    <row r="47" spans="1:25">
      <c r="A47" s="43" t="s">
        <v>81</v>
      </c>
      <c r="B47" s="46"/>
      <c r="C47" s="46"/>
      <c r="E47" s="47"/>
      <c r="F47" s="46"/>
      <c r="G47" s="46"/>
    </row>
    <row r="48" spans="1:25">
      <c r="A48" s="124" t="s">
        <v>281</v>
      </c>
      <c r="B48" s="46"/>
      <c r="C48" s="46"/>
      <c r="E48" s="47">
        <v>0.9</v>
      </c>
      <c r="F48" s="46"/>
      <c r="G48" s="46"/>
      <c r="V48">
        <v>1</v>
      </c>
      <c r="W48" s="125">
        <v>0.5</v>
      </c>
      <c r="X48" s="125"/>
    </row>
    <row r="50" spans="1:25">
      <c r="A50" s="43" t="s">
        <v>144</v>
      </c>
    </row>
    <row r="51" spans="1:25">
      <c r="F51" t="s">
        <v>200</v>
      </c>
      <c r="G51" s="22" t="s">
        <v>184</v>
      </c>
      <c r="H51" s="22" t="s">
        <v>164</v>
      </c>
      <c r="I51" s="23" t="s">
        <v>186</v>
      </c>
      <c r="J51" s="22"/>
      <c r="K51" s="22"/>
      <c r="Y51" t="s">
        <v>179</v>
      </c>
    </row>
    <row r="52" spans="1:25" ht="15" thickBot="1">
      <c r="A52" t="s">
        <v>145</v>
      </c>
      <c r="D52" t="s">
        <v>149</v>
      </c>
      <c r="G52" s="22"/>
      <c r="H52" s="22"/>
      <c r="I52" s="22"/>
      <c r="J52" s="22"/>
      <c r="K52" s="22"/>
    </row>
    <row r="53" spans="1:25">
      <c r="A53" t="s">
        <v>146</v>
      </c>
      <c r="D53" t="s">
        <v>150</v>
      </c>
      <c r="F53" s="21" t="s">
        <v>162</v>
      </c>
      <c r="G53" s="23" t="s">
        <v>165</v>
      </c>
      <c r="H53" s="23" t="s">
        <v>166</v>
      </c>
      <c r="I53" s="23" t="s">
        <v>188</v>
      </c>
      <c r="J53" s="24" t="s">
        <v>192</v>
      </c>
      <c r="K53" s="25" t="s">
        <v>197</v>
      </c>
    </row>
    <row r="54" spans="1:25" ht="15" thickBot="1">
      <c r="D54" t="s">
        <v>151</v>
      </c>
      <c r="F54" s="21" t="s">
        <v>167</v>
      </c>
      <c r="G54" s="23" t="s">
        <v>168</v>
      </c>
      <c r="H54" s="23" t="s">
        <v>169</v>
      </c>
      <c r="I54" s="23" t="s">
        <v>405</v>
      </c>
      <c r="J54" s="26" t="s">
        <v>193</v>
      </c>
      <c r="K54" s="25" t="s">
        <v>198</v>
      </c>
    </row>
    <row r="55" spans="1:25" ht="15" thickBot="1">
      <c r="A55" t="s">
        <v>147</v>
      </c>
      <c r="D55" t="s">
        <v>152</v>
      </c>
      <c r="F55" s="21"/>
      <c r="G55" s="23"/>
      <c r="H55" s="23"/>
      <c r="I55" s="22"/>
      <c r="J55" s="22"/>
      <c r="K55" s="22"/>
    </row>
    <row r="56" spans="1:25">
      <c r="A56" t="s">
        <v>148</v>
      </c>
      <c r="D56" t="s">
        <v>150</v>
      </c>
      <c r="F56" s="21" t="s">
        <v>170</v>
      </c>
      <c r="G56" s="23" t="s">
        <v>171</v>
      </c>
      <c r="H56" s="23" t="s">
        <v>172</v>
      </c>
      <c r="I56" s="23" t="s">
        <v>189</v>
      </c>
      <c r="J56" s="24" t="s">
        <v>194</v>
      </c>
      <c r="K56" s="22"/>
    </row>
    <row r="57" spans="1:25" ht="15" thickBot="1">
      <c r="D57" t="s">
        <v>151</v>
      </c>
      <c r="F57" s="21" t="s">
        <v>173</v>
      </c>
      <c r="G57" s="23" t="s">
        <v>174</v>
      </c>
      <c r="H57" s="23" t="s">
        <v>175</v>
      </c>
      <c r="I57" s="23" t="s">
        <v>190</v>
      </c>
      <c r="J57" s="26" t="s">
        <v>195</v>
      </c>
      <c r="K57" s="22"/>
    </row>
    <row r="58" spans="1:25">
      <c r="A58" t="s">
        <v>161</v>
      </c>
      <c r="D58" t="s">
        <v>153</v>
      </c>
      <c r="F58" s="21" t="s">
        <v>176</v>
      </c>
      <c r="G58" s="23" t="s">
        <v>177</v>
      </c>
      <c r="H58" s="23" t="s">
        <v>172</v>
      </c>
      <c r="I58" s="23" t="s">
        <v>191</v>
      </c>
      <c r="J58" s="22"/>
      <c r="K58" s="23" t="s">
        <v>199</v>
      </c>
    </row>
    <row r="59" spans="1:25" ht="15" thickBot="1">
      <c r="F59" s="21"/>
      <c r="G59" s="23"/>
      <c r="H59" s="23"/>
      <c r="I59" s="22"/>
      <c r="J59" s="22"/>
      <c r="K59" s="22"/>
    </row>
    <row r="60" spans="1:25">
      <c r="A60" t="s">
        <v>183</v>
      </c>
      <c r="D60" t="s">
        <v>154</v>
      </c>
      <c r="F60" t="s">
        <v>163</v>
      </c>
      <c r="G60" s="23" t="s">
        <v>178</v>
      </c>
      <c r="H60" s="23" t="s">
        <v>186</v>
      </c>
      <c r="I60" s="27" t="s">
        <v>185</v>
      </c>
      <c r="J60" s="22"/>
      <c r="K60" s="22" t="s">
        <v>196</v>
      </c>
    </row>
    <row r="61" spans="1:25" ht="15" thickBot="1">
      <c r="A61" t="s">
        <v>180</v>
      </c>
      <c r="D61" t="s">
        <v>155</v>
      </c>
      <c r="F61" s="20">
        <v>100</v>
      </c>
      <c r="G61" s="28">
        <v>10</v>
      </c>
      <c r="H61" s="29">
        <f>F61%*G61%</f>
        <v>0.1</v>
      </c>
      <c r="I61" s="30">
        <f>AVERAGE(H61:H63)</f>
        <v>0.06</v>
      </c>
      <c r="J61" s="22"/>
      <c r="K61" s="22"/>
    </row>
    <row r="62" spans="1:25">
      <c r="A62" t="s">
        <v>181</v>
      </c>
      <c r="D62" t="s">
        <v>156</v>
      </c>
      <c r="F62" s="20">
        <v>3</v>
      </c>
      <c r="G62" s="28">
        <v>100</v>
      </c>
      <c r="H62" s="29">
        <f>F62%*G62%</f>
        <v>0.03</v>
      </c>
      <c r="I62" s="22"/>
      <c r="J62" s="23"/>
      <c r="K62" s="22"/>
    </row>
    <row r="63" spans="1:25">
      <c r="A63" t="s">
        <v>182</v>
      </c>
      <c r="D63" t="s">
        <v>157</v>
      </c>
      <c r="F63" s="20">
        <v>5</v>
      </c>
      <c r="G63" s="28">
        <v>100</v>
      </c>
      <c r="H63" s="29">
        <f>F63%*G63%</f>
        <v>0.05</v>
      </c>
      <c r="I63" s="22"/>
      <c r="J63" s="22"/>
      <c r="K63" s="22"/>
    </row>
    <row r="64" spans="1:25" ht="15" thickBot="1">
      <c r="A64" t="s">
        <v>187</v>
      </c>
      <c r="D64" t="s">
        <v>158</v>
      </c>
      <c r="F64" s="21"/>
      <c r="G64" s="23"/>
      <c r="H64" s="29"/>
      <c r="I64" s="22"/>
      <c r="J64" s="22"/>
      <c r="K64" s="22"/>
    </row>
    <row r="65" spans="1:25" ht="15" thickBot="1">
      <c r="D65" t="s">
        <v>159</v>
      </c>
      <c r="F65" s="20">
        <v>5</v>
      </c>
      <c r="G65" s="28">
        <v>25</v>
      </c>
      <c r="H65" s="31">
        <f>F65%*G65%</f>
        <v>1.2500000000000001E-2</v>
      </c>
      <c r="I65" s="22"/>
      <c r="J65" s="22"/>
      <c r="K65" s="22"/>
    </row>
    <row r="66" spans="1:25">
      <c r="D66" t="s">
        <v>160</v>
      </c>
      <c r="F66" s="20">
        <v>5</v>
      </c>
      <c r="G66" s="28">
        <v>25</v>
      </c>
      <c r="H66" s="32">
        <f>F66%*G66%</f>
        <v>1.2500000000000001E-2</v>
      </c>
      <c r="I66" s="22"/>
      <c r="J66" s="22"/>
      <c r="K66" s="22"/>
    </row>
    <row r="68" spans="1:25">
      <c r="A68" s="43" t="s">
        <v>24</v>
      </c>
    </row>
    <row r="69" spans="1:25">
      <c r="B69" t="s">
        <v>48</v>
      </c>
    </row>
    <row r="70" spans="1:25">
      <c r="A70" t="s">
        <v>47</v>
      </c>
      <c r="B70" s="14">
        <v>8.9999999999999993E-3</v>
      </c>
      <c r="Y70" s="14" t="s">
        <v>50</v>
      </c>
    </row>
    <row r="72" spans="1:25">
      <c r="C72" t="s">
        <v>57</v>
      </c>
    </row>
    <row r="73" spans="1:25">
      <c r="A73" t="s">
        <v>46</v>
      </c>
      <c r="B73" t="s">
        <v>49</v>
      </c>
      <c r="C73" t="s">
        <v>59</v>
      </c>
    </row>
    <row r="74" spans="1:25">
      <c r="A74" t="s">
        <v>394</v>
      </c>
      <c r="B74" s="145">
        <f>B76</f>
        <v>596331.41536281956</v>
      </c>
      <c r="Y74" s="16" t="s">
        <v>58</v>
      </c>
    </row>
    <row r="75" spans="1:25">
      <c r="A75" t="s">
        <v>393</v>
      </c>
      <c r="B75" s="145">
        <f>B77</f>
        <v>954677.07258876308</v>
      </c>
    </row>
    <row r="76" spans="1:25">
      <c r="A76" t="s">
        <v>51</v>
      </c>
      <c r="B76" s="15">
        <f>959700/1.60934</f>
        <v>596331.41536281956</v>
      </c>
    </row>
    <row r="77" spans="1:25">
      <c r="A77" t="s">
        <v>52</v>
      </c>
      <c r="B77" s="15">
        <f>1536400/1.60934</f>
        <v>954677.07258876308</v>
      </c>
    </row>
    <row r="78" spans="1:25">
      <c r="A78" t="s">
        <v>53</v>
      </c>
      <c r="B78" s="15">
        <f>1919450/1.60934</f>
        <v>1192693.8993624717</v>
      </c>
    </row>
    <row r="79" spans="1:25">
      <c r="A79" t="s">
        <v>54</v>
      </c>
      <c r="B79" s="15">
        <f>3071750/1.60934</f>
        <v>1908701.7038040438</v>
      </c>
    </row>
    <row r="80" spans="1:25">
      <c r="A80" t="s">
        <v>55</v>
      </c>
      <c r="B80" s="15">
        <f>1536400/1.60934</f>
        <v>954677.07258876308</v>
      </c>
    </row>
    <row r="81" spans="1:25">
      <c r="A81" t="s">
        <v>56</v>
      </c>
      <c r="B81" s="15">
        <f>1613200/1.60934</f>
        <v>1002398.4987634682</v>
      </c>
    </row>
    <row r="83" spans="1:25">
      <c r="A83" s="43" t="s">
        <v>18</v>
      </c>
      <c r="B83" t="s">
        <v>219</v>
      </c>
    </row>
    <row r="85" spans="1:25">
      <c r="A85" s="43" t="s">
        <v>19</v>
      </c>
      <c r="B85" t="s">
        <v>220</v>
      </c>
    </row>
    <row r="87" spans="1:25">
      <c r="A87" s="43" t="s">
        <v>81</v>
      </c>
    </row>
    <row r="89" spans="1:25">
      <c r="A89" t="s">
        <v>26</v>
      </c>
      <c r="B89" t="s">
        <v>88</v>
      </c>
      <c r="C89" t="s">
        <v>115</v>
      </c>
      <c r="D89" t="s">
        <v>90</v>
      </c>
      <c r="E89" t="s">
        <v>91</v>
      </c>
      <c r="F89" t="s">
        <v>121</v>
      </c>
      <c r="G89" t="s">
        <v>95</v>
      </c>
      <c r="H89" t="s">
        <v>96</v>
      </c>
      <c r="Y89" t="s">
        <v>124</v>
      </c>
    </row>
    <row r="90" spans="1:25">
      <c r="A90" t="s">
        <v>93</v>
      </c>
      <c r="B90">
        <v>43300</v>
      </c>
      <c r="C90">
        <v>7500</v>
      </c>
      <c r="D90" t="s">
        <v>94</v>
      </c>
      <c r="E90">
        <v>4</v>
      </c>
      <c r="F90" s="12">
        <f>81*1.60934</f>
        <v>130.35654</v>
      </c>
      <c r="G90">
        <v>22</v>
      </c>
      <c r="H90">
        <v>6.6</v>
      </c>
    </row>
    <row r="91" spans="1:25">
      <c r="A91" t="s">
        <v>97</v>
      </c>
      <c r="B91">
        <v>26000</v>
      </c>
      <c r="C91">
        <v>7500</v>
      </c>
      <c r="D91" t="s">
        <v>98</v>
      </c>
      <c r="E91">
        <v>4</v>
      </c>
      <c r="F91" s="12">
        <f>82*1.60934</f>
        <v>131.96588</v>
      </c>
      <c r="G91">
        <v>19</v>
      </c>
      <c r="H91">
        <v>3.3</v>
      </c>
    </row>
    <row r="92" spans="1:25">
      <c r="A92" t="s">
        <v>99</v>
      </c>
      <c r="B92">
        <v>32600</v>
      </c>
      <c r="C92">
        <v>7500</v>
      </c>
      <c r="D92" t="s">
        <v>94</v>
      </c>
      <c r="E92">
        <v>4</v>
      </c>
      <c r="F92" s="12">
        <f>87*1.60934</f>
        <v>140.01257999999999</v>
      </c>
      <c r="G92">
        <v>24</v>
      </c>
      <c r="H92">
        <v>6.6</v>
      </c>
    </row>
    <row r="93" spans="1:25">
      <c r="A93" t="s">
        <v>101</v>
      </c>
      <c r="B93">
        <v>30000</v>
      </c>
      <c r="C93">
        <v>7500</v>
      </c>
      <c r="D93" t="s">
        <v>94</v>
      </c>
      <c r="E93">
        <v>5</v>
      </c>
      <c r="F93" s="12">
        <f>76*1.60934</f>
        <v>122.30983999999999</v>
      </c>
      <c r="G93">
        <v>23</v>
      </c>
      <c r="H93">
        <v>6.6</v>
      </c>
    </row>
    <row r="94" spans="1:25">
      <c r="A94" t="s">
        <v>102</v>
      </c>
      <c r="B94">
        <v>34500</v>
      </c>
      <c r="C94">
        <v>7500</v>
      </c>
      <c r="D94" t="s">
        <v>94</v>
      </c>
      <c r="E94">
        <v>5</v>
      </c>
      <c r="F94" s="12">
        <f>93*1.60934</f>
        <v>149.66862</v>
      </c>
      <c r="G94">
        <v>27</v>
      </c>
      <c r="H94">
        <v>6.6</v>
      </c>
    </row>
    <row r="95" spans="1:25">
      <c r="A95" t="s">
        <v>103</v>
      </c>
      <c r="B95">
        <v>42400</v>
      </c>
      <c r="C95">
        <v>7500</v>
      </c>
      <c r="D95" t="s">
        <v>94</v>
      </c>
      <c r="E95">
        <v>5</v>
      </c>
      <c r="F95" s="12">
        <f>85*1.60934</f>
        <v>136.79390000000001</v>
      </c>
      <c r="G95">
        <v>28</v>
      </c>
      <c r="H95" s="19">
        <v>10</v>
      </c>
    </row>
    <row r="96" spans="1:25">
      <c r="A96" t="s">
        <v>104</v>
      </c>
      <c r="B96">
        <v>23800</v>
      </c>
      <c r="C96">
        <v>7500</v>
      </c>
      <c r="D96" t="s">
        <v>94</v>
      </c>
      <c r="E96">
        <v>4</v>
      </c>
      <c r="F96" s="12">
        <f>62*1.60934</f>
        <v>99.779079999999993</v>
      </c>
      <c r="G96">
        <v>16</v>
      </c>
      <c r="H96">
        <v>3.3</v>
      </c>
    </row>
    <row r="97" spans="1:25">
      <c r="A97" t="s">
        <v>105</v>
      </c>
      <c r="B97">
        <v>29800</v>
      </c>
      <c r="C97">
        <v>7500</v>
      </c>
      <c r="D97" t="s">
        <v>94</v>
      </c>
      <c r="E97">
        <v>5</v>
      </c>
      <c r="F97" s="12">
        <f>84*1.60934</f>
        <v>135.18456</v>
      </c>
      <c r="G97">
        <v>24</v>
      </c>
      <c r="H97">
        <v>6.6</v>
      </c>
    </row>
    <row r="98" spans="1:25">
      <c r="A98" t="s">
        <v>106</v>
      </c>
      <c r="B98">
        <v>25700</v>
      </c>
      <c r="C98">
        <v>7500</v>
      </c>
      <c r="D98" t="s">
        <v>98</v>
      </c>
      <c r="E98">
        <v>2</v>
      </c>
      <c r="F98" s="12">
        <f>68*1.60934</f>
        <v>109.43512</v>
      </c>
      <c r="G98">
        <v>17</v>
      </c>
      <c r="H98">
        <v>3.3</v>
      </c>
    </row>
    <row r="99" spans="1:25">
      <c r="A99" t="s">
        <v>107</v>
      </c>
      <c r="B99">
        <v>71000</v>
      </c>
      <c r="C99">
        <v>7500</v>
      </c>
      <c r="D99" t="s">
        <v>94</v>
      </c>
      <c r="E99">
        <v>5</v>
      </c>
      <c r="F99" s="12">
        <f>265*1.60934</f>
        <v>426.4751</v>
      </c>
      <c r="G99">
        <v>85</v>
      </c>
      <c r="H99" s="19">
        <v>10</v>
      </c>
    </row>
    <row r="100" spans="1:25">
      <c r="A100" t="s">
        <v>108</v>
      </c>
      <c r="B100">
        <v>36300</v>
      </c>
      <c r="C100">
        <v>7500</v>
      </c>
      <c r="D100" t="s">
        <v>94</v>
      </c>
      <c r="E100">
        <v>5</v>
      </c>
      <c r="F100" s="12">
        <f>83*1.60934</f>
        <v>133.57522</v>
      </c>
      <c r="G100">
        <v>24</v>
      </c>
      <c r="H100">
        <v>7.2</v>
      </c>
    </row>
    <row r="101" spans="1:25">
      <c r="A101" t="s">
        <v>109</v>
      </c>
      <c r="B101">
        <v>80000</v>
      </c>
      <c r="C101">
        <v>7500</v>
      </c>
      <c r="D101" t="s">
        <v>110</v>
      </c>
      <c r="E101">
        <v>7</v>
      </c>
      <c r="F101" s="12">
        <f>230*1.60934</f>
        <v>370.14819999999997</v>
      </c>
      <c r="G101">
        <v>85</v>
      </c>
      <c r="H101" s="19">
        <v>10</v>
      </c>
    </row>
    <row r="103" spans="1:25">
      <c r="A103" t="s">
        <v>122</v>
      </c>
      <c r="B103" t="s">
        <v>88</v>
      </c>
      <c r="C103" t="s">
        <v>123</v>
      </c>
      <c r="D103" t="s">
        <v>90</v>
      </c>
      <c r="E103" t="s">
        <v>91</v>
      </c>
      <c r="F103" t="s">
        <v>116</v>
      </c>
      <c r="G103" t="s">
        <v>112</v>
      </c>
    </row>
    <row r="104" spans="1:25">
      <c r="A104" t="s">
        <v>111</v>
      </c>
      <c r="B104">
        <v>14930</v>
      </c>
      <c r="D104" t="s">
        <v>98</v>
      </c>
      <c r="E104">
        <v>2</v>
      </c>
      <c r="F104" t="s">
        <v>113</v>
      </c>
      <c r="G104" t="s">
        <v>114</v>
      </c>
      <c r="Y104" t="s">
        <v>125</v>
      </c>
    </row>
    <row r="105" spans="1:25">
      <c r="A105" t="s">
        <v>127</v>
      </c>
      <c r="B105">
        <v>16745</v>
      </c>
      <c r="D105" t="s">
        <v>94</v>
      </c>
      <c r="E105">
        <v>4</v>
      </c>
      <c r="F105" t="s">
        <v>128</v>
      </c>
      <c r="Y105" t="s">
        <v>129</v>
      </c>
    </row>
    <row r="106" spans="1:25">
      <c r="A106" t="s">
        <v>100</v>
      </c>
      <c r="B106">
        <v>17170</v>
      </c>
      <c r="D106" t="s">
        <v>94</v>
      </c>
      <c r="E106">
        <v>5</v>
      </c>
      <c r="F106" t="s">
        <v>117</v>
      </c>
      <c r="Y106" t="s">
        <v>126</v>
      </c>
    </row>
    <row r="107" spans="1:25">
      <c r="A107" t="s">
        <v>118</v>
      </c>
      <c r="B107">
        <v>30700</v>
      </c>
      <c r="D107" t="s">
        <v>119</v>
      </c>
      <c r="E107">
        <v>7</v>
      </c>
      <c r="F107" t="s">
        <v>120</v>
      </c>
      <c r="Y107" t="s">
        <v>125</v>
      </c>
    </row>
    <row r="109" spans="1:25">
      <c r="H109" t="s">
        <v>71</v>
      </c>
      <c r="I109" t="s">
        <v>84</v>
      </c>
      <c r="Y109" t="s">
        <v>85</v>
      </c>
    </row>
    <row r="110" spans="1:25">
      <c r="A110" t="s">
        <v>130</v>
      </c>
      <c r="B110" t="s">
        <v>70</v>
      </c>
      <c r="H110" t="s">
        <v>72</v>
      </c>
      <c r="I110">
        <v>8.6</v>
      </c>
    </row>
    <row r="111" spans="1:25">
      <c r="H111" t="s">
        <v>73</v>
      </c>
      <c r="I111">
        <v>9.9</v>
      </c>
    </row>
    <row r="112" spans="1:25">
      <c r="H112" t="s">
        <v>74</v>
      </c>
      <c r="I112">
        <v>12.5</v>
      </c>
    </row>
    <row r="113" spans="1:25">
      <c r="H113" t="s">
        <v>75</v>
      </c>
      <c r="I113">
        <v>15.2</v>
      </c>
    </row>
    <row r="114" spans="1:25">
      <c r="B114" t="s">
        <v>65</v>
      </c>
      <c r="D114" t="s">
        <v>77</v>
      </c>
      <c r="Y114" t="s">
        <v>86</v>
      </c>
    </row>
    <row r="115" spans="1:25">
      <c r="D115" t="s">
        <v>76</v>
      </c>
    </row>
    <row r="116" spans="1:25">
      <c r="D116" t="s">
        <v>87</v>
      </c>
    </row>
    <row r="117" spans="1:25">
      <c r="B117" t="s">
        <v>60</v>
      </c>
      <c r="D117" t="s">
        <v>62</v>
      </c>
    </row>
    <row r="118" spans="1:25">
      <c r="B118" t="s">
        <v>61</v>
      </c>
      <c r="D118" t="s">
        <v>68</v>
      </c>
    </row>
    <row r="119" spans="1:25">
      <c r="B119" t="s">
        <v>63</v>
      </c>
      <c r="D119" t="s">
        <v>64</v>
      </c>
    </row>
    <row r="120" spans="1:25">
      <c r="D120" t="s">
        <v>69</v>
      </c>
    </row>
    <row r="122" spans="1:25">
      <c r="B122" t="s">
        <v>88</v>
      </c>
      <c r="C122" t="s">
        <v>89</v>
      </c>
      <c r="D122" t="s">
        <v>90</v>
      </c>
      <c r="E122" t="s">
        <v>91</v>
      </c>
      <c r="F122" t="s">
        <v>132</v>
      </c>
      <c r="G122" t="s">
        <v>133</v>
      </c>
      <c r="H122" t="s">
        <v>92</v>
      </c>
      <c r="Y122" t="s">
        <v>124</v>
      </c>
    </row>
    <row r="123" spans="1:25">
      <c r="A123" t="s">
        <v>131</v>
      </c>
      <c r="B123">
        <v>76000</v>
      </c>
      <c r="C123">
        <v>7500</v>
      </c>
      <c r="D123" t="s">
        <v>98</v>
      </c>
      <c r="E123">
        <v>4</v>
      </c>
      <c r="F123" s="12">
        <f>37*1.60934</f>
        <v>59.545580000000001</v>
      </c>
      <c r="G123">
        <v>17</v>
      </c>
      <c r="H123">
        <v>3.3</v>
      </c>
    </row>
    <row r="124" spans="1:25">
      <c r="A124" t="s">
        <v>134</v>
      </c>
      <c r="B124">
        <v>35200</v>
      </c>
      <c r="C124">
        <v>7500</v>
      </c>
      <c r="D124" t="s">
        <v>94</v>
      </c>
      <c r="E124">
        <v>4</v>
      </c>
      <c r="F124" s="12">
        <f>38*1.60934</f>
        <v>61.154919999999997</v>
      </c>
      <c r="G124">
        <v>17</v>
      </c>
      <c r="H124">
        <v>3.3</v>
      </c>
    </row>
    <row r="125" spans="1:25">
      <c r="A125" t="s">
        <v>135</v>
      </c>
      <c r="B125">
        <v>32600</v>
      </c>
      <c r="C125">
        <v>3700</v>
      </c>
      <c r="D125" t="s">
        <v>136</v>
      </c>
      <c r="E125">
        <v>5</v>
      </c>
      <c r="F125" s="12">
        <f>20*1.60934</f>
        <v>32.186799999999998</v>
      </c>
      <c r="G125">
        <v>8</v>
      </c>
      <c r="H125">
        <v>3.3</v>
      </c>
    </row>
    <row r="126" spans="1:25">
      <c r="A126" t="s">
        <v>137</v>
      </c>
      <c r="B126">
        <v>35600</v>
      </c>
      <c r="C126">
        <v>3700</v>
      </c>
      <c r="D126" t="s">
        <v>94</v>
      </c>
      <c r="E126">
        <v>5</v>
      </c>
      <c r="F126" s="12">
        <f>20*1.60934</f>
        <v>32.186799999999998</v>
      </c>
      <c r="G126">
        <v>7</v>
      </c>
      <c r="H126">
        <v>3.3</v>
      </c>
    </row>
    <row r="127" spans="1:25">
      <c r="A127" t="s">
        <v>138</v>
      </c>
      <c r="B127">
        <v>40700</v>
      </c>
      <c r="C127">
        <v>3700</v>
      </c>
      <c r="D127" t="s">
        <v>94</v>
      </c>
      <c r="E127">
        <v>2</v>
      </c>
      <c r="F127" s="12">
        <f>13*1.60934</f>
        <v>20.921420000000001</v>
      </c>
      <c r="G127">
        <v>7</v>
      </c>
      <c r="H127">
        <v>6.6</v>
      </c>
    </row>
    <row r="128" spans="1:25">
      <c r="A128" t="s">
        <v>140</v>
      </c>
      <c r="B128">
        <v>78000</v>
      </c>
      <c r="C128">
        <v>5300</v>
      </c>
      <c r="D128" t="s">
        <v>110</v>
      </c>
      <c r="E128">
        <v>5</v>
      </c>
      <c r="F128" s="12">
        <f>14*1.60934</f>
        <v>22.530760000000001</v>
      </c>
      <c r="G128">
        <v>11</v>
      </c>
      <c r="H128">
        <v>3.6</v>
      </c>
    </row>
    <row r="129" spans="1:25">
      <c r="A129" t="s">
        <v>139</v>
      </c>
      <c r="B129">
        <v>100000</v>
      </c>
      <c r="C129">
        <v>4700</v>
      </c>
      <c r="D129" t="s">
        <v>110</v>
      </c>
      <c r="E129">
        <v>4</v>
      </c>
      <c r="F129" s="12">
        <f>15*1.60934</f>
        <v>24.1401</v>
      </c>
      <c r="G129">
        <v>9</v>
      </c>
      <c r="H129" s="19">
        <v>3</v>
      </c>
    </row>
    <row r="130" spans="1:25">
      <c r="A130" t="s">
        <v>141</v>
      </c>
      <c r="B130">
        <v>30800</v>
      </c>
      <c r="C130">
        <v>2500</v>
      </c>
      <c r="D130" t="s">
        <v>94</v>
      </c>
      <c r="E130">
        <v>5</v>
      </c>
      <c r="F130" s="12">
        <f>11*1.60934</f>
        <v>17.702739999999999</v>
      </c>
      <c r="G130">
        <v>4</v>
      </c>
      <c r="H130">
        <v>3.3</v>
      </c>
    </row>
    <row r="132" spans="1:25">
      <c r="A132" t="s">
        <v>80</v>
      </c>
      <c r="B132" t="s">
        <v>142</v>
      </c>
      <c r="Y132" t="s">
        <v>82</v>
      </c>
    </row>
    <row r="133" spans="1:25">
      <c r="B133" t="s">
        <v>78</v>
      </c>
    </row>
    <row r="134" spans="1:25">
      <c r="B134" t="s">
        <v>66</v>
      </c>
    </row>
    <row r="135" spans="1:25">
      <c r="B135" t="s">
        <v>67</v>
      </c>
    </row>
    <row r="136" spans="1:25">
      <c r="B136" t="s">
        <v>79</v>
      </c>
    </row>
    <row r="138" spans="1:25">
      <c r="B138" t="s">
        <v>143</v>
      </c>
      <c r="Y138" s="18" t="s">
        <v>83</v>
      </c>
    </row>
  </sheetData>
  <hyperlinks>
    <hyperlink ref="Y138" r:id="rId1" xr:uid="{00000000-0004-0000-0100-000000000000}"/>
  </hyperlinks>
  <pageMargins left="0.25" right="0.25" top="0.75" bottom="0.75" header="0.3" footer="0.3"/>
  <pageSetup scale="52" fitToHeight="2"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4"/>
  <sheetViews>
    <sheetView zoomScale="60" zoomScaleNormal="60" workbookViewId="0">
      <selection activeCell="M18" sqref="M18"/>
    </sheetView>
  </sheetViews>
  <sheetFormatPr defaultRowHeight="14.4"/>
  <cols>
    <col min="1" max="1" width="12.5546875" customWidth="1"/>
    <col min="2" max="2" width="26" customWidth="1"/>
    <col min="3" max="3" width="16.33203125" customWidth="1"/>
    <col min="4" max="4" width="12.6640625" bestFit="1" customWidth="1"/>
    <col min="5" max="5" width="17.88671875" customWidth="1"/>
    <col min="6" max="6" width="12.6640625" customWidth="1"/>
    <col min="7" max="7" width="23" customWidth="1"/>
    <col min="8" max="8" width="18.88671875" customWidth="1"/>
    <col min="9" max="9" width="20.88671875" customWidth="1"/>
    <col min="10" max="10" width="16.5546875" customWidth="1"/>
    <col min="11" max="11" width="12.109375" customWidth="1"/>
    <col min="12" max="12" width="9.109375" customWidth="1"/>
  </cols>
  <sheetData>
    <row r="1" spans="1:14" ht="18.600000000000001" thickBot="1">
      <c r="A1" s="58" t="s">
        <v>307</v>
      </c>
    </row>
    <row r="2" spans="1:14" ht="31.5" customHeight="1">
      <c r="A2" s="72"/>
      <c r="B2" s="236" t="s">
        <v>308</v>
      </c>
      <c r="C2" s="236"/>
      <c r="D2" s="237" t="s">
        <v>309</v>
      </c>
      <c r="E2" s="237"/>
      <c r="F2" s="238" t="s">
        <v>319</v>
      </c>
      <c r="G2" s="238"/>
      <c r="H2" s="238"/>
      <c r="I2" s="239"/>
      <c r="J2" s="53"/>
      <c r="K2" s="221"/>
      <c r="L2" s="222"/>
    </row>
    <row r="3" spans="1:14" ht="33" customHeight="1">
      <c r="A3" s="77" t="s">
        <v>333</v>
      </c>
      <c r="B3" s="223" t="s">
        <v>295</v>
      </c>
      <c r="C3" s="223" t="s">
        <v>306</v>
      </c>
      <c r="D3" s="224" t="s">
        <v>310</v>
      </c>
      <c r="E3" s="224" t="s">
        <v>311</v>
      </c>
      <c r="F3" s="225" t="s">
        <v>292</v>
      </c>
      <c r="G3" s="225" t="s">
        <v>320</v>
      </c>
      <c r="H3" s="225" t="s">
        <v>293</v>
      </c>
      <c r="I3" s="226" t="s">
        <v>325</v>
      </c>
      <c r="J3" s="53"/>
      <c r="K3" s="53"/>
      <c r="L3" s="53"/>
      <c r="M3" s="53"/>
      <c r="N3" s="53"/>
    </row>
    <row r="4" spans="1:14" ht="33" customHeight="1" thickBot="1">
      <c r="A4" s="77"/>
      <c r="B4" s="227" t="s">
        <v>321</v>
      </c>
      <c r="C4" s="227" t="s">
        <v>321</v>
      </c>
      <c r="D4" s="228" t="s">
        <v>313</v>
      </c>
      <c r="E4" s="228" t="s">
        <v>313</v>
      </c>
      <c r="F4" s="229" t="s">
        <v>328</v>
      </c>
      <c r="G4" s="229" t="s">
        <v>328</v>
      </c>
      <c r="H4" s="229" t="s">
        <v>328</v>
      </c>
      <c r="I4" s="230" t="s">
        <v>328</v>
      </c>
      <c r="J4" s="53"/>
      <c r="K4" s="53"/>
      <c r="L4" s="53"/>
      <c r="M4" s="53"/>
      <c r="N4" s="53"/>
    </row>
    <row r="5" spans="1:14">
      <c r="A5" s="77" t="s">
        <v>20</v>
      </c>
      <c r="B5" s="53">
        <v>54</v>
      </c>
      <c r="D5" s="53">
        <v>24</v>
      </c>
      <c r="E5" s="53">
        <v>12</v>
      </c>
      <c r="F5" s="53">
        <v>0.1</v>
      </c>
      <c r="G5" s="53">
        <v>-0.1</v>
      </c>
      <c r="H5" s="158"/>
      <c r="I5" s="159"/>
      <c r="J5" s="53"/>
      <c r="K5" s="53"/>
      <c r="L5" s="53"/>
      <c r="M5" s="53"/>
      <c r="N5" s="53"/>
    </row>
    <row r="6" spans="1:14">
      <c r="A6" s="77" t="s">
        <v>518</v>
      </c>
      <c r="B6" s="53"/>
      <c r="D6" s="53"/>
      <c r="E6" s="53"/>
      <c r="F6" s="53"/>
      <c r="G6" s="53"/>
      <c r="H6" s="158" t="s">
        <v>751</v>
      </c>
      <c r="I6" s="159"/>
      <c r="J6" s="53"/>
      <c r="K6" s="53"/>
      <c r="L6" s="53"/>
      <c r="M6" s="53"/>
      <c r="N6" s="53"/>
    </row>
    <row r="7" spans="1:14">
      <c r="A7" s="77" t="s">
        <v>481</v>
      </c>
      <c r="B7" s="53">
        <v>66</v>
      </c>
      <c r="D7" s="53">
        <v>8</v>
      </c>
      <c r="E7" s="53">
        <v>4</v>
      </c>
      <c r="F7" s="53">
        <v>0.25</v>
      </c>
      <c r="G7" s="53">
        <v>-0.25</v>
      </c>
      <c r="H7" s="158"/>
      <c r="I7" s="159"/>
      <c r="J7" s="53"/>
      <c r="K7" s="53"/>
      <c r="L7" s="53"/>
      <c r="M7" s="53"/>
      <c r="N7" s="53"/>
    </row>
    <row r="8" spans="1:14">
      <c r="A8" s="77" t="s">
        <v>483</v>
      </c>
      <c r="B8" s="53">
        <v>26</v>
      </c>
      <c r="D8" s="53">
        <v>1</v>
      </c>
      <c r="E8" s="53">
        <v>1</v>
      </c>
      <c r="F8" s="53">
        <v>1</v>
      </c>
      <c r="G8" s="53">
        <v>-1</v>
      </c>
      <c r="H8" s="158"/>
      <c r="I8" s="159"/>
      <c r="J8" s="53"/>
      <c r="K8" s="53"/>
      <c r="L8" s="53"/>
      <c r="M8" s="53"/>
      <c r="N8" s="53"/>
    </row>
    <row r="9" spans="1:14">
      <c r="A9" s="77" t="s">
        <v>482</v>
      </c>
      <c r="B9" s="53">
        <v>26</v>
      </c>
      <c r="D9" s="53">
        <v>1</v>
      </c>
      <c r="E9" s="53">
        <v>1</v>
      </c>
      <c r="F9" s="53">
        <v>1</v>
      </c>
      <c r="G9" s="53">
        <v>-1</v>
      </c>
      <c r="H9" s="158"/>
      <c r="I9" s="159"/>
      <c r="J9" s="53"/>
      <c r="K9" s="53"/>
      <c r="L9" s="53"/>
      <c r="M9" s="53"/>
      <c r="N9" s="53"/>
    </row>
    <row r="10" spans="1:14">
      <c r="A10" s="77" t="s">
        <v>209</v>
      </c>
      <c r="B10" s="53"/>
      <c r="D10" s="53">
        <v>1</v>
      </c>
      <c r="E10" s="53">
        <v>1</v>
      </c>
      <c r="F10" s="53">
        <v>0.25</v>
      </c>
      <c r="G10" s="53">
        <v>-0.25</v>
      </c>
      <c r="I10" s="159"/>
      <c r="J10" s="53"/>
      <c r="K10" s="53"/>
      <c r="L10" s="53"/>
      <c r="M10" s="53"/>
      <c r="N10" s="53"/>
    </row>
    <row r="11" spans="1:14">
      <c r="A11" s="77" t="s">
        <v>228</v>
      </c>
      <c r="B11" s="53"/>
      <c r="D11" s="53">
        <v>1</v>
      </c>
      <c r="E11" s="53">
        <v>1</v>
      </c>
      <c r="F11" s="53">
        <v>0.25</v>
      </c>
      <c r="G11" s="53">
        <v>-0.25</v>
      </c>
      <c r="H11" s="158"/>
      <c r="I11" s="159"/>
      <c r="J11" s="53"/>
      <c r="K11" s="53"/>
      <c r="L11" s="53"/>
      <c r="M11" s="53"/>
      <c r="N11" s="53"/>
    </row>
    <row r="12" spans="1:14">
      <c r="A12" s="77" t="s">
        <v>1</v>
      </c>
      <c r="B12" s="53">
        <v>55</v>
      </c>
      <c r="D12" s="53">
        <v>168</v>
      </c>
      <c r="E12" s="53">
        <v>24</v>
      </c>
      <c r="F12" s="53">
        <v>0.01</v>
      </c>
      <c r="G12" s="53">
        <v>-0.01</v>
      </c>
      <c r="H12" s="158"/>
      <c r="I12" s="159"/>
      <c r="J12" s="231"/>
      <c r="L12" s="53"/>
      <c r="M12" s="53"/>
      <c r="N12" s="53"/>
    </row>
    <row r="13" spans="1:14">
      <c r="A13" s="77" t="s">
        <v>2</v>
      </c>
      <c r="B13" s="53"/>
      <c r="C13" s="53"/>
      <c r="D13" s="53"/>
      <c r="E13" s="53"/>
      <c r="F13" s="53">
        <v>1</v>
      </c>
      <c r="G13" s="53">
        <v>-1</v>
      </c>
      <c r="H13" s="53"/>
      <c r="I13" s="53"/>
      <c r="J13" s="53"/>
      <c r="K13" s="53"/>
      <c r="L13" s="53"/>
      <c r="M13" s="53"/>
      <c r="N13" s="53"/>
    </row>
    <row r="14" spans="1:14">
      <c r="A14" s="77" t="s">
        <v>519</v>
      </c>
      <c r="B14" s="53"/>
      <c r="C14" s="53"/>
      <c r="D14" s="53"/>
      <c r="E14" s="53"/>
      <c r="F14" s="53">
        <v>1</v>
      </c>
      <c r="G14" s="53">
        <v>-1</v>
      </c>
      <c r="H14" s="53"/>
      <c r="I14" s="53"/>
      <c r="J14" s="53"/>
      <c r="K14" s="53"/>
      <c r="L14" s="53"/>
      <c r="M14" s="53"/>
      <c r="N14" s="53"/>
    </row>
    <row r="15" spans="1:14">
      <c r="A15" s="77" t="s">
        <v>520</v>
      </c>
      <c r="B15" s="53"/>
      <c r="C15" s="53"/>
      <c r="D15" s="53"/>
      <c r="E15" s="53"/>
      <c r="F15" s="53">
        <v>1</v>
      </c>
      <c r="G15" s="53">
        <v>-1</v>
      </c>
      <c r="H15" s="53"/>
      <c r="I15" s="53"/>
      <c r="J15" s="53"/>
      <c r="K15" s="53"/>
      <c r="L15" s="53"/>
      <c r="M15" s="53"/>
      <c r="N15" s="53"/>
    </row>
    <row r="16" spans="1:14">
      <c r="A16" s="77" t="s">
        <v>521</v>
      </c>
      <c r="B16" s="53"/>
      <c r="C16" s="53"/>
      <c r="D16" s="53"/>
      <c r="E16" s="53"/>
      <c r="F16" s="53">
        <v>1</v>
      </c>
      <c r="G16" s="53">
        <v>-1</v>
      </c>
      <c r="H16" s="53"/>
      <c r="I16" s="53"/>
      <c r="J16" s="53"/>
      <c r="K16" s="53"/>
      <c r="L16" s="53"/>
      <c r="M16" s="53"/>
      <c r="N16" s="53"/>
    </row>
    <row r="17" spans="1:15">
      <c r="A17" s="77" t="s">
        <v>9</v>
      </c>
      <c r="B17" s="53"/>
      <c r="C17" s="53"/>
      <c r="D17" s="53"/>
      <c r="E17" s="53"/>
      <c r="F17" s="53"/>
      <c r="G17" s="53"/>
      <c r="H17" s="158"/>
      <c r="I17" s="158"/>
      <c r="J17" s="53"/>
      <c r="K17" s="53"/>
      <c r="L17" s="53"/>
      <c r="M17" s="53"/>
      <c r="N17" s="53"/>
    </row>
    <row r="18" spans="1:15">
      <c r="A18" s="77" t="s">
        <v>10</v>
      </c>
      <c r="B18" s="53">
        <v>54</v>
      </c>
      <c r="C18" s="53"/>
      <c r="D18" s="53">
        <v>8</v>
      </c>
      <c r="E18" s="53">
        <v>6</v>
      </c>
      <c r="F18" s="53">
        <v>0.05</v>
      </c>
      <c r="G18" s="53">
        <v>-0.05</v>
      </c>
      <c r="H18" s="158"/>
      <c r="I18" s="159"/>
      <c r="J18" s="53"/>
      <c r="K18" s="53"/>
      <c r="L18" s="53"/>
      <c r="M18" s="53"/>
      <c r="N18" s="53"/>
    </row>
    <row r="19" spans="1:15">
      <c r="A19" s="77" t="s">
        <v>522</v>
      </c>
      <c r="B19" s="53">
        <v>54</v>
      </c>
      <c r="C19" s="53"/>
      <c r="D19" s="53">
        <v>8</v>
      </c>
      <c r="E19" s="53">
        <v>6</v>
      </c>
      <c r="F19" s="53">
        <v>0.05</v>
      </c>
      <c r="G19" s="53">
        <v>-0.05</v>
      </c>
      <c r="H19" s="158"/>
      <c r="I19" s="159"/>
      <c r="J19" s="53"/>
      <c r="K19" s="53"/>
      <c r="L19" s="53"/>
      <c r="M19" s="53"/>
      <c r="N19" s="53"/>
    </row>
    <row r="20" spans="1:15">
      <c r="A20" s="77" t="s">
        <v>4</v>
      </c>
      <c r="B20" s="53"/>
      <c r="C20" s="53"/>
      <c r="D20" s="53"/>
      <c r="E20" s="53"/>
      <c r="F20" s="53"/>
      <c r="G20" s="53"/>
      <c r="H20" s="158"/>
      <c r="I20" s="159"/>
      <c r="J20" s="53"/>
      <c r="K20" s="53"/>
      <c r="L20" s="53"/>
      <c r="M20" s="53"/>
      <c r="N20" s="53"/>
    </row>
    <row r="21" spans="1:15">
      <c r="A21" s="77" t="s">
        <v>334</v>
      </c>
      <c r="B21" s="53"/>
      <c r="C21" s="53"/>
      <c r="D21" s="53"/>
      <c r="E21" s="53"/>
      <c r="F21" s="53"/>
      <c r="G21" s="53"/>
      <c r="H21" s="158"/>
      <c r="I21" s="159"/>
      <c r="J21" s="53"/>
      <c r="K21" s="53"/>
      <c r="L21" s="53"/>
      <c r="M21" s="53"/>
      <c r="N21" s="53"/>
    </row>
    <row r="22" spans="1:15">
      <c r="A22" s="77" t="s">
        <v>225</v>
      </c>
      <c r="B22" s="232">
        <v>0</v>
      </c>
      <c r="C22" s="232">
        <v>0</v>
      </c>
      <c r="D22" s="53">
        <v>1</v>
      </c>
      <c r="E22" s="53">
        <v>1</v>
      </c>
      <c r="F22" s="53">
        <v>1</v>
      </c>
      <c r="G22" s="53">
        <v>-1</v>
      </c>
      <c r="H22" s="158"/>
      <c r="I22" s="159"/>
      <c r="J22" s="53"/>
      <c r="K22" s="53"/>
      <c r="L22" s="53"/>
      <c r="M22" s="53"/>
      <c r="N22" s="53"/>
    </row>
    <row r="23" spans="1:15">
      <c r="A23" s="77" t="s">
        <v>226</v>
      </c>
      <c r="B23" s="232"/>
      <c r="C23" s="232"/>
      <c r="D23" s="53"/>
      <c r="E23" s="53"/>
      <c r="F23" s="53"/>
      <c r="G23" s="53"/>
      <c r="H23" s="158"/>
      <c r="I23" s="159"/>
      <c r="J23" s="53"/>
      <c r="K23" s="53"/>
      <c r="L23" s="53"/>
      <c r="M23" s="53"/>
      <c r="N23" s="53"/>
    </row>
    <row r="24" spans="1:15">
      <c r="A24" s="77" t="s">
        <v>331</v>
      </c>
      <c r="B24" s="232"/>
      <c r="C24" s="232"/>
      <c r="D24" s="53"/>
      <c r="E24" s="53"/>
      <c r="F24" s="53"/>
      <c r="G24" s="53"/>
      <c r="H24" s="53"/>
      <c r="I24" s="91"/>
      <c r="J24" s="53"/>
      <c r="K24" s="53"/>
      <c r="L24" s="53"/>
      <c r="M24" s="53"/>
      <c r="N24" s="53"/>
    </row>
    <row r="25" spans="1:15" ht="15" thickBot="1">
      <c r="A25" s="81" t="s">
        <v>281</v>
      </c>
      <c r="B25" s="232"/>
      <c r="C25" s="232"/>
      <c r="D25" s="53"/>
      <c r="E25" s="53"/>
      <c r="F25" s="53"/>
      <c r="G25" s="53"/>
      <c r="H25" s="53"/>
      <c r="I25" s="91"/>
      <c r="J25" s="53"/>
      <c r="K25" s="53"/>
      <c r="L25" s="53"/>
      <c r="M25" s="53"/>
      <c r="N25" s="53"/>
    </row>
    <row r="26" spans="1:15">
      <c r="A26" s="77" t="s">
        <v>745</v>
      </c>
      <c r="B26" s="232"/>
      <c r="C26" s="232"/>
      <c r="D26" s="53"/>
      <c r="E26" s="53"/>
      <c r="F26" s="53"/>
      <c r="G26" s="53"/>
      <c r="H26" s="53"/>
      <c r="I26" s="91"/>
      <c r="J26" s="53"/>
      <c r="K26" s="53"/>
      <c r="L26" s="53"/>
      <c r="M26" s="53"/>
      <c r="N26" s="53"/>
    </row>
    <row r="27" spans="1:15" ht="15" thickBot="1">
      <c r="A27" s="77" t="s">
        <v>407</v>
      </c>
      <c r="B27" s="93"/>
      <c r="C27" s="93"/>
      <c r="D27" s="82"/>
      <c r="E27" s="82"/>
      <c r="F27" s="82"/>
      <c r="G27" s="82"/>
      <c r="H27" s="82"/>
      <c r="I27" s="94"/>
      <c r="J27" s="53"/>
      <c r="K27" s="53"/>
      <c r="L27" s="53"/>
      <c r="M27" s="53"/>
      <c r="N27" s="53"/>
    </row>
    <row r="28" spans="1:15"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</row>
    <row r="29" spans="1:15">
      <c r="A29" t="s">
        <v>291</v>
      </c>
      <c r="B29" s="53">
        <f>COLUMN(B3)-2</f>
        <v>0</v>
      </c>
      <c r="C29" s="53">
        <f t="shared" ref="C29:I29" si="0">COLUMN(C3)-2</f>
        <v>1</v>
      </c>
      <c r="D29" s="53">
        <f t="shared" si="0"/>
        <v>2</v>
      </c>
      <c r="E29" s="53">
        <f t="shared" si="0"/>
        <v>3</v>
      </c>
      <c r="F29" s="53">
        <f t="shared" si="0"/>
        <v>4</v>
      </c>
      <c r="G29" s="53">
        <f t="shared" si="0"/>
        <v>5</v>
      </c>
      <c r="H29" s="53">
        <f t="shared" si="0"/>
        <v>6</v>
      </c>
      <c r="I29" s="53">
        <f t="shared" si="0"/>
        <v>7</v>
      </c>
      <c r="J29" s="53"/>
      <c r="K29" s="53"/>
    </row>
    <row r="31" spans="1:15">
      <c r="A31" t="s">
        <v>304</v>
      </c>
      <c r="B31" t="s">
        <v>296</v>
      </c>
      <c r="C31" t="s">
        <v>303</v>
      </c>
    </row>
    <row r="32" spans="1:15">
      <c r="B32" t="s">
        <v>295</v>
      </c>
      <c r="C32" t="s">
        <v>294</v>
      </c>
    </row>
    <row r="33" spans="2:6">
      <c r="B33" t="s">
        <v>306</v>
      </c>
    </row>
    <row r="34" spans="2:6">
      <c r="B34" t="s">
        <v>310</v>
      </c>
      <c r="C34" t="s">
        <v>312</v>
      </c>
      <c r="E34" s="57"/>
      <c r="F34" s="57"/>
    </row>
    <row r="35" spans="2:6">
      <c r="B35" t="s">
        <v>311</v>
      </c>
      <c r="C35" t="s">
        <v>314</v>
      </c>
      <c r="E35" s="57"/>
      <c r="F35" s="57"/>
    </row>
    <row r="36" spans="2:6">
      <c r="B36" t="s">
        <v>292</v>
      </c>
      <c r="C36" t="s">
        <v>322</v>
      </c>
      <c r="D36" s="57"/>
    </row>
    <row r="37" spans="2:6">
      <c r="B37" t="s">
        <v>320</v>
      </c>
      <c r="C37" t="s">
        <v>323</v>
      </c>
      <c r="D37" s="57"/>
    </row>
    <row r="38" spans="2:6">
      <c r="B38" t="s">
        <v>293</v>
      </c>
      <c r="C38" t="s">
        <v>326</v>
      </c>
    </row>
    <row r="39" spans="2:6">
      <c r="B39" t="s">
        <v>325</v>
      </c>
      <c r="C39" t="s">
        <v>327</v>
      </c>
    </row>
    <row r="114" spans="10:10">
      <c r="J114" t="s">
        <v>403</v>
      </c>
    </row>
  </sheetData>
  <mergeCells count="3">
    <mergeCell ref="B2:C2"/>
    <mergeCell ref="D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8"/>
  <sheetViews>
    <sheetView zoomScale="70" zoomScaleNormal="70" workbookViewId="0">
      <selection activeCell="A5" sqref="A5:A19"/>
    </sheetView>
  </sheetViews>
  <sheetFormatPr defaultRowHeight="14.4"/>
  <cols>
    <col min="1" max="1" width="14" customWidth="1"/>
    <col min="2" max="2" width="40" customWidth="1"/>
    <col min="3" max="3" width="11.44140625" customWidth="1"/>
    <col min="4" max="4" width="11.33203125" customWidth="1"/>
    <col min="5" max="5" width="9.44140625" customWidth="1"/>
    <col min="6" max="6" width="18.5546875" bestFit="1" customWidth="1"/>
    <col min="7" max="7" width="2.33203125" customWidth="1"/>
    <col min="8" max="8" width="19.33203125" customWidth="1"/>
    <col min="10" max="10" width="22.88671875" bestFit="1" customWidth="1"/>
    <col min="11" max="11" width="21.44140625" customWidth="1"/>
    <col min="12" max="12" width="14.33203125" bestFit="1" customWidth="1"/>
    <col min="13" max="13" width="4.44140625" customWidth="1"/>
    <col min="14" max="14" width="25.44140625" bestFit="1" customWidth="1"/>
    <col min="16" max="16" width="13.33203125" customWidth="1"/>
  </cols>
  <sheetData>
    <row r="1" spans="1:18" ht="18.600000000000001" thickBot="1">
      <c r="A1" s="58" t="s">
        <v>339</v>
      </c>
      <c r="B1" s="58"/>
      <c r="M1" s="17"/>
      <c r="N1" s="17"/>
      <c r="O1" s="17"/>
      <c r="P1" s="17"/>
      <c r="Q1" s="17"/>
      <c r="R1" s="17"/>
    </row>
    <row r="2" spans="1:18" ht="36.75" customHeight="1">
      <c r="A2" s="72"/>
      <c r="B2" s="118"/>
      <c r="C2" s="97" t="s">
        <v>340</v>
      </c>
      <c r="D2" s="98" t="s">
        <v>341</v>
      </c>
      <c r="E2" s="240" t="s">
        <v>343</v>
      </c>
      <c r="F2" s="241"/>
      <c r="H2" s="243" t="s">
        <v>342</v>
      </c>
      <c r="I2" s="244"/>
      <c r="J2" s="244"/>
      <c r="K2" s="244"/>
      <c r="L2" s="245"/>
      <c r="M2" s="17"/>
      <c r="N2" s="242" t="s">
        <v>356</v>
      </c>
      <c r="O2" s="242"/>
      <c r="P2" s="242"/>
      <c r="Q2" s="17"/>
      <c r="R2" s="17"/>
    </row>
    <row r="3" spans="1:18" ht="48.6">
      <c r="A3" s="95" t="s">
        <v>333</v>
      </c>
      <c r="B3" s="119" t="s">
        <v>353</v>
      </c>
      <c r="C3" s="106" t="str">
        <f>'site independent'!W3</f>
        <v>Max capacity value</v>
      </c>
      <c r="D3" s="107" t="str">
        <f>'site independent'!V3</f>
        <v>Operating reserve coeff.</v>
      </c>
      <c r="E3" s="110" t="str">
        <f>'site independent'!X3</f>
        <v>Total overnight cost in 2014</v>
      </c>
      <c r="F3" s="111" t="s">
        <v>346</v>
      </c>
      <c r="H3" s="126" t="s">
        <v>348</v>
      </c>
      <c r="I3" s="108" t="s">
        <v>349</v>
      </c>
      <c r="J3" s="108" t="s">
        <v>354</v>
      </c>
      <c r="K3" s="108" t="s">
        <v>350</v>
      </c>
      <c r="L3" s="127" t="s">
        <v>366</v>
      </c>
      <c r="M3" s="17"/>
      <c r="N3" s="109" t="s">
        <v>348</v>
      </c>
      <c r="O3" s="109" t="s">
        <v>357</v>
      </c>
      <c r="P3" s="109" t="s">
        <v>358</v>
      </c>
      <c r="Q3" s="109" t="s">
        <v>359</v>
      </c>
      <c r="R3" s="109" t="s">
        <v>360</v>
      </c>
    </row>
    <row r="4" spans="1:18" ht="32.4" thickBot="1">
      <c r="A4" s="77"/>
      <c r="B4" s="120" t="s">
        <v>25</v>
      </c>
      <c r="C4" s="112" t="s">
        <v>345</v>
      </c>
      <c r="D4" s="113" t="s">
        <v>344</v>
      </c>
      <c r="E4" s="116" t="s">
        <v>365</v>
      </c>
      <c r="F4" s="117" t="s">
        <v>347</v>
      </c>
      <c r="H4" s="128"/>
      <c r="I4" s="114" t="s">
        <v>25</v>
      </c>
      <c r="J4" s="114" t="s">
        <v>355</v>
      </c>
      <c r="K4" s="114" t="s">
        <v>25</v>
      </c>
      <c r="L4" s="129"/>
      <c r="M4" s="17"/>
      <c r="N4" s="115"/>
      <c r="O4" s="115" t="s">
        <v>25</v>
      </c>
      <c r="P4" s="115" t="s">
        <v>25</v>
      </c>
      <c r="Q4" s="115" t="s">
        <v>25</v>
      </c>
      <c r="R4" s="115" t="s">
        <v>25</v>
      </c>
    </row>
    <row r="5" spans="1:18">
      <c r="A5" s="77" t="str">
        <f>'site independent'!A5</f>
        <v>coal</v>
      </c>
      <c r="B5" s="162" t="e">
        <f>SUMIF('non-vre plants'!#REF!,A5,'non-vre plants'!F2:F23)</f>
        <v>#REF!</v>
      </c>
      <c r="C5" s="78">
        <f>INDEX('site independent'!$A$3:$W$47, MATCH($A5, 'site independent'!$A$3:$A$47, 0), MATCH('scenario analysis'!C$3, 'site independent'!$A$3:$W$3, 0))</f>
        <v>1</v>
      </c>
      <c r="D5" s="78">
        <f>INDEX('site independent'!$A$3:$W$47, MATCH($A5, 'site independent'!$A$3:$A$47, 0), MATCH('scenario analysis'!D$3, 'site independent'!$A$3:$W$3, 0))</f>
        <v>0.53</v>
      </c>
      <c r="E5" s="78">
        <f>INDEX('site independent'!$A$3:$X$47, MATCH($A5, 'site independent'!$A$3:$A$47, 0), MATCH('scenario analysis'!E$3, 'site independent'!$A$3:$X$3, 0))</f>
        <v>2917</v>
      </c>
      <c r="F5" s="137" t="e">
        <f>E5*1000*B5</f>
        <v>#REF!</v>
      </c>
      <c r="H5" s="122" t="s">
        <v>418</v>
      </c>
      <c r="I5" s="162">
        <f>SUMIF('non-vre plants'!K2:K23,H5,'non-vre plants'!N2:N23)</f>
        <v>0</v>
      </c>
      <c r="J5" s="34">
        <f>SUMIF('demand centres'!$C$1:$C$49,'scenario analysis'!H5,'demand centres'!$B$1:$B$49)</f>
        <v>0</v>
      </c>
      <c r="K5" s="34" t="e">
        <f t="array" ref="K5">SUMIF('existing transmission'!#REF!,H5, 'existing transmission'!#REF!)+SUMIF('existing transmission'!#REF!,H5, 'existing transmission'!#REF!)</f>
        <v>#REF!</v>
      </c>
      <c r="L5" s="91" t="e">
        <f t="array" ref="L5">SUMIF('existing transmission'!#REF!,H5, 'existing transmission'!$J$2:$J$2)+SUMIF('existing transmission'!#REF!,H5, 'existing transmission'!$J$2:$J$2)</f>
        <v>#REF!</v>
      </c>
      <c r="M5" s="138"/>
      <c r="N5" s="146" t="str">
        <f t="array" ref="N5">IFERROR(INDEX(#REF!, MATCH(0, COUNTIF($N$4:N4,#REF!), 0)), "")</f>
        <v/>
      </c>
      <c r="O5" s="130" t="e">
        <f>SUMIFS('vre plants'!$F$2:$F$10, 'vre plants'!$G$2:$G$10, 'scenario analysis'!N5, 'vre plants'!$C$2:$C$16, "wind_onshore") +SUMIFS('vre plants'!$F$2:$F$10, 'vre plants'!$G$2:$G$10, 'scenario analysis'!N5, 'vre plants'!$C$2:$C$16,"wind_offshore")</f>
        <v>#VALUE!</v>
      </c>
      <c r="P5" s="131" t="e">
        <f>SUMIFS('vre plants'!$F$2:$F$10,'vre plants'!$G$2:$G$10,'scenario analysis'!N5,'vre plants'!$C$2:$C$16,"multi c-Si")</f>
        <v>#VALUE!</v>
      </c>
      <c r="Q5" s="34" t="e">
        <f>SUMIFS('vre plants'!$F$2:$F$10, 'vre plants'!$G$2:$G$10, 'scenario analysis'!N5, 'vre plants'!$C$2:$C$16, "mono c-Si")</f>
        <v>#VALUE!</v>
      </c>
      <c r="R5" s="34" t="e">
        <f>SUMIFS('vre plants'!$F$2:$F$10,'vre plants'!$G$2:$G$10,'scenario analysis'!N5,'vre plants'!$C$2:$C$16,"thin film")</f>
        <v>#VALUE!</v>
      </c>
    </row>
    <row r="6" spans="1:18">
      <c r="A6" s="77" t="str">
        <f>'site independent'!A6</f>
        <v>Natural gas</v>
      </c>
      <c r="B6" s="162" t="e">
        <f>SUMIF('non-vre plants'!#REF!,A6,'non-vre plants'!F2:F23)</f>
        <v>#REF!</v>
      </c>
      <c r="C6" s="78">
        <f>INDEX('site independent'!$A$3:$W$47, MATCH($A6, 'site independent'!$A$3:$A$47, 0), MATCH('scenario analysis'!C$3, 'site independent'!$A$3:$W$3, 0))</f>
        <v>1</v>
      </c>
      <c r="D6" s="78">
        <f>INDEX('site independent'!$A$3:$W$47, MATCH($A6, 'site independent'!$A$3:$A$47, 0), MATCH('scenario analysis'!D$3, 'site independent'!$A$3:$W$3, 0))</f>
        <v>0</v>
      </c>
      <c r="E6" s="78">
        <f>INDEX('site independent'!$A$3:$X$47, MATCH($A6, 'site independent'!$A$3:$A$47, 0), MATCH('scenario analysis'!E$3, 'site independent'!$A$3:$X$3, 0))</f>
        <v>0</v>
      </c>
      <c r="F6" s="137" t="e">
        <f t="shared" ref="F6:F24" si="0">E6*1000*B6</f>
        <v>#REF!</v>
      </c>
      <c r="H6" s="122" t="str">
        <f t="array" ref="H6">IFERROR(INDEX(#REF!, MATCH(0, COUNTIF($H$4:H5,#REF!), 0)), "")</f>
        <v/>
      </c>
      <c r="I6" s="162">
        <f>SUMIF('non-vre plants'!K3:K24,H6,'non-vre plants'!N3:N24)</f>
        <v>0</v>
      </c>
      <c r="J6" s="34">
        <f>SUMIF('demand centres'!$C$1:$C$49,'scenario analysis'!H6,'demand centres'!$B$1:$B$49)</f>
        <v>0</v>
      </c>
      <c r="K6" s="34" t="e">
        <f t="array" ref="K6">SUMIF('existing transmission'!#REF!,H6, 'existing transmission'!#REF!)+SUMIF('existing transmission'!#REF!,H6, 'existing transmission'!#REF!)</f>
        <v>#REF!</v>
      </c>
      <c r="L6" s="91" t="e">
        <f t="array" ref="L6">SUMIF('existing transmission'!#REF!,H6, 'existing transmission'!$J$2:$J$2)+SUMIF('existing transmission'!#REF!,H6, 'existing transmission'!$J$2:$J$2)</f>
        <v>#REF!</v>
      </c>
      <c r="M6" s="138"/>
      <c r="N6" s="146" t="str">
        <f t="array" ref="N6">IFERROR(INDEX(#REF!, MATCH(0, COUNTIF($N$4:N5,#REF!), 0)), "")</f>
        <v/>
      </c>
      <c r="O6" s="130" t="e">
        <f>SUMIFS('vre plants'!$F$2:$F$10, 'vre plants'!$G$2:$G$10, 'scenario analysis'!N6, 'vre plants'!$C$2:$C$16, "wind_onshore") +SUMIFS('vre plants'!$F$2:$F$10, 'vre plants'!$G$2:$G$10, 'scenario analysis'!N6, 'vre plants'!$C$2:$C$16,"wind_offshore")</f>
        <v>#VALUE!</v>
      </c>
      <c r="P6" s="131" t="e">
        <f>SUMIFS('vre plants'!$F$2:$F$10,'vre plants'!$G$2:$G$10,'scenario analysis'!N6,'vre plants'!$C$2:$C$16,"multi c-Si")</f>
        <v>#VALUE!</v>
      </c>
      <c r="Q6" s="34" t="e">
        <f>SUMIFS('vre plants'!$F$2:$F$10, 'vre plants'!$G$2:$G$10, 'scenario analysis'!N6, 'vre plants'!$C$2:$C$16, "mono c-Si")</f>
        <v>#VALUE!</v>
      </c>
      <c r="R6" s="34" t="e">
        <f>SUMIFS('vre plants'!$F$2:$F$10,'vre plants'!$G$2:$G$10,'scenario analysis'!N6,'vre plants'!$C$2:$C$16,"thin film")</f>
        <v>#VALUE!</v>
      </c>
    </row>
    <row r="7" spans="1:18">
      <c r="A7" s="77" t="str">
        <f>'site independent'!A7</f>
        <v>NG_CC</v>
      </c>
      <c r="B7" s="162" t="e">
        <f>SUMIF('non-vre plants'!#REF!,A7,'non-vre plants'!F2:F23)</f>
        <v>#REF!</v>
      </c>
      <c r="C7" s="78">
        <f>INDEX('site independent'!$A$3:$W$47, MATCH($A7, 'site independent'!$A$3:$A$47, 0), MATCH('scenario analysis'!C$3, 'site independent'!$A$3:$W$3, 0))</f>
        <v>1</v>
      </c>
      <c r="D7" s="78">
        <f>INDEX('site independent'!$A$3:$W$47, MATCH($A7, 'site independent'!$A$3:$A$47, 0), MATCH('scenario analysis'!D$3, 'site independent'!$A$3:$W$3, 0))</f>
        <v>0.53</v>
      </c>
      <c r="E7" s="78">
        <f>INDEX('site independent'!$A$3:$X$47, MATCH($A7, 'site independent'!$A$3:$A$47, 0), MATCH('scenario analysis'!E$3, 'site independent'!$A$3:$X$3, 0))</f>
        <v>671</v>
      </c>
      <c r="F7" s="137" t="e">
        <f>E7*1000*B7</f>
        <v>#REF!</v>
      </c>
      <c r="H7" s="122" t="str">
        <f t="array" ref="H7">IFERROR(INDEX(#REF!, MATCH(0, COUNTIF($H$4:H6,#REF!), 0)), "")</f>
        <v/>
      </c>
      <c r="I7" s="34">
        <f>SUMIFS('vre plants'!$F$2:$F$28,'vre plants'!$G$2:$G$28,'scenario analysis'!H7)+SUMIFS(storage!$E$2:$E$75,storage!$I$2:$I$75,'scenario analysis'!H7)+SUMIFS(EV_aggregator!$E$2:$E$75,EV_aggregator!$I$2:$I$75,'scenario analysis'!H7)+SUMIF('non-vre plants'!G2:G25,H7,'non-vre plants'!F2:F25)</f>
        <v>0</v>
      </c>
      <c r="J7" s="34">
        <f>SUMIF('demand centres'!$C$1:$C$49,'scenario analysis'!H7,'demand centres'!$B$1:$B$49)</f>
        <v>0</v>
      </c>
      <c r="K7" s="34" t="e">
        <f t="array" ref="K7">SUMIF('existing transmission'!#REF!,H7, 'existing transmission'!#REF!)+SUMIF('existing transmission'!#REF!,H7, 'existing transmission'!#REF!)</f>
        <v>#REF!</v>
      </c>
      <c r="L7" s="91" t="e">
        <f t="array" ref="L7">SUMIF('existing transmission'!#REF!,H7, 'existing transmission'!$J$2:$J$2)+SUMIF('existing transmission'!#REF!,H7, 'existing transmission'!$J$2:$J$2)</f>
        <v>#REF!</v>
      </c>
      <c r="M7" s="138"/>
      <c r="N7" s="146" t="str">
        <f t="array" ref="N7">IFERROR(INDEX(#REF!, MATCH(0, COUNTIF($N$4:N6,#REF!), 0)), "")</f>
        <v/>
      </c>
      <c r="O7" s="130" t="e">
        <f>SUMIFS('vre plants'!$F$2:$F$10, 'vre plants'!$G$2:$G$10, 'scenario analysis'!N7, 'vre plants'!$C$2:$C$16, "wind_onshore") +SUMIFS('vre plants'!$F$2:$F$10, 'vre plants'!$G$2:$G$10, 'scenario analysis'!N7, 'vre plants'!$C$2:$C$16,"wind_offshore")</f>
        <v>#VALUE!</v>
      </c>
      <c r="P7" s="131" t="e">
        <f>SUMIFS('vre plants'!$F$2:$F$10,'vre plants'!$G$2:$G$10,'scenario analysis'!N7,'vre plants'!$C$2:$C$16,"multi c-Si")</f>
        <v>#VALUE!</v>
      </c>
      <c r="Q7" s="34" t="e">
        <f>SUMIFS('vre plants'!$F$2:$F$10, 'vre plants'!$G$2:$G$10, 'scenario analysis'!N7, 'vre plants'!$C$2:$C$16, "mono c-Si")</f>
        <v>#VALUE!</v>
      </c>
      <c r="R7" s="34" t="e">
        <f>SUMIFS('vre plants'!$F$2:$F$10,'vre plants'!$G$2:$G$10,'scenario analysis'!N7,'vre plants'!$C$2:$C$16,"thin film")</f>
        <v>#VALUE!</v>
      </c>
    </row>
    <row r="8" spans="1:18">
      <c r="A8" s="77" t="str">
        <f>'site independent'!A8</f>
        <v>NG_CT</v>
      </c>
      <c r="B8" s="162" t="e">
        <f>SUMIF('non-vre plants'!#REF!,A8,'non-vre plants'!F2:F23)</f>
        <v>#REF!</v>
      </c>
      <c r="C8" s="78">
        <f>INDEX('site independent'!$A$3:$W$47, MATCH($A8, 'site independent'!$A$3:$A$47, 0), MATCH('scenario analysis'!C$3, 'site independent'!$A$3:$W$3, 0))</f>
        <v>1</v>
      </c>
      <c r="D8" s="78">
        <f>INDEX('site independent'!$A$3:$W$47, MATCH($A8, 'site independent'!$A$3:$A$47, 0), MATCH('scenario analysis'!D$3, 'site independent'!$A$3:$W$3, 0))</f>
        <v>1</v>
      </c>
      <c r="E8" s="78">
        <f>INDEX('site independent'!$A$3:$X$47, MATCH($A8, 'site independent'!$A$3:$A$47, 0), MATCH('scenario analysis'!E$3, 'site independent'!$A$3:$X$3, 0))</f>
        <v>968</v>
      </c>
      <c r="F8" s="137" t="e">
        <f t="shared" si="0"/>
        <v>#REF!</v>
      </c>
      <c r="H8" s="122" t="str">
        <f t="array" ref="H8">IFERROR(INDEX(#REF!, MATCH(0, COUNTIF($H$4:H7,#REF!), 0)), "")</f>
        <v/>
      </c>
      <c r="I8" s="34">
        <f>SUMIFS('vre plants'!$F$2:$F$28,'vre plants'!$G$2:$G$28,'scenario analysis'!H8)+SUMIFS(storage!$E$2:$E$75,storage!$I$2:$I$75,'scenario analysis'!H8)+SUMIFS(EV_aggregator!$E$2:$E$75,EV_aggregator!$I$2:$I$75,'scenario analysis'!H8)+SUMIF('non-vre plants'!G2:G26,H8,'non-vre plants'!F2:F26)</f>
        <v>0</v>
      </c>
      <c r="J8" s="34">
        <f>SUMIF('demand centres'!$C$1:$C$49,'scenario analysis'!H8,'demand centres'!$B$1:$B$49)</f>
        <v>0</v>
      </c>
      <c r="K8" s="34" t="e">
        <f t="array" ref="K8">SUMIF('existing transmission'!#REF!,H8, 'existing transmission'!#REF!)+SUMIF('existing transmission'!#REF!,H8, 'existing transmission'!#REF!)</f>
        <v>#REF!</v>
      </c>
      <c r="L8" s="91" t="e">
        <f t="array" ref="L8">SUMIF('existing transmission'!#REF!,H8, 'existing transmission'!$J$2:$J$2)+SUMIF('existing transmission'!#REF!,H8, 'existing transmission'!$J$2:$J$2)</f>
        <v>#REF!</v>
      </c>
      <c r="M8" s="34"/>
      <c r="N8" s="146" t="str">
        <f t="array" ref="N8">IFERROR(INDEX(#REF!, MATCH(0, COUNTIF($N$4:N7,#REF!), 0)), "")</f>
        <v/>
      </c>
      <c r="O8" s="130" t="e">
        <f>SUMIFS('vre plants'!$F$2:$F$10, 'vre plants'!$G$2:$G$10, 'scenario analysis'!N8, 'vre plants'!$C$2:$C$16, "wind_onshore") +SUMIFS('vre plants'!$F$2:$F$10, 'vre plants'!$G$2:$G$10, 'scenario analysis'!N8, 'vre plants'!$C$2:$C$16,"wind_offshore")</f>
        <v>#VALUE!</v>
      </c>
      <c r="P8" s="131" t="e">
        <f>SUMIFS('vre plants'!$F$2:$F$10,'vre plants'!$G$2:$G$10,'scenario analysis'!N8,'vre plants'!$C$2:$C$16,"multi c-Si")</f>
        <v>#VALUE!</v>
      </c>
      <c r="Q8" s="34" t="e">
        <f>SUMIFS('vre plants'!$F$2:$F$10, 'vre plants'!$G$2:$G$10, 'scenario analysis'!N8, 'vre plants'!$C$2:$C$16, "mono c-Si")</f>
        <v>#VALUE!</v>
      </c>
      <c r="R8" s="34" t="e">
        <f>SUMIFS('vre plants'!$F$2:$F$10,'vre plants'!$G$2:$G$10,'scenario analysis'!N8,'vre plants'!$C$2:$C$16,"thin film")</f>
        <v>#VALUE!</v>
      </c>
    </row>
    <row r="9" spans="1:18">
      <c r="A9" s="77" t="str">
        <f>'site independent'!A9</f>
        <v>NG_CG</v>
      </c>
      <c r="B9" s="162" t="e">
        <f>SUMIF('non-vre plants'!#REF!,A9,'non-vre plants'!F2:F23)</f>
        <v>#REF!</v>
      </c>
      <c r="C9" s="78">
        <f>INDEX('site independent'!$A$3:$W$47, MATCH($A9, 'site independent'!$A$3:$A$47, 0), MATCH('scenario analysis'!C$3, 'site independent'!$A$3:$W$3, 0))</f>
        <v>1</v>
      </c>
      <c r="D9" s="78">
        <f>INDEX('site independent'!$A$3:$W$47, MATCH($A9, 'site independent'!$A$3:$A$47, 0), MATCH('scenario analysis'!D$3, 'site independent'!$A$3:$W$3, 0))</f>
        <v>1</v>
      </c>
      <c r="E9" s="78">
        <f>INDEX('site independent'!$A$3:$X$47, MATCH($A9, 'site independent'!$A$3:$A$47, 0), MATCH('scenario analysis'!E$3, 'site independent'!$A$3:$X$3, 0))</f>
        <v>968</v>
      </c>
      <c r="F9" s="137" t="e">
        <f t="shared" si="0"/>
        <v>#REF!</v>
      </c>
      <c r="H9" s="122" t="str">
        <f t="array" ref="H9">IFERROR(INDEX(#REF!, MATCH(0, COUNTIF($H$4:H8,#REF!), 0)), "")</f>
        <v/>
      </c>
      <c r="I9" s="34">
        <f>SUMIFS('vre plants'!$F$2:$F$28,'vre plants'!$G$2:$G$28,'scenario analysis'!H9)+SUMIFS(storage!$E$2:$E$75,storage!$I$2:$I$75,'scenario analysis'!H9)+SUMIFS(EV_aggregator!$E$2:$E$75,EV_aggregator!$I$2:$I$75,'scenario analysis'!H9)+SUMIF('non-vre plants'!G2:G27,H9,'non-vre plants'!F2:F27)</f>
        <v>0</v>
      </c>
      <c r="J9" s="34">
        <f>SUMIF('demand centres'!$C$1:$C$49,'scenario analysis'!H9,'demand centres'!$B$1:$B$49)</f>
        <v>0</v>
      </c>
      <c r="K9" s="34" t="e">
        <f t="array" ref="K9">SUMIF('existing transmission'!#REF!,H9, 'existing transmission'!#REF!)+SUMIF('existing transmission'!#REF!,H9, 'existing transmission'!#REF!)</f>
        <v>#REF!</v>
      </c>
      <c r="L9" s="91" t="e">
        <f t="array" ref="L9">SUMIF('existing transmission'!#REF!,H9, 'existing transmission'!$J$2:$J$2)+SUMIF('existing transmission'!#REF!,H9, 'existing transmission'!$J$2:$J$2)</f>
        <v>#REF!</v>
      </c>
      <c r="M9" s="34"/>
      <c r="N9" s="146" t="str">
        <f t="array" ref="N9">IFERROR(INDEX(#REF!, MATCH(0, COUNTIF($N$4:N8,#REF!), 0)), "")</f>
        <v/>
      </c>
      <c r="O9" s="130" t="e">
        <f>SUMIFS('vre plants'!$F$2:$F$10, 'vre plants'!$G$2:$G$10, 'scenario analysis'!N9, 'vre plants'!$C$2:$C$16, "wind_onshore") +SUMIFS('vre plants'!$F$2:$F$10, 'vre plants'!$G$2:$G$10, 'scenario analysis'!N9, 'vre plants'!$C$2:$C$16,"wind_offshore")</f>
        <v>#VALUE!</v>
      </c>
      <c r="P9" s="131" t="e">
        <f>SUMIFS('vre plants'!$F$2:$F$10,'vre plants'!$G$2:$G$10,'scenario analysis'!N9,'vre plants'!$C$2:$C$16,"multi c-Si")</f>
        <v>#VALUE!</v>
      </c>
      <c r="Q9" s="34" t="e">
        <f>SUMIFS('vre plants'!$F$2:$F$10, 'vre plants'!$G$2:$G$10, 'scenario analysis'!N9, 'vre plants'!$C$2:$C$16, "mono c-Si")</f>
        <v>#VALUE!</v>
      </c>
      <c r="R9" s="34" t="e">
        <f>SUMIFS('vre plants'!$F$2:$F$10,'vre plants'!$G$2:$G$10,'scenario analysis'!N9,'vre plants'!$C$2:$C$16,"thin film")</f>
        <v>#VALUE!</v>
      </c>
    </row>
    <row r="10" spans="1:18">
      <c r="A10" s="77" t="str">
        <f>'site independent'!A10</f>
        <v>diesel</v>
      </c>
      <c r="B10" s="162" t="e">
        <f>SUMIF('non-vre plants'!#REF!,A10,'non-vre plants'!F2:F23)</f>
        <v>#REF!</v>
      </c>
      <c r="C10" s="78">
        <f>INDEX('site independent'!$A$3:$W$47, MATCH($A10, 'site independent'!$A$3:$A$47, 0), MATCH('scenario analysis'!C$3, 'site independent'!$A$3:$W$3, 0))</f>
        <v>1</v>
      </c>
      <c r="D10" s="78">
        <f>INDEX('site independent'!$A$3:$W$47, MATCH($A10, 'site independent'!$A$3:$A$47, 0), MATCH('scenario analysis'!D$3, 'site independent'!$A$3:$W$3, 0))</f>
        <v>0.86</v>
      </c>
      <c r="E10" s="78">
        <f>INDEX('site independent'!$A$3:$X$47, MATCH($A10, 'site independent'!$A$3:$A$47, 0), MATCH('scenario analysis'!E$3, 'site independent'!$A$3:$X$3, 0))</f>
        <v>0</v>
      </c>
      <c r="F10" s="137" t="e">
        <f t="shared" si="0"/>
        <v>#REF!</v>
      </c>
      <c r="H10" s="122" t="str">
        <f t="array" ref="H10">IFERROR(INDEX(#REF!, MATCH(0, COUNTIF($H$4:H9,#REF!), 0)), "")</f>
        <v/>
      </c>
      <c r="I10" s="162">
        <f>SUMIF('non-vre plants'!K3:K28,H10,'non-vre plants'!N3:N28)</f>
        <v>0</v>
      </c>
      <c r="J10" s="34">
        <f>SUMIF('demand centres'!$C$1:$C$49,'scenario analysis'!H10,'demand centres'!$B$1:$B$49)</f>
        <v>0</v>
      </c>
      <c r="K10" s="34" t="e">
        <f t="array" ref="K10">SUMIF('existing transmission'!#REF!,H10, 'existing transmission'!#REF!)+SUMIF('existing transmission'!#REF!,H10, 'existing transmission'!#REF!)</f>
        <v>#REF!</v>
      </c>
      <c r="L10" s="91" t="e">
        <f t="array" ref="L10">SUMIF('existing transmission'!#REF!,H10, 'existing transmission'!$J$2:$J$2)+SUMIF('existing transmission'!#REF!,H10, 'existing transmission'!$J$2:$J$2)</f>
        <v>#REF!</v>
      </c>
      <c r="M10" s="34"/>
      <c r="N10" s="146" t="str">
        <f t="array" ref="N10">IFERROR(INDEX(#REF!, MATCH(0, COUNTIF($N$4:N9,#REF!), 0)), "")</f>
        <v/>
      </c>
      <c r="O10" s="130" t="e">
        <f>SUMIFS('vre plants'!$F$2:$F$10, 'vre plants'!$G$2:$G$10, 'scenario analysis'!N10, 'vre plants'!$C$2:$C$16, "wind_onshore") +SUMIFS('vre plants'!$F$2:$F$10, 'vre plants'!$G$2:$G$10, 'scenario analysis'!N10, 'vre plants'!$C$2:$C$16,"wind_offshore")</f>
        <v>#VALUE!</v>
      </c>
      <c r="P10" s="131" t="e">
        <f>SUMIFS('vre plants'!$F$2:$F$10,'vre plants'!$G$2:$G$10,'scenario analysis'!N10,'vre plants'!$C$2:$C$16,"multi c-Si")</f>
        <v>#VALUE!</v>
      </c>
      <c r="Q10" s="34" t="e">
        <f>SUMIFS('vre plants'!$F$2:$F$10, 'vre plants'!$G$2:$G$10, 'scenario analysis'!N10, 'vre plants'!$C$2:$C$16, "mono c-Si")</f>
        <v>#VALUE!</v>
      </c>
      <c r="R10" s="34" t="e">
        <f>SUMIFS('vre plants'!$F$2:$F$10,'vre plants'!$G$2:$G$10,'scenario analysis'!N10,'vre plants'!$C$2:$C$16,"thin film")</f>
        <v>#VALUE!</v>
      </c>
    </row>
    <row r="11" spans="1:18">
      <c r="A11" s="77" t="str">
        <f>'site independent'!A11</f>
        <v>fuel oil</v>
      </c>
      <c r="B11" s="162" t="e">
        <f>SUMIF('non-vre plants'!#REF!,A11,'non-vre plants'!F2:F23)</f>
        <v>#REF!</v>
      </c>
      <c r="C11" s="78">
        <f>INDEX('site independent'!$A$3:$W$47, MATCH($A11, 'site independent'!$A$3:$A$47, 0), MATCH('scenario analysis'!C$3, 'site independent'!$A$3:$W$3, 0))</f>
        <v>1</v>
      </c>
      <c r="D11" s="78">
        <f>INDEX('site independent'!$A$3:$W$47, MATCH($A11, 'site independent'!$A$3:$A$47, 0), MATCH('scenario analysis'!D$3, 'site independent'!$A$3:$W$3, 0))</f>
        <v>0.86</v>
      </c>
      <c r="E11" s="78">
        <f>INDEX('site independent'!$A$3:$X$47, MATCH($A11, 'site independent'!$A$3:$A$47, 0), MATCH('scenario analysis'!E$3, 'site independent'!$A$3:$X$3, 0))</f>
        <v>0</v>
      </c>
      <c r="F11" s="137" t="e">
        <f t="shared" si="0"/>
        <v>#REF!</v>
      </c>
      <c r="H11" s="122" t="str">
        <f t="array" ref="H11">IFERROR(INDEX(#REF!, MATCH(0, COUNTIF($H$4:H10,#REF!), 0)), "")</f>
        <v/>
      </c>
      <c r="I11" s="162">
        <f>SUMIF('non-vre plants'!K3:K29,H11,'non-vre plants'!N3:N29)</f>
        <v>0</v>
      </c>
      <c r="J11" s="34">
        <f>SUMIF('demand centres'!$C$1:$C$49,'scenario analysis'!H11,'demand centres'!$B$1:$B$49)</f>
        <v>0</v>
      </c>
      <c r="K11" s="34" t="e">
        <f t="array" ref="K11">SUMIF('existing transmission'!#REF!,H11, 'existing transmission'!#REF!)+SUMIF('existing transmission'!#REF!,H11, 'existing transmission'!#REF!)</f>
        <v>#REF!</v>
      </c>
      <c r="L11" s="91" t="e">
        <f t="array" ref="L11">SUMIF('existing transmission'!#REF!,H11, 'existing transmission'!$J$2:$J$2)+SUMIF('existing transmission'!#REF!,H11, 'existing transmission'!$J$2:$J$2)</f>
        <v>#REF!</v>
      </c>
      <c r="M11" s="34"/>
      <c r="N11" s="146" t="str">
        <f t="array" ref="N11">IFERROR(INDEX(#REF!, MATCH(0, COUNTIF($N$4:N10,#REF!), 0)), "")</f>
        <v/>
      </c>
      <c r="O11" s="130" t="e">
        <f>SUMIFS('vre plants'!$F$2:$F$10, 'vre plants'!$G$2:$G$10, 'scenario analysis'!N11, 'vre plants'!$C$2:$C$16, "wind_onshore") +SUMIFS('vre plants'!$F$2:$F$10, 'vre plants'!$G$2:$G$10, 'scenario analysis'!N11, 'vre plants'!$C$2:$C$16,"wind_offshore")</f>
        <v>#VALUE!</v>
      </c>
      <c r="P11" s="131" t="e">
        <f>SUMIFS('vre plants'!$F$2:$F$10,'vre plants'!$G$2:$G$10,'scenario analysis'!N11,'vre plants'!$C$2:$C$16,"multi c-Si")</f>
        <v>#VALUE!</v>
      </c>
      <c r="Q11" s="34" t="e">
        <f>SUMIFS('vre plants'!$F$2:$F$10, 'vre plants'!$G$2:$G$10, 'scenario analysis'!N11, 'vre plants'!$C$2:$C$16, "mono c-Si")</f>
        <v>#VALUE!</v>
      </c>
      <c r="R11" s="34" t="e">
        <f>SUMIFS('vre plants'!$F$2:$F$10,'vre plants'!$G$2:$G$10,'scenario analysis'!N11,'vre plants'!$C$2:$C$16,"thin film")</f>
        <v>#VALUE!</v>
      </c>
    </row>
    <row r="12" spans="1:18">
      <c r="A12" s="77" t="str">
        <f>'site independent'!A12</f>
        <v>nuclear</v>
      </c>
      <c r="B12" s="162" t="e">
        <f>SUMIF('non-vre plants'!#REF!,A12,'non-vre plants'!F2:F23)</f>
        <v>#REF!</v>
      </c>
      <c r="C12" s="78">
        <f>INDEX('site independent'!$A$3:$W$47, MATCH($A12, 'site independent'!$A$3:$A$47, 0), MATCH('scenario analysis'!C$3, 'site independent'!$A$3:$W$3, 0))</f>
        <v>1</v>
      </c>
      <c r="D12" s="78">
        <f>INDEX('site independent'!$A$3:$W$47, MATCH($A12, 'site independent'!$A$3:$A$47, 0), MATCH('scenario analysis'!D$3, 'site independent'!$A$3:$W$3, 0))</f>
        <v>0.2</v>
      </c>
      <c r="E12" s="78">
        <f>INDEX('site independent'!$A$3:$X$47, MATCH($A12, 'site independent'!$A$3:$A$47, 0), MATCH('scenario analysis'!E$3, 'site independent'!$A$3:$X$3, 0))</f>
        <v>5366</v>
      </c>
      <c r="F12" s="137" t="e">
        <f t="shared" si="0"/>
        <v>#REF!</v>
      </c>
      <c r="H12" s="122" t="str">
        <f t="array" ref="H12">IFERROR(INDEX(#REF!, MATCH(0, COUNTIF($H$4:H11,#REF!), 0)), "")</f>
        <v/>
      </c>
      <c r="I12" s="34">
        <f>SUMIFS('vre plants'!$F$2:$F$28,'vre plants'!$G$2:$G$28,'scenario analysis'!H12)+SUMIFS(storage!$E$2:$E$75,storage!$I$2:$I$75,'scenario analysis'!H12)+SUMIFS(EV_aggregator!$E$2:$E$75,EV_aggregator!$I$2:$I$75,'scenario analysis'!H12)+SUMIF('non-vre plants'!G2:G30,H12,'non-vre plants'!F2:F30)</f>
        <v>0</v>
      </c>
      <c r="J12" s="34">
        <f>SUMIF('demand centres'!$C$1:$C$49,'scenario analysis'!H12,'demand centres'!$B$1:$B$49)</f>
        <v>0</v>
      </c>
      <c r="K12" s="34" t="e">
        <f t="array" ref="K12">SUMIF('existing transmission'!#REF!,H12, 'existing transmission'!#REF!)+SUMIF('existing transmission'!#REF!,H12, 'existing transmission'!#REF!)</f>
        <v>#REF!</v>
      </c>
      <c r="L12" s="91" t="e">
        <f t="array" ref="L12">SUMIF('existing transmission'!#REF!,H12, 'existing transmission'!$J$2:$J$2)+SUMIF('existing transmission'!#REF!,H12, 'existing transmission'!$J$2:$J$2)</f>
        <v>#REF!</v>
      </c>
      <c r="M12" s="34"/>
      <c r="N12" s="146" t="str">
        <f t="array" ref="N12">IFERROR(INDEX(#REF!, MATCH(0, COUNTIF($N$4:N11,#REF!), 0)), "")</f>
        <v/>
      </c>
      <c r="O12" s="130" t="e">
        <f>SUMIFS('vre plants'!$F$2:$F$10, 'vre plants'!$G$2:$G$10, 'scenario analysis'!N12, 'vre plants'!$C$2:$C$16, "wind_onshore") +SUMIFS('vre plants'!$F$2:$F$10, 'vre plants'!$G$2:$G$10, 'scenario analysis'!N12, 'vre plants'!$C$2:$C$16,"wind_offshore")</f>
        <v>#VALUE!</v>
      </c>
      <c r="P12" s="131" t="e">
        <f>SUMIFS('vre plants'!$F$2:$F$10,'vre plants'!$G$2:$G$10,'scenario analysis'!N12,'vre plants'!$C$2:$C$16,"multi c-Si")</f>
        <v>#VALUE!</v>
      </c>
      <c r="Q12" s="34" t="e">
        <f>SUMIFS('vre plants'!$F$2:$F$10, 'vre plants'!$G$2:$G$10, 'scenario analysis'!N12, 'vre plants'!$C$2:$C$16, "mono c-Si")</f>
        <v>#VALUE!</v>
      </c>
      <c r="R12" s="34" t="e">
        <f>SUMIFS('vre plants'!$F$2:$F$10,'vre plants'!$G$2:$G$10,'scenario analysis'!N12,'vre plants'!$C$2:$C$16,"thin film")</f>
        <v>#VALUE!</v>
      </c>
    </row>
    <row r="13" spans="1:18">
      <c r="A13" s="77" t="str">
        <f>'site independent'!A13</f>
        <v>hydro</v>
      </c>
      <c r="B13" s="162" t="e">
        <f>SUMIF('non-vre plants'!#REF!,A13,'non-vre plants'!F2:F23)</f>
        <v>#REF!</v>
      </c>
      <c r="C13" s="78">
        <f>INDEX('site independent'!$A$3:$W$47, MATCH($A13, 'site independent'!$A$3:$A$47, 0), MATCH('scenario analysis'!C$3, 'site independent'!$A$3:$W$3, 0))</f>
        <v>1</v>
      </c>
      <c r="D13" s="78">
        <f>INDEX('site independent'!$A$3:$W$47, MATCH($A13, 'site independent'!$A$3:$A$47, 0), MATCH('scenario analysis'!D$3, 'site independent'!$A$3:$W$3, 0))</f>
        <v>0.66</v>
      </c>
      <c r="E13" s="78">
        <f>INDEX('site independent'!$A$3:$X$47, MATCH($A13, 'site independent'!$A$3:$A$47, 0), MATCH('scenario analysis'!E$3, 'site independent'!$A$3:$X$3, 0))</f>
        <v>2651</v>
      </c>
      <c r="F13" s="137" t="e">
        <f t="shared" si="0"/>
        <v>#REF!</v>
      </c>
      <c r="H13" s="122" t="str">
        <f t="array" ref="H13">IFERROR(INDEX(#REF!, MATCH(0, COUNTIF($H$4:H12,#REF!), 0)), "")</f>
        <v/>
      </c>
      <c r="I13" s="34">
        <f>SUMIFS('vre plants'!$F$2:$F$28,'vre plants'!$G$2:$G$28,'scenario analysis'!H13)+SUMIFS(storage!$E$2:$E$75,storage!$I$2:$I$75,'scenario analysis'!H13)+SUMIFS(EV_aggregator!$E$2:$E$75,EV_aggregator!$I$2:$I$75,'scenario analysis'!H13)+SUMIF('non-vre plants'!G3:G30,H13,'non-vre plants'!F3:F30)</f>
        <v>0</v>
      </c>
      <c r="J13" s="34">
        <f>SUMIF('demand centres'!$C$1:$C$49,'scenario analysis'!H13,'demand centres'!$B$1:$B$49)</f>
        <v>0</v>
      </c>
      <c r="K13" s="34" t="e">
        <f t="array" ref="K13">SUMIF('existing transmission'!#REF!,H13, 'existing transmission'!#REF!)+SUMIF('existing transmission'!#REF!,H13, 'existing transmission'!#REF!)</f>
        <v>#REF!</v>
      </c>
      <c r="L13" s="91" t="e">
        <f t="array" ref="L13">SUMIF('existing transmission'!#REF!,H13, 'existing transmission'!$J$2:$J$2)+SUMIF('existing transmission'!#REF!,H13, 'existing transmission'!$J$2:$J$2)</f>
        <v>#REF!</v>
      </c>
      <c r="M13" s="34"/>
      <c r="N13" s="146" t="str">
        <f t="array" ref="N13">IFERROR(INDEX(#REF!, MATCH(0, COUNTIF($N$4:N12,#REF!), 0)), "")</f>
        <v/>
      </c>
      <c r="O13" s="130" t="e">
        <f>SUMIFS('vre plants'!$F$2:$F$10, 'vre plants'!$G$2:$G$10, 'scenario analysis'!N13, 'vre plants'!$C$2:$C$16, "wind_onshore") +SUMIFS('vre plants'!$F$2:$F$10, 'vre plants'!$G$2:$G$10, 'scenario analysis'!N13, 'vre plants'!$C$2:$C$16,"wind_offshore")</f>
        <v>#VALUE!</v>
      </c>
      <c r="P13" s="131" t="e">
        <f>SUMIFS('vre plants'!$F$2:$F$10,'vre plants'!$G$2:$G$10,'scenario analysis'!N13,'vre plants'!$C$2:$C$16,"multi c-Si")</f>
        <v>#VALUE!</v>
      </c>
      <c r="Q13" s="34" t="e">
        <f>SUMIFS('vre plants'!$F$2:$F$10, 'vre plants'!$G$2:$G$10, 'scenario analysis'!N13, 'vre plants'!$C$2:$C$16, "mono c-Si")</f>
        <v>#VALUE!</v>
      </c>
      <c r="R13" s="34" t="e">
        <f>SUMIFS('vre plants'!$F$2:$F$10,'vre plants'!$G$2:$G$10,'scenario analysis'!N13,'vre plants'!$C$2:$C$16,"thin film")</f>
        <v>#VALUE!</v>
      </c>
    </row>
    <row r="14" spans="1:18">
      <c r="A14" s="77" t="str">
        <f>'site independent'!A14</f>
        <v>hydro_hourly</v>
      </c>
      <c r="B14" s="162" t="e">
        <f>SUMIF('non-vre plants'!#REF!,A14,'non-vre plants'!F2:F23)</f>
        <v>#REF!</v>
      </c>
      <c r="C14" s="78">
        <f>INDEX('site independent'!$A$3:$W$47, MATCH($A14, 'site independent'!$A$3:$A$47, 0), MATCH('scenario analysis'!C$3, 'site independent'!$A$3:$W$3, 0))</f>
        <v>1</v>
      </c>
      <c r="D14" s="78">
        <f>INDEX('site independent'!$A$3:$W$47, MATCH($A14, 'site independent'!$A$3:$A$47, 0), MATCH('scenario analysis'!D$3, 'site independent'!$A$3:$W$3, 0))</f>
        <v>0.66</v>
      </c>
      <c r="E14" s="78">
        <f>INDEX('site independent'!$A$3:$X$47, MATCH($A14, 'site independent'!$A$3:$A$47, 0), MATCH('scenario analysis'!E$3, 'site independent'!$A$3:$X$3, 0))</f>
        <v>2651</v>
      </c>
      <c r="F14" s="137" t="e">
        <f t="shared" si="0"/>
        <v>#REF!</v>
      </c>
      <c r="H14" s="122" t="str">
        <f t="array" ref="H14">IFERROR(INDEX(#REF!, MATCH(0, COUNTIF($H$4:H13,#REF!), 0)), "")</f>
        <v/>
      </c>
      <c r="I14" s="34">
        <f>SUMIFS('vre plants'!$F$2:$F$28,'vre plants'!$G$2:$G$28,'scenario analysis'!H14)+SUMIFS(storage!$E$2:$E$75,storage!$I$2:$I$75,'scenario analysis'!H14)+SUMIFS(EV_aggregator!$E$2:$E$75,EV_aggregator!$I$2:$I$75,'scenario analysis'!H14)+SUMIF('non-vre plants'!G3:G30,H14,'non-vre plants'!F3:F30)</f>
        <v>0</v>
      </c>
      <c r="J14" s="34">
        <f>SUMIF('demand centres'!$C$1:$C$49,'scenario analysis'!H14,'demand centres'!$B$1:$B$49)</f>
        <v>0</v>
      </c>
      <c r="K14" s="34" t="e">
        <f t="array" ref="K14">SUMIF('existing transmission'!#REF!,H14, 'existing transmission'!#REF!)+SUMIF('existing transmission'!#REF!,H14, 'existing transmission'!#REF!)</f>
        <v>#REF!</v>
      </c>
      <c r="L14" s="91" t="e">
        <f t="array" ref="L14">SUMIF('existing transmission'!#REF!,H14, 'existing transmission'!$J$2:$J$2)+SUMIF('existing transmission'!#REF!,H14, 'existing transmission'!$J$2:$J$2)</f>
        <v>#REF!</v>
      </c>
      <c r="M14" s="34"/>
      <c r="N14" s="146" t="str">
        <f t="array" ref="N14">IFERROR(INDEX(#REF!, MATCH(0, COUNTIF($N$4:N13,#REF!), 0)), "")</f>
        <v/>
      </c>
      <c r="O14" s="130" t="e">
        <f>SUMIFS('vre plants'!$F$2:$F$10, 'vre plants'!$G$2:$G$10, 'scenario analysis'!N14, 'vre plants'!$C$2:$C$16, "wind_onshore") +SUMIFS('vre plants'!$F$2:$F$10, 'vre plants'!$G$2:$G$10, 'scenario analysis'!N14, 'vre plants'!$C$2:$C$16,"wind_offshore")</f>
        <v>#VALUE!</v>
      </c>
      <c r="P14" s="131" t="e">
        <f>SUMIFS('vre plants'!$F$2:$F$10,'vre plants'!$G$2:$G$10,'scenario analysis'!N14,'vre plants'!$C$2:$C$16,"multi c-Si")</f>
        <v>#VALUE!</v>
      </c>
      <c r="Q14" s="34" t="e">
        <f>SUMIFS('vre plants'!$F$2:$F$10, 'vre plants'!$G$2:$G$10, 'scenario analysis'!N14, 'vre plants'!$C$2:$C$16, "mono c-Si")</f>
        <v>#VALUE!</v>
      </c>
      <c r="R14" s="34" t="e">
        <f>SUMIFS('vre plants'!$F$2:$F$10,'vre plants'!$G$2:$G$10,'scenario analysis'!N14,'vre plants'!$C$2:$C$16,"thin film")</f>
        <v>#VALUE!</v>
      </c>
    </row>
    <row r="15" spans="1:18">
      <c r="A15" s="77" t="str">
        <f>'site independent'!A15</f>
        <v>hydro_daily</v>
      </c>
      <c r="B15" s="162"/>
      <c r="C15" s="78"/>
      <c r="D15" s="78"/>
      <c r="E15" s="78"/>
      <c r="F15" s="162"/>
      <c r="H15" s="122"/>
      <c r="I15" s="34"/>
      <c r="J15" s="34"/>
      <c r="K15" s="34"/>
      <c r="L15" s="91"/>
      <c r="M15" s="34"/>
      <c r="N15" s="146"/>
      <c r="O15" s="130"/>
      <c r="P15" s="131"/>
      <c r="Q15" s="34"/>
      <c r="R15" s="34"/>
    </row>
    <row r="16" spans="1:18">
      <c r="A16" s="77" t="str">
        <f>'site independent'!A16</f>
        <v>hydro_monthly</v>
      </c>
      <c r="B16" s="162"/>
      <c r="C16" s="78"/>
      <c r="D16" s="78"/>
      <c r="E16" s="78"/>
      <c r="F16" s="162"/>
      <c r="H16" s="122"/>
      <c r="I16" s="34"/>
      <c r="J16" s="34"/>
      <c r="K16" s="34"/>
      <c r="L16" s="91"/>
      <c r="M16" s="34"/>
      <c r="N16" s="146"/>
      <c r="O16" s="130"/>
      <c r="P16" s="131"/>
      <c r="Q16" s="34"/>
      <c r="R16" s="34"/>
    </row>
    <row r="17" spans="1:18">
      <c r="A17" s="77" t="str">
        <f>'site independent'!A17</f>
        <v>geothermal</v>
      </c>
      <c r="B17" s="162"/>
      <c r="C17" s="78"/>
      <c r="D17" s="78"/>
      <c r="E17" s="78"/>
      <c r="F17" s="162"/>
      <c r="H17" s="122"/>
      <c r="I17" s="34"/>
      <c r="J17" s="34"/>
      <c r="K17" s="34"/>
      <c r="L17" s="91"/>
      <c r="M17" s="34"/>
      <c r="N17" s="146"/>
      <c r="O17" s="130"/>
      <c r="P17" s="131"/>
      <c r="Q17" s="34"/>
      <c r="R17" s="34"/>
    </row>
    <row r="18" spans="1:18">
      <c r="A18" s="77" t="str">
        <f>'site independent'!A18</f>
        <v>biomass</v>
      </c>
      <c r="B18" s="162"/>
      <c r="C18" s="78"/>
      <c r="D18" s="78"/>
      <c r="E18" s="78"/>
      <c r="F18" s="162"/>
      <c r="H18" s="122"/>
      <c r="I18" s="34"/>
      <c r="J18" s="34"/>
      <c r="K18" s="34"/>
      <c r="L18" s="91"/>
      <c r="M18" s="34"/>
      <c r="N18" s="146"/>
      <c r="O18" s="130"/>
      <c r="P18" s="131"/>
      <c r="Q18" s="34"/>
      <c r="R18" s="34"/>
    </row>
    <row r="19" spans="1:18">
      <c r="A19" s="77" t="str">
        <f>'site independent'!A19</f>
        <v>biogas</v>
      </c>
      <c r="B19" s="162"/>
      <c r="C19" s="78"/>
      <c r="D19" s="78"/>
      <c r="E19" s="78"/>
      <c r="F19" s="162"/>
      <c r="H19" s="122"/>
      <c r="I19" s="34"/>
      <c r="J19" s="34"/>
      <c r="K19" s="34"/>
      <c r="L19" s="91"/>
      <c r="M19" s="34"/>
      <c r="N19" s="146"/>
      <c r="O19" s="130"/>
      <c r="P19" s="131"/>
      <c r="Q19" s="34"/>
      <c r="R19" s="34"/>
    </row>
    <row r="20" spans="1:18">
      <c r="A20" t="s">
        <v>407</v>
      </c>
      <c r="B20" s="162" t="e">
        <f>SUMIF('non-vre plants'!#REF!,A20,'non-vre plants'!F2:F23)</f>
        <v>#REF!</v>
      </c>
      <c r="H20" s="122" t="str">
        <f t="array" ref="H20">IFERROR(INDEX(#REF!, MATCH(0, COUNTIF($H$4:H14,#REF!), 0)), "")</f>
        <v/>
      </c>
      <c r="I20" s="162">
        <f>SUMIF('non-vre plants'!K6:K30,H20,'non-vre plants'!N6:N30)</f>
        <v>0</v>
      </c>
      <c r="J20" s="34">
        <f>SUMIF('demand centres'!$C$1:$C$49,'scenario analysis'!H20,'demand centres'!$B$1:$B$49)</f>
        <v>0</v>
      </c>
      <c r="K20" s="34" t="e">
        <f t="array" ref="K20">SUMIF('existing transmission'!#REF!,H20, 'existing transmission'!#REF!)+SUMIF('existing transmission'!#REF!,H20, 'existing transmission'!#REF!)</f>
        <v>#REF!</v>
      </c>
      <c r="L20" s="91" t="e">
        <f t="array" ref="L20">SUMIF('existing transmission'!#REF!,H20, 'existing transmission'!$J$2:$J$2)+SUMIF('existing transmission'!#REF!,H20, 'existing transmission'!$J$2:$J$2)</f>
        <v>#REF!</v>
      </c>
      <c r="M20" s="34"/>
      <c r="N20" s="146" t="str">
        <f t="array" ref="N20">IFERROR(INDEX(#REF!, MATCH(0, COUNTIF($N$4:N14,#REF!), 0)), "")</f>
        <v/>
      </c>
      <c r="O20" s="130" t="e">
        <f>SUMIFS('vre plants'!$F$2:$F$10, 'vre plants'!$G$2:$G$10, 'scenario analysis'!N20, 'vre plants'!$C$2:$C$16, "wind_onshore") +SUMIFS('vre plants'!$F$2:$F$10, 'vre plants'!$G$2:$G$10, 'scenario analysis'!N20, 'vre plants'!$C$2:$C$16,"wind_offshore")</f>
        <v>#VALUE!</v>
      </c>
      <c r="P20" s="131" t="e">
        <f>SUMIFS('vre plants'!$F$2:$F$10,'vre plants'!$G$2:$G$10,'scenario analysis'!N20,'vre plants'!$C$2:$C$16,"multi c-Si")</f>
        <v>#VALUE!</v>
      </c>
      <c r="Q20" s="34" t="e">
        <f>SUMIFS('vre plants'!$F$2:$F$10, 'vre plants'!$G$2:$G$10, 'scenario analysis'!N20, 'vre plants'!$C$2:$C$16, "mono c-Si")</f>
        <v>#VALUE!</v>
      </c>
      <c r="R20" s="34" t="e">
        <f>SUMIFS('vre plants'!$F$2:$F$10,'vre plants'!$G$2:$G$10,'scenario analysis'!N20,'vre plants'!$C$2:$C$16,"thin film")</f>
        <v>#VALUE!</v>
      </c>
    </row>
    <row r="21" spans="1:18">
      <c r="A21" s="122" t="s">
        <v>4</v>
      </c>
      <c r="B21" s="162">
        <f ca="1">SUMIF('vre plants'!$C$2:$C$16, "wind_onshore", 'vre plants'!$F$2:$F$10) + SUMIF('vre plants'!$C$2:$C$16, "wind_offshore", 'vre plants'!$F$2:$F$10)</f>
        <v>727.81</v>
      </c>
      <c r="C21" s="78">
        <f>INDEX('site independent'!$A$3:$W$47, MATCH($A21, 'site independent'!$A$3:$A$47, 0), MATCH('scenario analysis'!C$3, 'site independent'!$A$3:$W$3, 0))</f>
        <v>0.2</v>
      </c>
      <c r="D21" s="78">
        <f>INDEX('site independent'!$A$3:$W$47, MATCH($A21, 'site independent'!$A$3:$A$47, 0), MATCH('scenario analysis'!D$3, 'site independent'!$A$3:$W$3, 0))</f>
        <v>0</v>
      </c>
      <c r="E21" s="78">
        <f>INDEX('site independent'!$A$3:$X$47, MATCH($A21, 'site independent'!$A$3:$A$47, 0), MATCH('scenario analysis'!E$3, 'site independent'!$A$3:$X$3, 0))</f>
        <v>19.8</v>
      </c>
      <c r="F21" s="137">
        <f ca="1">E21*1000*B21</f>
        <v>14410637.999999998</v>
      </c>
      <c r="H21" s="122" t="str">
        <f t="array" ref="H21">IFERROR(INDEX(#REF!, MATCH(0, COUNTIF($H$4:H20,#REF!), 0)), "")</f>
        <v/>
      </c>
      <c r="I21" s="162">
        <f>SUMIF('non-vre plants'!K7:K30,H21,'non-vre plants'!N7:N30)</f>
        <v>0</v>
      </c>
      <c r="J21" s="34">
        <f>SUMIF('demand centres'!$C$1:$C$49,'scenario analysis'!H21,'demand centres'!$B$1:$B$49)</f>
        <v>0</v>
      </c>
      <c r="K21" s="34" t="e">
        <f t="array" ref="K21">SUMIF('existing transmission'!#REF!,H21, 'existing transmission'!#REF!)+SUMIF('existing transmission'!#REF!,H21, 'existing transmission'!#REF!)</f>
        <v>#REF!</v>
      </c>
      <c r="L21" s="91" t="e">
        <f t="array" ref="L21">SUMIF('existing transmission'!#REF!,H21, 'existing transmission'!$J$2:$J$2)+SUMIF('existing transmission'!#REF!,H21, 'existing transmission'!$J$2:$J$2)</f>
        <v>#REF!</v>
      </c>
      <c r="M21" s="34"/>
      <c r="N21" s="146" t="str">
        <f t="array" ref="N21">IFERROR(INDEX(#REF!, MATCH(0, COUNTIF($N$4:N20,#REF!), 0)), "")</f>
        <v/>
      </c>
      <c r="O21" s="130" t="e">
        <f>SUMIFS('vre plants'!$F$2:$F$10, 'vre plants'!$G$2:$G$10, 'scenario analysis'!N21, 'vre plants'!$C$2:$C$16, "wind_onshore") +SUMIFS('vre plants'!$F$2:$F$10, 'vre plants'!$G$2:$G$10, 'scenario analysis'!N21, 'vre plants'!$C$2:$C$16,"wind_offshore")</f>
        <v>#VALUE!</v>
      </c>
      <c r="P21" s="131" t="e">
        <f>SUMIFS('vre plants'!$F$2:$F$10,'vre plants'!$G$2:$G$10,'scenario analysis'!N21,'vre plants'!$C$2:$C$16,"multi c-Si")</f>
        <v>#VALUE!</v>
      </c>
      <c r="Q21" s="34" t="e">
        <f>SUMIFS('vre plants'!$F$2:$F$10, 'vre plants'!$G$2:$G$10, 'scenario analysis'!N21, 'vre plants'!$C$2:$C$16, "mono c-Si")</f>
        <v>#VALUE!</v>
      </c>
      <c r="R21" s="34" t="e">
        <f>SUMIFS('vre plants'!$F$2:$F$10,'vre plants'!$G$2:$G$10,'scenario analysis'!N21,'vre plants'!$C$2:$C$16,"thin film")</f>
        <v>#VALUE!</v>
      </c>
    </row>
    <row r="22" spans="1:18">
      <c r="A22" s="122" t="s">
        <v>16</v>
      </c>
      <c r="B22" s="162">
        <f ca="1">SUMIF('vre plants'!$C$2:$C$16, "multi_c_Si", 'vre plants'!$F$2:$F$10) + SUMIF('vre plants'!$C$2:$C$16, "thin film", 'vre plants'!$F$2:$F$10)+ SUMIF('vre plants'!$C$2:$C$16, "mono c-Si", 'vre plants'!$F$2:$F$10)</f>
        <v>0</v>
      </c>
      <c r="C22" s="78">
        <f>INDEX('site independent'!$A$3:$W$47, MATCH($A22, 'site independent'!$A$3:$A$47, 0), MATCH('scenario analysis'!C$3, 'site independent'!$A$3:$W$3, 0))</f>
        <v>0.6</v>
      </c>
      <c r="D22" s="78">
        <f>INDEX('site independent'!$A$3:$W$47, MATCH($A22, 'site independent'!$A$3:$A$47, 0), MATCH('scenario analysis'!D$3, 'site independent'!$A$3:$W$3, 0))</f>
        <v>0</v>
      </c>
      <c r="E22" s="78">
        <f>INDEX('site independent'!$A$3:$X$47, MATCH($A22, 'site independent'!$A$3:$A$47, 0), MATCH('scenario analysis'!E$3, 'site independent'!$A$3:$X$3, 0))</f>
        <v>3279</v>
      </c>
      <c r="F22" s="137">
        <f ca="1">E22*1000*B22</f>
        <v>0</v>
      </c>
      <c r="H22" s="122" t="str">
        <f t="array" ref="H22">IFERROR(INDEX(#REF!, MATCH(0, COUNTIF($H$4:H21,#REF!), 0)), "")</f>
        <v/>
      </c>
      <c r="I22" s="162">
        <f>SUMIF('non-vre plants'!K7:K30,H22,'non-vre plants'!N7:N30)</f>
        <v>0</v>
      </c>
      <c r="J22" s="34">
        <f>SUMIF('demand centres'!$C$1:$C$49,'scenario analysis'!H22,'demand centres'!$B$1:$B$49)</f>
        <v>0</v>
      </c>
      <c r="K22" s="34" t="e">
        <f t="array" ref="K22">SUMIF('existing transmission'!#REF!,H22, 'existing transmission'!#REF!)+SUMIF('existing transmission'!#REF!,H22, 'existing transmission'!#REF!)</f>
        <v>#REF!</v>
      </c>
      <c r="L22" s="91" t="e">
        <f t="array" ref="L22">SUMIF('existing transmission'!#REF!,H22, 'existing transmission'!$J$2:$J$2)+SUMIF('existing transmission'!#REF!,H22, 'existing transmission'!$J$2:$J$2)</f>
        <v>#REF!</v>
      </c>
      <c r="M22" s="34"/>
      <c r="N22" s="146" t="str">
        <f t="array" ref="N22">IFERROR(INDEX(#REF!, MATCH(0, COUNTIF($N$4:N21,#REF!), 0)), "")</f>
        <v/>
      </c>
      <c r="O22" s="130" t="e">
        <f>SUMIFS('vre plants'!$F$2:$F$10, 'vre plants'!$G$2:$G$10, 'scenario analysis'!N22, 'vre plants'!$C$2:$C$16, "wind_onshore") +SUMIFS('vre plants'!$F$2:$F$10, 'vre plants'!$G$2:$G$10, 'scenario analysis'!N22, 'vre plants'!$C$2:$C$16,"wind_offshore")</f>
        <v>#VALUE!</v>
      </c>
      <c r="P22" s="131" t="e">
        <f>SUMIFS('vre plants'!$F$2:$F$10,'vre plants'!$G$2:$G$10,'scenario analysis'!N22,'vre plants'!$C$2:$C$16,"multi c-Si")</f>
        <v>#VALUE!</v>
      </c>
      <c r="Q22" s="34" t="e">
        <f>SUMIFS('vre plants'!$F$2:$F$10, 'vre plants'!$G$2:$G$10, 'scenario analysis'!N22, 'vre plants'!$C$2:$C$16, "mono c-Si")</f>
        <v>#VALUE!</v>
      </c>
      <c r="R22" s="34" t="e">
        <f>SUMIFS('vre plants'!$F$2:$F$10,'vre plants'!$G$2:$G$10,'scenario analysis'!N22,'vre plants'!$C$2:$C$16,"thin film")</f>
        <v>#VALUE!</v>
      </c>
    </row>
    <row r="23" spans="1:18" ht="14.25" customHeight="1">
      <c r="A23" s="77" t="s">
        <v>225</v>
      </c>
      <c r="B23" s="162">
        <f>SUMIF(storage!C2:C5,A23,storage!E2:E5)</f>
        <v>0</v>
      </c>
      <c r="C23" s="78">
        <f>INDEX('site independent'!$A$3:$W$47, MATCH($A23, 'site independent'!$A$3:$A$47, 0), MATCH('scenario analysis'!C$3, 'site independent'!$A$3:$W$3, 0))</f>
        <v>0.5</v>
      </c>
      <c r="D23" s="78">
        <f>INDEX('site independent'!$A$3:$W$47, MATCH($A23, 'site independent'!$A$3:$A$47, 0), MATCH('scenario analysis'!D$3, 'site independent'!$A$3:$W$3, 0))</f>
        <v>1</v>
      </c>
      <c r="E23" s="78">
        <f>INDEX('site independent'!$A$3:$X$47, MATCH($A23, 'site independent'!$A$3:$A$47, 0), MATCH('scenario analysis'!E$3, 'site independent'!$A$3:$X$3, 0))</f>
        <v>1000</v>
      </c>
      <c r="F23" s="137">
        <f>E23*1000*B23</f>
        <v>0</v>
      </c>
      <c r="H23" s="122" t="str">
        <f t="array" ref="H23">IFERROR(INDEX(#REF!, MATCH(0, COUNTIF($H$4:H22,#REF!), 0)), "")</f>
        <v/>
      </c>
      <c r="I23" s="34">
        <f>SUMIFS('vre plants'!$F$2:$F$28,'vre plants'!$G$2:$G$28,'scenario analysis'!H23)+SUMIFS(storage!$E$2:$E$75,storage!$I$2:$I$75,'scenario analysis'!H23)+SUMIFS(EV_aggregator!$E$2:$E$75,EV_aggregator!$I$2:$I$75,'scenario analysis'!H23)+SUMIF('non-vre plants'!G2:G30,H23,'non-vre plants'!F2:F30)</f>
        <v>0</v>
      </c>
      <c r="J23" s="34">
        <f>SUMIF('demand centres'!$C$1:$C$49,'scenario analysis'!H23,'demand centres'!$B$1:$B$49)</f>
        <v>0</v>
      </c>
      <c r="K23" s="34" t="e">
        <f t="array" ref="K23">SUMIF('existing transmission'!#REF!,H23, 'existing transmission'!#REF!)+SUMIF('existing transmission'!#REF!,H23, 'existing transmission'!#REF!)</f>
        <v>#REF!</v>
      </c>
      <c r="L23" s="91" t="e">
        <f t="array" ref="L23">SUMIF('existing transmission'!#REF!,H23, 'existing transmission'!$J$2:$J$2)+SUMIF('existing transmission'!#REF!,H23, 'existing transmission'!$J$2:$J$2)</f>
        <v>#REF!</v>
      </c>
      <c r="M23" s="34"/>
      <c r="N23" s="146" t="str">
        <f t="array" ref="N23">IFERROR(INDEX(#REF!, MATCH(0, COUNTIF($N$4:N22,#REF!), 0)), "")</f>
        <v/>
      </c>
      <c r="O23" s="130" t="e">
        <f>SUMIFS('vre plants'!$F$2:$F$10, 'vre plants'!$G$2:$G$10, 'scenario analysis'!N23, 'vre plants'!$C$2:$C$16, "wind_onshore") +SUMIFS('vre plants'!$F$2:$F$10, 'vre plants'!$G$2:$G$10, 'scenario analysis'!N23, 'vre plants'!$C$2:$C$16,"wind_offshore")</f>
        <v>#VALUE!</v>
      </c>
      <c r="P23" s="131" t="e">
        <f>SUMIFS('vre plants'!$F$2:$F$10,'vre plants'!$G$2:$G$10,'scenario analysis'!N23,'vre plants'!$C$2:$C$16,"multi c-Si")</f>
        <v>#VALUE!</v>
      </c>
      <c r="Q23" s="34" t="e">
        <f>SUMIFS('vre plants'!$F$2:$F$10, 'vre plants'!$G$2:$G$10, 'scenario analysis'!N23, 'vre plants'!$C$2:$C$16, "mono c-Si")</f>
        <v>#VALUE!</v>
      </c>
      <c r="R23" s="34" t="e">
        <f>SUMIFS('vre plants'!$F$2:$F$10,'vre plants'!$G$2:$G$10,'scenario analysis'!N23,'vre plants'!$C$2:$C$16,"thin film")</f>
        <v>#VALUE!</v>
      </c>
    </row>
    <row r="24" spans="1:18">
      <c r="A24" s="77" t="s">
        <v>227</v>
      </c>
      <c r="B24" s="162">
        <f>SUMIF(storage!$C$2:$C$8, 'scenario analysis'!A24, storage!$E$2:$E$8)</f>
        <v>0</v>
      </c>
      <c r="C24" s="78">
        <f>INDEX('site independent'!$A$3:$W$47, MATCH($A24, 'site independent'!$A$3:$A$47, 0), MATCH('scenario analysis'!C$3, 'site independent'!$A$3:$W$3, 0))</f>
        <v>0.5</v>
      </c>
      <c r="D24" s="78">
        <f>INDEX('site independent'!$A$3:$W$47, MATCH($A24, 'site independent'!$A$3:$A$47, 0), MATCH('scenario analysis'!D$3, 'site independent'!$A$3:$W$3, 0))</f>
        <v>1</v>
      </c>
      <c r="E24" s="78">
        <f>INDEX('site independent'!$A$3:$X$47, MATCH($A24, 'site independent'!$A$3:$A$47, 0), MATCH('scenario analysis'!E$3, 'site independent'!$A$3:$X$3, 0))</f>
        <v>1500</v>
      </c>
      <c r="F24" s="137">
        <f t="shared" si="0"/>
        <v>0</v>
      </c>
      <c r="H24" s="122" t="str">
        <f t="array" ref="H24">IFERROR(INDEX(#REF!, MATCH(0, COUNTIF($H$4:H23,#REF!), 0)), "")</f>
        <v/>
      </c>
      <c r="I24" s="34">
        <f>SUMIFS('vre plants'!$F$2:$F$28,'vre plants'!$G$2:$G$28,'scenario analysis'!H24)+SUMIFS(storage!$E$2:$E$75,storage!$I$2:$I$75,'scenario analysis'!H24)+SUMIFS(EV_aggregator!$E$2:$E$75,EV_aggregator!$I$2:$I$75,'scenario analysis'!H24)+SUMIF('non-vre plants'!G2:G30,H24,'non-vre plants'!F2:F30)</f>
        <v>0</v>
      </c>
      <c r="J24" s="34">
        <f>SUMIF('demand centres'!$C$1:$C$49,'scenario analysis'!H24,'demand centres'!$B$1:$B$49)</f>
        <v>0</v>
      </c>
      <c r="K24" s="34" t="e">
        <f t="array" ref="K24">SUMIF('existing transmission'!#REF!,H24, 'existing transmission'!#REF!)+SUMIF('existing transmission'!#REF!,H24, 'existing transmission'!#REF!)</f>
        <v>#REF!</v>
      </c>
      <c r="L24" s="91" t="e">
        <f t="array" ref="L24">SUMIF('existing transmission'!#REF!,H24, 'existing transmission'!$J$2:$J$2)+SUMIF('existing transmission'!#REF!,H24, 'existing transmission'!$J$2:$J$2)</f>
        <v>#REF!</v>
      </c>
      <c r="M24" s="34"/>
      <c r="N24" s="146" t="str">
        <f t="array" ref="N24">IFERROR(INDEX(#REF!, MATCH(0, COUNTIF($N$4:N23,#REF!), 0)), "")</f>
        <v/>
      </c>
      <c r="O24" s="130" t="e">
        <f>SUMIFS('vre plants'!$F$2:$F$10, 'vre plants'!$G$2:$G$10, 'scenario analysis'!N24, 'vre plants'!$C$2:$C$16, "wind_onshore") +SUMIFS('vre plants'!$F$2:$F$10, 'vre plants'!$G$2:$G$10, 'scenario analysis'!N24, 'vre plants'!$C$2:$C$16,"wind_offshore")</f>
        <v>#VALUE!</v>
      </c>
      <c r="P24" s="131" t="e">
        <f>SUMIFS('vre plants'!$F$2:$F$10,'vre plants'!$G$2:$G$10,'scenario analysis'!N24,'vre plants'!$C$2:$C$16,"multi c-Si")</f>
        <v>#VALUE!</v>
      </c>
      <c r="Q24" s="34" t="e">
        <f>SUMIFS('vre plants'!$F$2:$F$10, 'vre plants'!$G$2:$G$10, 'scenario analysis'!N24, 'vre plants'!$C$2:$C$16, "mono c-Si")</f>
        <v>#VALUE!</v>
      </c>
      <c r="R24" s="34" t="e">
        <f>SUMIFS('vre plants'!$F$2:$F$10,'vre plants'!$G$2:$G$10,'scenario analysis'!N24,'vre plants'!$C$2:$C$16,"thin film")</f>
        <v>#VALUE!</v>
      </c>
    </row>
    <row r="25" spans="1:18" ht="15" thickBot="1">
      <c r="A25" s="81" t="s">
        <v>281</v>
      </c>
      <c r="B25" s="163">
        <f>SUMIF(EV_aggregator!C2:C10,EV_aggregator!D2:D10)</f>
        <v>0</v>
      </c>
      <c r="C25" s="121" t="e">
        <f>INDEX('site independent'!$A$3:$W$47, MATCH($A25, 'site independent'!$A$3:$A$47, 0), MATCH('scenario analysis'!C$3, 'site independent'!$A$3:$W$3, 0))</f>
        <v>#N/A</v>
      </c>
      <c r="D25" s="121" t="e">
        <f>INDEX('site independent'!$A$3:$W$47, MATCH($A25, 'site independent'!$A$3:$A$47, 0), MATCH('scenario analysis'!D$3, 'site independent'!$A$3:$W$3, 0))</f>
        <v>#N/A</v>
      </c>
      <c r="E25" s="121" t="e">
        <f>INDEX('site independent'!$A$3:$X$47, MATCH($A25, 'site independent'!$A$3:$A$47, 0), MATCH('scenario analysis'!E$3, 'site independent'!$A$3:$X$3, 0))</f>
        <v>#N/A</v>
      </c>
      <c r="F25" s="137" t="e">
        <f>E25*1000*B25</f>
        <v>#N/A</v>
      </c>
      <c r="H25" s="122" t="str">
        <f t="array" ref="H25">IFERROR(INDEX(#REF!, MATCH(0, COUNTIF($H$4:H24,#REF!), 0)), "")</f>
        <v/>
      </c>
      <c r="I25" s="34">
        <f>SUMIFS('vre plants'!$F$2:$F$28,'vre plants'!$G$2:$G$28,'scenario analysis'!H25)+SUMIFS(storage!$E$2:$E$75,storage!$I$2:$I$75,'scenario analysis'!H25)+SUMIFS(EV_aggregator!$E$2:$E$75,EV_aggregator!$I$2:$I$75,'scenario analysis'!H25)+SUMIF('non-vre plants'!G2:G30,H25,'non-vre plants'!F2:F30)</f>
        <v>0</v>
      </c>
      <c r="J25" s="34">
        <f>SUMIF('demand centres'!$C$1:$C$49,'scenario analysis'!H25,'demand centres'!$B$1:$B$49)</f>
        <v>0</v>
      </c>
      <c r="K25" s="34" t="e">
        <f t="array" ref="K25">SUMIF('existing transmission'!#REF!,H25, 'existing transmission'!#REF!)+SUMIF('existing transmission'!#REF!,H25, 'existing transmission'!#REF!)</f>
        <v>#REF!</v>
      </c>
      <c r="L25" s="91" t="e">
        <f t="array" ref="L25">SUMIF('existing transmission'!#REF!,H25, 'existing transmission'!$J$2:$J$2)+SUMIF('existing transmission'!#REF!,H25, 'existing transmission'!$J$2:$J$2)</f>
        <v>#REF!</v>
      </c>
      <c r="M25" s="34"/>
      <c r="N25" s="146" t="str">
        <f t="array" ref="N25">IFERROR(INDEX(#REF!, MATCH(0, COUNTIF($N$4:N24,#REF!), 0)), "")</f>
        <v/>
      </c>
      <c r="O25" s="130" t="e">
        <f>SUMIFS('vre plants'!$F$2:$F$10, 'vre plants'!$G$2:$G$10, 'scenario analysis'!N25, 'vre plants'!$C$2:$C$16, "wind_onshore") +SUMIFS('vre plants'!$F$2:$F$10, 'vre plants'!$G$2:$G$10, 'scenario analysis'!N25, 'vre plants'!$C$2:$C$16,"wind_offshore")</f>
        <v>#VALUE!</v>
      </c>
      <c r="P25" s="131" t="e">
        <f>SUMIFS('vre plants'!$F$2:$F$10,'vre plants'!$G$2:$G$10,'scenario analysis'!N25,'vre plants'!$C$2:$C$16,"multi c-Si")</f>
        <v>#VALUE!</v>
      </c>
      <c r="Q25" s="34" t="e">
        <f>SUMIFS('vre plants'!$F$2:$F$10, 'vre plants'!$G$2:$G$10, 'scenario analysis'!N25, 'vre plants'!$C$2:$C$16, "mono c-Si")</f>
        <v>#VALUE!</v>
      </c>
      <c r="R25" s="34" t="e">
        <f>SUMIFS('vre plants'!$F$2:$F$10,'vre plants'!$G$2:$G$10,'scenario analysis'!N25,'vre plants'!$C$2:$C$16,"thin film")</f>
        <v>#VALUE!</v>
      </c>
    </row>
    <row r="26" spans="1:18">
      <c r="C26" s="53"/>
      <c r="D26" s="53"/>
      <c r="E26" s="53"/>
      <c r="F26" s="53"/>
      <c r="H26" s="122" t="str">
        <f t="array" ref="H26">IFERROR(INDEX(#REF!, MATCH(0, COUNTIF($H$4:H25,#REF!), 0)), "")</f>
        <v/>
      </c>
      <c r="I26" s="34">
        <f>SUMIFS('vre plants'!$F$2:$F$28,'vre plants'!$G$2:$G$28,'scenario analysis'!H26)+SUMIFS(storage!$E$2:$E$75,storage!$I$2:$I$75,'scenario analysis'!H26)+SUMIFS(EV_aggregator!$E$2:$E$75,EV_aggregator!$I$2:$I$75,'scenario analysis'!H26)+SUMIF('non-vre plants'!G2:G30,H26,'non-vre plants'!F2:F30)</f>
        <v>0</v>
      </c>
      <c r="J26" s="34">
        <f>SUMIF('demand centres'!$C$1:$C$49,'scenario analysis'!H26,'demand centres'!$B$1:$B$49)</f>
        <v>0</v>
      </c>
      <c r="K26" s="34" t="e">
        <f t="array" ref="K26">SUMIF('existing transmission'!#REF!,H26, 'existing transmission'!#REF!)+SUMIF('existing transmission'!#REF!,H26, 'existing transmission'!#REF!)</f>
        <v>#REF!</v>
      </c>
      <c r="L26" s="91" t="e">
        <f t="array" ref="L26">SUMIF('existing transmission'!#REF!,H26, 'existing transmission'!$J$2:$J$2)+SUMIF('existing transmission'!#REF!,H26, 'existing transmission'!$J$2:$J$2)</f>
        <v>#REF!</v>
      </c>
      <c r="M26" s="17"/>
      <c r="N26" s="146" t="str">
        <f t="array" ref="N26">IFERROR(INDEX(#REF!, MATCH(0, COUNTIF($N$4:N25,#REF!), 0)), "")</f>
        <v/>
      </c>
      <c r="O26" s="130" t="e">
        <f>SUMIFS('vre plants'!$F$2:$F$10, 'vre plants'!$G$2:$G$10, 'scenario analysis'!N26, 'vre plants'!$C$2:$C$16, "wind_onshore") +SUMIFS('vre plants'!$F$2:$F$10, 'vre plants'!$G$2:$G$10, 'scenario analysis'!N26, 'vre plants'!$C$2:$C$16,"wind_offshore")</f>
        <v>#VALUE!</v>
      </c>
      <c r="P26" s="131" t="e">
        <f>SUMIFS('vre plants'!$F$2:$F$10,'vre plants'!$G$2:$G$10,'scenario analysis'!N26,'vre plants'!$C$2:$C$16,"multi c-Si")</f>
        <v>#VALUE!</v>
      </c>
      <c r="Q26" s="34" t="e">
        <f>SUMIFS('vre plants'!$F$2:$F$10, 'vre plants'!$G$2:$G$10, 'scenario analysis'!N26, 'vre plants'!$C$2:$C$16, "mono c-Si")</f>
        <v>#VALUE!</v>
      </c>
      <c r="R26" s="34" t="e">
        <f>SUMIFS('vre plants'!$F$2:$F$10,'vre plants'!$G$2:$G$10,'scenario analysis'!N26,'vre plants'!$C$2:$C$16,"thin film")</f>
        <v>#VALUE!</v>
      </c>
    </row>
    <row r="27" spans="1:18">
      <c r="A27" t="s">
        <v>291</v>
      </c>
      <c r="C27" s="53">
        <f>COLUMN(C3)-2</f>
        <v>1</v>
      </c>
      <c r="D27" s="53">
        <f>COLUMN(D3)-2</f>
        <v>2</v>
      </c>
      <c r="E27" s="53"/>
      <c r="F27" s="53"/>
      <c r="H27" s="122" t="str">
        <f t="array" ref="H27">IFERROR(INDEX(#REF!, MATCH(0, COUNTIF($H$4:H26,#REF!), 0)), "")</f>
        <v/>
      </c>
      <c r="I27" s="34">
        <f>SUMIFS('vre plants'!$F$2:$F$28,'vre plants'!$G$2:$G$28,'scenario analysis'!H27)+SUMIFS(storage!$E$2:$E$75,storage!$I$2:$I$75,'scenario analysis'!H27)+SUMIFS(EV_aggregator!$E$2:$E$75,EV_aggregator!$I$2:$I$75,'scenario analysis'!H27)+SUMIF('non-vre plants'!G2:G30,H27,'non-vre plants'!F2:F30)</f>
        <v>0</v>
      </c>
      <c r="J27" s="34">
        <f>SUMIF('demand centres'!$C$1:$C$49,'scenario analysis'!H27,'demand centres'!$B$1:$B$49)</f>
        <v>0</v>
      </c>
      <c r="K27" s="34" t="e">
        <f t="array" ref="K27">SUMIF('existing transmission'!#REF!,H27, 'existing transmission'!#REF!)+SUMIF('existing transmission'!#REF!,H27, 'existing transmission'!#REF!)</f>
        <v>#REF!</v>
      </c>
      <c r="L27" s="91" t="e">
        <f t="array" ref="L27">SUMIF('existing transmission'!#REF!,H27, 'existing transmission'!$J$2:$J$2)+SUMIF('existing transmission'!#REF!,H27, 'existing transmission'!$J$2:$J$2)</f>
        <v>#REF!</v>
      </c>
      <c r="M27" s="17"/>
      <c r="N27" s="146" t="str">
        <f t="array" ref="N27">IFERROR(INDEX(#REF!, MATCH(0, COUNTIF($N$4:N26,#REF!), 0)), "")</f>
        <v/>
      </c>
      <c r="O27" s="130" t="e">
        <f>SUMIFS('vre plants'!$F$2:$F$10, 'vre plants'!$G$2:$G$10, 'scenario analysis'!N27, 'vre plants'!$C$2:$C$16, "wind_onshore") +SUMIFS('vre plants'!$F$2:$F$10, 'vre plants'!$G$2:$G$10, 'scenario analysis'!N27, 'vre plants'!$C$2:$C$16,"wind_offshore")</f>
        <v>#VALUE!</v>
      </c>
      <c r="P27" s="131" t="e">
        <f>SUMIFS('vre plants'!$F$2:$F$10,'vre plants'!$G$2:$G$10,'scenario analysis'!N27,'vre plants'!$C$2:$C$16,"multi c-Si")</f>
        <v>#VALUE!</v>
      </c>
      <c r="Q27" s="34" t="e">
        <f>SUMIFS('vre plants'!$F$2:$F$10, 'vre plants'!$G$2:$G$10, 'scenario analysis'!N27, 'vre plants'!$C$2:$C$16, "mono c-Si")</f>
        <v>#VALUE!</v>
      </c>
      <c r="R27" s="34" t="e">
        <f>SUMIFS('vre plants'!$F$2:$F$10,'vre plants'!$G$2:$G$10,'scenario analysis'!N27,'vre plants'!$C$2:$C$16,"thin film")</f>
        <v>#VALUE!</v>
      </c>
    </row>
    <row r="28" spans="1:18">
      <c r="H28" s="122" t="str">
        <f t="array" ref="H28">IFERROR(INDEX(#REF!, MATCH(0, COUNTIF($H$4:H27,#REF!), 0)), "")</f>
        <v/>
      </c>
      <c r="I28" s="162">
        <f>SUMIF('non-vre plants'!K12:K30,H28,'non-vre plants'!N12:N30)</f>
        <v>0</v>
      </c>
      <c r="J28" s="34">
        <f>SUMIF('demand centres'!$C$1:$C$49,'scenario analysis'!H28,'demand centres'!$B$1:$B$49)</f>
        <v>0</v>
      </c>
      <c r="K28" s="34" t="e">
        <f t="array" ref="K28">SUMIF('existing transmission'!#REF!,H28, 'existing transmission'!#REF!)+SUMIF('existing transmission'!#REF!,H28, 'existing transmission'!#REF!)</f>
        <v>#REF!</v>
      </c>
      <c r="L28" s="91" t="e">
        <f t="array" ref="L28">SUMIF('existing transmission'!#REF!,H28, 'existing transmission'!$J$2:$J$2)+SUMIF('existing transmission'!#REF!,H28, 'existing transmission'!$J$2:$J$2)</f>
        <v>#REF!</v>
      </c>
      <c r="M28" s="17"/>
      <c r="N28" s="146" t="str">
        <f t="array" ref="N28">IFERROR(INDEX(#REF!, MATCH(0, COUNTIF($N$4:N27,#REF!), 0)), "")</f>
        <v/>
      </c>
      <c r="O28" s="130" t="e">
        <f>SUMIFS('vre plants'!$F$2:$F$10, 'vre plants'!$G$2:$G$10, 'scenario analysis'!N28, 'vre plants'!$C$2:$C$16, "wind_onshore") +SUMIFS('vre plants'!$F$2:$F$10, 'vre plants'!$G$2:$G$10, 'scenario analysis'!N28, 'vre plants'!$C$2:$C$16,"wind_offshore")</f>
        <v>#VALUE!</v>
      </c>
      <c r="P28" s="131" t="e">
        <f>SUMIFS('vre plants'!$F$2:$F$10,'vre plants'!$G$2:$G$10,'scenario analysis'!N28,'vre plants'!$C$2:$C$16,"multi c-Si")</f>
        <v>#VALUE!</v>
      </c>
      <c r="Q28" s="34" t="e">
        <f>SUMIFS('vre plants'!$F$2:$F$10, 'vre plants'!$G$2:$G$10, 'scenario analysis'!N28, 'vre plants'!$C$2:$C$16, "mono c-Si")</f>
        <v>#VALUE!</v>
      </c>
      <c r="R28" s="34" t="e">
        <f>SUMIFS('vre plants'!$F$2:$F$10,'vre plants'!$G$2:$G$10,'scenario analysis'!N28,'vre plants'!$C$2:$C$16,"thin film")</f>
        <v>#VALUE!</v>
      </c>
    </row>
    <row r="29" spans="1:18">
      <c r="A29" t="s">
        <v>304</v>
      </c>
      <c r="C29" s="42"/>
      <c r="D29" s="42"/>
      <c r="E29" s="42"/>
      <c r="F29" s="42"/>
      <c r="H29" s="122" t="str">
        <f t="array" ref="H29">IFERROR(INDEX(#REF!, MATCH(0, COUNTIF($H$4:H28,#REF!), 0)), "")</f>
        <v/>
      </c>
      <c r="I29" s="34">
        <f>SUMIFS('vre plants'!$F$2:$F$28,'vre plants'!$G$2:$G$28,'scenario analysis'!H29)+SUMIFS(storage!$E$2:$E$75,storage!$I$2:$I$75,'scenario analysis'!H29)+SUMIFS(EV_aggregator!$E$2:$E$75,EV_aggregator!$I$2:$I$75,'scenario analysis'!H29)+SUMIF('non-vre plants'!G2:G30,H29,'non-vre plants'!F2:F30)</f>
        <v>0</v>
      </c>
      <c r="J29" s="34">
        <f>SUMIF('demand centres'!$C$1:$C$49,'scenario analysis'!H29,'demand centres'!$B$1:$B$49)</f>
        <v>0</v>
      </c>
      <c r="K29" s="34" t="e">
        <f t="array" ref="K29">SUMIF('existing transmission'!#REF!,H29, 'existing transmission'!#REF!)+SUMIF('existing transmission'!#REF!,H29, 'existing transmission'!#REF!)</f>
        <v>#REF!</v>
      </c>
      <c r="L29" s="91" t="e">
        <f t="array" ref="L29">SUMIF('existing transmission'!#REF!,H29, 'existing transmission'!$J$2:$J$2)+SUMIF('existing transmission'!#REF!,H29, 'existing transmission'!$J$2:$J$2)</f>
        <v>#REF!</v>
      </c>
      <c r="M29" s="17"/>
      <c r="N29" s="146" t="str">
        <f t="array" ref="N29">IFERROR(INDEX(#REF!, MATCH(0, COUNTIF($N$4:N28,#REF!), 0)), "")</f>
        <v/>
      </c>
      <c r="O29" s="130" t="e">
        <f>SUMIFS('vre plants'!$F$2:$F$10, 'vre plants'!$G$2:$G$10, 'scenario analysis'!N29, 'vre plants'!$C$2:$C$16, "wind_onshore") +SUMIFS('vre plants'!$F$2:$F$10, 'vre plants'!$G$2:$G$10, 'scenario analysis'!N29, 'vre plants'!$C$2:$C$16,"wind_offshore")</f>
        <v>#VALUE!</v>
      </c>
      <c r="P29" s="131" t="e">
        <f>SUMIFS('vre plants'!$F$2:$F$10,'vre plants'!$G$2:$G$10,'scenario analysis'!N29,'vre plants'!$C$2:$C$16,"multi c-Si")</f>
        <v>#VALUE!</v>
      </c>
      <c r="Q29" s="34" t="e">
        <f>SUMIFS('vre plants'!$F$2:$F$10, 'vre plants'!$G$2:$G$10, 'scenario analysis'!N29, 'vre plants'!$C$2:$C$16, "mono c-Si")</f>
        <v>#VALUE!</v>
      </c>
      <c r="R29" s="34" t="e">
        <f>SUMIFS('vre plants'!$F$2:$F$10,'vre plants'!$G$2:$G$10,'scenario analysis'!N29,'vre plants'!$C$2:$C$16,"thin film")</f>
        <v>#VALUE!</v>
      </c>
    </row>
    <row r="30" spans="1:18">
      <c r="C30" s="138" t="e">
        <f t="array" ref="C30">SUM(B5:B25*C5:C25)</f>
        <v>#REF!</v>
      </c>
      <c r="D30" t="e">
        <f t="array" ref="D30">SUM(B5:B25*D5:D25)</f>
        <v>#REF!</v>
      </c>
      <c r="H30" s="122" t="str">
        <f t="array" ref="H30">IFERROR(INDEX(#REF!, MATCH(0, COUNTIF($H$4:H29,#REF!), 0)), "")</f>
        <v/>
      </c>
      <c r="I30" s="34">
        <f>SUMIFS('vre plants'!$F$2:$F$28,'vre plants'!$G$2:$G$28,'scenario analysis'!H30)+SUMIFS(storage!$E$2:$E$75,storage!$I$2:$I$75,'scenario analysis'!H30)+SUMIFS(EV_aggregator!$E$2:$E$75,EV_aggregator!$I$2:$I$75,'scenario analysis'!H30)+SUMIF('non-vre plants'!G2:G30,H30,'non-vre plants'!F2:F30)</f>
        <v>0</v>
      </c>
      <c r="J30" s="34">
        <f>SUMIF('demand centres'!$C$1:$C$49,'scenario analysis'!H30,'demand centres'!$B$1:$B$49)</f>
        <v>0</v>
      </c>
      <c r="K30" s="34" t="e">
        <f t="array" ref="K30">SUMIF('existing transmission'!#REF!,H30, 'existing transmission'!#REF!)+SUMIF('existing transmission'!#REF!,H30, 'existing transmission'!#REF!)</f>
        <v>#REF!</v>
      </c>
      <c r="L30" s="91" t="e">
        <f t="array" ref="L30">SUMIF('existing transmission'!#REF!,H30, 'existing transmission'!$J$2:$J$2)+SUMIF('existing transmission'!#REF!,H30, 'existing transmission'!$J$2:$J$2)</f>
        <v>#REF!</v>
      </c>
      <c r="M30" s="17"/>
      <c r="N30" s="146" t="str">
        <f t="array" ref="N30">IFERROR(INDEX(#REF!, MATCH(0, COUNTIF($N$4:N29,#REF!), 0)), "")</f>
        <v/>
      </c>
      <c r="O30" s="130" t="e">
        <f>SUMIFS('vre plants'!$F$2:$F$10, 'vre plants'!$G$2:$G$10, 'scenario analysis'!N30, 'vre plants'!$C$2:$C$16, "wind_onshore") +SUMIFS('vre plants'!$F$2:$F$10, 'vre plants'!$G$2:$G$10, 'scenario analysis'!N30, 'vre plants'!$C$2:$C$16,"wind_offshore")</f>
        <v>#VALUE!</v>
      </c>
      <c r="P30" s="131" t="e">
        <f>SUMIFS('vre plants'!$F$2:$F$10,'vre plants'!$G$2:$G$10,'scenario analysis'!N30,'vre plants'!$C$2:$C$16,"multi c-Si")</f>
        <v>#VALUE!</v>
      </c>
      <c r="Q30" s="34" t="e">
        <f>SUMIFS('vre plants'!$F$2:$F$10, 'vre plants'!$G$2:$G$10, 'scenario analysis'!N30, 'vre plants'!$C$2:$C$16, "mono c-Si")</f>
        <v>#VALUE!</v>
      </c>
      <c r="R30" s="34" t="e">
        <f>SUMIFS('vre plants'!$F$2:$F$10,'vre plants'!$G$2:$G$10,'scenario analysis'!N30,'vre plants'!$C$2:$C$16,"thin film")</f>
        <v>#VALUE!</v>
      </c>
    </row>
    <row r="31" spans="1:18">
      <c r="C31">
        <v>24470</v>
      </c>
      <c r="D31">
        <v>16022.542122040073</v>
      </c>
      <c r="H31" s="122" t="str">
        <f t="array" ref="H31">IFERROR(INDEX(#REF!, MATCH(0, COUNTIF($H$4:H30,#REF!), 0)), "")</f>
        <v/>
      </c>
      <c r="I31" s="34">
        <f>SUMIFS('vre plants'!$F$2:$F$28,'vre plants'!$G$2:$G$28,'scenario analysis'!H31)+SUMIFS(storage!$E$2:$E$75,storage!$I$2:$I$75,'scenario analysis'!H31)+SUMIFS(EV_aggregator!$E$2:$E$75,EV_aggregator!$I$2:$I$75,'scenario analysis'!H31)+SUMIF('non-vre plants'!G2:G30,H31,'non-vre plants'!F2:F30)</f>
        <v>0</v>
      </c>
      <c r="J31" s="34">
        <f>SUMIF('demand centres'!$C$1:$C$49,'scenario analysis'!H31,'demand centres'!$B$1:$B$49)</f>
        <v>0</v>
      </c>
      <c r="K31" s="34" t="e">
        <f t="array" ref="K31">SUMIF('existing transmission'!#REF!,H31, 'existing transmission'!#REF!)+SUMIF('existing transmission'!#REF!,H31, 'existing transmission'!#REF!)</f>
        <v>#REF!</v>
      </c>
      <c r="L31" s="91" t="e">
        <f t="array" ref="L31">SUMIF('existing transmission'!#REF!,H31, 'existing transmission'!$J$2:$J$2)+SUMIF('existing transmission'!#REF!,H31, 'existing transmission'!$J$2:$J$2)</f>
        <v>#REF!</v>
      </c>
      <c r="M31" s="17"/>
      <c r="N31" s="146" t="str">
        <f t="array" ref="N31">IFERROR(INDEX(#REF!, MATCH(0, COUNTIF($N$4:N30,#REF!), 0)), "")</f>
        <v/>
      </c>
      <c r="O31" s="130" t="e">
        <f>SUMIFS('vre plants'!$F$2:$F$10, 'vre plants'!$G$2:$G$10, 'scenario analysis'!N31, 'vre plants'!$C$2:$C$16, "wind_onshore") +SUMIFS('vre plants'!$F$2:$F$10, 'vre plants'!$G$2:$G$10, 'scenario analysis'!N31, 'vre plants'!$C$2:$C$16,"wind_offshore")</f>
        <v>#VALUE!</v>
      </c>
      <c r="P31" s="131" t="e">
        <f>SUMIFS('vre plants'!$F$2:$F$10,'vre plants'!$G$2:$G$10,'scenario analysis'!N31,'vre plants'!$C$2:$C$16,"multi c-Si")</f>
        <v>#VALUE!</v>
      </c>
      <c r="Q31" s="34" t="e">
        <f>SUMIFS('vre plants'!$F$2:$F$10, 'vre plants'!$G$2:$G$10, 'scenario analysis'!N31, 'vre plants'!$C$2:$C$16, "mono c-Si")</f>
        <v>#VALUE!</v>
      </c>
      <c r="R31" s="34" t="e">
        <f>SUMIFS('vre plants'!$F$2:$F$10,'vre plants'!$G$2:$G$10,'scenario analysis'!N31,'vre plants'!$C$2:$C$16,"thin film")</f>
        <v>#VALUE!</v>
      </c>
    </row>
    <row r="32" spans="1:18">
      <c r="C32" s="164" t="e">
        <f>C30/C31</f>
        <v>#REF!</v>
      </c>
      <c r="D32" s="57" t="e">
        <f>D30/D31</f>
        <v>#REF!</v>
      </c>
      <c r="E32" s="57"/>
      <c r="F32" s="57"/>
      <c r="H32" s="122" t="str">
        <f t="array" ref="H32">IFERROR(INDEX(#REF!, MATCH(0, COUNTIF($H$4:H31,#REF!), 0)), "")</f>
        <v/>
      </c>
      <c r="I32" s="162">
        <f>SUMIF('non-vre plants'!K14:K30,H32,'non-vre plants'!N14:N30)</f>
        <v>0</v>
      </c>
      <c r="J32" s="34">
        <f>SUMIF('demand centres'!$C$1:$C$49,'scenario analysis'!H32,'demand centres'!$B$1:$B$49)</f>
        <v>0</v>
      </c>
      <c r="K32" s="34" t="e">
        <f t="array" ref="K32">SUMIF('existing transmission'!#REF!,H32, 'existing transmission'!#REF!)+SUMIF('existing transmission'!#REF!,H32, 'existing transmission'!#REF!)</f>
        <v>#REF!</v>
      </c>
      <c r="L32" s="91" t="e">
        <f t="array" ref="L32">SUMIF('existing transmission'!#REF!,H32, 'existing transmission'!$J$2:$J$2)+SUMIF('existing transmission'!#REF!,H32, 'existing transmission'!$J$2:$J$2)</f>
        <v>#REF!</v>
      </c>
      <c r="M32" s="17"/>
      <c r="N32" s="146" t="str">
        <f t="array" ref="N32">IFERROR(INDEX(#REF!, MATCH(0, COUNTIF($N$4:N31,#REF!), 0)), "")</f>
        <v/>
      </c>
      <c r="O32" s="130" t="e">
        <f>SUMIFS('vre plants'!$F$2:$F$10, 'vre plants'!$G$2:$G$10, 'scenario analysis'!N32, 'vre plants'!$C$2:$C$16, "wind_onshore") +SUMIFS('vre plants'!$F$2:$F$10, 'vre plants'!$G$2:$G$10, 'scenario analysis'!N32, 'vre plants'!$C$2:$C$16,"wind_offshore")</f>
        <v>#VALUE!</v>
      </c>
      <c r="P32" s="131" t="e">
        <f>SUMIFS('vre plants'!$F$2:$F$10,'vre plants'!$G$2:$G$10,'scenario analysis'!N32,'vre plants'!$C$2:$C$16,"multi c-Si")</f>
        <v>#VALUE!</v>
      </c>
      <c r="Q32" s="34" t="e">
        <f>SUMIFS('vre plants'!$F$2:$F$10, 'vre plants'!$G$2:$G$10, 'scenario analysis'!N32, 'vre plants'!$C$2:$C$16, "mono c-Si")</f>
        <v>#VALUE!</v>
      </c>
      <c r="R32" s="34" t="e">
        <f>SUMIFS('vre plants'!$F$2:$F$10,'vre plants'!$G$2:$G$10,'scenario analysis'!N32,'vre plants'!$C$2:$C$16,"thin film")</f>
        <v>#VALUE!</v>
      </c>
    </row>
    <row r="33" spans="3:18">
      <c r="C33" s="42"/>
      <c r="D33" s="57"/>
      <c r="E33" s="57"/>
      <c r="F33" s="57"/>
      <c r="H33" s="122" t="str">
        <f t="array" ref="H33">IFERROR(INDEX(#REF!, MATCH(0, COUNTIF($H$4:H32,#REF!), 0)), "")</f>
        <v/>
      </c>
      <c r="I33" s="34">
        <f>SUMIFS('vre plants'!$F$2:$F$28,'vre plants'!$G$2:$G$28,'scenario analysis'!H33)+SUMIFS(storage!$E$2:$E$75,storage!$I$2:$I$75,'scenario analysis'!H33)+SUMIFS(EV_aggregator!$E$2:$E$75,EV_aggregator!$I$2:$I$75,'scenario analysis'!H33)+SUMIF('non-vre plants'!G2:G30,H33,'non-vre plants'!F2:F30)</f>
        <v>0</v>
      </c>
      <c r="J33" s="34">
        <f>SUMIF('demand centres'!$C$1:$C$49,'scenario analysis'!H33,'demand centres'!$B$1:$B$49)</f>
        <v>0</v>
      </c>
      <c r="K33" s="34" t="e">
        <f t="array" ref="K33">SUMIF('existing transmission'!#REF!,H33, 'existing transmission'!#REF!)+SUMIF('existing transmission'!#REF!,H33, 'existing transmission'!#REF!)</f>
        <v>#REF!</v>
      </c>
      <c r="L33" s="91" t="e">
        <f t="array" ref="L33">SUMIF('existing transmission'!#REF!,H33, 'existing transmission'!$J$2:$J$2)+SUMIF('existing transmission'!#REF!,H33, 'existing transmission'!$J$2:$J$2)</f>
        <v>#REF!</v>
      </c>
      <c r="N33" s="146" t="str">
        <f t="array" ref="N33">IFERROR(INDEX(#REF!, MATCH(0, COUNTIF($N$4:N32,#REF!), 0)), "")</f>
        <v/>
      </c>
      <c r="O33" s="130" t="e">
        <f>SUMIFS('vre plants'!$F$2:$F$10, 'vre plants'!$G$2:$G$10, 'scenario analysis'!N33, 'vre plants'!$C$2:$C$16, "wind_onshore") +SUMIFS('vre plants'!$F$2:$F$10, 'vre plants'!$G$2:$G$10, 'scenario analysis'!N33, 'vre plants'!$C$2:$C$16,"wind_offshore")</f>
        <v>#VALUE!</v>
      </c>
      <c r="P33" s="131" t="e">
        <f>SUMIFS('vre plants'!$F$2:$F$10,'vre plants'!$G$2:$G$10,'scenario analysis'!N33,'vre plants'!$C$2:$C$16,"multi c-Si")</f>
        <v>#VALUE!</v>
      </c>
      <c r="Q33" s="34" t="e">
        <f>SUMIFS('vre plants'!$F$2:$F$10, 'vre plants'!$G$2:$G$10, 'scenario analysis'!N33, 'vre plants'!$C$2:$C$16, "mono c-Si")</f>
        <v>#VALUE!</v>
      </c>
      <c r="R33" s="34" t="e">
        <f>SUMIFS('vre plants'!$F$2:$F$10,'vre plants'!$G$2:$G$10,'scenario analysis'!N33,'vre plants'!$C$2:$C$16,"thin film")</f>
        <v>#VALUE!</v>
      </c>
    </row>
    <row r="34" spans="3:18">
      <c r="C34" s="42"/>
      <c r="H34" s="122" t="str">
        <f t="array" ref="H34">IFERROR(INDEX(#REF!, MATCH(0, COUNTIF($H$4:H33,#REF!), 0)), "")</f>
        <v/>
      </c>
      <c r="I34" s="34">
        <f>SUMIFS('vre plants'!$F$2:$F$28,'vre plants'!$G$2:$G$28,'scenario analysis'!H34)+SUMIFS(storage!$E$2:$E$75,storage!$I$2:$I$75,'scenario analysis'!H34)+SUMIFS(EV_aggregator!$E$2:$E$75,EV_aggregator!$I$2:$I$75,'scenario analysis'!H34)+SUMIF('non-vre plants'!G2:G30,H34,'non-vre plants'!F2:F30)</f>
        <v>0</v>
      </c>
      <c r="J34" s="34">
        <f>SUMIF('demand centres'!$C$1:$C$49,'scenario analysis'!H34,'demand centres'!$B$1:$B$49)</f>
        <v>0</v>
      </c>
      <c r="K34" s="34" t="e">
        <f t="array" ref="K34">SUMIF('existing transmission'!#REF!,H34, 'existing transmission'!#REF!)+SUMIF('existing transmission'!#REF!,H34, 'existing transmission'!#REF!)</f>
        <v>#REF!</v>
      </c>
      <c r="L34" s="91" t="e">
        <f t="array" ref="L34">SUMIF('existing transmission'!#REF!,H34, 'existing transmission'!$J$2:$J$2)+SUMIF('existing transmission'!#REF!,H34, 'existing transmission'!$J$2:$J$2)</f>
        <v>#REF!</v>
      </c>
      <c r="N34" s="146" t="str">
        <f t="array" ref="N34">IFERROR(INDEX(#REF!, MATCH(0, COUNTIF($N$4:N33,#REF!), 0)), "")</f>
        <v/>
      </c>
      <c r="O34" s="130" t="e">
        <f>SUMIFS('vre plants'!$F$2:$F$10, 'vre plants'!$G$2:$G$10, 'scenario analysis'!N34, 'vre plants'!$C$2:$C$16, "wind_onshore") +SUMIFS('vre plants'!$F$2:$F$10, 'vre plants'!$G$2:$G$10, 'scenario analysis'!N34, 'vre plants'!$C$2:$C$16,"wind_offshore")</f>
        <v>#VALUE!</v>
      </c>
      <c r="P34" s="131" t="e">
        <f>SUMIFS('vre plants'!$F$2:$F$10,'vre plants'!$G$2:$G$10,'scenario analysis'!N34,'vre plants'!$C$2:$C$16,"multi c-Si")</f>
        <v>#VALUE!</v>
      </c>
      <c r="Q34" s="34" t="e">
        <f>SUMIFS('vre plants'!$F$2:$F$10, 'vre plants'!$G$2:$G$10, 'scenario analysis'!N34, 'vre plants'!$C$2:$C$16, "mono c-Si")</f>
        <v>#VALUE!</v>
      </c>
      <c r="R34" s="34" t="e">
        <f>SUMIFS('vre plants'!$F$2:$F$10,'vre plants'!$G$2:$G$10,'scenario analysis'!N34,'vre plants'!$C$2:$C$16,"thin film")</f>
        <v>#VALUE!</v>
      </c>
    </row>
    <row r="35" spans="3:18">
      <c r="C35" s="42"/>
      <c r="H35" s="122" t="str">
        <f t="array" ref="H35">IFERROR(INDEX(#REF!, MATCH(0, COUNTIF($H$4:H34,#REF!), 0)), "")</f>
        <v/>
      </c>
      <c r="I35" s="162">
        <f>SUMIF('non-vre plants'!K15:K30,H35,'non-vre plants'!N15:N30)</f>
        <v>0</v>
      </c>
      <c r="J35" s="34">
        <f>SUMIF('demand centres'!$C$1:$C$49,'scenario analysis'!H35,'demand centres'!$B$1:$B$49)</f>
        <v>0</v>
      </c>
      <c r="K35" s="34" t="e">
        <f t="array" ref="K35">SUMIF('existing transmission'!#REF!,H35, 'existing transmission'!#REF!)+SUMIF('existing transmission'!#REF!,H35, 'existing transmission'!#REF!)</f>
        <v>#REF!</v>
      </c>
      <c r="L35" s="91" t="e">
        <f t="array" ref="L35">SUMIF('existing transmission'!#REF!,H35, 'existing transmission'!$J$2:$J$2)+SUMIF('existing transmission'!#REF!,H35, 'existing transmission'!$J$2:$J$2)</f>
        <v>#REF!</v>
      </c>
      <c r="N35" s="146" t="str">
        <f t="array" ref="N35">IFERROR(INDEX(#REF!, MATCH(0, COUNTIF($N$4:N34,#REF!), 0)), "")</f>
        <v/>
      </c>
      <c r="O35" s="130" t="e">
        <f>SUMIFS('vre plants'!$F$2:$F$10, 'vre plants'!$G$2:$G$10, 'scenario analysis'!N35, 'vre plants'!$C$2:$C$16, "wind_onshore") +SUMIFS('vre plants'!$F$2:$F$10, 'vre plants'!$G$2:$G$10, 'scenario analysis'!N35, 'vre plants'!$C$2:$C$16,"wind_offshore")</f>
        <v>#VALUE!</v>
      </c>
      <c r="P35" s="131" t="e">
        <f>SUMIFS('vre plants'!$F$2:$F$10,'vre plants'!$G$2:$G$10,'scenario analysis'!N35,'vre plants'!$C$2:$C$16,"multi c-Si")</f>
        <v>#VALUE!</v>
      </c>
      <c r="Q35" s="34" t="e">
        <f>SUMIFS('vre plants'!$F$2:$F$10, 'vre plants'!$G$2:$G$10, 'scenario analysis'!N35, 'vre plants'!$C$2:$C$16, "mono c-Si")</f>
        <v>#VALUE!</v>
      </c>
      <c r="R35" s="34" t="e">
        <f>SUMIFS('vre plants'!$F$2:$F$10,'vre plants'!$G$2:$G$10,'scenario analysis'!N35,'vre plants'!$C$2:$C$16,"thin film")</f>
        <v>#VALUE!</v>
      </c>
    </row>
    <row r="36" spans="3:18">
      <c r="C36" s="42"/>
      <c r="H36" s="122" t="str">
        <f t="array" ref="H36">IFERROR(INDEX(#REF!, MATCH(0, COUNTIF($H$4:H35,#REF!), 0)), "")</f>
        <v/>
      </c>
      <c r="I36" s="34">
        <f>SUMIFS('vre plants'!$F$2:$F$28,'vre plants'!$G$2:$G$28,'scenario analysis'!H36)+SUMIFS(storage!$E$2:$E$75,storage!$I$2:$I$75,'scenario analysis'!H36)+SUMIFS(EV_aggregator!$E$2:$E$75,EV_aggregator!$I$2:$I$75,'scenario analysis'!H36)+SUMIF('non-vre plants'!G2:G30,H36,'non-vre plants'!F2:F30)</f>
        <v>0</v>
      </c>
      <c r="J36" s="34">
        <f>SUMIF('demand centres'!$C$1:$C$49,'scenario analysis'!H36,'demand centres'!$B$1:$B$49)</f>
        <v>0</v>
      </c>
      <c r="K36" s="34" t="e">
        <f t="array" ref="K36">SUMIF('existing transmission'!#REF!,H36, 'existing transmission'!#REF!)+SUMIF('existing transmission'!#REF!,H36, 'existing transmission'!#REF!)</f>
        <v>#REF!</v>
      </c>
      <c r="L36" s="91" t="e">
        <f t="array" ref="L36">SUMIF('existing transmission'!#REF!,H36, 'existing transmission'!$J$2:$J$2)+SUMIF('existing transmission'!#REF!,H36, 'existing transmission'!$J$2:$J$2)</f>
        <v>#REF!</v>
      </c>
      <c r="N36" s="146" t="str">
        <f t="array" ref="N36">IFERROR(INDEX(#REF!, MATCH(0, COUNTIF($N$4:N35,#REF!), 0)), "")</f>
        <v/>
      </c>
      <c r="O36" s="130" t="e">
        <f>SUMIFS('vre plants'!$F$2:$F$10, 'vre plants'!$G$2:$G$10, 'scenario analysis'!N36, 'vre plants'!$C$2:$C$16, "wind_onshore") +SUMIFS('vre plants'!$F$2:$F$10, 'vre plants'!$G$2:$G$10, 'scenario analysis'!N36, 'vre plants'!$C$2:$C$16,"wind_offshore")</f>
        <v>#VALUE!</v>
      </c>
      <c r="P36" s="131" t="e">
        <f>SUMIFS('vre plants'!$F$2:$F$10,'vre plants'!$G$2:$G$10,'scenario analysis'!N36,'vre plants'!$C$2:$C$16,"multi c-Si")</f>
        <v>#VALUE!</v>
      </c>
      <c r="Q36" s="34" t="e">
        <f>SUMIFS('vre plants'!$F$2:$F$10, 'vre plants'!$G$2:$G$10, 'scenario analysis'!N36, 'vre plants'!$C$2:$C$16, "mono c-Si")</f>
        <v>#VALUE!</v>
      </c>
      <c r="R36" s="34" t="e">
        <f>SUMIFS('vre plants'!$F$2:$F$10,'vre plants'!$G$2:$G$10,'scenario analysis'!N36,'vre plants'!$C$2:$C$16,"thin film")</f>
        <v>#VALUE!</v>
      </c>
    </row>
    <row r="37" spans="3:18">
      <c r="C37" s="42"/>
      <c r="H37" s="122" t="str">
        <f t="array" ref="H37">IFERROR(INDEX(#REF!, MATCH(0, COUNTIF($H$4:H36,#REF!), 0)), "")</f>
        <v/>
      </c>
      <c r="I37" s="162">
        <f>SUMIF('non-vre plants'!K17:K30,H37,'non-vre plants'!N17:N30)</f>
        <v>0</v>
      </c>
      <c r="J37" s="34">
        <f>SUMIF('demand centres'!$C$1:$C$49,'scenario analysis'!H37,'demand centres'!$B$1:$B$49)</f>
        <v>0</v>
      </c>
      <c r="K37" s="34" t="e">
        <f t="array" ref="K37">SUMIF('existing transmission'!#REF!,H37, 'existing transmission'!#REF!)+SUMIF('existing transmission'!#REF!,H37, 'existing transmission'!#REF!)</f>
        <v>#REF!</v>
      </c>
      <c r="L37" s="91" t="e">
        <f t="array" ref="L37">SUMIF('existing transmission'!#REF!,H37, 'existing transmission'!$J$2:$J$2)+SUMIF('existing transmission'!#REF!,H37, 'existing transmission'!$J$2:$J$2)</f>
        <v>#REF!</v>
      </c>
      <c r="N37" s="146" t="str">
        <f t="array" ref="N37">IFERROR(INDEX(#REF!, MATCH(0, COUNTIF($N$4:N36,#REF!), 0)), "")</f>
        <v/>
      </c>
      <c r="O37" s="130" t="e">
        <f>SUMIFS('vre plants'!$F$2:$F$10, 'vre plants'!$G$2:$G$10, 'scenario analysis'!N37, 'vre plants'!$C$2:$C$16, "wind_onshore") +SUMIFS('vre plants'!$F$2:$F$10, 'vre plants'!$G$2:$G$10, 'scenario analysis'!N37, 'vre plants'!$C$2:$C$16,"wind_offshore")</f>
        <v>#VALUE!</v>
      </c>
      <c r="P37" s="131" t="e">
        <f>SUMIFS('vre plants'!$F$2:$F$10,'vre plants'!$G$2:$G$10,'scenario analysis'!N37,'vre plants'!$C$2:$C$16,"multi c-Si")</f>
        <v>#VALUE!</v>
      </c>
      <c r="Q37" s="34" t="e">
        <f>SUMIFS('vre plants'!$F$2:$F$10, 'vre plants'!$G$2:$G$10, 'scenario analysis'!N37, 'vre plants'!$C$2:$C$16, "mono c-Si")</f>
        <v>#VALUE!</v>
      </c>
      <c r="R37" s="34" t="e">
        <f>SUMIFS('vre plants'!$F$2:$F$10,'vre plants'!$G$2:$G$10,'scenario analysis'!N37,'vre plants'!$C$2:$C$16,"thin film")</f>
        <v>#VALUE!</v>
      </c>
    </row>
    <row r="38" spans="3:18">
      <c r="H38" s="122" t="str">
        <f t="array" ref="H38">IFERROR(INDEX(#REF!, MATCH(0, COUNTIF($H$4:H37,#REF!), 0)), "")</f>
        <v/>
      </c>
      <c r="I38" s="162">
        <f>SUMIF('non-vre plants'!K18:K30,H38,'non-vre plants'!N18:N30)</f>
        <v>0</v>
      </c>
      <c r="J38" s="34">
        <f>SUMIF('demand centres'!$C$1:$C$49,'scenario analysis'!H38,'demand centres'!$B$1:$B$49)</f>
        <v>0</v>
      </c>
      <c r="K38" s="34" t="e">
        <f t="array" ref="K38">SUMIF('existing transmission'!#REF!,H38, 'existing transmission'!#REF!)+SUMIF('existing transmission'!#REF!,H38, 'existing transmission'!#REF!)</f>
        <v>#REF!</v>
      </c>
      <c r="L38" s="91" t="e">
        <f t="array" ref="L38">SUMIF('existing transmission'!#REF!,H38, 'existing transmission'!$J$2:$J$2)+SUMIF('existing transmission'!#REF!,H38, 'existing transmission'!$J$2:$J$2)</f>
        <v>#REF!</v>
      </c>
      <c r="N38" s="146" t="str">
        <f t="array" ref="N38">IFERROR(INDEX(#REF!, MATCH(0, COUNTIF($N$4:N37,#REF!), 0)), "")</f>
        <v/>
      </c>
      <c r="O38" s="130" t="e">
        <f>SUMIFS('vre plants'!$F$2:$F$10, 'vre plants'!$G$2:$G$10, 'scenario analysis'!N38, 'vre plants'!$C$2:$C$16, "wind_onshore") +SUMIFS('vre plants'!$F$2:$F$10, 'vre plants'!$G$2:$G$10, 'scenario analysis'!N38, 'vre plants'!$C$2:$C$16,"wind_offshore")</f>
        <v>#VALUE!</v>
      </c>
      <c r="P38" s="131" t="e">
        <f>SUMIFS('vre plants'!$F$2:$F$10,'vre plants'!$G$2:$G$10,'scenario analysis'!N38,'vre plants'!$C$2:$C$16,"multi c-Si")</f>
        <v>#VALUE!</v>
      </c>
      <c r="Q38" s="34" t="e">
        <f>SUMIFS('vre plants'!$F$2:$F$10, 'vre plants'!$G$2:$G$10, 'scenario analysis'!N38, 'vre plants'!$C$2:$C$16, "mono c-Si")</f>
        <v>#VALUE!</v>
      </c>
      <c r="R38" s="34" t="e">
        <f>SUMIFS('vre plants'!$F$2:$F$10,'vre plants'!$G$2:$G$10,'scenario analysis'!N38,'vre plants'!$C$2:$C$16,"thin film")</f>
        <v>#VALUE!</v>
      </c>
    </row>
    <row r="39" spans="3:18">
      <c r="H39" s="122" t="str">
        <f t="array" ref="H39">IFERROR(INDEX(#REF!, MATCH(0, COUNTIF($H$4:H38,#REF!), 0)), "")</f>
        <v/>
      </c>
      <c r="I39" s="162">
        <f>SUMIF('non-vre plants'!K18:K30,H39,'non-vre plants'!N18:N30)</f>
        <v>0</v>
      </c>
      <c r="J39" s="34">
        <f>SUMIF('demand centres'!$C$1:$C$49,'scenario analysis'!H39,'demand centres'!$B$1:$B$49)</f>
        <v>0</v>
      </c>
      <c r="K39" s="34" t="e">
        <f t="array" ref="K39">SUMIF('existing transmission'!#REF!,H39, 'existing transmission'!#REF!)+SUMIF('existing transmission'!#REF!,H39, 'existing transmission'!#REF!)</f>
        <v>#REF!</v>
      </c>
      <c r="L39" s="91" t="e">
        <f t="array" ref="L39">SUMIF('existing transmission'!#REF!,H39, 'existing transmission'!$J$2:$J$2)+SUMIF('existing transmission'!#REF!,H39, 'existing transmission'!$J$2:$J$2)</f>
        <v>#REF!</v>
      </c>
      <c r="N39" s="146" t="str">
        <f t="array" ref="N39">IFERROR(INDEX(#REF!, MATCH(0, COUNTIF($N$4:N38,#REF!), 0)), "")</f>
        <v/>
      </c>
      <c r="O39" s="130" t="e">
        <f>SUMIFS('vre plants'!$F$2:$F$10, 'vre plants'!$G$2:$G$10, 'scenario analysis'!N39, 'vre plants'!$C$2:$C$16, "wind_onshore") +SUMIFS('vre plants'!$F$2:$F$10, 'vre plants'!$G$2:$G$10, 'scenario analysis'!N39, 'vre plants'!$C$2:$C$16,"wind_offshore")</f>
        <v>#VALUE!</v>
      </c>
      <c r="P39" s="131" t="e">
        <f>SUMIFS('vre plants'!$F$2:$F$10,'vre plants'!$G$2:$G$10,'scenario analysis'!N39,'vre plants'!$C$2:$C$16,"multi c-Si")</f>
        <v>#VALUE!</v>
      </c>
      <c r="Q39" s="34" t="e">
        <f>SUMIFS('vre plants'!$F$2:$F$10, 'vre plants'!$G$2:$G$10, 'scenario analysis'!N39, 'vre plants'!$C$2:$C$16, "mono c-Si")</f>
        <v>#VALUE!</v>
      </c>
      <c r="R39" s="34" t="e">
        <f>SUMIFS('vre plants'!$F$2:$F$10,'vre plants'!$G$2:$G$10,'scenario analysis'!N39,'vre plants'!$C$2:$C$16,"thin film")</f>
        <v>#VALUE!</v>
      </c>
    </row>
    <row r="40" spans="3:18">
      <c r="H40" s="122" t="str">
        <f t="array" ref="H40">IFERROR(INDEX(#REF!, MATCH(0, COUNTIF($H$4:H39,#REF!), 0)), "")</f>
        <v/>
      </c>
      <c r="I40" s="162">
        <f>SUMIF('non-vre plants'!K18:K30,H40,'non-vre plants'!N18:N30)</f>
        <v>0</v>
      </c>
      <c r="J40" s="34">
        <f>SUMIF('demand centres'!$C$1:$C$49,'scenario analysis'!H40,'demand centres'!$B$1:$B$49)</f>
        <v>0</v>
      </c>
      <c r="K40" s="34" t="e">
        <f t="array" ref="K40">SUMIF('existing transmission'!#REF!,H40, 'existing transmission'!#REF!)+SUMIF('existing transmission'!#REF!,H40, 'existing transmission'!#REF!)</f>
        <v>#REF!</v>
      </c>
      <c r="L40" s="91" t="e">
        <f t="array" ref="L40">SUMIF('existing transmission'!#REF!,H40, 'existing transmission'!$J$2:$J$2)+SUMIF('existing transmission'!#REF!,H40, 'existing transmission'!$J$2:$J$2)</f>
        <v>#REF!</v>
      </c>
      <c r="N40" s="146" t="str">
        <f t="array" ref="N40">IFERROR(INDEX(#REF!, MATCH(0, COUNTIF($N$4:N39,#REF!), 0)), "")</f>
        <v/>
      </c>
      <c r="O40" s="130" t="e">
        <f>SUMIFS('vre plants'!$F$2:$F$10, 'vre plants'!$G$2:$G$10, 'scenario analysis'!N40, 'vre plants'!$C$2:$C$16, "wind_onshore") +SUMIFS('vre plants'!$F$2:$F$10, 'vre plants'!$G$2:$G$10, 'scenario analysis'!N40, 'vre plants'!$C$2:$C$16,"wind_offshore")</f>
        <v>#VALUE!</v>
      </c>
      <c r="P40" s="131" t="e">
        <f>SUMIFS('vre plants'!$F$2:$F$10,'vre plants'!$G$2:$G$10,'scenario analysis'!N40,'vre plants'!$C$2:$C$16,"multi c-Si")</f>
        <v>#VALUE!</v>
      </c>
      <c r="Q40" s="34" t="e">
        <f>SUMIFS('vre plants'!$F$2:$F$10, 'vre plants'!$G$2:$G$10, 'scenario analysis'!N40, 'vre plants'!$C$2:$C$16, "mono c-Si")</f>
        <v>#VALUE!</v>
      </c>
      <c r="R40" s="34" t="e">
        <f>SUMIFS('vre plants'!$F$2:$F$10,'vre plants'!$G$2:$G$10,'scenario analysis'!N40,'vre plants'!$C$2:$C$16,"thin film")</f>
        <v>#VALUE!</v>
      </c>
    </row>
    <row r="41" spans="3:18">
      <c r="H41" s="122" t="str">
        <f t="array" ref="H41">IFERROR(INDEX(#REF!, MATCH(0, COUNTIF($H$4:H40,#REF!), 0)), "")</f>
        <v/>
      </c>
      <c r="I41" s="34">
        <f>SUMIFS('vre plants'!$F$2:$F$28,'vre plants'!$G$2:$G$28,'scenario analysis'!H41)+SUMIFS(storage!$E$2:$E$75,storage!$I$2:$I$75,'scenario analysis'!H41)+SUMIFS(EV_aggregator!$E$2:$E$75,EV_aggregator!$I$2:$I$75,'scenario analysis'!H41)+SUMIF('non-vre plants'!G2:G30,H41,'non-vre plants'!F2:F30)</f>
        <v>0</v>
      </c>
      <c r="J41" s="34">
        <f>SUMIF('demand centres'!$C$1:$C$49,'scenario analysis'!H41,'demand centres'!$B$1:$B$49)</f>
        <v>0</v>
      </c>
      <c r="K41" s="34" t="e">
        <f t="array" ref="K41">SUMIF('existing transmission'!#REF!,H41, 'existing transmission'!#REF!)+SUMIF('existing transmission'!#REF!,H41, 'existing transmission'!#REF!)</f>
        <v>#REF!</v>
      </c>
      <c r="L41" s="91" t="e">
        <f t="array" ref="L41">SUMIF('existing transmission'!#REF!,H41, 'existing transmission'!$J$2:$J$2)+SUMIF('existing transmission'!#REF!,H41, 'existing transmission'!$J$2:$J$2)</f>
        <v>#REF!</v>
      </c>
      <c r="N41" s="146" t="str">
        <f t="array" ref="N41">IFERROR(INDEX(#REF!, MATCH(0, COUNTIF($N$4:N40,#REF!), 0)), "")</f>
        <v/>
      </c>
      <c r="O41" s="130" t="e">
        <f>SUMIFS('vre plants'!$F$2:$F$10, 'vre plants'!$G$2:$G$10, 'scenario analysis'!N41, 'vre plants'!$C$2:$C$16, "wind_onshore") +SUMIFS('vre plants'!$F$2:$F$10, 'vre plants'!$G$2:$G$10, 'scenario analysis'!N41, 'vre plants'!$C$2:$C$16,"wind_offshore")</f>
        <v>#VALUE!</v>
      </c>
      <c r="P41" s="131" t="e">
        <f>SUMIFS('vre plants'!$F$2:$F$10,'vre plants'!$G$2:$G$10,'scenario analysis'!N41,'vre plants'!$C$2:$C$16,"multi c-Si")</f>
        <v>#VALUE!</v>
      </c>
      <c r="Q41" s="34" t="e">
        <f>SUMIFS('vre plants'!$F$2:$F$10, 'vre plants'!$G$2:$G$10, 'scenario analysis'!N41, 'vre plants'!$C$2:$C$16, "mono c-Si")</f>
        <v>#VALUE!</v>
      </c>
      <c r="R41" s="34" t="e">
        <f>SUMIFS('vre plants'!$F$2:$F$10,'vre plants'!$G$2:$G$10,'scenario analysis'!N41,'vre plants'!$C$2:$C$16,"thin film")</f>
        <v>#VALUE!</v>
      </c>
    </row>
    <row r="42" spans="3:18">
      <c r="H42" s="122" t="str">
        <f t="array" ref="H42">IFERROR(INDEX(#REF!, MATCH(0, COUNTIF($H$4:H41,#REF!), 0)), "")</f>
        <v/>
      </c>
      <c r="I42" s="162">
        <f>SUMIF('non-vre plants'!K20:K30,H42,'non-vre plants'!N20:N30)</f>
        <v>0</v>
      </c>
      <c r="J42" s="34">
        <f>SUMIF('demand centres'!$C$1:$C$49,'scenario analysis'!H42,'demand centres'!$B$1:$B$49)</f>
        <v>0</v>
      </c>
      <c r="K42" s="34" t="e">
        <f t="array" ref="K42">SUMIF('existing transmission'!#REF!,H42, 'existing transmission'!#REF!)+SUMIF('existing transmission'!#REF!,H42, 'existing transmission'!#REF!)</f>
        <v>#REF!</v>
      </c>
      <c r="L42" s="91" t="e">
        <f t="array" ref="L42">SUMIF('existing transmission'!#REF!,H42, 'existing transmission'!$J$2:$J$2)+SUMIF('existing transmission'!#REF!,H42, 'existing transmission'!$J$2:$J$2)</f>
        <v>#REF!</v>
      </c>
      <c r="N42" s="146" t="str">
        <f t="array" ref="N42">IFERROR(INDEX(#REF!, MATCH(0, COUNTIF($N$4:N41,#REF!), 0)), "")</f>
        <v/>
      </c>
      <c r="O42" s="130" t="e">
        <f>SUMIFS('vre plants'!$F$2:$F$10, 'vre plants'!$G$2:$G$10, 'scenario analysis'!N42, 'vre plants'!$C$2:$C$16, "wind_onshore") +SUMIFS('vre plants'!$F$2:$F$10, 'vre plants'!$G$2:$G$10, 'scenario analysis'!N42, 'vre plants'!$C$2:$C$16,"wind_offshore")</f>
        <v>#VALUE!</v>
      </c>
      <c r="P42" s="131" t="e">
        <f>SUMIFS('vre plants'!$F$2:$F$10,'vre plants'!$G$2:$G$10,'scenario analysis'!N42,'vre plants'!$C$2:$C$16,"multi c-Si")</f>
        <v>#VALUE!</v>
      </c>
      <c r="Q42" s="34" t="e">
        <f>SUMIFS('vre plants'!$F$2:$F$10, 'vre plants'!$G$2:$G$10, 'scenario analysis'!N42, 'vre plants'!$C$2:$C$16, "mono c-Si")</f>
        <v>#VALUE!</v>
      </c>
      <c r="R42" s="34" t="e">
        <f>SUMIFS('vre plants'!$F$2:$F$10,'vre plants'!$G$2:$G$10,'scenario analysis'!N42,'vre plants'!$C$2:$C$16,"thin film")</f>
        <v>#VALUE!</v>
      </c>
    </row>
    <row r="43" spans="3:18">
      <c r="H43" s="122" t="str">
        <f t="array" ref="H43">IFERROR(INDEX(#REF!, MATCH(0, COUNTIF($H$4:H42,#REF!), 0)), "")</f>
        <v/>
      </c>
      <c r="I43" s="162">
        <f>SUMIF('non-vre plants'!K21:K30,H43,'non-vre plants'!N21:N30)</f>
        <v>0</v>
      </c>
      <c r="J43" s="34">
        <f>SUMIF('demand centres'!$C$1:$C$49,'scenario analysis'!H43,'demand centres'!$B$1:$B$49)</f>
        <v>0</v>
      </c>
      <c r="K43" s="34" t="e">
        <f t="array" ref="K43">SUMIF('existing transmission'!#REF!,H43, 'existing transmission'!#REF!)+SUMIF('existing transmission'!#REF!,H43, 'existing transmission'!#REF!)</f>
        <v>#REF!</v>
      </c>
      <c r="L43" s="91" t="e">
        <f t="array" ref="L43">SUMIF('existing transmission'!#REF!,H43, 'existing transmission'!$J$2:$J$2)+SUMIF('existing transmission'!#REF!,H43, 'existing transmission'!$J$2:$J$2)</f>
        <v>#REF!</v>
      </c>
      <c r="N43" s="146" t="str">
        <f t="array" ref="N43">IFERROR(INDEX(#REF!, MATCH(0, COUNTIF($N$4:N42,#REF!), 0)), "")</f>
        <v/>
      </c>
      <c r="O43" s="130" t="e">
        <f>SUMIFS('vre plants'!$F$2:$F$10, 'vre plants'!$G$2:$G$10, 'scenario analysis'!N43, 'vre plants'!$C$2:$C$16, "wind_onshore") +SUMIFS('vre plants'!$F$2:$F$10, 'vre plants'!$G$2:$G$10, 'scenario analysis'!N43, 'vre plants'!$C$2:$C$16,"wind_offshore")</f>
        <v>#VALUE!</v>
      </c>
      <c r="P43" s="131" t="e">
        <f>SUMIFS('vre plants'!$F$2:$F$10,'vre plants'!$G$2:$G$10,'scenario analysis'!N43,'vre plants'!$C$2:$C$16,"multi c-Si")</f>
        <v>#VALUE!</v>
      </c>
      <c r="Q43" s="34" t="e">
        <f>SUMIFS('vre plants'!$F$2:$F$10, 'vre plants'!$G$2:$G$10, 'scenario analysis'!N43, 'vre plants'!$C$2:$C$16, "mono c-Si")</f>
        <v>#VALUE!</v>
      </c>
      <c r="R43" s="34" t="e">
        <f>SUMIFS('vre plants'!$F$2:$F$10,'vre plants'!$G$2:$G$10,'scenario analysis'!N43,'vre plants'!$C$2:$C$16,"thin film")</f>
        <v>#VALUE!</v>
      </c>
    </row>
    <row r="44" spans="3:18">
      <c r="H44" s="122" t="str">
        <f t="array" ref="H44">IFERROR(INDEX(#REF!, MATCH(0, COUNTIF($H$4:H43,#REF!), 0)), "")</f>
        <v/>
      </c>
      <c r="I44" s="162">
        <f>SUMIF('non-vre plants'!K22:K30,H44,'non-vre plants'!N22:N30)</f>
        <v>0</v>
      </c>
      <c r="J44" s="34">
        <f>SUMIF('demand centres'!$C$1:$C$49,'scenario analysis'!H44,'demand centres'!$B$1:$B$49)</f>
        <v>0</v>
      </c>
      <c r="K44" s="34" t="e">
        <f t="array" ref="K44">SUMIF('existing transmission'!#REF!,H44, 'existing transmission'!#REF!)+SUMIF('existing transmission'!#REF!,H44, 'existing transmission'!#REF!)</f>
        <v>#REF!</v>
      </c>
      <c r="L44" s="91" t="e">
        <f t="array" ref="L44">SUMIF('existing transmission'!#REF!,H44, 'existing transmission'!$J$2:$J$2)+SUMIF('existing transmission'!#REF!,H44, 'existing transmission'!$J$2:$J$2)</f>
        <v>#REF!</v>
      </c>
      <c r="N44" s="146" t="str">
        <f t="array" ref="N44">IFERROR(INDEX(#REF!, MATCH(0, COUNTIF($N$4:N43,#REF!), 0)), "")</f>
        <v/>
      </c>
      <c r="O44" s="130" t="e">
        <f>SUMIFS('vre plants'!$F$2:$F$10, 'vre plants'!$G$2:$G$10, 'scenario analysis'!N44, 'vre plants'!$C$2:$C$16, "wind_onshore") +SUMIFS('vre plants'!$F$2:$F$10, 'vre plants'!$G$2:$G$10, 'scenario analysis'!N44, 'vre plants'!$C$2:$C$16,"wind_offshore")</f>
        <v>#VALUE!</v>
      </c>
      <c r="P44" s="131" t="e">
        <f>SUMIFS('vre plants'!$F$2:$F$10,'vre plants'!$G$2:$G$10,'scenario analysis'!N44,'vre plants'!$C$2:$C$16,"multi c-Si")</f>
        <v>#VALUE!</v>
      </c>
      <c r="Q44" s="34" t="e">
        <f>SUMIFS('vre plants'!$F$2:$F$10, 'vre plants'!$G$2:$G$10, 'scenario analysis'!N44, 'vre plants'!$C$2:$C$16, "mono c-Si")</f>
        <v>#VALUE!</v>
      </c>
      <c r="R44" s="34" t="e">
        <f>SUMIFS('vre plants'!$F$2:$F$10,'vre plants'!$G$2:$G$10,'scenario analysis'!N44,'vre plants'!$C$2:$C$16,"thin film")</f>
        <v>#VALUE!</v>
      </c>
    </row>
    <row r="45" spans="3:18">
      <c r="H45" s="122" t="str">
        <f t="array" ref="H45">IFERROR(INDEX(#REF!, MATCH(0, COUNTIF($H$4:H44,#REF!), 0)), "")</f>
        <v/>
      </c>
      <c r="I45" s="162">
        <f>SUMIF('non-vre plants'!K23:K30,H45,'non-vre plants'!N23:N30)</f>
        <v>0</v>
      </c>
      <c r="J45" s="34">
        <f>SUMIF('demand centres'!$C$1:$C$49,'scenario analysis'!H45,'demand centres'!$B$1:$B$49)</f>
        <v>0</v>
      </c>
      <c r="K45" s="34" t="e">
        <f t="array" ref="K45">SUMIF('existing transmission'!#REF!,H45, 'existing transmission'!#REF!)+SUMIF('existing transmission'!#REF!,H45, 'existing transmission'!#REF!)</f>
        <v>#REF!</v>
      </c>
      <c r="L45" s="91" t="e">
        <f t="array" ref="L45">SUMIF('existing transmission'!#REF!,H45, 'existing transmission'!$J$2:$J$2)+SUMIF('existing transmission'!#REF!,H45, 'existing transmission'!$J$2:$J$2)</f>
        <v>#REF!</v>
      </c>
      <c r="N45" s="146" t="str">
        <f t="array" ref="N45">IFERROR(INDEX(#REF!, MATCH(0, COUNTIF($N$4:N44,#REF!), 0)), "")</f>
        <v/>
      </c>
      <c r="O45" s="130" t="e">
        <f>SUMIFS('vre plants'!$F$2:$F$10, 'vre plants'!$G$2:$G$10, 'scenario analysis'!N45, 'vre plants'!$C$2:$C$16, "wind_onshore") +SUMIFS('vre plants'!$F$2:$F$10, 'vre plants'!$G$2:$G$10, 'scenario analysis'!N45, 'vre plants'!$C$2:$C$16,"wind_offshore")</f>
        <v>#VALUE!</v>
      </c>
      <c r="P45" s="131" t="e">
        <f>SUMIFS('vre plants'!$F$2:$F$10,'vre plants'!$G$2:$G$10,'scenario analysis'!N45,'vre plants'!$C$2:$C$16,"multi c-Si")</f>
        <v>#VALUE!</v>
      </c>
      <c r="Q45" s="34" t="e">
        <f>SUMIFS('vre plants'!$F$2:$F$10, 'vre plants'!$G$2:$G$10, 'scenario analysis'!N45, 'vre plants'!$C$2:$C$16, "mono c-Si")</f>
        <v>#VALUE!</v>
      </c>
      <c r="R45" s="34" t="e">
        <f>SUMIFS('vre plants'!$F$2:$F$10,'vre plants'!$G$2:$G$10,'scenario analysis'!N45,'vre plants'!$C$2:$C$16,"thin film")</f>
        <v>#VALUE!</v>
      </c>
    </row>
    <row r="46" spans="3:18">
      <c r="H46" s="122" t="str">
        <f t="array" ref="H46">IFERROR(INDEX(#REF!, MATCH(0, COUNTIF($H$4:H45,#REF!), 0)), "")</f>
        <v/>
      </c>
      <c r="I46" s="34">
        <f>SUMIFS('vre plants'!$F$2:$F$28,'vre plants'!$G$2:$G$28,'scenario analysis'!H46)+SUMIFS(storage!$E$2:$E$75,storage!$I$2:$I$75,'scenario analysis'!H46)+SUMIFS(EV_aggregator!$E$2:$E$75,EV_aggregator!$I$2:$I$75,'scenario analysis'!H46)+SUMIF('non-vre plants'!G2:G30,H46,'non-vre plants'!F2:F30)</f>
        <v>0</v>
      </c>
      <c r="J46" s="34">
        <f>SUMIF('demand centres'!$C$1:$C$49,'scenario analysis'!H46,'demand centres'!$B$1:$B$49)</f>
        <v>0</v>
      </c>
      <c r="K46" s="34" t="e">
        <f t="array" ref="K46">SUMIF('existing transmission'!#REF!,H46, 'existing transmission'!#REF!)+SUMIF('existing transmission'!#REF!,H46, 'existing transmission'!#REF!)</f>
        <v>#REF!</v>
      </c>
      <c r="L46" s="91" t="e">
        <f t="array" ref="L46">SUMIF('existing transmission'!#REF!,H46, 'existing transmission'!$J$2:$J$2)+SUMIF('existing transmission'!#REF!,H46, 'existing transmission'!$J$2:$J$2)</f>
        <v>#REF!</v>
      </c>
      <c r="N46" s="146" t="str">
        <f t="array" ref="N46">IFERROR(INDEX(#REF!, MATCH(0, COUNTIF($N$4:N45,#REF!), 0)), "")</f>
        <v/>
      </c>
      <c r="O46" s="130" t="e">
        <f>SUMIFS('vre plants'!$F$2:$F$10, 'vre plants'!$G$2:$G$10, 'scenario analysis'!N46, 'vre plants'!$C$2:$C$16, "wind_onshore") +SUMIFS('vre plants'!$F$2:$F$10, 'vre plants'!$G$2:$G$10, 'scenario analysis'!N46, 'vre plants'!$C$2:$C$16,"wind_offshore")</f>
        <v>#VALUE!</v>
      </c>
      <c r="P46" s="131" t="e">
        <f>SUMIFS('vre plants'!$F$2:$F$10,'vre plants'!$G$2:$G$10,'scenario analysis'!N46,'vre plants'!$C$2:$C$16,"multi c-Si")</f>
        <v>#VALUE!</v>
      </c>
      <c r="Q46" s="34" t="e">
        <f>SUMIFS('vre plants'!$F$2:$F$10, 'vre plants'!$G$2:$G$10, 'scenario analysis'!N46, 'vre plants'!$C$2:$C$16, "mono c-Si")</f>
        <v>#VALUE!</v>
      </c>
      <c r="R46" s="34" t="e">
        <f>SUMIFS('vre plants'!$F$2:$F$10,'vre plants'!$G$2:$G$10,'scenario analysis'!N46,'vre plants'!$C$2:$C$16,"thin film")</f>
        <v>#VALUE!</v>
      </c>
    </row>
    <row r="47" spans="3:18">
      <c r="D47" s="5"/>
      <c r="H47" s="122" t="str">
        <f t="array" ref="H47">IFERROR(INDEX(#REF!, MATCH(0, COUNTIF($H$4:H46,#REF!), 0)), "")</f>
        <v/>
      </c>
      <c r="I47" s="162">
        <f>SUMIF('non-vre plants'!K24:K30,H47,'non-vre plants'!N24:N30)</f>
        <v>0</v>
      </c>
      <c r="J47" s="34">
        <f>SUMIF('demand centres'!$C$1:$C$49,'scenario analysis'!H47,'demand centres'!$B$1:$B$49)</f>
        <v>0</v>
      </c>
      <c r="K47" s="34" t="e">
        <f t="array" ref="K47">SUMIF('existing transmission'!#REF!,H47, 'existing transmission'!#REF!)+SUMIF('existing transmission'!#REF!,H47, 'existing transmission'!#REF!)</f>
        <v>#REF!</v>
      </c>
      <c r="L47" s="91" t="e">
        <f t="array" ref="L47">SUMIF('existing transmission'!#REF!,H47, 'existing transmission'!$J$2:$J$2)+SUMIF('existing transmission'!#REF!,H47, 'existing transmission'!$J$2:$J$2)</f>
        <v>#REF!</v>
      </c>
      <c r="N47" s="146" t="str">
        <f t="array" ref="N47">IFERROR(INDEX(#REF!, MATCH(0, COUNTIF($N$4:N46,#REF!), 0)), "")</f>
        <v/>
      </c>
      <c r="O47" s="130" t="e">
        <f>SUMIFS('vre plants'!$F$2:$F$10, 'vre plants'!$G$2:$G$10, 'scenario analysis'!N47, 'vre plants'!$C$2:$C$16, "wind_onshore") +SUMIFS('vre plants'!$F$2:$F$10, 'vre plants'!$G$2:$G$10, 'scenario analysis'!N47, 'vre plants'!$C$2:$C$16,"wind_offshore")</f>
        <v>#VALUE!</v>
      </c>
      <c r="P47" s="131" t="e">
        <f>SUMIFS('vre plants'!$F$2:$F$10,'vre plants'!$G$2:$G$10,'scenario analysis'!N47,'vre plants'!$C$2:$C$16,"multi c-Si")</f>
        <v>#VALUE!</v>
      </c>
      <c r="Q47" s="34" t="e">
        <f>SUMIFS('vre plants'!$F$2:$F$10, 'vre plants'!$G$2:$G$10, 'scenario analysis'!N47, 'vre plants'!$C$2:$C$16, "mono c-Si")</f>
        <v>#VALUE!</v>
      </c>
      <c r="R47" s="34" t="e">
        <f>SUMIFS('vre plants'!$F$2:$F$10,'vre plants'!$G$2:$G$10,'scenario analysis'!N47,'vre plants'!$C$2:$C$16,"thin film")</f>
        <v>#VALUE!</v>
      </c>
    </row>
    <row r="48" spans="3:18">
      <c r="D48" s="96"/>
      <c r="H48" s="122" t="str">
        <f t="array" ref="H48">IFERROR(INDEX(#REF!, MATCH(0, COUNTIF($H$4:H47,#REF!), 0)), "")</f>
        <v/>
      </c>
      <c r="I48" s="34">
        <f>SUMIFS('vre plants'!$F$2:$F$28,'vre plants'!$G$2:$G$28,'scenario analysis'!H48)+SUMIFS(storage!$E$2:$E$75,storage!$I$2:$I$75,'scenario analysis'!H48)+SUMIFS(EV_aggregator!$E$2:$E$75,EV_aggregator!$I$2:$I$75,'scenario analysis'!H48)+SUMIF('non-vre plants'!G2:G30,H48,'non-vre plants'!F2:F30)</f>
        <v>0</v>
      </c>
      <c r="J48" s="34">
        <f>SUMIF('demand centres'!$C$1:$C$49,'scenario analysis'!H48,'demand centres'!$B$1:$B$49)</f>
        <v>0</v>
      </c>
      <c r="K48" s="34" t="e">
        <f t="array" ref="K48">SUMIF('existing transmission'!#REF!,H48, 'existing transmission'!#REF!)+SUMIF('existing transmission'!#REF!,H48, 'existing transmission'!#REF!)</f>
        <v>#REF!</v>
      </c>
      <c r="L48" s="91" t="e">
        <f t="array" ref="L48">SUMIF('existing transmission'!#REF!,H48, 'existing transmission'!$J$2:$J$2)+SUMIF('existing transmission'!#REF!,H48, 'existing transmission'!$J$2:$J$2)</f>
        <v>#REF!</v>
      </c>
      <c r="N48" s="146" t="str">
        <f t="array" ref="N48">IFERROR(INDEX(#REF!, MATCH(0, COUNTIF($N$4:N47,#REF!), 0)), "")</f>
        <v/>
      </c>
      <c r="O48" s="130" t="e">
        <f>SUMIFS('vre plants'!$F$2:$F$10, 'vre plants'!$G$2:$G$10, 'scenario analysis'!N48, 'vre plants'!$C$2:$C$16, "wind_onshore") +SUMIFS('vre plants'!$F$2:$F$10, 'vre plants'!$G$2:$G$10, 'scenario analysis'!N48, 'vre plants'!$C$2:$C$16,"wind_offshore")</f>
        <v>#VALUE!</v>
      </c>
      <c r="P48" s="131" t="e">
        <f>SUMIFS('vre plants'!$F$2:$F$10,'vre plants'!$G$2:$G$10,'scenario analysis'!N48,'vre plants'!$C$2:$C$16,"multi c-Si")</f>
        <v>#VALUE!</v>
      </c>
      <c r="Q48" s="34" t="e">
        <f>SUMIFS('vre plants'!$F$2:$F$10, 'vre plants'!$G$2:$G$10, 'scenario analysis'!N48, 'vre plants'!$C$2:$C$16, "mono c-Si")</f>
        <v>#VALUE!</v>
      </c>
      <c r="R48" s="34" t="e">
        <f>SUMIFS('vre plants'!$F$2:$F$10,'vre plants'!$G$2:$G$10,'scenario analysis'!N48,'vre plants'!$C$2:$C$16,"thin film")</f>
        <v>#VALUE!</v>
      </c>
    </row>
    <row r="49" spans="4:18">
      <c r="D49" s="96"/>
      <c r="H49" s="122" t="str">
        <f t="array" ref="H49">IFERROR(INDEX(#REF!, MATCH(0, COUNTIF($H$4:H48,#REF!), 0)), "")</f>
        <v/>
      </c>
      <c r="I49" s="34">
        <f>SUMIFS('vre plants'!$F$2:$F$28,'vre plants'!$G$2:$G$28,'scenario analysis'!H49)+SUMIFS(storage!$E$2:$E$75,storage!$I$2:$I$75,'scenario analysis'!H49)+SUMIFS(EV_aggregator!$E$2:$E$75,EV_aggregator!$I$2:$I$75,'scenario analysis'!H49)+SUMIF('non-vre plants'!G2:G30,H49,'non-vre plants'!F2:F30)</f>
        <v>0</v>
      </c>
      <c r="J49" s="34">
        <f>SUMIF('demand centres'!$C$1:$C$49,'scenario analysis'!H49,'demand centres'!$B$1:$B$49)</f>
        <v>0</v>
      </c>
      <c r="K49" s="34" t="e">
        <f t="array" ref="K49">SUMIF('existing transmission'!#REF!,H49, 'existing transmission'!#REF!)+SUMIF('existing transmission'!#REF!,H49, 'existing transmission'!#REF!)</f>
        <v>#REF!</v>
      </c>
      <c r="L49" s="91" t="e">
        <f t="array" ref="L49">SUMIF('existing transmission'!#REF!,H49, 'existing transmission'!$J$2:$J$2)+SUMIF('existing transmission'!#REF!,H49, 'existing transmission'!$J$2:$J$2)</f>
        <v>#REF!</v>
      </c>
      <c r="N49" s="146" t="str">
        <f t="array" ref="N49">IFERROR(INDEX(#REF!, MATCH(0, COUNTIF($N$4:N48,#REF!), 0)), "")</f>
        <v/>
      </c>
      <c r="O49" s="130" t="e">
        <f>SUMIFS('vre plants'!$F$2:$F$10, 'vre plants'!$G$2:$G$10, 'scenario analysis'!N49, 'vre plants'!$C$2:$C$16, "wind_onshore") +SUMIFS('vre plants'!$F$2:$F$10, 'vre plants'!$G$2:$G$10, 'scenario analysis'!N49, 'vre plants'!$C$2:$C$16,"wind_offshore")</f>
        <v>#VALUE!</v>
      </c>
      <c r="P49" s="131" t="e">
        <f>SUMIFS('vre plants'!$F$2:$F$10,'vre plants'!$G$2:$G$10,'scenario analysis'!N49,'vre plants'!$C$2:$C$16,"multi c-Si")</f>
        <v>#VALUE!</v>
      </c>
      <c r="Q49" s="34" t="e">
        <f>SUMIFS('vre plants'!$F$2:$F$10, 'vre plants'!$G$2:$G$10, 'scenario analysis'!N49, 'vre plants'!$C$2:$C$16, "mono c-Si")</f>
        <v>#VALUE!</v>
      </c>
      <c r="R49" s="34" t="e">
        <f>SUMIFS('vre plants'!$F$2:$F$10,'vre plants'!$G$2:$G$10,'scenario analysis'!N49,'vre plants'!$C$2:$C$16,"thin film")</f>
        <v>#VALUE!</v>
      </c>
    </row>
    <row r="50" spans="4:18">
      <c r="D50" s="96"/>
      <c r="H50" s="122" t="str">
        <f t="array" ref="H50">IFERROR(INDEX(#REF!, MATCH(0, COUNTIF($H$4:H49,#REF!), 0)), "")</f>
        <v/>
      </c>
      <c r="I50" s="162">
        <f>SUMIF('non-vre plants'!K24:K30,H50,'non-vre plants'!N24:N30)</f>
        <v>0</v>
      </c>
      <c r="J50" s="34">
        <f>SUMIF('demand centres'!$C$1:$C$49,'scenario analysis'!H50,'demand centres'!$B$1:$B$49)</f>
        <v>0</v>
      </c>
      <c r="K50" s="34" t="e">
        <f t="array" ref="K50">SUMIF('existing transmission'!#REF!,H50, 'existing transmission'!#REF!)+SUMIF('existing transmission'!#REF!,H50, 'existing transmission'!#REF!)</f>
        <v>#REF!</v>
      </c>
      <c r="L50" s="91" t="e">
        <f t="array" ref="L50">SUMIF('existing transmission'!#REF!,H50, 'existing transmission'!$J$2:$J$2)+SUMIF('existing transmission'!#REF!,H50, 'existing transmission'!$J$2:$J$2)</f>
        <v>#REF!</v>
      </c>
      <c r="N50" s="146" t="str">
        <f t="array" ref="N50">IFERROR(INDEX(#REF!, MATCH(0, COUNTIF($N$4:N49,#REF!), 0)), "")</f>
        <v/>
      </c>
      <c r="O50" s="130" t="e">
        <f>SUMIFS('vre plants'!$F$2:$F$10, 'vre plants'!$G$2:$G$10, 'scenario analysis'!N50, 'vre plants'!$C$2:$C$16, "wind_onshore") +SUMIFS('vre plants'!$F$2:$F$10, 'vre plants'!$G$2:$G$10, 'scenario analysis'!N50, 'vre plants'!$C$2:$C$16,"wind_offshore")</f>
        <v>#VALUE!</v>
      </c>
      <c r="P50" s="131" t="e">
        <f>SUMIFS('vre plants'!$F$2:$F$10,'vre plants'!$G$2:$G$10,'scenario analysis'!N50,'vre plants'!$C$2:$C$16,"multi c-Si")</f>
        <v>#VALUE!</v>
      </c>
      <c r="Q50" s="34" t="e">
        <f>SUMIFS('vre plants'!$F$2:$F$10, 'vre plants'!$G$2:$G$10, 'scenario analysis'!N50, 'vre plants'!$C$2:$C$16, "mono c-Si")</f>
        <v>#VALUE!</v>
      </c>
      <c r="R50" s="34" t="e">
        <f>SUMIFS('vre plants'!$F$2:$F$10,'vre plants'!$G$2:$G$10,'scenario analysis'!N50,'vre plants'!$C$2:$C$16,"thin film")</f>
        <v>#VALUE!</v>
      </c>
    </row>
    <row r="51" spans="4:18">
      <c r="D51" s="96"/>
      <c r="H51" s="122" t="str">
        <f t="array" ref="H51">IFERROR(INDEX(#REF!, MATCH(0, COUNTIF($H$4:H50,#REF!), 0)), "")</f>
        <v/>
      </c>
      <c r="I51" s="162">
        <f>SUMIF('non-vre plants'!K25:K30,H51,'non-vre plants'!N25:N30)</f>
        <v>0</v>
      </c>
      <c r="J51" s="34">
        <f>SUMIF('demand centres'!$C$1:$C$49,'scenario analysis'!H51,'demand centres'!$B$1:$B$49)</f>
        <v>0</v>
      </c>
      <c r="K51" s="34" t="e">
        <f t="array" ref="K51">SUMIF('existing transmission'!#REF!,H51, 'existing transmission'!#REF!)+SUMIF('existing transmission'!#REF!,H51, 'existing transmission'!#REF!)</f>
        <v>#REF!</v>
      </c>
      <c r="L51" s="91" t="e">
        <f t="array" ref="L51">SUMIF('existing transmission'!#REF!,H51, 'existing transmission'!$J$2:$J$2)+SUMIF('existing transmission'!#REF!,H51, 'existing transmission'!$J$2:$J$2)</f>
        <v>#REF!</v>
      </c>
      <c r="N51" s="146" t="str">
        <f t="array" ref="N51">IFERROR(INDEX(#REF!, MATCH(0, COUNTIF($N$4:N50,#REF!), 0)), "")</f>
        <v/>
      </c>
      <c r="O51" s="130" t="e">
        <f>SUMIFS('vre plants'!$F$2:$F$10, 'vre plants'!$G$2:$G$10, 'scenario analysis'!N51, 'vre plants'!$C$2:$C$16, "wind_onshore") +SUMIFS('vre plants'!$F$2:$F$10, 'vre plants'!$G$2:$G$10, 'scenario analysis'!N51, 'vre plants'!$C$2:$C$16,"wind_offshore")</f>
        <v>#VALUE!</v>
      </c>
      <c r="P51" s="131" t="e">
        <f>SUMIFS('vre plants'!$F$2:$F$10,'vre plants'!$G$2:$G$10,'scenario analysis'!N51,'vre plants'!$C$2:$C$16,"multi c-Si")</f>
        <v>#VALUE!</v>
      </c>
      <c r="Q51" s="34" t="e">
        <f>SUMIFS('vre plants'!$F$2:$F$10, 'vre plants'!$G$2:$G$10, 'scenario analysis'!N51, 'vre plants'!$C$2:$C$16, "mono c-Si")</f>
        <v>#VALUE!</v>
      </c>
      <c r="R51" s="34" t="e">
        <f>SUMIFS('vre plants'!$F$2:$F$10,'vre plants'!$G$2:$G$10,'scenario analysis'!N51,'vre plants'!$C$2:$C$16,"thin film")</f>
        <v>#VALUE!</v>
      </c>
    </row>
    <row r="52" spans="4:18">
      <c r="D52" s="96"/>
      <c r="H52" s="122" t="str">
        <f t="array" ref="H52">IFERROR(INDEX(#REF!, MATCH(0, COUNTIF($H$4:H51,#REF!), 0)), "")</f>
        <v/>
      </c>
      <c r="I52" s="34">
        <f>SUMIFS('vre plants'!$F$2:$F$28,'vre plants'!$G$2:$G$28,'scenario analysis'!H52)+SUMIFS(storage!$E$2:$E$75,storage!$I$2:$I$75,'scenario analysis'!H52)+SUMIFS(EV_aggregator!$E$2:$E$75,EV_aggregator!$I$2:$I$75,'scenario analysis'!H52)+SUMIF('non-vre plants'!G2:G30,H52,'non-vre plants'!F2:F30)</f>
        <v>0</v>
      </c>
      <c r="J52" s="34">
        <f>SUMIF('demand centres'!$C$1:$C$49,'scenario analysis'!H52,'demand centres'!$B$1:$B$49)</f>
        <v>0</v>
      </c>
      <c r="K52" s="34" t="e">
        <f t="array" ref="K52">SUMIF('existing transmission'!#REF!,H52, 'existing transmission'!#REF!)+SUMIF('existing transmission'!#REF!,H52, 'existing transmission'!#REF!)</f>
        <v>#REF!</v>
      </c>
      <c r="L52" s="91" t="e">
        <f t="array" ref="L52">SUMIF('existing transmission'!#REF!,H52, 'existing transmission'!$J$2:$J$2)+SUMIF('existing transmission'!#REF!,H52, 'existing transmission'!$J$2:$J$2)</f>
        <v>#REF!</v>
      </c>
      <c r="N52" s="146" t="str">
        <f t="array" ref="N52">IFERROR(INDEX(#REF!, MATCH(0, COUNTIF($N$4:N51,#REF!), 0)), "")</f>
        <v/>
      </c>
      <c r="O52" s="130" t="e">
        <f>SUMIFS('vre plants'!$F$2:$F$10, 'vre plants'!$G$2:$G$10, 'scenario analysis'!N52, 'vre plants'!$C$2:$C$16, "wind_onshore") +SUMIFS('vre plants'!$F$2:$F$10, 'vre plants'!$G$2:$G$10, 'scenario analysis'!N52, 'vre plants'!$C$2:$C$16,"wind_offshore")</f>
        <v>#VALUE!</v>
      </c>
      <c r="P52" s="131" t="e">
        <f>SUMIFS('vre plants'!$F$2:$F$10,'vre plants'!$G$2:$G$10,'scenario analysis'!N52,'vre plants'!$C$2:$C$16,"multi c-Si")</f>
        <v>#VALUE!</v>
      </c>
      <c r="Q52" s="34" t="e">
        <f>SUMIFS('vre plants'!$F$2:$F$10, 'vre plants'!$G$2:$G$10, 'scenario analysis'!N52, 'vre plants'!$C$2:$C$16, "mono c-Si")</f>
        <v>#VALUE!</v>
      </c>
      <c r="R52" s="34" t="e">
        <f>SUMIFS('vre plants'!$F$2:$F$10,'vre plants'!$G$2:$G$10,'scenario analysis'!N52,'vre plants'!$C$2:$C$16,"thin film")</f>
        <v>#VALUE!</v>
      </c>
    </row>
    <row r="53" spans="4:18">
      <c r="D53" s="96"/>
      <c r="H53" s="122" t="str">
        <f t="array" ref="H53">IFERROR(INDEX(#REF!, MATCH(0, COUNTIF($H$4:H52,#REF!), 0)), "")</f>
        <v/>
      </c>
      <c r="I53" s="162">
        <f>SUMIF('non-vre plants'!K27:K30,H53,'non-vre plants'!N27:N30)</f>
        <v>0</v>
      </c>
      <c r="J53" s="34">
        <f>SUMIF('demand centres'!$C$1:$C$49,'scenario analysis'!H53,'demand centres'!$B$1:$B$49)</f>
        <v>0</v>
      </c>
      <c r="K53" s="34" t="e">
        <f t="array" ref="K53">SUMIF('existing transmission'!#REF!,H53, 'existing transmission'!#REF!)+SUMIF('existing transmission'!#REF!,H53, 'existing transmission'!#REF!)</f>
        <v>#REF!</v>
      </c>
      <c r="L53" s="91" t="e">
        <f t="array" ref="L53">SUMIF('existing transmission'!#REF!,H53, 'existing transmission'!$J$2:$J$2)+SUMIF('existing transmission'!#REF!,H53, 'existing transmission'!$J$2:$J$2)</f>
        <v>#REF!</v>
      </c>
      <c r="N53" s="146" t="str">
        <f t="array" ref="N53">IFERROR(INDEX(#REF!, MATCH(0, COUNTIF($N$4:N52,#REF!), 0)), "")</f>
        <v/>
      </c>
      <c r="O53" s="130" t="e">
        <f>SUMIFS('vre plants'!$F$2:$F$10, 'vre plants'!$G$2:$G$10, 'scenario analysis'!N53, 'vre plants'!$C$2:$C$16, "wind_onshore") +SUMIFS('vre plants'!$F$2:$F$10, 'vre plants'!$G$2:$G$10, 'scenario analysis'!N53, 'vre plants'!$C$2:$C$16,"wind_offshore")</f>
        <v>#VALUE!</v>
      </c>
      <c r="P53" s="131" t="e">
        <f>SUMIFS('vre plants'!$F$2:$F$10,'vre plants'!$G$2:$G$10,'scenario analysis'!N53,'vre plants'!$C$2:$C$16,"multi c-Si")</f>
        <v>#VALUE!</v>
      </c>
      <c r="Q53" s="34" t="e">
        <f>SUMIFS('vre plants'!$F$2:$F$10, 'vre plants'!$G$2:$G$10, 'scenario analysis'!N53, 'vre plants'!$C$2:$C$16, "mono c-Si")</f>
        <v>#VALUE!</v>
      </c>
      <c r="R53" s="34" t="e">
        <f>SUMIFS('vre plants'!$F$2:$F$10,'vre plants'!$G$2:$G$10,'scenario analysis'!N53,'vre plants'!$C$2:$C$16,"thin film")</f>
        <v>#VALUE!</v>
      </c>
    </row>
    <row r="54" spans="4:18">
      <c r="D54" s="96"/>
      <c r="H54" s="122" t="str">
        <f t="array" ref="H54">IFERROR(INDEX(#REF!, MATCH(0, COUNTIF($H$4:H53,#REF!), 0)), "")</f>
        <v/>
      </c>
      <c r="I54" s="34">
        <f>SUMIFS('vre plants'!$F$2:$F$28,'vre plants'!$G$2:$G$28,'scenario analysis'!H54)+SUMIFS(storage!$E$2:$E$75,storage!$I$2:$I$75,'scenario analysis'!H54)+SUMIFS(EV_aggregator!$E$2:$E$75,EV_aggregator!$I$2:$I$75,'scenario analysis'!H54)+SUMIF('non-vre plants'!G2:G30,H54,'non-vre plants'!F2:F30)</f>
        <v>0</v>
      </c>
      <c r="J54" s="34">
        <f>SUMIF('demand centres'!$C$1:$C$49,'scenario analysis'!H54,'demand centres'!$B$1:$B$49)</f>
        <v>0</v>
      </c>
      <c r="K54" s="34" t="e">
        <f t="array" ref="K54">SUMIF('existing transmission'!#REF!,H54, 'existing transmission'!#REF!)+SUMIF('existing transmission'!#REF!,H54, 'existing transmission'!#REF!)</f>
        <v>#REF!</v>
      </c>
      <c r="L54" s="91" t="e">
        <f t="array" ref="L54">SUMIF('existing transmission'!#REF!,H54, 'existing transmission'!$J$2:$J$2)+SUMIF('existing transmission'!#REF!,H54, 'existing transmission'!$J$2:$J$2)</f>
        <v>#REF!</v>
      </c>
      <c r="N54" s="146" t="str">
        <f t="array" ref="N54">IFERROR(INDEX(#REF!, MATCH(0, COUNTIF($N$4:N53,#REF!), 0)), "")</f>
        <v/>
      </c>
      <c r="O54" s="130" t="e">
        <f>SUMIFS('vre plants'!$F$2:$F$10, 'vre plants'!$G$2:$G$10, 'scenario analysis'!N54, 'vre plants'!$C$2:$C$16, "wind_onshore") +SUMIFS('vre plants'!$F$2:$F$10, 'vre plants'!$G$2:$G$10, 'scenario analysis'!N54, 'vre plants'!$C$2:$C$16,"wind_offshore")</f>
        <v>#VALUE!</v>
      </c>
      <c r="P54" s="131" t="e">
        <f>SUMIFS('vre plants'!$F$2:$F$10,'vre plants'!$G$2:$G$10,'scenario analysis'!N54,'vre plants'!$C$2:$C$16,"multi c-Si")</f>
        <v>#VALUE!</v>
      </c>
      <c r="Q54" s="34" t="e">
        <f>SUMIFS('vre plants'!$F$2:$F$10, 'vre plants'!$G$2:$G$10, 'scenario analysis'!N54, 'vre plants'!$C$2:$C$16, "mono c-Si")</f>
        <v>#VALUE!</v>
      </c>
      <c r="R54" s="34" t="e">
        <f>SUMIFS('vre plants'!$F$2:$F$10,'vre plants'!$G$2:$G$10,'scenario analysis'!N54,'vre plants'!$C$2:$C$16,"thin film")</f>
        <v>#VALUE!</v>
      </c>
    </row>
    <row r="55" spans="4:18">
      <c r="D55" s="96"/>
      <c r="H55" s="122" t="str">
        <f t="array" ref="H55">IFERROR(INDEX(#REF!, MATCH(0, COUNTIF($H$4:H54,#REF!), 0)), "")</f>
        <v/>
      </c>
      <c r="I55" s="162">
        <f>SUMIF('non-vre plants'!K29:K30,H55,'non-vre plants'!N29:N30)</f>
        <v>0</v>
      </c>
      <c r="J55" s="34">
        <f>SUMIF('demand centres'!$C$1:$C$49,'scenario analysis'!H55,'demand centres'!$B$1:$B$49)</f>
        <v>0</v>
      </c>
      <c r="K55" s="34" t="e">
        <f t="array" ref="K55">SUMIF('existing transmission'!#REF!,H55, 'existing transmission'!#REF!)+SUMIF('existing transmission'!#REF!,H55, 'existing transmission'!#REF!)</f>
        <v>#REF!</v>
      </c>
      <c r="L55" s="91" t="e">
        <f t="array" ref="L55">SUMIF('existing transmission'!#REF!,H55, 'existing transmission'!$J$2:$J$2)+SUMIF('existing transmission'!#REF!,H55, 'existing transmission'!$J$2:$J$2)</f>
        <v>#REF!</v>
      </c>
      <c r="N55" s="146" t="str">
        <f t="array" ref="N55">IFERROR(INDEX(#REF!, MATCH(0, COUNTIF($N$4:N54,#REF!), 0)), "")</f>
        <v/>
      </c>
      <c r="O55" s="130" t="e">
        <f>SUMIFS('vre plants'!$F$2:$F$10, 'vre plants'!$G$2:$G$10, 'scenario analysis'!N55, 'vre plants'!$C$2:$C$16, "wind_onshore") +SUMIFS('vre plants'!$F$2:$F$10, 'vre plants'!$G$2:$G$10, 'scenario analysis'!N55, 'vre plants'!$C$2:$C$16,"wind_offshore")</f>
        <v>#VALUE!</v>
      </c>
      <c r="P55" s="131" t="e">
        <f>SUMIFS('vre plants'!$F$2:$F$10,'vre plants'!$G$2:$G$10,'scenario analysis'!N55,'vre plants'!$C$2:$C$16,"multi c-Si")</f>
        <v>#VALUE!</v>
      </c>
      <c r="Q55" s="34" t="e">
        <f>SUMIFS('vre plants'!$F$2:$F$10, 'vre plants'!$G$2:$G$10, 'scenario analysis'!N55, 'vre plants'!$C$2:$C$16, "mono c-Si")</f>
        <v>#VALUE!</v>
      </c>
      <c r="R55" s="34" t="e">
        <f>SUMIFS('vre plants'!$F$2:$F$10,'vre plants'!$G$2:$G$10,'scenario analysis'!N55,'vre plants'!$C$2:$C$16,"thin film")</f>
        <v>#VALUE!</v>
      </c>
    </row>
    <row r="56" spans="4:18">
      <c r="D56" s="96"/>
      <c r="H56" s="122" t="str">
        <f t="array" ref="H56">IFERROR(INDEX(#REF!, MATCH(0, COUNTIF($H$4:H55,#REF!), 0)), "")</f>
        <v/>
      </c>
      <c r="I56" s="34">
        <f>SUMIFS('vre plants'!$F$2:$F$28,'vre plants'!$G$2:$G$28,'scenario analysis'!H56)+SUMIFS(storage!$E$2:$E$75,storage!$I$2:$I$75,'scenario analysis'!H56)+SUMIFS(EV_aggregator!$E$2:$E$75,EV_aggregator!$I$2:$I$75,'scenario analysis'!H56)+SUMIF('non-vre plants'!G2:G30,H56,'non-vre plants'!F2:F30)</f>
        <v>0</v>
      </c>
      <c r="J56" s="34">
        <f>SUMIF('demand centres'!$C$1:$C$49,'scenario analysis'!H56,'demand centres'!$B$1:$B$49)</f>
        <v>0</v>
      </c>
      <c r="K56" s="34" t="e">
        <f t="array" ref="K56">SUMIF('existing transmission'!#REF!,H56, 'existing transmission'!#REF!)+SUMIF('existing transmission'!#REF!,H56, 'existing transmission'!#REF!)</f>
        <v>#REF!</v>
      </c>
      <c r="L56" s="91" t="e">
        <f t="array" ref="L56">SUMIF('existing transmission'!#REF!,H56, 'existing transmission'!$J$2:$J$2)+SUMIF('existing transmission'!#REF!,H56, 'existing transmission'!$J$2:$J$2)</f>
        <v>#REF!</v>
      </c>
      <c r="N56" s="146" t="str">
        <f t="array" ref="N56">IFERROR(INDEX(#REF!, MATCH(0, COUNTIF($N$4:N55,#REF!), 0)), "")</f>
        <v/>
      </c>
      <c r="O56" s="130" t="e">
        <f>SUMIFS('vre plants'!$F$2:$F$10, 'vre plants'!$G$2:$G$10, 'scenario analysis'!N56, 'vre plants'!$C$2:$C$16, "wind_onshore") +SUMIFS('vre plants'!$F$2:$F$10, 'vre plants'!$G$2:$G$10, 'scenario analysis'!N56, 'vre plants'!$C$2:$C$16,"wind_offshore")</f>
        <v>#VALUE!</v>
      </c>
      <c r="P56" s="131" t="e">
        <f>SUMIFS('vre plants'!$F$2:$F$10,'vre plants'!$G$2:$G$10,'scenario analysis'!N56,'vre plants'!$C$2:$C$16,"multi c-Si")</f>
        <v>#VALUE!</v>
      </c>
      <c r="Q56" s="34" t="e">
        <f>SUMIFS('vre plants'!$F$2:$F$10, 'vre plants'!$G$2:$G$10, 'scenario analysis'!N56, 'vre plants'!$C$2:$C$16, "mono c-Si")</f>
        <v>#VALUE!</v>
      </c>
      <c r="R56" s="34" t="e">
        <f>SUMIFS('vre plants'!$F$2:$F$10,'vre plants'!$G$2:$G$10,'scenario analysis'!N56,'vre plants'!$C$2:$C$16,"thin film")</f>
        <v>#VALUE!</v>
      </c>
    </row>
    <row r="57" spans="4:18">
      <c r="D57" s="96"/>
      <c r="H57" s="122" t="str">
        <f t="array" ref="H57">IFERROR(INDEX(#REF!, MATCH(0, COUNTIF($H$4:H56,#REF!), 0)), "")</f>
        <v/>
      </c>
      <c r="I57" s="34">
        <f>SUMIFS('vre plants'!$F$2:$F$28,'vre plants'!$G$2:$G$28,'scenario analysis'!H57)+SUMIFS(storage!$E$2:$E$75,storage!$I$2:$I$75,'scenario analysis'!H57)+SUMIFS(EV_aggregator!$E$2:$E$75,EV_aggregator!$I$2:$I$75,'scenario analysis'!H57)+SUMIF('non-vre plants'!G2:G30,H57,'non-vre plants'!F2:F30)</f>
        <v>0</v>
      </c>
      <c r="J57" s="34">
        <f>SUMIF('demand centres'!$C$1:$C$49,'scenario analysis'!H57,'demand centres'!$B$1:$B$49)</f>
        <v>0</v>
      </c>
      <c r="K57" s="34" t="e">
        <f t="array" ref="K57">SUMIF('existing transmission'!#REF!,H57, 'existing transmission'!#REF!)+SUMIF('existing transmission'!#REF!,H57, 'existing transmission'!#REF!)</f>
        <v>#REF!</v>
      </c>
      <c r="L57" s="91" t="e">
        <f t="array" ref="L57">SUMIF('existing transmission'!#REF!,H57, 'existing transmission'!$J$2:$J$2)+SUMIF('existing transmission'!#REF!,H57, 'existing transmission'!$J$2:$J$2)</f>
        <v>#REF!</v>
      </c>
      <c r="N57" s="146" t="str">
        <f t="array" ref="N57">IFERROR(INDEX(#REF!, MATCH(0, COUNTIF($N$4:N56,#REF!), 0)), "")</f>
        <v/>
      </c>
      <c r="O57" s="130" t="e">
        <f>SUMIFS('vre plants'!$F$2:$F$10, 'vre plants'!$G$2:$G$10, 'scenario analysis'!N57, 'vre plants'!$C$2:$C$16, "wind_onshore") +SUMIFS('vre plants'!$F$2:$F$10, 'vre plants'!$G$2:$G$10, 'scenario analysis'!N57, 'vre plants'!$C$2:$C$16,"wind_offshore")</f>
        <v>#VALUE!</v>
      </c>
      <c r="P57" s="131" t="e">
        <f>SUMIFS('vre plants'!$F$2:$F$10,'vre plants'!$G$2:$G$10,'scenario analysis'!N57,'vre plants'!$C$2:$C$16,"multi c-Si")</f>
        <v>#VALUE!</v>
      </c>
      <c r="Q57" s="34" t="e">
        <f>SUMIFS('vre plants'!$F$2:$F$10, 'vre plants'!$G$2:$G$10, 'scenario analysis'!N57, 'vre plants'!$C$2:$C$16, "mono c-Si")</f>
        <v>#VALUE!</v>
      </c>
      <c r="R57" s="34" t="e">
        <f>SUMIFS('vre plants'!$F$2:$F$10,'vre plants'!$G$2:$G$10,'scenario analysis'!N57,'vre plants'!$C$2:$C$16,"thin film")</f>
        <v>#VALUE!</v>
      </c>
    </row>
    <row r="58" spans="4:18">
      <c r="D58" s="96"/>
      <c r="H58" s="122" t="str">
        <f t="array" ref="H58">IFERROR(INDEX(#REF!, MATCH(0, COUNTIF($H$4:H57,#REF!), 0)), "")</f>
        <v/>
      </c>
      <c r="I58" s="162" t="e">
        <f>SUMIF('non-vre plants'!#REF!,H58,'non-vre plants'!#REF!)</f>
        <v>#REF!</v>
      </c>
      <c r="J58" s="34">
        <f>SUMIF('demand centres'!$C$1:$C$49,'scenario analysis'!H58,'demand centres'!$B$1:$B$49)</f>
        <v>0</v>
      </c>
      <c r="K58" s="34" t="e">
        <f t="array" ref="K58">SUMIF('existing transmission'!#REF!,H58, 'existing transmission'!#REF!)+SUMIF('existing transmission'!#REF!,H58, 'existing transmission'!#REF!)</f>
        <v>#REF!</v>
      </c>
      <c r="L58" s="91" t="e">
        <f t="array" ref="L58">SUMIF('existing transmission'!#REF!,H58, 'existing transmission'!$J$2:$J$2)+SUMIF('existing transmission'!#REF!,H58, 'existing transmission'!$J$2:$J$2)</f>
        <v>#REF!</v>
      </c>
      <c r="N58" s="146" t="str">
        <f t="array" ref="N58">IFERROR(INDEX(#REF!, MATCH(0, COUNTIF($N$4:N57,#REF!), 0)), "")</f>
        <v/>
      </c>
      <c r="O58" s="130" t="e">
        <f>SUMIFS('vre plants'!$F$2:$F$10, 'vre plants'!$G$2:$G$10, 'scenario analysis'!N58, 'vre plants'!$C$2:$C$16, "wind_onshore") +SUMIFS('vre plants'!$F$2:$F$10, 'vre plants'!$G$2:$G$10, 'scenario analysis'!N58, 'vre plants'!$C$2:$C$16,"wind_offshore")</f>
        <v>#VALUE!</v>
      </c>
      <c r="P58" s="131" t="e">
        <f>SUMIFS('vre plants'!$F$2:$F$10,'vre plants'!$G$2:$G$10,'scenario analysis'!N58,'vre plants'!$C$2:$C$16,"multi c-Si")</f>
        <v>#VALUE!</v>
      </c>
      <c r="Q58" s="34" t="e">
        <f>SUMIFS('vre plants'!$F$2:$F$10, 'vre plants'!$G$2:$G$10, 'scenario analysis'!N58, 'vre plants'!$C$2:$C$16, "mono c-Si")</f>
        <v>#VALUE!</v>
      </c>
      <c r="R58" s="34" t="e">
        <f>SUMIFS('vre plants'!$F$2:$F$10,'vre plants'!$G$2:$G$10,'scenario analysis'!N58,'vre plants'!$C$2:$C$16,"thin film")</f>
        <v>#VALUE!</v>
      </c>
    </row>
    <row r="59" spans="4:18">
      <c r="D59" s="96"/>
      <c r="H59" s="122" t="str">
        <f t="array" ref="H59">IFERROR(INDEX(#REF!, MATCH(0, COUNTIF($H$4:H58,#REF!), 0)), "")</f>
        <v/>
      </c>
      <c r="I59" s="34">
        <f>SUMIFS('vre plants'!$F$2:$F$28,'vre plants'!$G$2:$G$28,'scenario analysis'!H59)+SUMIFS(storage!$E$2:$E$75,storage!$I$2:$I$75,'scenario analysis'!H59)+SUMIFS(EV_aggregator!$E$2:$E$75,EV_aggregator!$I$2:$I$75,'scenario analysis'!H59)+SUMIF('non-vre plants'!G2:G30,H59,'non-vre plants'!F2:F30)</f>
        <v>0</v>
      </c>
      <c r="J59" s="34">
        <f>SUMIF('demand centres'!$C$1:$C$49,'scenario analysis'!H59,'demand centres'!$B$1:$B$49)</f>
        <v>0</v>
      </c>
      <c r="K59" s="34" t="e">
        <f t="array" ref="K59">SUMIF('existing transmission'!#REF!,H59, 'existing transmission'!#REF!)+SUMIF('existing transmission'!#REF!,H59, 'existing transmission'!#REF!)</f>
        <v>#REF!</v>
      </c>
      <c r="L59" s="91" t="e">
        <f t="array" ref="L59">SUMIF('existing transmission'!#REF!,H59, 'existing transmission'!$J$2:$J$2)+SUMIF('existing transmission'!#REF!,H59, 'existing transmission'!$J$2:$J$2)</f>
        <v>#REF!</v>
      </c>
      <c r="N59" s="146" t="str">
        <f t="array" ref="N59">IFERROR(INDEX(#REF!, MATCH(0, COUNTIF($N$4:N58,#REF!), 0)), "")</f>
        <v/>
      </c>
      <c r="O59" s="130" t="e">
        <f>SUMIFS('vre plants'!$F$2:$F$10, 'vre plants'!$G$2:$G$10, 'scenario analysis'!N59, 'vre plants'!$C$2:$C$16, "wind_onshore") +SUMIFS('vre plants'!$F$2:$F$10, 'vre plants'!$G$2:$G$10, 'scenario analysis'!N59, 'vre plants'!$C$2:$C$16,"wind_offshore")</f>
        <v>#VALUE!</v>
      </c>
      <c r="P59" s="131" t="e">
        <f>SUMIFS('vre plants'!$F$2:$F$10,'vre plants'!$G$2:$G$10,'scenario analysis'!N59,'vre plants'!$C$2:$C$16,"multi c-Si")</f>
        <v>#VALUE!</v>
      </c>
      <c r="Q59" s="34" t="e">
        <f>SUMIFS('vre plants'!$F$2:$F$10, 'vre plants'!$G$2:$G$10, 'scenario analysis'!N59, 'vre plants'!$C$2:$C$16, "mono c-Si")</f>
        <v>#VALUE!</v>
      </c>
      <c r="R59" s="34" t="e">
        <f>SUMIFS('vre plants'!$F$2:$F$10,'vre plants'!$G$2:$G$10,'scenario analysis'!N59,'vre plants'!$C$2:$C$16,"thin film")</f>
        <v>#VALUE!</v>
      </c>
    </row>
    <row r="60" spans="4:18">
      <c r="D60" s="96"/>
      <c r="H60" s="122" t="str">
        <f t="array" ref="H60">IFERROR(INDEX(#REF!, MATCH(0, COUNTIF($H$4:H59,#REF!), 0)), "")</f>
        <v/>
      </c>
      <c r="I60" s="162" t="e">
        <f>SUMIF('non-vre plants'!#REF!,H60,'non-vre plants'!#REF!)</f>
        <v>#REF!</v>
      </c>
      <c r="J60" s="34">
        <f>SUMIF('demand centres'!$C$1:$C$49,'scenario analysis'!H60,'demand centres'!$B$1:$B$49)</f>
        <v>0</v>
      </c>
      <c r="K60" s="34" t="e">
        <f t="array" ref="K60">SUMIF('existing transmission'!#REF!,H60, 'existing transmission'!#REF!)+SUMIF('existing transmission'!#REF!,H60, 'existing transmission'!#REF!)</f>
        <v>#REF!</v>
      </c>
      <c r="L60" s="91" t="e">
        <f t="array" ref="L60">SUMIF('existing transmission'!#REF!,H60, 'existing transmission'!$J$2:$J$2)+SUMIF('existing transmission'!#REF!,H60, 'existing transmission'!$J$2:$J$2)</f>
        <v>#REF!</v>
      </c>
      <c r="N60" s="146" t="str">
        <f t="array" ref="N60">IFERROR(INDEX(#REF!, MATCH(0, COUNTIF($N$4:N59,#REF!), 0)), "")</f>
        <v/>
      </c>
      <c r="O60" s="130" t="e">
        <f>SUMIFS('vre plants'!$F$2:$F$10, 'vre plants'!$G$2:$G$10, 'scenario analysis'!N60, 'vre plants'!$C$2:$C$16, "wind_onshore") +SUMIFS('vre plants'!$F$2:$F$10, 'vre plants'!$G$2:$G$10, 'scenario analysis'!N60, 'vre plants'!$C$2:$C$16,"wind_offshore")</f>
        <v>#VALUE!</v>
      </c>
      <c r="P60" s="131" t="e">
        <f>SUMIFS('vre plants'!$F$2:$F$10,'vre plants'!$G$2:$G$10,'scenario analysis'!N60,'vre plants'!$C$2:$C$16,"multi c-Si")</f>
        <v>#VALUE!</v>
      </c>
      <c r="Q60" s="34" t="e">
        <f>SUMIFS('vre plants'!$F$2:$F$10, 'vre plants'!$G$2:$G$10, 'scenario analysis'!N60, 'vre plants'!$C$2:$C$16, "mono c-Si")</f>
        <v>#VALUE!</v>
      </c>
      <c r="R60" s="34" t="e">
        <f>SUMIFS('vre plants'!$F$2:$F$10,'vre plants'!$G$2:$G$10,'scenario analysis'!N60,'vre plants'!$C$2:$C$16,"thin film")</f>
        <v>#VALUE!</v>
      </c>
    </row>
    <row r="61" spans="4:18">
      <c r="D61" s="96"/>
      <c r="H61" s="122" t="str">
        <f t="array" ref="H61">IFERROR(INDEX(#REF!, MATCH(0, COUNTIF($H$4:H60,#REF!), 0)), "")</f>
        <v/>
      </c>
      <c r="I61" s="162" t="e">
        <f>SUMIF('non-vre plants'!#REF!,H61,'non-vre plants'!#REF!)</f>
        <v>#REF!</v>
      </c>
      <c r="J61" s="34">
        <f>SUMIF('demand centres'!$C$1:$C$49,'scenario analysis'!H61,'demand centres'!$B$1:$B$49)</f>
        <v>0</v>
      </c>
      <c r="K61" s="34" t="e">
        <f t="array" ref="K61">SUMIF('existing transmission'!#REF!,H61, 'existing transmission'!#REF!)+SUMIF('existing transmission'!#REF!,H61, 'existing transmission'!#REF!)</f>
        <v>#REF!</v>
      </c>
      <c r="L61" s="91" t="e">
        <f t="array" ref="L61">SUMIF('existing transmission'!#REF!,H61, 'existing transmission'!$J$2:$J$2)+SUMIF('existing transmission'!#REF!,H61, 'existing transmission'!$J$2:$J$2)</f>
        <v>#REF!</v>
      </c>
      <c r="N61" s="146" t="str">
        <f t="array" ref="N61">IFERROR(INDEX(#REF!, MATCH(0, COUNTIF($N$4:N60,#REF!), 0)), "")</f>
        <v/>
      </c>
      <c r="O61" s="130" t="e">
        <f>SUMIFS('vre plants'!$F$2:$F$10, 'vre plants'!$G$2:$G$10, 'scenario analysis'!N61, 'vre plants'!$C$2:$C$16, "wind_onshore") +SUMIFS('vre plants'!$F$2:$F$10, 'vre plants'!$G$2:$G$10, 'scenario analysis'!N61, 'vre plants'!$C$2:$C$16,"wind_offshore")</f>
        <v>#VALUE!</v>
      </c>
      <c r="P61" s="131" t="e">
        <f>SUMIFS('vre plants'!$F$2:$F$10,'vre plants'!$G$2:$G$10,'scenario analysis'!N61,'vre plants'!$C$2:$C$16,"multi c-Si")</f>
        <v>#VALUE!</v>
      </c>
      <c r="Q61" s="34" t="e">
        <f>SUMIFS('vre plants'!$F$2:$F$10, 'vre plants'!$G$2:$G$10, 'scenario analysis'!N61, 'vre plants'!$C$2:$C$16, "mono c-Si")</f>
        <v>#VALUE!</v>
      </c>
      <c r="R61" s="34" t="e">
        <f>SUMIFS('vre plants'!$F$2:$F$10,'vre plants'!$G$2:$G$10,'scenario analysis'!N61,'vre plants'!$C$2:$C$16,"thin film")</f>
        <v>#VALUE!</v>
      </c>
    </row>
    <row r="62" spans="4:18">
      <c r="D62" s="96"/>
      <c r="H62" s="122" t="str">
        <f t="array" ref="H62">IFERROR(INDEX(#REF!, MATCH(0, COUNTIF($H$4:H61,#REF!), 0)), "")</f>
        <v/>
      </c>
      <c r="I62" s="162" t="e">
        <f>SUMIF('non-vre plants'!#REF!,H62,'non-vre plants'!#REF!)</f>
        <v>#REF!</v>
      </c>
      <c r="J62" s="34">
        <f>SUMIF('demand centres'!$C$1:$C$49,'scenario analysis'!H62,'demand centres'!$B$1:$B$49)</f>
        <v>0</v>
      </c>
      <c r="K62" s="34" t="e">
        <f t="array" ref="K62">SUMIF('existing transmission'!#REF!,H62, 'existing transmission'!#REF!)+SUMIF('existing transmission'!#REF!,H62, 'existing transmission'!#REF!)</f>
        <v>#REF!</v>
      </c>
      <c r="L62" s="91" t="e">
        <f t="array" ref="L62">SUMIF('existing transmission'!#REF!,H62, 'existing transmission'!$J$2:$J$2)+SUMIF('existing transmission'!#REF!,H62, 'existing transmission'!$J$2:$J$2)</f>
        <v>#REF!</v>
      </c>
      <c r="N62" s="146" t="str">
        <f t="array" ref="N62">IFERROR(INDEX(#REF!, MATCH(0, COUNTIF($N$4:N61,#REF!), 0)), "")</f>
        <v/>
      </c>
      <c r="O62" s="130" t="e">
        <f>SUMIFS('vre plants'!$F$2:$F$10, 'vre plants'!$G$2:$G$10, 'scenario analysis'!N62, 'vre plants'!$C$2:$C$16, "wind_onshore") +SUMIFS('vre plants'!$F$2:$F$10, 'vre plants'!$G$2:$G$10, 'scenario analysis'!N62, 'vre plants'!$C$2:$C$16,"wind_offshore")</f>
        <v>#VALUE!</v>
      </c>
      <c r="P62" s="131" t="e">
        <f>SUMIFS('vre plants'!$F$2:$F$10,'vre plants'!$G$2:$G$10,'scenario analysis'!N62,'vre plants'!$C$2:$C$16,"multi c-Si")</f>
        <v>#VALUE!</v>
      </c>
      <c r="Q62" s="34" t="e">
        <f>SUMIFS('vre plants'!$F$2:$F$10, 'vre plants'!$G$2:$G$10, 'scenario analysis'!N62, 'vre plants'!$C$2:$C$16, "mono c-Si")</f>
        <v>#VALUE!</v>
      </c>
      <c r="R62" s="34" t="e">
        <f>SUMIFS('vre plants'!$F$2:$F$10,'vre plants'!$G$2:$G$10,'scenario analysis'!N62,'vre plants'!$C$2:$C$16,"thin film")</f>
        <v>#VALUE!</v>
      </c>
    </row>
    <row r="63" spans="4:18">
      <c r="D63" s="96"/>
      <c r="H63" s="122" t="str">
        <f t="array" ref="H63">IFERROR(INDEX(#REF!, MATCH(0, COUNTIF($H$4:H62,#REF!), 0)), "")</f>
        <v/>
      </c>
      <c r="I63" s="162" t="e">
        <f>SUMIF('non-vre plants'!#REF!,H63,'non-vre plants'!#REF!)</f>
        <v>#REF!</v>
      </c>
      <c r="J63" s="34">
        <f>SUMIF('demand centres'!$C$1:$C$49,'scenario analysis'!H63,'demand centres'!$B$1:$B$49)</f>
        <v>0</v>
      </c>
      <c r="K63" s="34" t="e">
        <f t="array" ref="K63">SUMIF('existing transmission'!#REF!,H63, 'existing transmission'!#REF!)+SUMIF('existing transmission'!#REF!,H63, 'existing transmission'!#REF!)</f>
        <v>#REF!</v>
      </c>
      <c r="L63" s="91" t="e">
        <f t="array" ref="L63">SUMIF('existing transmission'!#REF!,H63, 'existing transmission'!$J$2:$J$2)+SUMIF('existing transmission'!#REF!,H63, 'existing transmission'!$J$2:$J$2)</f>
        <v>#REF!</v>
      </c>
      <c r="N63" s="146" t="str">
        <f t="array" ref="N63">IFERROR(INDEX(#REF!, MATCH(0, COUNTIF($N$4:N62,#REF!), 0)), "")</f>
        <v/>
      </c>
      <c r="O63" s="130" t="e">
        <f>SUMIFS('vre plants'!$F$2:$F$10, 'vre plants'!$G$2:$G$10, 'scenario analysis'!N63, 'vre plants'!$C$2:$C$16, "wind_onshore") +SUMIFS('vre plants'!$F$2:$F$10, 'vre plants'!$G$2:$G$10, 'scenario analysis'!N63, 'vre plants'!$C$2:$C$16,"wind_offshore")</f>
        <v>#VALUE!</v>
      </c>
      <c r="P63" s="131" t="e">
        <f>SUMIFS('vre plants'!$F$2:$F$10,'vre plants'!$G$2:$G$10,'scenario analysis'!N63,'vre plants'!$C$2:$C$16,"multi c-Si")</f>
        <v>#VALUE!</v>
      </c>
      <c r="Q63" s="34" t="e">
        <f>SUMIFS('vre plants'!$F$2:$F$10, 'vre plants'!$G$2:$G$10, 'scenario analysis'!N63, 'vre plants'!$C$2:$C$16, "mono c-Si")</f>
        <v>#VALUE!</v>
      </c>
      <c r="R63" s="34" t="e">
        <f>SUMIFS('vre plants'!$F$2:$F$10,'vre plants'!$G$2:$G$10,'scenario analysis'!N63,'vre plants'!$C$2:$C$16,"thin film")</f>
        <v>#VALUE!</v>
      </c>
    </row>
    <row r="64" spans="4:18">
      <c r="H64" s="122" t="str">
        <f t="array" ref="H64">IFERROR(INDEX(#REF!, MATCH(0, COUNTIF($H$4:H63,#REF!), 0)), "")</f>
        <v/>
      </c>
      <c r="I64" s="162" t="e">
        <f>SUMIF('non-vre plants'!#REF!,H64,'non-vre plants'!#REF!)</f>
        <v>#REF!</v>
      </c>
      <c r="J64" s="34">
        <f>SUMIF('demand centres'!$C$1:$C$49,'scenario analysis'!H64,'demand centres'!$B$1:$B$49)</f>
        <v>0</v>
      </c>
      <c r="K64" s="34" t="e">
        <f t="array" ref="K64">SUMIF('existing transmission'!#REF!,H64, 'existing transmission'!#REF!)+SUMIF('existing transmission'!#REF!,H64, 'existing transmission'!#REF!)</f>
        <v>#REF!</v>
      </c>
      <c r="L64" s="91" t="e">
        <f t="array" ref="L64">SUMIF('existing transmission'!#REF!,H64, 'existing transmission'!$J$2:$J$2)+SUMIF('existing transmission'!#REF!,H64, 'existing transmission'!$J$2:$J$2)</f>
        <v>#REF!</v>
      </c>
      <c r="N64" s="146" t="str">
        <f t="array" ref="N64">IFERROR(INDEX(#REF!, MATCH(0, COUNTIF($N$4:N63,#REF!), 0)), "")</f>
        <v/>
      </c>
      <c r="O64" s="130" t="e">
        <f>SUMIFS('vre plants'!$F$2:$F$10, 'vre plants'!$G$2:$G$10, 'scenario analysis'!N64, 'vre plants'!$C$2:$C$16, "wind_onshore") +SUMIFS('vre plants'!$F$2:$F$10, 'vre plants'!$G$2:$G$10, 'scenario analysis'!N64, 'vre plants'!$C$2:$C$16,"wind_offshore")</f>
        <v>#VALUE!</v>
      </c>
      <c r="P64" s="131" t="e">
        <f>SUMIFS('vre plants'!$F$2:$F$10,'vre plants'!$G$2:$G$10,'scenario analysis'!N64,'vre plants'!$C$2:$C$16,"multi c-Si")</f>
        <v>#VALUE!</v>
      </c>
      <c r="Q64" s="34" t="e">
        <f>SUMIFS('vre plants'!$F$2:$F$10, 'vre plants'!$G$2:$G$10, 'scenario analysis'!N64, 'vre plants'!$C$2:$C$16, "mono c-Si")</f>
        <v>#VALUE!</v>
      </c>
      <c r="R64" s="34" t="e">
        <f>SUMIFS('vre plants'!$F$2:$F$10,'vre plants'!$G$2:$G$10,'scenario analysis'!N64,'vre plants'!$C$2:$C$16,"thin film")</f>
        <v>#VALUE!</v>
      </c>
    </row>
    <row r="65" spans="8:18">
      <c r="H65" s="122" t="str">
        <f t="array" ref="H65">IFERROR(INDEX(#REF!, MATCH(0, COUNTIF($H$4:H64,#REF!), 0)), "")</f>
        <v/>
      </c>
      <c r="I65" s="34">
        <f>SUMIFS('vre plants'!$F$2:$F$28,'vre plants'!$G$2:$G$28,'scenario analysis'!H65)+SUMIFS(storage!$E$2:$E$75,storage!$I$2:$I$75,'scenario analysis'!H65)+SUMIFS(EV_aggregator!$E$2:$E$75,EV_aggregator!$I$2:$I$75,'scenario analysis'!H65)+SUMIF('non-vre plants'!G2:G30,H65,'non-vre plants'!F2:F30)</f>
        <v>0</v>
      </c>
      <c r="J65" s="34">
        <f>SUMIF('demand centres'!$C$1:$C$49,'scenario analysis'!H65,'demand centres'!$B$1:$B$49)</f>
        <v>0</v>
      </c>
      <c r="K65" s="34" t="e">
        <f t="array" ref="K65">SUMIF('existing transmission'!#REF!,H65, 'existing transmission'!#REF!)+SUMIF('existing transmission'!#REF!,H65, 'existing transmission'!#REF!)</f>
        <v>#REF!</v>
      </c>
      <c r="L65" s="91" t="e">
        <f t="array" ref="L65">SUMIF('existing transmission'!#REF!,H65, 'existing transmission'!$J$2:$J$2)+SUMIF('existing transmission'!#REF!,H65, 'existing transmission'!$J$2:$J$2)</f>
        <v>#REF!</v>
      </c>
      <c r="N65" s="146" t="str">
        <f t="array" ref="N65">IFERROR(INDEX(#REF!, MATCH(0, COUNTIF($N$4:N64,#REF!), 0)), "")</f>
        <v/>
      </c>
      <c r="O65" s="130" t="e">
        <f>SUMIFS('vre plants'!$F$2:$F$10, 'vre plants'!$G$2:$G$10, 'scenario analysis'!N65, 'vre plants'!$C$2:$C$16, "wind_onshore") +SUMIFS('vre plants'!$F$2:$F$10, 'vre plants'!$G$2:$G$10, 'scenario analysis'!N65, 'vre plants'!$C$2:$C$16,"wind_offshore")</f>
        <v>#VALUE!</v>
      </c>
      <c r="P65" s="131" t="e">
        <f>SUMIFS('vre plants'!$F$2:$F$10,'vre plants'!$G$2:$G$10,'scenario analysis'!N65,'vre plants'!$C$2:$C$16,"multi c-Si")</f>
        <v>#VALUE!</v>
      </c>
      <c r="Q65" s="34" t="e">
        <f>SUMIFS('vre plants'!$F$2:$F$10, 'vre plants'!$G$2:$G$10, 'scenario analysis'!N65, 'vre plants'!$C$2:$C$16, "mono c-Si")</f>
        <v>#VALUE!</v>
      </c>
      <c r="R65" s="34" t="e">
        <f>SUMIFS('vre plants'!$F$2:$F$10,'vre plants'!$G$2:$G$10,'scenario analysis'!N65,'vre plants'!$C$2:$C$16,"thin film")</f>
        <v>#VALUE!</v>
      </c>
    </row>
    <row r="66" spans="8:18">
      <c r="H66" s="122" t="str">
        <f t="array" ref="H66">IFERROR(INDEX(#REF!, MATCH(0, COUNTIF($H$4:H65,#REF!), 0)), "")</f>
        <v/>
      </c>
      <c r="I66" s="162" t="e">
        <f>SUMIF('non-vre plants'!#REF!,H66,'non-vre plants'!#REF!)</f>
        <v>#REF!</v>
      </c>
      <c r="J66" s="34">
        <f>SUMIF('demand centres'!$C$1:$C$49,'scenario analysis'!H66,'demand centres'!$B$1:$B$49)</f>
        <v>0</v>
      </c>
      <c r="K66" s="34" t="e">
        <f t="array" ref="K66">SUMIF('existing transmission'!#REF!,H66, 'existing transmission'!#REF!)+SUMIF('existing transmission'!#REF!,H66, 'existing transmission'!#REF!)</f>
        <v>#REF!</v>
      </c>
      <c r="L66" s="91" t="e">
        <f t="array" ref="L66">SUMIF('existing transmission'!#REF!,H66, 'existing transmission'!$J$2:$J$2)+SUMIF('existing transmission'!#REF!,H66, 'existing transmission'!$J$2:$J$2)</f>
        <v>#REF!</v>
      </c>
      <c r="N66" s="146" t="str">
        <f t="array" ref="N66">IFERROR(INDEX(#REF!, MATCH(0, COUNTIF($N$4:N65,#REF!), 0)), "")</f>
        <v/>
      </c>
      <c r="O66" s="130" t="e">
        <f>SUMIFS('vre plants'!$F$2:$F$10, 'vre plants'!$G$2:$G$10, 'scenario analysis'!N66, 'vre plants'!$C$2:$C$16, "wind_onshore") +SUMIFS('vre plants'!$F$2:$F$10, 'vre plants'!$G$2:$G$10, 'scenario analysis'!N66, 'vre plants'!$C$2:$C$16,"wind_offshore")</f>
        <v>#VALUE!</v>
      </c>
      <c r="P66" s="131" t="e">
        <f>SUMIFS('vre plants'!$F$2:$F$10,'vre plants'!$G$2:$G$10,'scenario analysis'!N66,'vre plants'!$C$2:$C$16,"multi c-Si")</f>
        <v>#VALUE!</v>
      </c>
      <c r="Q66" s="34" t="e">
        <f>SUMIFS('vre plants'!$F$2:$F$10, 'vre plants'!$G$2:$G$10, 'scenario analysis'!N66, 'vre plants'!$C$2:$C$16, "mono c-Si")</f>
        <v>#VALUE!</v>
      </c>
      <c r="R66" s="34" t="e">
        <f>SUMIFS('vre plants'!$F$2:$F$10,'vre plants'!$G$2:$G$10,'scenario analysis'!N66,'vre plants'!$C$2:$C$16,"thin film")</f>
        <v>#VALUE!</v>
      </c>
    </row>
    <row r="67" spans="8:18">
      <c r="H67" s="122" t="str">
        <f t="array" ref="H67">IFERROR(INDEX(#REF!, MATCH(0, COUNTIF($H$4:H66,#REF!), 0)), "")</f>
        <v/>
      </c>
      <c r="I67" s="34">
        <f>SUMIFS('vre plants'!$F$2:$F$28,'vre plants'!$G$2:$G$28,'scenario analysis'!H67)+SUMIFS(storage!$E$2:$E$75,storage!$I$2:$I$75,'scenario analysis'!H67)+SUMIFS(EV_aggregator!$E$2:$E$75,EV_aggregator!$I$2:$I$75,'scenario analysis'!H67)+SUMIF('non-vre plants'!G2:G30,H67,'non-vre plants'!F2:F30)</f>
        <v>0</v>
      </c>
      <c r="J67" s="34">
        <f>SUMIF('demand centres'!$C$1:$C$49,'scenario analysis'!H67,'demand centres'!$B$1:$B$49)</f>
        <v>0</v>
      </c>
      <c r="K67" s="34" t="e">
        <f t="array" ref="K67">SUMIF('existing transmission'!#REF!,H67, 'existing transmission'!#REF!)+SUMIF('existing transmission'!#REF!,H67, 'existing transmission'!#REF!)</f>
        <v>#REF!</v>
      </c>
      <c r="L67" s="91" t="e">
        <f t="array" ref="L67">SUMIF('existing transmission'!#REF!,H67, 'existing transmission'!$J$2:$J$2)+SUMIF('existing transmission'!#REF!,H67, 'existing transmission'!$J$2:$J$2)</f>
        <v>#REF!</v>
      </c>
      <c r="N67" s="146" t="str">
        <f t="array" ref="N67">IFERROR(INDEX(#REF!, MATCH(0, COUNTIF($N$4:N66,#REF!), 0)), "")</f>
        <v/>
      </c>
      <c r="O67" s="130" t="e">
        <f>SUMIFS('vre plants'!$F$2:$F$10, 'vre plants'!$G$2:$G$10, 'scenario analysis'!N67, 'vre plants'!$C$2:$C$16, "wind_onshore") +SUMIFS('vre plants'!$F$2:$F$10, 'vre plants'!$G$2:$G$10, 'scenario analysis'!N67, 'vre plants'!$C$2:$C$16,"wind_offshore")</f>
        <v>#VALUE!</v>
      </c>
      <c r="P67" s="131" t="e">
        <f>SUMIFS('vre plants'!$F$2:$F$10,'vre plants'!$G$2:$G$10,'scenario analysis'!N67,'vre plants'!$C$2:$C$16,"multi c-Si")</f>
        <v>#VALUE!</v>
      </c>
      <c r="Q67" s="34" t="e">
        <f>SUMIFS('vre plants'!$F$2:$F$10, 'vre plants'!$G$2:$G$10, 'scenario analysis'!N67, 'vre plants'!$C$2:$C$16, "mono c-Si")</f>
        <v>#VALUE!</v>
      </c>
      <c r="R67" s="34" t="e">
        <f>SUMIFS('vre plants'!$F$2:$F$10,'vre plants'!$G$2:$G$10,'scenario analysis'!N67,'vre plants'!$C$2:$C$16,"thin film")</f>
        <v>#VALUE!</v>
      </c>
    </row>
    <row r="68" spans="8:18">
      <c r="H68" s="122" t="str">
        <f t="array" ref="H68">IFERROR(INDEX(#REF!, MATCH(0, COUNTIF($H$4:H67,#REF!), 0)), "")</f>
        <v/>
      </c>
      <c r="I68" s="162" t="e">
        <f>SUMIF('non-vre plants'!#REF!,H68,'non-vre plants'!#REF!)</f>
        <v>#REF!</v>
      </c>
      <c r="J68" s="34">
        <f>SUMIF('demand centres'!$C$1:$C$49,'scenario analysis'!H68,'demand centres'!$B$1:$B$49)</f>
        <v>0</v>
      </c>
      <c r="K68" s="34" t="e">
        <f t="array" ref="K68">SUMIF('existing transmission'!#REF!,H68, 'existing transmission'!#REF!)+SUMIF('existing transmission'!#REF!,H68, 'existing transmission'!#REF!)</f>
        <v>#REF!</v>
      </c>
      <c r="L68" s="91" t="e">
        <f t="array" ref="L68">SUMIF('existing transmission'!#REF!,H68, 'existing transmission'!$J$2:$J$2)+SUMIF('existing transmission'!#REF!,H68, 'existing transmission'!$J$2:$J$2)</f>
        <v>#REF!</v>
      </c>
      <c r="N68" s="146" t="str">
        <f t="array" ref="N68">IFERROR(INDEX(#REF!, MATCH(0, COUNTIF($N$4:N67,#REF!), 0)), "")</f>
        <v/>
      </c>
      <c r="O68" s="130" t="e">
        <f>SUMIFS('vre plants'!$F$2:$F$10, 'vre plants'!$G$2:$G$10, 'scenario analysis'!N68, 'vre plants'!$C$2:$C$16, "wind_onshore") +SUMIFS('vre plants'!$F$2:$F$10, 'vre plants'!$G$2:$G$10, 'scenario analysis'!N68, 'vre plants'!$C$2:$C$16,"wind_offshore")</f>
        <v>#VALUE!</v>
      </c>
      <c r="P68" s="131" t="e">
        <f>SUMIFS('vre plants'!$F$2:$F$10,'vre plants'!$G$2:$G$10,'scenario analysis'!N68,'vre plants'!$C$2:$C$16,"multi c-Si")</f>
        <v>#VALUE!</v>
      </c>
      <c r="Q68" s="34" t="e">
        <f>SUMIFS('vre plants'!$F$2:$F$10, 'vre plants'!$G$2:$G$10, 'scenario analysis'!N68, 'vre plants'!$C$2:$C$16, "mono c-Si")</f>
        <v>#VALUE!</v>
      </c>
      <c r="R68" s="34" t="e">
        <f>SUMIFS('vre plants'!$F$2:$F$10,'vre plants'!$G$2:$G$10,'scenario analysis'!N68,'vre plants'!$C$2:$C$16,"thin film")</f>
        <v>#VALUE!</v>
      </c>
    </row>
    <row r="69" spans="8:18">
      <c r="H69" s="122" t="str">
        <f t="array" ref="H69">IFERROR(INDEX(#REF!, MATCH(0, COUNTIF($H$4:H68,#REF!), 0)), "")</f>
        <v/>
      </c>
      <c r="I69" s="162" t="e">
        <f>SUMIF('non-vre plants'!#REF!,H69,'non-vre plants'!#REF!)</f>
        <v>#REF!</v>
      </c>
      <c r="J69" s="34">
        <f>SUMIF('demand centres'!$C$1:$C$49,'scenario analysis'!H69,'demand centres'!$B$1:$B$49)</f>
        <v>0</v>
      </c>
      <c r="K69" s="34" t="e">
        <f t="array" ref="K69">SUMIF('existing transmission'!#REF!,H69, 'existing transmission'!#REF!)+SUMIF('existing transmission'!#REF!,H69, 'existing transmission'!#REF!)</f>
        <v>#REF!</v>
      </c>
      <c r="L69" s="91" t="e">
        <f t="array" ref="L69">SUMIF('existing transmission'!#REF!,H69, 'existing transmission'!$J$2:$J$2)+SUMIF('existing transmission'!#REF!,H69, 'existing transmission'!$J$2:$J$2)</f>
        <v>#REF!</v>
      </c>
      <c r="N69" s="146" t="str">
        <f t="array" ref="N69">IFERROR(INDEX(#REF!, MATCH(0, COUNTIF($N$4:N68,#REF!), 0)), "")</f>
        <v/>
      </c>
      <c r="O69" s="130" t="e">
        <f>SUMIFS('vre plants'!$F$2:$F$10, 'vre plants'!$G$2:$G$10, 'scenario analysis'!N69, 'vre plants'!$C$2:$C$16, "wind_onshore") +SUMIFS('vre plants'!$F$2:$F$10, 'vre plants'!$G$2:$G$10, 'scenario analysis'!N69, 'vre plants'!$C$2:$C$16,"wind_offshore")</f>
        <v>#VALUE!</v>
      </c>
      <c r="P69" s="131" t="e">
        <f>SUMIFS('vre plants'!$F$2:$F$10,'vre plants'!$G$2:$G$10,'scenario analysis'!N69,'vre plants'!$C$2:$C$16,"multi c-Si")</f>
        <v>#VALUE!</v>
      </c>
      <c r="Q69" s="34" t="e">
        <f>SUMIFS('vre plants'!$F$2:$F$10, 'vre plants'!$G$2:$G$10, 'scenario analysis'!N69, 'vre plants'!$C$2:$C$16, "mono c-Si")</f>
        <v>#VALUE!</v>
      </c>
      <c r="R69" s="34" t="e">
        <f>SUMIFS('vre plants'!$F$2:$F$10,'vre plants'!$G$2:$G$10,'scenario analysis'!N69,'vre plants'!$C$2:$C$16,"thin film")</f>
        <v>#VALUE!</v>
      </c>
    </row>
    <row r="70" spans="8:18">
      <c r="H70" s="122" t="str">
        <f t="array" ref="H70">IFERROR(INDEX(#REF!, MATCH(0, COUNTIF($H$4:H69,#REF!), 0)), "")</f>
        <v/>
      </c>
      <c r="I70" s="34">
        <f>SUMIFS('vre plants'!$F$2:$F$28,'vre plants'!$G$2:$G$28,'scenario analysis'!H70)+SUMIFS(storage!$E$2:$E$75,storage!$I$2:$I$75,'scenario analysis'!H70)+SUMIFS(EV_aggregator!$E$2:$E$75,EV_aggregator!$I$2:$I$75,'scenario analysis'!H70)+SUMIF('non-vre plants'!G2:G30,H70,'non-vre plants'!F2:F30)</f>
        <v>0</v>
      </c>
      <c r="J70" s="34">
        <f>SUMIF('demand centres'!$C$1:$C$49,'scenario analysis'!H70,'demand centres'!$B$1:$B$49)</f>
        <v>0</v>
      </c>
      <c r="K70" s="34" t="e">
        <f t="array" ref="K70">SUMIF('existing transmission'!#REF!,H70, 'existing transmission'!#REF!)+SUMIF('existing transmission'!#REF!,H70, 'existing transmission'!#REF!)</f>
        <v>#REF!</v>
      </c>
      <c r="L70" s="91" t="e">
        <f t="array" ref="L70">SUMIF('existing transmission'!#REF!,H70, 'existing transmission'!$J$2:$J$2)+SUMIF('existing transmission'!#REF!,H70, 'existing transmission'!$J$2:$J$2)</f>
        <v>#REF!</v>
      </c>
      <c r="N70" s="146" t="str">
        <f t="array" ref="N70">IFERROR(INDEX(#REF!, MATCH(0, COUNTIF($N$4:N69,#REF!), 0)), "")</f>
        <v/>
      </c>
      <c r="O70" s="130" t="e">
        <f>SUMIFS('vre plants'!$F$2:$F$10, 'vre plants'!$G$2:$G$10, 'scenario analysis'!N70, 'vre plants'!$C$2:$C$16, "wind_onshore") +SUMIFS('vre plants'!$F$2:$F$10, 'vre plants'!$G$2:$G$10, 'scenario analysis'!N70, 'vre plants'!$C$2:$C$16,"wind_offshore")</f>
        <v>#VALUE!</v>
      </c>
      <c r="P70" s="131" t="e">
        <f>SUMIFS('vre plants'!$F$2:$F$10,'vre plants'!$G$2:$G$10,'scenario analysis'!N70,'vre plants'!$C$2:$C$16,"multi c-Si")</f>
        <v>#VALUE!</v>
      </c>
      <c r="Q70" s="34" t="e">
        <f>SUMIFS('vre plants'!$F$2:$F$10, 'vre plants'!$G$2:$G$10, 'scenario analysis'!N70, 'vre plants'!$C$2:$C$16, "mono c-Si")</f>
        <v>#VALUE!</v>
      </c>
      <c r="R70" s="34" t="e">
        <f>SUMIFS('vre plants'!$F$2:$F$10,'vre plants'!$G$2:$G$10,'scenario analysis'!N70,'vre plants'!$C$2:$C$16,"thin film")</f>
        <v>#VALUE!</v>
      </c>
    </row>
    <row r="71" spans="8:18">
      <c r="H71" s="122" t="str">
        <f t="array" ref="H71">IFERROR(INDEX(#REF!, MATCH(0, COUNTIF($H$4:H70,#REF!), 0)), "")</f>
        <v/>
      </c>
      <c r="I71" s="34">
        <f>SUMIFS('vre plants'!$F$2:$F$28,'vre plants'!$G$2:$G$28,'scenario analysis'!H71)+SUMIFS(storage!$E$2:$E$75,storage!$I$2:$I$75,'scenario analysis'!H71)+SUMIFS(EV_aggregator!$E$2:$E$75,EV_aggregator!$I$2:$I$75,'scenario analysis'!H71)+SUMIF('non-vre plants'!G2:G30,H71,'non-vre plants'!F2:F30)</f>
        <v>0</v>
      </c>
      <c r="J71" s="34">
        <f>SUMIF('demand centres'!$C$1:$C$49,'scenario analysis'!H71,'demand centres'!$B$1:$B$49)</f>
        <v>0</v>
      </c>
      <c r="K71" s="34" t="e">
        <f t="array" ref="K71">SUMIF('existing transmission'!#REF!,H71, 'existing transmission'!#REF!)+SUMIF('existing transmission'!#REF!,H71, 'existing transmission'!#REF!)</f>
        <v>#REF!</v>
      </c>
      <c r="L71" s="91" t="e">
        <f t="array" ref="L71">SUMIF('existing transmission'!#REF!,H71, 'existing transmission'!$J$2:$J$2)+SUMIF('existing transmission'!#REF!,H71, 'existing transmission'!$J$2:$J$2)</f>
        <v>#REF!</v>
      </c>
      <c r="N71" s="146" t="str">
        <f t="array" ref="N71">IFERROR(INDEX(#REF!, MATCH(0, COUNTIF($N$4:N70,#REF!), 0)), "")</f>
        <v/>
      </c>
      <c r="O71" s="130" t="e">
        <f>SUMIFS('vre plants'!$F$2:$F$10, 'vre plants'!$G$2:$G$10, 'scenario analysis'!N71, 'vre plants'!$C$2:$C$16, "wind_onshore") +SUMIFS('vre plants'!$F$2:$F$10, 'vre plants'!$G$2:$G$10, 'scenario analysis'!N71, 'vre plants'!$C$2:$C$16,"wind_offshore")</f>
        <v>#VALUE!</v>
      </c>
      <c r="P71" s="131" t="e">
        <f>SUMIFS('vre plants'!$F$2:$F$10,'vre plants'!$G$2:$G$10,'scenario analysis'!N71,'vre plants'!$C$2:$C$16,"multi c-Si")</f>
        <v>#VALUE!</v>
      </c>
      <c r="Q71" s="34" t="e">
        <f>SUMIFS('vre plants'!$F$2:$F$10, 'vre plants'!$G$2:$G$10, 'scenario analysis'!N71, 'vre plants'!$C$2:$C$16, "mono c-Si")</f>
        <v>#VALUE!</v>
      </c>
      <c r="R71" s="34" t="e">
        <f>SUMIFS('vre plants'!$F$2:$F$10,'vre plants'!$G$2:$G$10,'scenario analysis'!N71,'vre plants'!$C$2:$C$16,"thin film")</f>
        <v>#VALUE!</v>
      </c>
    </row>
    <row r="72" spans="8:18">
      <c r="H72" s="122" t="str">
        <f t="array" ref="H72">IFERROR(INDEX(#REF!, MATCH(0, COUNTIF($H$4:H71,#REF!), 0)), "")</f>
        <v/>
      </c>
      <c r="I72" s="162" t="e">
        <f>SUMIF('non-vre plants'!#REF!,H72,'non-vre plants'!#REF!)</f>
        <v>#REF!</v>
      </c>
      <c r="J72" s="34">
        <f>SUMIF('demand centres'!$C$1:$C$49,'scenario analysis'!H72,'demand centres'!$B$1:$B$49)</f>
        <v>0</v>
      </c>
      <c r="K72" s="34" t="e">
        <f t="array" ref="K72">SUMIF('existing transmission'!#REF!,H72, 'existing transmission'!#REF!)+SUMIF('existing transmission'!#REF!,H72, 'existing transmission'!#REF!)</f>
        <v>#REF!</v>
      </c>
      <c r="L72" s="91" t="e">
        <f t="array" ref="L72">SUMIF('existing transmission'!#REF!,H72, 'existing transmission'!$J$2:$J$2)+SUMIF('existing transmission'!#REF!,H72, 'existing transmission'!$J$2:$J$2)</f>
        <v>#REF!</v>
      </c>
      <c r="N72" s="146" t="str">
        <f t="array" ref="N72">IFERROR(INDEX(#REF!, MATCH(0, COUNTIF($N$4:N71,#REF!), 0)), "")</f>
        <v/>
      </c>
      <c r="O72" s="130" t="e">
        <f>SUMIFS('vre plants'!$F$2:$F$10, 'vre plants'!$G$2:$G$10, 'scenario analysis'!N72, 'vre plants'!$C$2:$C$16, "wind_onshore") +SUMIFS('vre plants'!$F$2:$F$10, 'vre plants'!$G$2:$G$10, 'scenario analysis'!N72, 'vre plants'!$C$2:$C$16,"wind_offshore")</f>
        <v>#VALUE!</v>
      </c>
      <c r="P72" s="131" t="e">
        <f>SUMIFS('vre plants'!$F$2:$F$10,'vre plants'!$G$2:$G$10,'scenario analysis'!N72,'vre plants'!$C$2:$C$16,"multi c-Si")</f>
        <v>#VALUE!</v>
      </c>
      <c r="Q72" s="34" t="e">
        <f>SUMIFS('vre plants'!$F$2:$F$10, 'vre plants'!$G$2:$G$10, 'scenario analysis'!N72, 'vre plants'!$C$2:$C$16, "mono c-Si")</f>
        <v>#VALUE!</v>
      </c>
      <c r="R72" s="34" t="e">
        <f>SUMIFS('vre plants'!$F$2:$F$10,'vre plants'!$G$2:$G$10,'scenario analysis'!N72,'vre plants'!$C$2:$C$16,"thin film")</f>
        <v>#VALUE!</v>
      </c>
    </row>
    <row r="73" spans="8:18">
      <c r="H73" s="122" t="str">
        <f t="array" ref="H73">IFERROR(INDEX(#REF!, MATCH(0, COUNTIF($H$4:H72,#REF!), 0)), "")</f>
        <v/>
      </c>
      <c r="I73" s="34">
        <f>SUMIFS('vre plants'!$F$2:$F$28,'vre plants'!$G$2:$G$28,'scenario analysis'!H73)+SUMIFS(storage!$E$2:$E$75,storage!$I$2:$I$75,'scenario analysis'!H73)+SUMIFS(EV_aggregator!$E$2:$E$75,EV_aggregator!$I$2:$I$75,'scenario analysis'!H73)+SUMIF('non-vre plants'!G2:G30,H73,'non-vre plants'!F2:F30)</f>
        <v>0</v>
      </c>
      <c r="J73" s="34">
        <f>SUMIF('demand centres'!$C$1:$C$49,'scenario analysis'!H73,'demand centres'!$B$1:$B$49)</f>
        <v>0</v>
      </c>
      <c r="K73" s="34" t="e">
        <f t="array" ref="K73">SUMIF('existing transmission'!#REF!,H73, 'existing transmission'!#REF!)+SUMIF('existing transmission'!#REF!,H73, 'existing transmission'!#REF!)</f>
        <v>#REF!</v>
      </c>
      <c r="L73" s="91" t="e">
        <f t="array" ref="L73">SUMIF('existing transmission'!#REF!,H73, 'existing transmission'!$J$2:$J$2)+SUMIF('existing transmission'!#REF!,H73, 'existing transmission'!$J$2:$J$2)</f>
        <v>#REF!</v>
      </c>
      <c r="N73" s="146" t="str">
        <f t="array" ref="N73">IFERROR(INDEX(#REF!, MATCH(0, COUNTIF($N$4:N72,#REF!), 0)), "")</f>
        <v/>
      </c>
      <c r="O73" s="130" t="e">
        <f>SUMIFS('vre plants'!$F$2:$F$10, 'vre plants'!$G$2:$G$10, 'scenario analysis'!N73, 'vre plants'!$C$2:$C$16, "wind_onshore") +SUMIFS('vre plants'!$F$2:$F$10, 'vre plants'!$G$2:$G$10, 'scenario analysis'!N73, 'vre plants'!$C$2:$C$16,"wind_offshore")</f>
        <v>#VALUE!</v>
      </c>
      <c r="P73" s="131" t="e">
        <f>SUMIFS('vre plants'!$F$2:$F$10,'vre plants'!$G$2:$G$10,'scenario analysis'!N73,'vre plants'!$C$2:$C$16,"multi c-Si")</f>
        <v>#VALUE!</v>
      </c>
      <c r="Q73" s="34" t="e">
        <f>SUMIFS('vre plants'!$F$2:$F$10, 'vre plants'!$G$2:$G$10, 'scenario analysis'!N73, 'vre plants'!$C$2:$C$16, "mono c-Si")</f>
        <v>#VALUE!</v>
      </c>
      <c r="R73" s="34" t="e">
        <f>SUMIFS('vre plants'!$F$2:$F$10,'vre plants'!$G$2:$G$10,'scenario analysis'!N73,'vre plants'!$C$2:$C$16,"thin film")</f>
        <v>#VALUE!</v>
      </c>
    </row>
    <row r="74" spans="8:18">
      <c r="H74" s="122" t="str">
        <f t="array" ref="H74">IFERROR(INDEX(#REF!, MATCH(0, COUNTIF($H$4:H73,#REF!), 0)), "")</f>
        <v/>
      </c>
      <c r="I74" s="162" t="e">
        <f>SUMIF('non-vre plants'!#REF!,H74,'non-vre plants'!#REF!)</f>
        <v>#REF!</v>
      </c>
      <c r="J74" s="34">
        <f>SUMIF('demand centres'!$C$1:$C$49,'scenario analysis'!H74,'demand centres'!$B$1:$B$49)</f>
        <v>0</v>
      </c>
      <c r="K74" s="34" t="e">
        <f t="array" ref="K74">SUMIF('existing transmission'!#REF!,H74, 'existing transmission'!#REF!)+SUMIF('existing transmission'!#REF!,H74, 'existing transmission'!#REF!)</f>
        <v>#REF!</v>
      </c>
      <c r="L74" s="91" t="e">
        <f t="array" ref="L74">SUMIF('existing transmission'!#REF!,H74, 'existing transmission'!$J$2:$J$2)+SUMIF('existing transmission'!#REF!,H74, 'existing transmission'!$J$2:$J$2)</f>
        <v>#REF!</v>
      </c>
      <c r="N74" s="146" t="str">
        <f t="array" ref="N74">IFERROR(INDEX(#REF!, MATCH(0, COUNTIF($N$4:N73,#REF!), 0)), "")</f>
        <v/>
      </c>
      <c r="O74" s="130" t="e">
        <f>SUMIFS('vre plants'!$F$2:$F$10, 'vre plants'!$G$2:$G$10, 'scenario analysis'!N74, 'vre plants'!$C$2:$C$16, "wind_onshore") +SUMIFS('vre plants'!$F$2:$F$10, 'vre plants'!$G$2:$G$10, 'scenario analysis'!N74, 'vre plants'!$C$2:$C$16,"wind_offshore")</f>
        <v>#VALUE!</v>
      </c>
      <c r="P74" s="131" t="e">
        <f>SUMIFS('vre plants'!$F$2:$F$10,'vre plants'!$G$2:$G$10,'scenario analysis'!N74,'vre plants'!$C$2:$C$16,"multi c-Si")</f>
        <v>#VALUE!</v>
      </c>
      <c r="Q74" s="34" t="e">
        <f>SUMIFS('vre plants'!$F$2:$F$10, 'vre plants'!$G$2:$G$10, 'scenario analysis'!N74, 'vre plants'!$C$2:$C$16, "mono c-Si")</f>
        <v>#VALUE!</v>
      </c>
      <c r="R74" s="34" t="e">
        <f>SUMIFS('vre plants'!$F$2:$F$10,'vre plants'!$G$2:$G$10,'scenario analysis'!N74,'vre plants'!$C$2:$C$16,"thin film")</f>
        <v>#VALUE!</v>
      </c>
    </row>
    <row r="75" spans="8:18">
      <c r="H75" s="122" t="str">
        <f t="array" ref="H75">IFERROR(INDEX(#REF!, MATCH(0, COUNTIF($H$4:H74,#REF!), 0)), "")</f>
        <v/>
      </c>
      <c r="I75" s="162" t="e">
        <f>SUMIF('non-vre plants'!#REF!,H75,'non-vre plants'!#REF!)</f>
        <v>#REF!</v>
      </c>
      <c r="J75" s="34">
        <f>SUMIF('demand centres'!$C$1:$C$49,'scenario analysis'!H75,'demand centres'!$B$1:$B$49)</f>
        <v>0</v>
      </c>
      <c r="K75" s="34" t="e">
        <f>SUMIF('existing transmission'!#REF!,H75, 'existing transmission'!#REF!)+SUMIF('existing transmission'!#REF!,H75, 'existing transmission'!#REF!)</f>
        <v>#REF!</v>
      </c>
      <c r="L75" s="91" t="e">
        <f t="array" ref="L75">SUMIF('existing transmission'!#REF!,H75, 'existing transmission'!$J$2:$J$2)+SUMIF('existing transmission'!#REF!,H75, 'existing transmission'!$J$2:$J$2)</f>
        <v>#REF!</v>
      </c>
      <c r="N75" s="146" t="str">
        <f t="array" ref="N75">IFERROR(INDEX(#REF!, MATCH(0, COUNTIF($N$4:N74,#REF!), 0)), "")</f>
        <v/>
      </c>
      <c r="O75" s="130" t="e">
        <f>SUMIFS('vre plants'!$F$2:$F$10, 'vre plants'!$G$2:$G$10, 'scenario analysis'!N75, 'vre plants'!$C$2:$C$16, "wind_onshore") +SUMIFS('vre plants'!$F$2:$F$10, 'vre plants'!$G$2:$G$10, 'scenario analysis'!N75, 'vre plants'!$C$2:$C$16,"wind_offshore")</f>
        <v>#VALUE!</v>
      </c>
      <c r="P75" s="131" t="e">
        <f>SUMIFS('vre plants'!$F$2:$F$10,'vre plants'!$G$2:$G$10,'scenario analysis'!N75,'vre plants'!$C$2:$C$16,"multi c-Si")</f>
        <v>#VALUE!</v>
      </c>
      <c r="Q75" s="34" t="e">
        <f>SUMIFS('vre plants'!$F$2:$F$10, 'vre plants'!$G$2:$G$10, 'scenario analysis'!N75, 'vre plants'!$C$2:$C$16, "mono c-Si")</f>
        <v>#VALUE!</v>
      </c>
      <c r="R75" s="34" t="e">
        <f>SUMIFS('vre plants'!$F$2:$F$10,'vre plants'!$G$2:$G$10,'scenario analysis'!N75,'vre plants'!$C$2:$C$16,"thin film")</f>
        <v>#VALUE!</v>
      </c>
    </row>
    <row r="76" spans="8:18">
      <c r="H76" s="122" t="str">
        <f t="array" ref="H76">IFERROR(INDEX(#REF!, MATCH(0, COUNTIF($H$4:H75,#REF!), 0)), "")</f>
        <v/>
      </c>
      <c r="I76" s="34">
        <f>SUMIFS('vre plants'!$F$2:$F$28,'vre plants'!$G$2:$G$28,'scenario analysis'!H76)+SUMIFS(storage!$E$2:$E$75,storage!$I$2:$I$75,'scenario analysis'!H76)+SUMIFS(EV_aggregator!$E$2:$E$75,EV_aggregator!$I$2:$I$75,'scenario analysis'!H76)+SUMIF('non-vre plants'!G2:G30,H76,'non-vre plants'!F2:F30)</f>
        <v>0</v>
      </c>
      <c r="J76" s="34">
        <f>SUMIF('demand centres'!$C$1:$C$49,'scenario analysis'!H76,'demand centres'!$B$1:$B$49)</f>
        <v>0</v>
      </c>
      <c r="K76" s="34" t="e">
        <f t="array" ref="K76">SUMIF('existing transmission'!#REF!,H76, 'existing transmission'!#REF!)+SUMIF('existing transmission'!#REF!,H76, 'existing transmission'!#REF!)</f>
        <v>#REF!</v>
      </c>
      <c r="L76" s="91" t="e">
        <f t="array" ref="L76">SUMIF('existing transmission'!#REF!,H76, 'existing transmission'!$J$2:$J$2)+SUMIF('existing transmission'!#REF!,H76, 'existing transmission'!$J$2:$J$2)</f>
        <v>#REF!</v>
      </c>
      <c r="N76" s="146" t="str">
        <f t="array" ref="N76">IFERROR(INDEX(#REF!, MATCH(0, COUNTIF($N$4:N75,#REF!), 0)), "")</f>
        <v/>
      </c>
      <c r="O76" s="130" t="e">
        <f>SUMIFS('vre plants'!$F$2:$F$10, 'vre plants'!$G$2:$G$10, 'scenario analysis'!N76, 'vre plants'!$C$2:$C$16, "wind_onshore") +SUMIFS('vre plants'!$F$2:$F$10, 'vre plants'!$G$2:$G$10, 'scenario analysis'!N76, 'vre plants'!$C$2:$C$16,"wind_offshore")</f>
        <v>#VALUE!</v>
      </c>
      <c r="P76" s="131" t="e">
        <f>SUMIFS('vre plants'!$F$2:$F$10,'vre plants'!$G$2:$G$10,'scenario analysis'!N76,'vre plants'!$C$2:$C$16,"multi c-Si")</f>
        <v>#VALUE!</v>
      </c>
      <c r="Q76" s="34" t="e">
        <f>SUMIFS('vre plants'!$F$2:$F$10, 'vre plants'!$G$2:$G$10, 'scenario analysis'!N76, 'vre plants'!$C$2:$C$16, "mono c-Si")</f>
        <v>#VALUE!</v>
      </c>
      <c r="R76" s="34" t="e">
        <f>SUMIFS('vre plants'!$F$2:$F$10,'vre plants'!$G$2:$G$10,'scenario analysis'!N76,'vre plants'!$C$2:$C$16,"thin film")</f>
        <v>#VALUE!</v>
      </c>
    </row>
    <row r="77" spans="8:18">
      <c r="H77" s="122" t="str">
        <f t="array" ref="H77">IFERROR(INDEX(#REF!, MATCH(0, COUNTIF($H$4:H76,#REF!), 0)), "")</f>
        <v/>
      </c>
      <c r="I77" s="34">
        <f>SUMIFS('vre plants'!$F$2:$F$28,'vre plants'!$G$2:$G$28,'scenario analysis'!H77)+SUMIFS(storage!$E$2:$E$75,storage!$I$2:$I$75,'scenario analysis'!H77)+SUMIFS(EV_aggregator!$E$2:$E$75,EV_aggregator!$I$2:$I$75,'scenario analysis'!H77)+SUMIF('non-vre plants'!G2:G30,H77,'non-vre plants'!F2:F30)</f>
        <v>0</v>
      </c>
      <c r="J77" s="34">
        <f>SUMIF('demand centres'!$C$1:$C$49,'scenario analysis'!H77,'demand centres'!$B$1:$B$49)</f>
        <v>0</v>
      </c>
      <c r="K77" s="34" t="e">
        <f t="array" ref="K77">SUMIF('existing transmission'!#REF!,H77, 'existing transmission'!#REF!)+SUMIF('existing transmission'!#REF!,H77, 'existing transmission'!#REF!)</f>
        <v>#REF!</v>
      </c>
      <c r="L77" s="91" t="e">
        <f t="array" ref="L77">SUMIF('existing transmission'!#REF!,H77, 'existing transmission'!$J$2:$J$2)+SUMIF('existing transmission'!#REF!,H77, 'existing transmission'!$J$2:$J$2)</f>
        <v>#REF!</v>
      </c>
      <c r="N77" s="146" t="str">
        <f t="array" ref="N77">IFERROR(INDEX(#REF!, MATCH(0, COUNTIF($N$4:N76,#REF!), 0)), "")</f>
        <v/>
      </c>
      <c r="O77" s="130" t="e">
        <f>SUMIFS('vre plants'!$F$2:$F$10, 'vre plants'!$G$2:$G$10, 'scenario analysis'!N77, 'vre plants'!$C$2:$C$16, "wind_onshore") +SUMIFS('vre plants'!$F$2:$F$10, 'vre plants'!$G$2:$G$10, 'scenario analysis'!N77, 'vre plants'!$C$2:$C$16,"wind_offshore")</f>
        <v>#VALUE!</v>
      </c>
      <c r="P77" s="131" t="e">
        <f>SUMIFS('vre plants'!$F$2:$F$10,'vre plants'!$G$2:$G$10,'scenario analysis'!N77,'vre plants'!$C$2:$C$16,"multi c-Si")</f>
        <v>#VALUE!</v>
      </c>
      <c r="Q77" s="34" t="e">
        <f>SUMIFS('vre plants'!$F$2:$F$10, 'vre plants'!$G$2:$G$10, 'scenario analysis'!N77, 'vre plants'!$C$2:$C$16, "mono c-Si")</f>
        <v>#VALUE!</v>
      </c>
      <c r="R77" s="34" t="e">
        <f>SUMIFS('vre plants'!$F$2:$F$10,'vre plants'!$G$2:$G$10,'scenario analysis'!N77,'vre plants'!$C$2:$C$16,"thin film")</f>
        <v>#VALUE!</v>
      </c>
    </row>
    <row r="78" spans="8:18">
      <c r="H78" s="122" t="str">
        <f t="array" ref="H78">IFERROR(INDEX(#REF!, MATCH(0, COUNTIF($H$4:H77,#REF!), 0)), "")</f>
        <v/>
      </c>
      <c r="I78" s="34">
        <f>SUMIFS('vre plants'!$F$2:$F$28,'vre plants'!$G$2:$G$28,'scenario analysis'!H78)+SUMIFS(storage!$E$2:$E$75,storage!$I$2:$I$75,'scenario analysis'!H78)+SUMIFS(EV_aggregator!$E$2:$E$75,EV_aggregator!$I$2:$I$75,'scenario analysis'!H78)+SUMIF('non-vre plants'!G2:G30,H78,'non-vre plants'!F2:F30)</f>
        <v>0</v>
      </c>
      <c r="J78" s="34">
        <f>SUMIF('demand centres'!$C$1:$C$49,'scenario analysis'!H78,'demand centres'!$B$1:$B$49)</f>
        <v>0</v>
      </c>
      <c r="K78" s="34" t="e">
        <f t="array" ref="K78">SUMIF('existing transmission'!#REF!,H78, 'existing transmission'!#REF!)+SUMIF('existing transmission'!#REF!,H78, 'existing transmission'!#REF!)</f>
        <v>#REF!</v>
      </c>
      <c r="L78" s="91" t="e">
        <f t="array" ref="L78">SUMIF('existing transmission'!#REF!,H78, 'existing transmission'!$J$2:$J$2)+SUMIF('existing transmission'!#REF!,H78, 'existing transmission'!$J$2:$J$2)</f>
        <v>#REF!</v>
      </c>
      <c r="N78" s="146" t="str">
        <f t="array" ref="N78">IFERROR(INDEX(#REF!, MATCH(0, COUNTIF($N$4:N77,#REF!), 0)), "")</f>
        <v/>
      </c>
      <c r="O78" s="130" t="e">
        <f>SUMIFS('vre plants'!$F$2:$F$10, 'vre plants'!$G$2:$G$10, 'scenario analysis'!N78, 'vre plants'!$C$2:$C$16, "wind_onshore") +SUMIFS('vre plants'!$F$2:$F$10, 'vre plants'!$G$2:$G$10, 'scenario analysis'!N78, 'vre plants'!$C$2:$C$16,"wind_offshore")</f>
        <v>#VALUE!</v>
      </c>
      <c r="P78" s="131" t="e">
        <f>SUMIFS('vre plants'!$F$2:$F$10,'vre plants'!$G$2:$G$10,'scenario analysis'!N78,'vre plants'!$C$2:$C$16,"multi c-Si")</f>
        <v>#VALUE!</v>
      </c>
      <c r="Q78" s="34" t="e">
        <f>SUMIFS('vre plants'!$F$2:$F$10, 'vre plants'!$G$2:$G$10, 'scenario analysis'!N78, 'vre plants'!$C$2:$C$16, "mono c-Si")</f>
        <v>#VALUE!</v>
      </c>
      <c r="R78" s="34" t="e">
        <f>SUMIFS('vre plants'!$F$2:$F$10,'vre plants'!$G$2:$G$10,'scenario analysis'!N78,'vre plants'!$C$2:$C$16,"thin film")</f>
        <v>#VALUE!</v>
      </c>
    </row>
    <row r="79" spans="8:18">
      <c r="H79" s="122" t="str">
        <f t="array" ref="H79">IFERROR(INDEX(#REF!, MATCH(0, COUNTIF($H$4:H78,#REF!), 0)), "")</f>
        <v/>
      </c>
      <c r="I79" s="34">
        <f>SUMIFS('vre plants'!$F$2:$F$28,'vre plants'!$G$2:$G$28,'scenario analysis'!H79)+SUMIFS(storage!$E$2:$E$75,storage!$I$2:$I$75,'scenario analysis'!H79)+SUMIFS(EV_aggregator!$E$2:$E$75,EV_aggregator!$I$2:$I$75,'scenario analysis'!H79)+SUMIF('non-vre plants'!G2:G30,H79,'non-vre plants'!F2:F30)</f>
        <v>0</v>
      </c>
      <c r="J79" s="34">
        <f>SUMIF('demand centres'!$C$1:$C$49,'scenario analysis'!H79,'demand centres'!$B$1:$B$49)</f>
        <v>0</v>
      </c>
      <c r="K79" s="34" t="e">
        <f t="array" ref="K79">SUMIF('existing transmission'!#REF!,H79, 'existing transmission'!#REF!)+SUMIF('existing transmission'!#REF!,H79, 'existing transmission'!#REF!)</f>
        <v>#REF!</v>
      </c>
      <c r="L79" s="91" t="e">
        <f t="array" ref="L79">SUMIF('existing transmission'!#REF!,H79, 'existing transmission'!$J$2:$J$2)+SUMIF('existing transmission'!#REF!,H79, 'existing transmission'!$J$2:$J$2)</f>
        <v>#REF!</v>
      </c>
      <c r="N79" s="146" t="str">
        <f t="array" ref="N79">IFERROR(INDEX(#REF!, MATCH(0, COUNTIF($N$4:N78,#REF!), 0)), "")</f>
        <v/>
      </c>
      <c r="O79" s="130" t="e">
        <f>SUMIFS('vre plants'!$F$2:$F$10, 'vre plants'!$G$2:$G$10, 'scenario analysis'!N79, 'vre plants'!$C$2:$C$16, "wind_onshore") +SUMIFS('vre plants'!$F$2:$F$10, 'vre plants'!$G$2:$G$10, 'scenario analysis'!N79, 'vre plants'!$C$2:$C$16,"wind_offshore")</f>
        <v>#VALUE!</v>
      </c>
      <c r="P79" s="131" t="e">
        <f>SUMIFS('vre plants'!$F$2:$F$10,'vre plants'!$G$2:$G$10,'scenario analysis'!N79,'vre plants'!$C$2:$C$16,"multi c-Si")</f>
        <v>#VALUE!</v>
      </c>
      <c r="Q79" s="34" t="e">
        <f>SUMIFS('vre plants'!$F$2:$F$10, 'vre plants'!$G$2:$G$10, 'scenario analysis'!N79, 'vre plants'!$C$2:$C$16, "mono c-Si")</f>
        <v>#VALUE!</v>
      </c>
      <c r="R79" s="34" t="e">
        <f>SUMIFS('vre plants'!$F$2:$F$10,'vre plants'!$G$2:$G$10,'scenario analysis'!N79,'vre plants'!$C$2:$C$16,"thin film")</f>
        <v>#VALUE!</v>
      </c>
    </row>
    <row r="80" spans="8:18">
      <c r="H80" s="122"/>
      <c r="N80" s="146"/>
    </row>
    <row r="81" spans="8:14">
      <c r="H81" s="122"/>
      <c r="N81" s="146"/>
    </row>
    <row r="82" spans="8:14">
      <c r="H82" s="122"/>
      <c r="N82" s="146"/>
    </row>
    <row r="83" spans="8:14">
      <c r="H83" s="122"/>
      <c r="N83" s="146"/>
    </row>
    <row r="84" spans="8:14">
      <c r="H84" s="122"/>
      <c r="N84" s="146"/>
    </row>
    <row r="85" spans="8:14">
      <c r="H85" s="122"/>
      <c r="N85" s="146"/>
    </row>
    <row r="86" spans="8:14">
      <c r="H86" s="122"/>
      <c r="N86" s="146"/>
    </row>
    <row r="87" spans="8:14">
      <c r="H87" s="122"/>
      <c r="N87" s="146"/>
    </row>
    <row r="88" spans="8:14">
      <c r="H88" s="122"/>
      <c r="N88" s="146"/>
    </row>
    <row r="89" spans="8:14">
      <c r="H89" s="122"/>
      <c r="N89" s="146"/>
    </row>
    <row r="90" spans="8:14">
      <c r="H90" s="122"/>
      <c r="N90" s="146"/>
    </row>
    <row r="91" spans="8:14">
      <c r="H91" s="122"/>
      <c r="N91" s="146"/>
    </row>
    <row r="92" spans="8:14">
      <c r="H92" s="122"/>
      <c r="N92" s="146"/>
    </row>
    <row r="93" spans="8:14">
      <c r="H93" s="122"/>
      <c r="N93" s="146"/>
    </row>
    <row r="94" spans="8:14">
      <c r="H94" s="122"/>
      <c r="N94" s="146"/>
    </row>
    <row r="95" spans="8:14">
      <c r="H95" s="122"/>
      <c r="N95" s="146"/>
    </row>
    <row r="96" spans="8:14">
      <c r="H96" s="122"/>
      <c r="N96" s="146"/>
    </row>
    <row r="97" spans="8:14">
      <c r="H97" s="122"/>
      <c r="N97" s="146"/>
    </row>
    <row r="98" spans="8:14">
      <c r="H98" s="122"/>
      <c r="N98" s="146"/>
    </row>
    <row r="99" spans="8:14">
      <c r="H99" s="122"/>
      <c r="N99" s="146"/>
    </row>
    <row r="100" spans="8:14">
      <c r="H100" s="122"/>
      <c r="N100" s="146"/>
    </row>
    <row r="101" spans="8:14">
      <c r="H101" s="122"/>
      <c r="N101" s="146"/>
    </row>
    <row r="102" spans="8:14">
      <c r="H102" s="122"/>
    </row>
    <row r="103" spans="8:14">
      <c r="H103" s="122"/>
    </row>
    <row r="104" spans="8:14">
      <c r="H104" s="122"/>
    </row>
    <row r="105" spans="8:14">
      <c r="H105" s="122"/>
    </row>
    <row r="106" spans="8:14">
      <c r="H106" s="122"/>
    </row>
    <row r="107" spans="8:14">
      <c r="H107" s="122"/>
    </row>
    <row r="108" spans="8:14">
      <c r="H108" s="122"/>
    </row>
  </sheetData>
  <mergeCells count="3">
    <mergeCell ref="E2:F2"/>
    <mergeCell ref="N2:P2"/>
    <mergeCell ref="H2:L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R891"/>
  <sheetViews>
    <sheetView zoomScaleNormal="100" workbookViewId="0">
      <selection activeCell="G16" sqref="G16"/>
    </sheetView>
  </sheetViews>
  <sheetFormatPr defaultRowHeight="14.4"/>
  <cols>
    <col min="1" max="1" width="13.5546875" style="183" customWidth="1"/>
    <col min="2" max="2" width="11.5546875" style="183" customWidth="1"/>
    <col min="3" max="3" width="20.109375" style="185" customWidth="1"/>
    <col min="4" max="5" width="15.88671875" style="185" customWidth="1"/>
    <col min="6" max="6" width="13.33203125" style="186" customWidth="1"/>
    <col min="7" max="7" width="36.33203125" style="186" customWidth="1"/>
    <col min="8" max="8" width="31.88671875" style="195" customWidth="1"/>
    <col min="9" max="9" width="18.88671875" style="195" customWidth="1"/>
    <col min="10" max="10" width="17.6640625" customWidth="1"/>
    <col min="11" max="11" width="18.6640625" customWidth="1"/>
  </cols>
  <sheetData>
    <row r="1" spans="1:18">
      <c r="A1" s="194" t="s">
        <v>223</v>
      </c>
      <c r="B1" s="194" t="s">
        <v>263</v>
      </c>
      <c r="C1" s="204" t="s">
        <v>274</v>
      </c>
      <c r="D1" s="204" t="s">
        <v>211</v>
      </c>
      <c r="E1" s="204" t="s">
        <v>210</v>
      </c>
      <c r="F1" s="204" t="s">
        <v>25</v>
      </c>
      <c r="G1" s="204" t="s">
        <v>261</v>
      </c>
      <c r="H1" s="204" t="s">
        <v>636</v>
      </c>
      <c r="I1" s="204" t="s">
        <v>335</v>
      </c>
      <c r="J1" s="204" t="s">
        <v>336</v>
      </c>
      <c r="K1" s="204" t="s">
        <v>268</v>
      </c>
      <c r="L1" s="204" t="s">
        <v>269</v>
      </c>
      <c r="M1" s="54"/>
      <c r="N1" s="196"/>
      <c r="O1" s="54"/>
      <c r="P1" s="54"/>
      <c r="Q1" s="54"/>
    </row>
    <row r="2" spans="1:18" s="17" customFormat="1">
      <c r="A2" s="205" t="s">
        <v>367</v>
      </c>
      <c r="B2" s="205" t="s">
        <v>410</v>
      </c>
      <c r="C2" s="204" t="s">
        <v>516</v>
      </c>
      <c r="D2" s="204">
        <v>55.704125699999999</v>
      </c>
      <c r="E2" s="204">
        <v>-120.4263595</v>
      </c>
      <c r="F2" s="210">
        <v>102.5</v>
      </c>
      <c r="G2" s="207" t="s">
        <v>436</v>
      </c>
      <c r="H2" s="215" t="s">
        <v>694</v>
      </c>
      <c r="I2" s="204" t="s">
        <v>270</v>
      </c>
      <c r="J2" s="204">
        <v>3075</v>
      </c>
      <c r="K2" s="204">
        <f>ROUND((D2+90)*2, 0)</f>
        <v>291</v>
      </c>
      <c r="L2" s="204">
        <f>ROUND((E2+180)*(3/2), 0)</f>
        <v>89</v>
      </c>
      <c r="M2" s="55"/>
      <c r="N2" s="196"/>
      <c r="O2" s="166"/>
      <c r="P2" s="166"/>
      <c r="Q2" s="54"/>
      <c r="R2" s="54"/>
    </row>
    <row r="3" spans="1:18" s="17" customFormat="1">
      <c r="A3" s="205" t="s">
        <v>367</v>
      </c>
      <c r="B3" s="205" t="s">
        <v>411</v>
      </c>
      <c r="C3" s="204" t="s">
        <v>516</v>
      </c>
      <c r="D3" s="204">
        <v>50.789020499999999</v>
      </c>
      <c r="E3" s="204">
        <v>-128.00329500000001</v>
      </c>
      <c r="F3" s="210">
        <v>99.2</v>
      </c>
      <c r="G3" s="207" t="s">
        <v>432</v>
      </c>
      <c r="H3" s="215" t="s">
        <v>695</v>
      </c>
      <c r="I3" s="204" t="s">
        <v>270</v>
      </c>
      <c r="J3" s="204">
        <f>J2</f>
        <v>3075</v>
      </c>
      <c r="K3" s="204">
        <f>ROUND((D3+90)*2, 0)</f>
        <v>282</v>
      </c>
      <c r="L3" s="204">
        <f>ROUND((E3+180)*(3/2), 0)</f>
        <v>78</v>
      </c>
      <c r="M3" s="55"/>
      <c r="N3" s="196"/>
      <c r="O3" s="166"/>
      <c r="P3" s="166"/>
      <c r="Q3" s="54"/>
      <c r="R3" s="54"/>
    </row>
    <row r="4" spans="1:18" s="17" customFormat="1">
      <c r="A4" s="205" t="s">
        <v>367</v>
      </c>
      <c r="B4" s="205" t="s">
        <v>412</v>
      </c>
      <c r="C4" s="204" t="s">
        <v>516</v>
      </c>
      <c r="D4" s="204">
        <v>55.811774700000001</v>
      </c>
      <c r="E4" s="204">
        <v>-122.24735339999999</v>
      </c>
      <c r="F4" s="210">
        <v>144</v>
      </c>
      <c r="G4" s="207" t="s">
        <v>436</v>
      </c>
      <c r="H4" s="215" t="s">
        <v>696</v>
      </c>
      <c r="I4" s="204" t="s">
        <v>270</v>
      </c>
      <c r="J4" s="204">
        <f t="shared" ref="J4:J9" si="0">J3</f>
        <v>3075</v>
      </c>
      <c r="K4" s="204">
        <f t="shared" ref="K4:K7" si="1">ROUND((D4+90)*2, 0)</f>
        <v>292</v>
      </c>
      <c r="L4" s="204">
        <f t="shared" ref="L4:L8" si="2">ROUND((E4+180)*(3/2), 0)</f>
        <v>87</v>
      </c>
      <c r="M4" s="55"/>
      <c r="N4" s="196"/>
      <c r="O4" s="166"/>
      <c r="P4" s="166"/>
      <c r="Q4" s="54"/>
      <c r="R4" s="33"/>
    </row>
    <row r="5" spans="1:18" s="17" customFormat="1">
      <c r="A5" s="205" t="s">
        <v>367</v>
      </c>
      <c r="B5" s="205" t="s">
        <v>413</v>
      </c>
      <c r="C5" s="204" t="s">
        <v>516</v>
      </c>
      <c r="D5" s="204">
        <v>55.2855597</v>
      </c>
      <c r="E5" s="204">
        <v>-121.4690559</v>
      </c>
      <c r="F5" s="210">
        <v>194.91</v>
      </c>
      <c r="G5" s="207" t="s">
        <v>436</v>
      </c>
      <c r="H5" s="215" t="s">
        <v>697</v>
      </c>
      <c r="I5" s="204" t="s">
        <v>270</v>
      </c>
      <c r="J5" s="204">
        <f t="shared" si="0"/>
        <v>3075</v>
      </c>
      <c r="K5" s="204">
        <f>ROUND((D5+90)*2, 0)</f>
        <v>291</v>
      </c>
      <c r="L5" s="204">
        <f>ROUND((E5+180)*(3/2), 0)</f>
        <v>88</v>
      </c>
      <c r="M5" s="55"/>
      <c r="N5" s="196"/>
      <c r="O5" s="166"/>
      <c r="P5" s="166"/>
      <c r="Q5" s="54"/>
      <c r="R5" s="33"/>
    </row>
    <row r="6" spans="1:18" s="17" customFormat="1">
      <c r="A6" s="205" t="s">
        <v>367</v>
      </c>
      <c r="B6" s="205" t="s">
        <v>414</v>
      </c>
      <c r="C6" s="204" t="s">
        <v>516</v>
      </c>
      <c r="D6" s="204">
        <v>55.285632999999997</v>
      </c>
      <c r="E6" s="204">
        <v>-121.298571</v>
      </c>
      <c r="F6" s="210">
        <v>15</v>
      </c>
      <c r="G6" s="207" t="s">
        <v>436</v>
      </c>
      <c r="H6" s="215" t="s">
        <v>698</v>
      </c>
      <c r="I6" s="204" t="s">
        <v>270</v>
      </c>
      <c r="J6" s="204">
        <f t="shared" si="0"/>
        <v>3075</v>
      </c>
      <c r="K6" s="204">
        <f t="shared" si="1"/>
        <v>291</v>
      </c>
      <c r="L6" s="204">
        <f t="shared" si="2"/>
        <v>88</v>
      </c>
      <c r="M6" s="55"/>
      <c r="N6" s="196"/>
      <c r="O6" s="166"/>
      <c r="P6" s="166"/>
      <c r="Q6" s="54"/>
      <c r="R6" s="33"/>
    </row>
    <row r="7" spans="1:18" s="17" customFormat="1">
      <c r="A7" s="205" t="s">
        <v>367</v>
      </c>
      <c r="B7" s="205" t="s">
        <v>415</v>
      </c>
      <c r="C7" s="204" t="s">
        <v>516</v>
      </c>
      <c r="D7" s="204">
        <v>49.9256113</v>
      </c>
      <c r="E7" s="204">
        <v>-120.10928079999999</v>
      </c>
      <c r="F7" s="210">
        <v>15</v>
      </c>
      <c r="G7" s="207" t="s">
        <v>420</v>
      </c>
      <c r="H7" s="215" t="s">
        <v>699</v>
      </c>
      <c r="I7" s="204" t="s">
        <v>270</v>
      </c>
      <c r="J7" s="204">
        <f t="shared" si="0"/>
        <v>3075</v>
      </c>
      <c r="K7" s="204">
        <f t="shared" si="1"/>
        <v>280</v>
      </c>
      <c r="L7" s="204">
        <f t="shared" si="2"/>
        <v>90</v>
      </c>
      <c r="M7" s="55"/>
      <c r="N7" s="196"/>
      <c r="O7" s="166"/>
      <c r="P7" s="166"/>
      <c r="Q7" s="54"/>
      <c r="R7" s="33"/>
    </row>
    <row r="8" spans="1:18" s="17" customFormat="1">
      <c r="A8" s="205" t="s">
        <v>367</v>
      </c>
      <c r="B8" s="205" t="s">
        <v>416</v>
      </c>
      <c r="C8" s="204" t="s">
        <v>516</v>
      </c>
      <c r="D8" s="204">
        <v>55.184598899999997</v>
      </c>
      <c r="E8" s="204">
        <v>-120.8546767</v>
      </c>
      <c r="F8" s="210">
        <v>142.19999999999999</v>
      </c>
      <c r="G8" s="207" t="s">
        <v>436</v>
      </c>
      <c r="H8" s="215" t="s">
        <v>700</v>
      </c>
      <c r="I8" s="204" t="s">
        <v>270</v>
      </c>
      <c r="J8" s="204">
        <f t="shared" si="0"/>
        <v>3075</v>
      </c>
      <c r="K8" s="204">
        <f>ROUND((D8+90)*2, 0)</f>
        <v>290</v>
      </c>
      <c r="L8" s="204">
        <f t="shared" si="2"/>
        <v>89</v>
      </c>
      <c r="M8" s="55"/>
      <c r="N8" s="196"/>
      <c r="O8" s="166"/>
      <c r="P8" s="166"/>
      <c r="Q8" s="54"/>
      <c r="R8" s="33"/>
    </row>
    <row r="9" spans="1:18" s="17" customFormat="1">
      <c r="A9" s="205" t="s">
        <v>367</v>
      </c>
      <c r="B9" s="205" t="s">
        <v>517</v>
      </c>
      <c r="C9" s="204" t="s">
        <v>516</v>
      </c>
      <c r="D9" s="204">
        <v>49.6601754</v>
      </c>
      <c r="E9" s="204">
        <v>-120.1222123</v>
      </c>
      <c r="F9" s="210">
        <v>15</v>
      </c>
      <c r="G9" s="207" t="s">
        <v>441</v>
      </c>
      <c r="H9" s="215" t="s">
        <v>701</v>
      </c>
      <c r="I9" s="204" t="s">
        <v>270</v>
      </c>
      <c r="J9" s="204">
        <f t="shared" si="0"/>
        <v>3075</v>
      </c>
      <c r="K9" s="204">
        <f>ROUND((D9+90)*2, 0)</f>
        <v>279</v>
      </c>
      <c r="L9" s="204">
        <f t="shared" ref="L9" si="3">ROUND((E9+180)*(3/2), 0)</f>
        <v>90</v>
      </c>
      <c r="N9" s="196"/>
    </row>
    <row r="10" spans="1:18" s="17" customFormat="1">
      <c r="A10" s="205" t="s">
        <v>368</v>
      </c>
      <c r="B10" s="205" t="s">
        <v>417</v>
      </c>
      <c r="C10" s="205" t="s">
        <v>368</v>
      </c>
      <c r="D10" s="205">
        <v>49.6690118</v>
      </c>
      <c r="E10" s="205">
        <v>-115.94762799999999</v>
      </c>
      <c r="F10" s="213">
        <v>1.05</v>
      </c>
      <c r="G10" s="206" t="s">
        <v>428</v>
      </c>
      <c r="H10" s="215" t="s">
        <v>428</v>
      </c>
      <c r="I10" s="204" t="s">
        <v>372</v>
      </c>
      <c r="J10" s="204">
        <f>J8</f>
        <v>3075</v>
      </c>
      <c r="K10" s="204">
        <f>ROUND((D10+90)*2, 0)</f>
        <v>279</v>
      </c>
      <c r="L10" s="204">
        <f>ROUND((E10+180)*(3/2), 0)</f>
        <v>96</v>
      </c>
      <c r="M10" s="55"/>
      <c r="N10" s="196"/>
      <c r="O10" s="33"/>
      <c r="P10" s="33"/>
      <c r="Q10" s="33"/>
      <c r="R10" s="33"/>
    </row>
    <row r="11" spans="1:18" s="17" customFormat="1">
      <c r="A11" s="202"/>
      <c r="B11" s="202"/>
      <c r="C11" s="184"/>
      <c r="D11" s="184"/>
      <c r="E11" s="184"/>
      <c r="H11" s="204"/>
      <c r="I11" s="204"/>
      <c r="J11" s="153"/>
      <c r="K11" s="149"/>
      <c r="L11" s="55"/>
      <c r="N11" s="196"/>
    </row>
    <row r="12" spans="1:18" s="17" customFormat="1">
      <c r="A12" s="202"/>
      <c r="B12" s="202"/>
      <c r="C12" s="184"/>
      <c r="D12" s="184"/>
      <c r="E12" s="184"/>
      <c r="H12" s="204"/>
      <c r="I12" s="204"/>
      <c r="J12" s="153"/>
      <c r="K12" s="149"/>
      <c r="L12" s="55"/>
      <c r="N12" s="196"/>
    </row>
    <row r="13" spans="1:18" s="17" customFormat="1">
      <c r="A13" s="202"/>
      <c r="B13" s="202"/>
      <c r="C13" s="184"/>
      <c r="D13" s="184"/>
      <c r="E13" s="184"/>
      <c r="H13" s="204"/>
      <c r="I13" s="204"/>
      <c r="J13" s="153"/>
      <c r="K13" s="149"/>
      <c r="L13" s="154"/>
      <c r="N13" s="196"/>
    </row>
    <row r="14" spans="1:18" s="17" customFormat="1">
      <c r="A14" s="202"/>
      <c r="B14" s="202"/>
      <c r="C14" s="184"/>
      <c r="D14" s="184"/>
      <c r="E14" s="184"/>
      <c r="H14" s="204"/>
      <c r="I14" s="204"/>
      <c r="J14" s="153"/>
      <c r="K14" s="149"/>
      <c r="L14" s="154"/>
      <c r="N14" s="196"/>
    </row>
    <row r="15" spans="1:18" s="17" customFormat="1">
      <c r="A15" s="202"/>
      <c r="B15" s="202"/>
      <c r="C15" s="184"/>
      <c r="D15" s="184"/>
      <c r="E15" s="184"/>
      <c r="H15" s="204"/>
      <c r="I15" s="204"/>
      <c r="J15" s="153"/>
      <c r="K15" s="149"/>
      <c r="L15" s="154"/>
      <c r="N15" s="196"/>
      <c r="O15" s="166"/>
    </row>
    <row r="16" spans="1:18" s="17" customFormat="1">
      <c r="A16" s="202"/>
      <c r="B16" s="202"/>
      <c r="C16" s="184"/>
      <c r="D16" s="184"/>
      <c r="E16" s="184"/>
      <c r="H16" s="204"/>
      <c r="I16" s="204"/>
      <c r="J16" s="153"/>
      <c r="K16" s="149"/>
      <c r="L16" s="154"/>
      <c r="N16" s="196"/>
      <c r="O16" s="166"/>
    </row>
    <row r="17" spans="1:14" s="17" customFormat="1">
      <c r="A17" s="202"/>
      <c r="B17" s="202"/>
      <c r="C17" s="184"/>
      <c r="D17" s="184"/>
      <c r="E17" s="184"/>
      <c r="H17" s="204"/>
      <c r="I17" s="204"/>
      <c r="J17" s="153"/>
      <c r="K17" s="149"/>
      <c r="N17" s="196"/>
    </row>
    <row r="18" spans="1:14" s="17" customFormat="1">
      <c r="A18" s="202"/>
      <c r="B18" s="202"/>
      <c r="C18" s="184"/>
      <c r="D18" s="184"/>
      <c r="E18" s="184"/>
      <c r="H18" s="204"/>
      <c r="I18" s="204"/>
      <c r="J18" s="153"/>
      <c r="K18" s="149"/>
      <c r="N18" s="196"/>
    </row>
    <row r="19" spans="1:14" s="17" customFormat="1">
      <c r="A19" s="202"/>
      <c r="B19" s="202"/>
      <c r="C19" s="184"/>
      <c r="D19" s="184"/>
      <c r="E19" s="184"/>
      <c r="H19" s="204"/>
      <c r="I19" s="204"/>
      <c r="J19" s="33"/>
      <c r="N19" s="196"/>
    </row>
    <row r="20" spans="1:14" s="17" customFormat="1">
      <c r="A20" s="202"/>
      <c r="B20" s="202"/>
      <c r="C20" s="184"/>
      <c r="D20" s="184"/>
      <c r="E20" s="184"/>
      <c r="F20" s="187"/>
      <c r="H20" s="204"/>
      <c r="I20" s="204"/>
      <c r="J20" s="33"/>
      <c r="N20" s="196"/>
    </row>
    <row r="21" spans="1:14" s="17" customFormat="1">
      <c r="A21" s="202"/>
      <c r="B21" s="202"/>
      <c r="C21" s="184"/>
      <c r="D21" s="184"/>
      <c r="E21" s="184"/>
      <c r="F21" s="187"/>
      <c r="H21" s="204"/>
      <c r="I21" s="204"/>
      <c r="J21" s="33"/>
      <c r="N21" s="196"/>
    </row>
    <row r="22" spans="1:14" s="17" customFormat="1">
      <c r="A22" s="202"/>
      <c r="B22" s="202"/>
      <c r="C22" s="184"/>
      <c r="D22" s="184"/>
      <c r="E22" s="184"/>
      <c r="F22" s="187"/>
      <c r="H22" s="204"/>
      <c r="I22" s="204"/>
      <c r="J22" s="33"/>
      <c r="N22" s="196"/>
    </row>
    <row r="23" spans="1:14" s="17" customFormat="1">
      <c r="A23" s="202"/>
      <c r="B23" s="202"/>
      <c r="C23" s="184"/>
      <c r="D23" s="184"/>
      <c r="E23" s="184"/>
      <c r="F23" s="187"/>
      <c r="H23" s="204"/>
      <c r="I23" s="204"/>
      <c r="J23" s="33"/>
      <c r="N23" s="196"/>
    </row>
    <row r="24" spans="1:14" s="17" customFormat="1">
      <c r="A24" s="202"/>
      <c r="B24" s="202"/>
      <c r="C24" s="184"/>
      <c r="D24" s="184"/>
      <c r="E24" s="184"/>
      <c r="F24" s="187"/>
      <c r="H24" s="204"/>
      <c r="I24" s="204"/>
      <c r="J24" s="33"/>
      <c r="N24" s="196"/>
    </row>
    <row r="25" spans="1:14" s="17" customFormat="1">
      <c r="A25" s="202"/>
      <c r="B25" s="202"/>
      <c r="C25" s="184"/>
      <c r="D25" s="184"/>
      <c r="E25" s="184"/>
      <c r="F25" s="187"/>
      <c r="H25" s="204"/>
      <c r="I25" s="204"/>
      <c r="J25" s="33"/>
      <c r="N25" s="196"/>
    </row>
    <row r="26" spans="1:14" s="17" customFormat="1">
      <c r="A26" s="202"/>
      <c r="B26" s="202"/>
      <c r="C26" s="184"/>
      <c r="D26" s="184"/>
      <c r="E26" s="184"/>
      <c r="F26" s="187"/>
      <c r="H26" s="204"/>
      <c r="I26" s="204"/>
      <c r="J26" s="33"/>
      <c r="N26" s="196"/>
    </row>
    <row r="27" spans="1:14" s="17" customFormat="1">
      <c r="A27" s="202"/>
      <c r="B27" s="202"/>
      <c r="C27" s="184"/>
      <c r="D27" s="184"/>
      <c r="E27" s="184"/>
      <c r="F27" s="187"/>
      <c r="H27" s="204"/>
      <c r="I27" s="204"/>
      <c r="J27" s="33"/>
    </row>
    <row r="28" spans="1:14" s="17" customFormat="1">
      <c r="A28" s="202"/>
      <c r="B28" s="202"/>
      <c r="C28" s="184"/>
      <c r="D28" s="184"/>
      <c r="E28" s="184"/>
      <c r="F28" s="187"/>
      <c r="H28" s="204"/>
      <c r="I28" s="204"/>
      <c r="J28" s="33"/>
    </row>
    <row r="29" spans="1:14" s="17" customFormat="1">
      <c r="A29" s="202"/>
      <c r="B29" s="202"/>
      <c r="C29" s="184"/>
      <c r="D29" s="184"/>
      <c r="E29" s="184"/>
      <c r="F29" s="187"/>
      <c r="H29" s="204"/>
      <c r="I29" s="204"/>
      <c r="J29" s="33"/>
    </row>
    <row r="30" spans="1:14" s="17" customFormat="1">
      <c r="A30" s="202"/>
      <c r="B30" s="202"/>
      <c r="C30" s="184"/>
      <c r="D30" s="184"/>
      <c r="E30" s="184"/>
      <c r="F30" s="187"/>
      <c r="H30" s="204"/>
      <c r="I30" s="204"/>
      <c r="J30" s="33"/>
    </row>
    <row r="31" spans="1:14" s="17" customFormat="1">
      <c r="A31" s="202"/>
      <c r="B31" s="202"/>
      <c r="C31" s="184"/>
      <c r="D31" s="184"/>
      <c r="E31" s="184"/>
      <c r="F31" s="187"/>
      <c r="H31" s="204"/>
      <c r="I31" s="204"/>
      <c r="J31" s="33"/>
    </row>
    <row r="32" spans="1:14" s="17" customFormat="1">
      <c r="A32" s="202"/>
      <c r="B32" s="202"/>
      <c r="C32" s="184"/>
      <c r="D32" s="184"/>
      <c r="E32" s="184"/>
      <c r="F32" s="187"/>
      <c r="H32" s="204"/>
      <c r="I32" s="204"/>
      <c r="J32" s="33"/>
    </row>
    <row r="33" spans="1:9" s="17" customFormat="1">
      <c r="A33" s="202"/>
      <c r="B33" s="202"/>
      <c r="C33" s="184"/>
      <c r="D33" s="184"/>
      <c r="E33" s="184"/>
      <c r="F33" s="203"/>
      <c r="H33" s="204"/>
      <c r="I33" s="204"/>
    </row>
    <row r="34" spans="1:9" s="17" customFormat="1">
      <c r="A34" s="202"/>
      <c r="B34" s="202"/>
      <c r="C34" s="184"/>
      <c r="D34" s="184"/>
      <c r="E34" s="184"/>
      <c r="F34" s="203"/>
      <c r="H34" s="204"/>
      <c r="I34" s="204"/>
    </row>
    <row r="35" spans="1:9" s="17" customFormat="1">
      <c r="A35" s="202"/>
      <c r="B35" s="202"/>
      <c r="C35" s="184"/>
      <c r="D35" s="184"/>
      <c r="E35" s="184"/>
      <c r="F35" s="203"/>
      <c r="H35" s="204"/>
      <c r="I35" s="204"/>
    </row>
    <row r="36" spans="1:9" s="17" customFormat="1">
      <c r="A36" s="202"/>
      <c r="B36" s="202"/>
      <c r="C36" s="184"/>
      <c r="D36" s="184"/>
      <c r="E36" s="184"/>
      <c r="F36" s="203"/>
      <c r="H36" s="204"/>
      <c r="I36" s="204"/>
    </row>
    <row r="37" spans="1:9" s="17" customFormat="1">
      <c r="A37" s="202"/>
      <c r="B37" s="202"/>
      <c r="C37" s="184"/>
      <c r="D37" s="184"/>
      <c r="E37" s="184"/>
      <c r="F37" s="203"/>
      <c r="H37" s="204"/>
      <c r="I37" s="204"/>
    </row>
    <row r="38" spans="1:9" s="17" customFormat="1">
      <c r="A38" s="202"/>
      <c r="B38" s="202"/>
      <c r="C38" s="184"/>
      <c r="D38" s="184"/>
      <c r="E38" s="184"/>
      <c r="F38" s="203"/>
      <c r="G38" s="203"/>
      <c r="H38" s="204"/>
      <c r="I38" s="204"/>
    </row>
    <row r="39" spans="1:9" s="17" customFormat="1">
      <c r="A39" s="202"/>
      <c r="B39" s="202"/>
      <c r="C39" s="184"/>
      <c r="D39" s="184"/>
      <c r="E39" s="184"/>
      <c r="F39" s="203"/>
      <c r="G39" s="203"/>
      <c r="H39" s="204"/>
      <c r="I39" s="204"/>
    </row>
    <row r="40" spans="1:9" s="17" customFormat="1">
      <c r="A40" s="202"/>
      <c r="B40" s="202"/>
      <c r="C40" s="184"/>
      <c r="D40" s="184"/>
      <c r="E40" s="184"/>
      <c r="F40" s="203"/>
      <c r="G40" s="203"/>
      <c r="H40" s="204"/>
      <c r="I40" s="204"/>
    </row>
    <row r="41" spans="1:9" s="17" customFormat="1">
      <c r="A41" s="202"/>
      <c r="B41" s="202"/>
      <c r="C41" s="184"/>
      <c r="D41" s="184"/>
      <c r="E41" s="184"/>
      <c r="F41" s="203"/>
      <c r="G41" s="203"/>
      <c r="H41" s="204"/>
      <c r="I41" s="204"/>
    </row>
    <row r="42" spans="1:9" s="17" customFormat="1">
      <c r="A42" s="202"/>
      <c r="B42" s="202"/>
      <c r="C42" s="184"/>
      <c r="D42" s="184"/>
      <c r="E42" s="184"/>
      <c r="F42" s="203"/>
      <c r="G42" s="203"/>
      <c r="H42" s="204"/>
      <c r="I42" s="204"/>
    </row>
    <row r="43" spans="1:9" s="17" customFormat="1">
      <c r="A43" s="202"/>
      <c r="B43" s="202"/>
      <c r="C43" s="184"/>
      <c r="D43" s="184"/>
      <c r="E43" s="184"/>
      <c r="F43" s="203"/>
      <c r="G43" s="203"/>
      <c r="H43" s="204"/>
      <c r="I43" s="204"/>
    </row>
    <row r="44" spans="1:9" s="17" customFormat="1">
      <c r="A44" s="202"/>
      <c r="B44" s="202"/>
      <c r="C44" s="184"/>
      <c r="D44" s="184"/>
      <c r="E44" s="184"/>
      <c r="F44" s="203"/>
      <c r="G44" s="203"/>
      <c r="H44" s="204"/>
      <c r="I44" s="204"/>
    </row>
    <row r="45" spans="1:9" s="17" customFormat="1">
      <c r="A45" s="202"/>
      <c r="B45" s="202"/>
      <c r="C45" s="184"/>
      <c r="D45" s="184"/>
      <c r="E45" s="184"/>
      <c r="F45" s="203"/>
      <c r="G45" s="203"/>
      <c r="H45" s="204"/>
      <c r="I45" s="204"/>
    </row>
    <row r="46" spans="1:9" s="17" customFormat="1">
      <c r="A46" s="202"/>
      <c r="B46" s="202"/>
      <c r="C46" s="184"/>
      <c r="D46" s="184"/>
      <c r="E46" s="184"/>
      <c r="F46" s="203"/>
      <c r="G46" s="203"/>
      <c r="H46" s="204"/>
      <c r="I46" s="204"/>
    </row>
    <row r="47" spans="1:9" s="17" customFormat="1">
      <c r="A47" s="202"/>
      <c r="B47" s="202"/>
      <c r="C47" s="184"/>
      <c r="D47" s="184"/>
      <c r="E47" s="184"/>
      <c r="F47" s="203"/>
      <c r="G47" s="203"/>
      <c r="H47" s="204"/>
      <c r="I47" s="204"/>
    </row>
    <row r="48" spans="1:9" s="17" customFormat="1">
      <c r="A48" s="202"/>
      <c r="B48" s="202"/>
      <c r="C48" s="184"/>
      <c r="D48" s="184"/>
      <c r="E48" s="184"/>
      <c r="F48" s="203"/>
      <c r="G48" s="203"/>
      <c r="H48" s="204"/>
      <c r="I48" s="204"/>
    </row>
    <row r="49" spans="1:9" s="17" customFormat="1">
      <c r="A49" s="202"/>
      <c r="B49" s="202"/>
      <c r="C49" s="184"/>
      <c r="D49" s="184"/>
      <c r="E49" s="184"/>
      <c r="F49" s="203"/>
      <c r="G49" s="203"/>
      <c r="H49" s="204"/>
      <c r="I49" s="204"/>
    </row>
    <row r="50" spans="1:9" s="17" customFormat="1">
      <c r="A50" s="202"/>
      <c r="B50" s="202"/>
      <c r="C50" s="184"/>
      <c r="D50" s="184"/>
      <c r="E50" s="184"/>
      <c r="F50" s="203"/>
      <c r="G50" s="203"/>
      <c r="H50" s="204"/>
      <c r="I50" s="204"/>
    </row>
    <row r="51" spans="1:9" s="17" customFormat="1">
      <c r="A51" s="202"/>
      <c r="B51" s="202"/>
      <c r="C51" s="184"/>
      <c r="D51" s="184"/>
      <c r="E51" s="184"/>
      <c r="F51" s="203"/>
      <c r="G51" s="203"/>
      <c r="H51" s="204"/>
      <c r="I51" s="204"/>
    </row>
    <row r="52" spans="1:9" s="17" customFormat="1">
      <c r="A52" s="202"/>
      <c r="B52" s="202"/>
      <c r="C52" s="184"/>
      <c r="D52" s="184"/>
      <c r="E52" s="184"/>
      <c r="F52" s="203"/>
      <c r="G52" s="203"/>
      <c r="H52" s="204"/>
      <c r="I52" s="204"/>
    </row>
    <row r="53" spans="1:9" s="17" customFormat="1">
      <c r="A53" s="202"/>
      <c r="B53" s="202"/>
      <c r="C53" s="184"/>
      <c r="D53" s="184"/>
      <c r="E53" s="184"/>
      <c r="F53" s="203"/>
      <c r="G53" s="203"/>
      <c r="H53" s="204"/>
      <c r="I53" s="204"/>
    </row>
    <row r="54" spans="1:9" s="17" customFormat="1">
      <c r="A54" s="202"/>
      <c r="B54" s="202"/>
      <c r="C54" s="184"/>
      <c r="D54" s="184"/>
      <c r="E54" s="184"/>
      <c r="F54" s="203"/>
      <c r="G54" s="203"/>
      <c r="H54" s="204"/>
      <c r="I54" s="204"/>
    </row>
    <row r="55" spans="1:9" s="17" customFormat="1">
      <c r="A55" s="202"/>
      <c r="B55" s="202"/>
      <c r="C55" s="184"/>
      <c r="D55" s="184"/>
      <c r="E55" s="184"/>
      <c r="F55" s="203"/>
      <c r="G55" s="203"/>
      <c r="H55" s="204"/>
      <c r="I55" s="204"/>
    </row>
    <row r="56" spans="1:9" s="17" customFormat="1">
      <c r="A56" s="202"/>
      <c r="B56" s="202"/>
      <c r="C56" s="184"/>
      <c r="D56" s="184"/>
      <c r="E56" s="184"/>
      <c r="F56" s="203"/>
      <c r="G56" s="203"/>
      <c r="H56" s="204"/>
      <c r="I56" s="204"/>
    </row>
    <row r="57" spans="1:9" s="17" customFormat="1">
      <c r="A57" s="202"/>
      <c r="B57" s="202"/>
      <c r="C57" s="184"/>
      <c r="D57" s="184"/>
      <c r="E57" s="184"/>
      <c r="F57" s="203"/>
      <c r="G57" s="203"/>
      <c r="H57" s="204"/>
      <c r="I57" s="204"/>
    </row>
    <row r="58" spans="1:9" s="17" customFormat="1">
      <c r="A58" s="202"/>
      <c r="B58" s="202"/>
      <c r="C58" s="184"/>
      <c r="D58" s="184"/>
      <c r="E58" s="184"/>
      <c r="F58" s="203"/>
      <c r="G58" s="203"/>
      <c r="H58" s="204"/>
      <c r="I58" s="204"/>
    </row>
    <row r="59" spans="1:9" s="17" customFormat="1">
      <c r="A59" s="202"/>
      <c r="B59" s="202"/>
      <c r="C59" s="184"/>
      <c r="D59" s="184"/>
      <c r="E59" s="184"/>
      <c r="F59" s="203"/>
      <c r="G59" s="203"/>
      <c r="H59" s="204"/>
      <c r="I59" s="204"/>
    </row>
    <row r="60" spans="1:9" s="17" customFormat="1">
      <c r="A60" s="202"/>
      <c r="B60" s="202"/>
      <c r="C60" s="184"/>
      <c r="D60" s="184"/>
      <c r="E60" s="184"/>
      <c r="F60" s="203"/>
      <c r="G60" s="203"/>
      <c r="H60" s="204"/>
      <c r="I60" s="204"/>
    </row>
    <row r="61" spans="1:9" s="17" customFormat="1">
      <c r="A61" s="202"/>
      <c r="B61" s="202"/>
      <c r="C61" s="184"/>
      <c r="D61" s="184"/>
      <c r="E61" s="184"/>
      <c r="F61" s="203"/>
      <c r="G61" s="203"/>
      <c r="H61" s="204"/>
      <c r="I61" s="204"/>
    </row>
    <row r="62" spans="1:9" s="17" customFormat="1">
      <c r="A62" s="202"/>
      <c r="B62" s="202"/>
      <c r="C62" s="184"/>
      <c r="D62" s="184"/>
      <c r="E62" s="184"/>
      <c r="F62" s="203"/>
      <c r="G62" s="203"/>
      <c r="H62" s="204"/>
      <c r="I62" s="204"/>
    </row>
    <row r="63" spans="1:9" s="17" customFormat="1">
      <c r="A63" s="202"/>
      <c r="B63" s="202"/>
      <c r="C63" s="184"/>
      <c r="D63" s="184"/>
      <c r="E63" s="184"/>
      <c r="F63" s="203"/>
      <c r="G63" s="203"/>
      <c r="H63" s="204"/>
      <c r="I63" s="204"/>
    </row>
    <row r="64" spans="1:9" s="17" customFormat="1">
      <c r="A64" s="202"/>
      <c r="B64" s="202"/>
      <c r="C64" s="184"/>
      <c r="D64" s="184"/>
      <c r="E64" s="184"/>
      <c r="F64" s="203"/>
      <c r="G64" s="203"/>
      <c r="H64" s="204"/>
      <c r="I64" s="204"/>
    </row>
    <row r="65" spans="1:9" s="17" customFormat="1">
      <c r="A65" s="202"/>
      <c r="B65" s="202"/>
      <c r="C65" s="184"/>
      <c r="D65" s="184"/>
      <c r="E65" s="184"/>
      <c r="F65" s="203"/>
      <c r="G65" s="203"/>
      <c r="H65" s="204"/>
      <c r="I65" s="204"/>
    </row>
    <row r="66" spans="1:9" s="17" customFormat="1">
      <c r="A66" s="202"/>
      <c r="B66" s="202"/>
      <c r="C66" s="184"/>
      <c r="D66" s="184"/>
      <c r="E66" s="184"/>
      <c r="F66" s="203"/>
      <c r="G66" s="203"/>
      <c r="H66" s="204"/>
      <c r="I66" s="204"/>
    </row>
    <row r="67" spans="1:9" s="17" customFormat="1">
      <c r="A67" s="202"/>
      <c r="B67" s="202"/>
      <c r="C67" s="184"/>
      <c r="D67" s="184"/>
      <c r="E67" s="184"/>
      <c r="F67" s="203"/>
      <c r="G67" s="203"/>
      <c r="H67" s="204"/>
      <c r="I67" s="204"/>
    </row>
    <row r="68" spans="1:9" s="17" customFormat="1">
      <c r="A68" s="202"/>
      <c r="B68" s="202"/>
      <c r="C68" s="184"/>
      <c r="D68" s="184"/>
      <c r="E68" s="184"/>
      <c r="F68" s="203"/>
      <c r="G68" s="203"/>
      <c r="H68" s="204"/>
      <c r="I68" s="204"/>
    </row>
    <row r="69" spans="1:9" s="17" customFormat="1">
      <c r="A69" s="202"/>
      <c r="B69" s="202"/>
      <c r="C69" s="184"/>
      <c r="D69" s="184"/>
      <c r="E69" s="184"/>
      <c r="F69" s="203"/>
      <c r="G69" s="203"/>
      <c r="H69" s="204"/>
      <c r="I69" s="204"/>
    </row>
    <row r="70" spans="1:9" s="17" customFormat="1">
      <c r="A70" s="202"/>
      <c r="B70" s="202"/>
      <c r="C70" s="184"/>
      <c r="D70" s="184"/>
      <c r="E70" s="184"/>
      <c r="F70" s="203"/>
      <c r="G70" s="203"/>
      <c r="H70" s="204"/>
      <c r="I70" s="204"/>
    </row>
    <row r="71" spans="1:9" s="17" customFormat="1">
      <c r="A71" s="202"/>
      <c r="B71" s="202"/>
      <c r="C71" s="184"/>
      <c r="D71" s="184"/>
      <c r="E71" s="184"/>
      <c r="F71" s="203"/>
      <c r="G71" s="203"/>
      <c r="H71" s="204"/>
      <c r="I71" s="204"/>
    </row>
    <row r="72" spans="1:9" s="17" customFormat="1">
      <c r="A72" s="202"/>
      <c r="B72" s="202"/>
      <c r="C72" s="184"/>
      <c r="D72" s="184"/>
      <c r="E72" s="184"/>
      <c r="F72" s="203"/>
      <c r="G72" s="203"/>
      <c r="H72" s="204"/>
      <c r="I72" s="204"/>
    </row>
    <row r="73" spans="1:9" s="17" customFormat="1">
      <c r="A73" s="202"/>
      <c r="B73" s="202"/>
      <c r="C73" s="184"/>
      <c r="D73" s="184"/>
      <c r="E73" s="184"/>
      <c r="F73" s="203"/>
      <c r="G73" s="203"/>
      <c r="H73" s="204"/>
      <c r="I73" s="204"/>
    </row>
    <row r="74" spans="1:9" s="17" customFormat="1">
      <c r="A74" s="202"/>
      <c r="B74" s="202"/>
      <c r="C74" s="184"/>
      <c r="D74" s="184"/>
      <c r="E74" s="184"/>
      <c r="F74" s="203"/>
      <c r="G74" s="203"/>
      <c r="H74" s="204"/>
      <c r="I74" s="204"/>
    </row>
    <row r="75" spans="1:9" s="17" customFormat="1">
      <c r="A75" s="202"/>
      <c r="B75" s="202"/>
      <c r="C75" s="184"/>
      <c r="D75" s="184"/>
      <c r="E75" s="184"/>
      <c r="F75" s="203"/>
      <c r="G75" s="203"/>
      <c r="H75" s="204"/>
      <c r="I75" s="204"/>
    </row>
    <row r="76" spans="1:9" s="17" customFormat="1">
      <c r="A76" s="202"/>
      <c r="B76" s="202"/>
      <c r="C76" s="184"/>
      <c r="D76" s="184"/>
      <c r="E76" s="184"/>
      <c r="F76" s="203"/>
      <c r="G76" s="203"/>
      <c r="H76" s="204"/>
      <c r="I76" s="204"/>
    </row>
    <row r="77" spans="1:9" s="17" customFormat="1">
      <c r="A77" s="202"/>
      <c r="B77" s="202"/>
      <c r="C77" s="184"/>
      <c r="D77" s="184"/>
      <c r="E77" s="184"/>
      <c r="F77" s="203"/>
      <c r="G77" s="203"/>
      <c r="H77" s="204"/>
      <c r="I77" s="204"/>
    </row>
    <row r="78" spans="1:9" s="17" customFormat="1">
      <c r="A78" s="202"/>
      <c r="B78" s="202"/>
      <c r="C78" s="184"/>
      <c r="D78" s="184"/>
      <c r="E78" s="184"/>
      <c r="F78" s="203"/>
      <c r="G78" s="203"/>
      <c r="H78" s="204"/>
      <c r="I78" s="204"/>
    </row>
    <row r="79" spans="1:9" s="17" customFormat="1">
      <c r="A79" s="202"/>
      <c r="B79" s="202"/>
      <c r="C79" s="184"/>
      <c r="D79" s="184"/>
      <c r="E79" s="184"/>
      <c r="F79" s="203"/>
      <c r="G79" s="203"/>
      <c r="H79" s="204"/>
      <c r="I79" s="204"/>
    </row>
    <row r="80" spans="1:9" s="17" customFormat="1">
      <c r="A80" s="202"/>
      <c r="B80" s="202"/>
      <c r="C80" s="184"/>
      <c r="D80" s="184"/>
      <c r="E80" s="184"/>
      <c r="F80" s="203"/>
      <c r="G80" s="203"/>
      <c r="H80" s="204"/>
      <c r="I80" s="204"/>
    </row>
    <row r="81" spans="1:9" s="17" customFormat="1">
      <c r="A81" s="202"/>
      <c r="B81" s="202"/>
      <c r="C81" s="184"/>
      <c r="D81" s="184"/>
      <c r="E81" s="184"/>
      <c r="F81" s="203"/>
      <c r="G81" s="203"/>
      <c r="H81" s="204"/>
      <c r="I81" s="204"/>
    </row>
    <row r="82" spans="1:9" s="17" customFormat="1">
      <c r="A82" s="202"/>
      <c r="B82" s="202"/>
      <c r="C82" s="184"/>
      <c r="D82" s="184"/>
      <c r="E82" s="184"/>
      <c r="F82" s="203"/>
      <c r="G82" s="203"/>
      <c r="H82" s="204"/>
      <c r="I82" s="204"/>
    </row>
    <row r="83" spans="1:9" s="17" customFormat="1">
      <c r="A83" s="202"/>
      <c r="B83" s="202"/>
      <c r="C83" s="184"/>
      <c r="D83" s="184"/>
      <c r="E83" s="184"/>
      <c r="F83" s="203"/>
      <c r="G83" s="203"/>
      <c r="H83" s="204"/>
      <c r="I83" s="204"/>
    </row>
    <row r="84" spans="1:9" s="17" customFormat="1">
      <c r="A84" s="202"/>
      <c r="B84" s="202"/>
      <c r="C84" s="184"/>
      <c r="D84" s="184"/>
      <c r="E84" s="184"/>
      <c r="F84" s="203"/>
      <c r="G84" s="203"/>
      <c r="H84" s="204"/>
      <c r="I84" s="204"/>
    </row>
    <row r="85" spans="1:9" s="17" customFormat="1">
      <c r="A85" s="202"/>
      <c r="B85" s="202"/>
      <c r="C85" s="184"/>
      <c r="D85" s="184"/>
      <c r="E85" s="184"/>
      <c r="F85" s="203"/>
      <c r="G85" s="203"/>
      <c r="H85" s="204"/>
      <c r="I85" s="204"/>
    </row>
    <row r="86" spans="1:9" s="17" customFormat="1">
      <c r="A86" s="202"/>
      <c r="B86" s="202"/>
      <c r="C86" s="184"/>
      <c r="D86" s="184"/>
      <c r="E86" s="184"/>
      <c r="F86" s="203"/>
      <c r="G86" s="203"/>
      <c r="H86" s="204"/>
      <c r="I86" s="204"/>
    </row>
    <row r="87" spans="1:9" s="17" customFormat="1">
      <c r="A87" s="202"/>
      <c r="B87" s="202"/>
      <c r="C87" s="184"/>
      <c r="D87" s="184"/>
      <c r="E87" s="184"/>
      <c r="F87" s="203"/>
      <c r="G87" s="203"/>
      <c r="H87" s="204"/>
      <c r="I87" s="204"/>
    </row>
    <row r="88" spans="1:9" s="17" customFormat="1">
      <c r="A88" s="202"/>
      <c r="B88" s="202"/>
      <c r="C88" s="184"/>
      <c r="D88" s="184"/>
      <c r="E88" s="184"/>
      <c r="F88" s="203"/>
      <c r="G88" s="203"/>
      <c r="H88" s="204"/>
      <c r="I88" s="204"/>
    </row>
    <row r="89" spans="1:9" s="17" customFormat="1">
      <c r="A89" s="202"/>
      <c r="B89" s="202"/>
      <c r="C89" s="184"/>
      <c r="D89" s="184"/>
      <c r="E89" s="184"/>
      <c r="F89" s="203"/>
      <c r="G89" s="203"/>
      <c r="H89" s="204"/>
      <c r="I89" s="204"/>
    </row>
    <row r="90" spans="1:9" s="17" customFormat="1">
      <c r="A90" s="202"/>
      <c r="B90" s="202"/>
      <c r="C90" s="184"/>
      <c r="D90" s="184"/>
      <c r="E90" s="184"/>
      <c r="F90" s="203"/>
      <c r="G90" s="203"/>
      <c r="H90" s="204"/>
      <c r="I90" s="204"/>
    </row>
    <row r="91" spans="1:9" s="17" customFormat="1">
      <c r="A91" s="202"/>
      <c r="B91" s="202"/>
      <c r="C91" s="184"/>
      <c r="D91" s="184"/>
      <c r="E91" s="184"/>
      <c r="F91" s="203"/>
      <c r="G91" s="203"/>
      <c r="H91" s="204"/>
      <c r="I91" s="204"/>
    </row>
    <row r="92" spans="1:9" s="17" customFormat="1">
      <c r="A92" s="202"/>
      <c r="B92" s="202"/>
      <c r="C92" s="184"/>
      <c r="D92" s="184"/>
      <c r="E92" s="184"/>
      <c r="F92" s="203"/>
      <c r="G92" s="203"/>
      <c r="H92" s="204"/>
      <c r="I92" s="204"/>
    </row>
    <row r="93" spans="1:9" s="17" customFormat="1">
      <c r="A93" s="202"/>
      <c r="B93" s="202"/>
      <c r="C93" s="184"/>
      <c r="D93" s="184"/>
      <c r="E93" s="184"/>
      <c r="F93" s="203"/>
      <c r="G93" s="203"/>
      <c r="H93" s="204"/>
      <c r="I93" s="204"/>
    </row>
    <row r="94" spans="1:9" s="17" customFormat="1">
      <c r="A94" s="202"/>
      <c r="B94" s="202"/>
      <c r="C94" s="184"/>
      <c r="D94" s="184"/>
      <c r="E94" s="184"/>
      <c r="F94" s="203"/>
      <c r="G94" s="203"/>
      <c r="H94" s="204"/>
      <c r="I94" s="204"/>
    </row>
    <row r="95" spans="1:9" s="17" customFormat="1">
      <c r="A95" s="202"/>
      <c r="B95" s="202"/>
      <c r="C95" s="184"/>
      <c r="D95" s="184"/>
      <c r="E95" s="184"/>
      <c r="F95" s="203"/>
      <c r="G95" s="203"/>
      <c r="H95" s="204"/>
      <c r="I95" s="204"/>
    </row>
    <row r="96" spans="1:9" s="17" customFormat="1">
      <c r="A96" s="202"/>
      <c r="B96" s="202"/>
      <c r="C96" s="184"/>
      <c r="D96" s="184"/>
      <c r="E96" s="184"/>
      <c r="F96" s="203"/>
      <c r="G96" s="203"/>
      <c r="H96" s="204"/>
      <c r="I96" s="204"/>
    </row>
    <row r="97" spans="1:9" s="17" customFormat="1">
      <c r="A97" s="202"/>
      <c r="B97" s="202"/>
      <c r="C97" s="184"/>
      <c r="D97" s="184"/>
      <c r="E97" s="184"/>
      <c r="F97" s="203"/>
      <c r="G97" s="203"/>
      <c r="H97" s="204"/>
      <c r="I97" s="204"/>
    </row>
    <row r="98" spans="1:9" s="17" customFormat="1">
      <c r="A98" s="202"/>
      <c r="B98" s="202"/>
      <c r="C98" s="184"/>
      <c r="D98" s="184"/>
      <c r="E98" s="184"/>
      <c r="F98" s="203"/>
      <c r="G98" s="203"/>
      <c r="H98" s="204"/>
      <c r="I98" s="204"/>
    </row>
    <row r="99" spans="1:9" s="17" customFormat="1">
      <c r="A99" s="202"/>
      <c r="B99" s="202"/>
      <c r="C99" s="184"/>
      <c r="D99" s="184"/>
      <c r="E99" s="184"/>
      <c r="F99" s="203"/>
      <c r="G99" s="203"/>
      <c r="H99" s="204"/>
      <c r="I99" s="204"/>
    </row>
    <row r="100" spans="1:9" s="17" customFormat="1">
      <c r="A100" s="202"/>
      <c r="B100" s="202"/>
      <c r="C100" s="184"/>
      <c r="D100" s="184"/>
      <c r="E100" s="184"/>
      <c r="F100" s="203"/>
      <c r="G100" s="203"/>
      <c r="H100" s="204"/>
      <c r="I100" s="204"/>
    </row>
    <row r="101" spans="1:9" s="17" customFormat="1">
      <c r="A101" s="202"/>
      <c r="B101" s="202"/>
      <c r="C101" s="184"/>
      <c r="D101" s="184"/>
      <c r="E101" s="184"/>
      <c r="F101" s="203"/>
      <c r="G101" s="203"/>
      <c r="H101" s="204"/>
      <c r="I101" s="204"/>
    </row>
    <row r="102" spans="1:9" s="17" customFormat="1">
      <c r="A102" s="202"/>
      <c r="B102" s="202"/>
      <c r="C102" s="184"/>
      <c r="D102" s="184"/>
      <c r="E102" s="184"/>
      <c r="F102" s="203"/>
      <c r="G102" s="203"/>
      <c r="H102" s="204"/>
      <c r="I102" s="204"/>
    </row>
    <row r="103" spans="1:9" s="17" customFormat="1">
      <c r="A103" s="202"/>
      <c r="B103" s="202"/>
      <c r="C103" s="184"/>
      <c r="D103" s="184"/>
      <c r="E103" s="184"/>
      <c r="F103" s="203"/>
      <c r="G103" s="203"/>
      <c r="H103" s="204"/>
      <c r="I103" s="204"/>
    </row>
    <row r="104" spans="1:9" s="17" customFormat="1">
      <c r="A104" s="202"/>
      <c r="B104" s="202"/>
      <c r="C104" s="184"/>
      <c r="D104" s="184"/>
      <c r="E104" s="184"/>
      <c r="F104" s="203"/>
      <c r="G104" s="203"/>
      <c r="H104" s="204"/>
      <c r="I104" s="204"/>
    </row>
    <row r="105" spans="1:9" s="17" customFormat="1">
      <c r="A105" s="202"/>
      <c r="B105" s="202"/>
      <c r="C105" s="184"/>
      <c r="D105" s="184"/>
      <c r="E105" s="184"/>
      <c r="F105" s="203"/>
      <c r="G105" s="203"/>
      <c r="H105" s="204"/>
      <c r="I105" s="204"/>
    </row>
    <row r="106" spans="1:9" s="17" customFormat="1">
      <c r="A106" s="202"/>
      <c r="B106" s="202"/>
      <c r="C106" s="184"/>
      <c r="D106" s="184"/>
      <c r="E106" s="184"/>
      <c r="F106" s="203"/>
      <c r="G106" s="203"/>
      <c r="H106" s="204"/>
      <c r="I106" s="204"/>
    </row>
    <row r="107" spans="1:9" s="17" customFormat="1">
      <c r="A107" s="202"/>
      <c r="B107" s="202"/>
      <c r="C107" s="184"/>
      <c r="D107" s="184"/>
      <c r="E107" s="184"/>
      <c r="F107" s="203"/>
      <c r="G107" s="203"/>
      <c r="H107" s="204"/>
      <c r="I107" s="204"/>
    </row>
    <row r="108" spans="1:9" s="17" customFormat="1">
      <c r="A108" s="202"/>
      <c r="B108" s="202"/>
      <c r="C108" s="184"/>
      <c r="D108" s="184"/>
      <c r="E108" s="184"/>
      <c r="F108" s="203"/>
      <c r="G108" s="203"/>
      <c r="H108" s="204"/>
      <c r="I108" s="204"/>
    </row>
    <row r="109" spans="1:9" s="17" customFormat="1">
      <c r="A109" s="202"/>
      <c r="B109" s="202"/>
      <c r="C109" s="184"/>
      <c r="D109" s="184"/>
      <c r="E109" s="184"/>
      <c r="F109" s="203"/>
      <c r="G109" s="203"/>
      <c r="H109" s="204"/>
      <c r="I109" s="204"/>
    </row>
    <row r="110" spans="1:9" s="17" customFormat="1">
      <c r="A110" s="202"/>
      <c r="B110" s="202"/>
      <c r="C110" s="184"/>
      <c r="D110" s="184"/>
      <c r="E110" s="184"/>
      <c r="F110" s="203"/>
      <c r="G110" s="203"/>
      <c r="H110" s="204"/>
      <c r="I110" s="204"/>
    </row>
    <row r="111" spans="1:9" s="17" customFormat="1">
      <c r="A111" s="202"/>
      <c r="B111" s="202"/>
      <c r="C111" s="184"/>
      <c r="D111" s="184"/>
      <c r="E111" s="184"/>
      <c r="F111" s="203"/>
      <c r="G111" s="203"/>
      <c r="H111" s="204"/>
      <c r="I111" s="204"/>
    </row>
    <row r="112" spans="1:9" s="17" customFormat="1">
      <c r="A112" s="202"/>
      <c r="B112" s="202"/>
      <c r="C112" s="184"/>
      <c r="D112" s="184"/>
      <c r="E112" s="184"/>
      <c r="F112" s="203"/>
      <c r="G112" s="203"/>
      <c r="H112" s="204"/>
      <c r="I112" s="204"/>
    </row>
    <row r="113" spans="1:9" s="17" customFormat="1">
      <c r="A113" s="202"/>
      <c r="B113" s="202"/>
      <c r="C113" s="184"/>
      <c r="D113" s="184"/>
      <c r="E113" s="184"/>
      <c r="F113" s="203"/>
      <c r="G113" s="203"/>
      <c r="H113" s="204"/>
      <c r="I113" s="204"/>
    </row>
    <row r="114" spans="1:9" s="17" customFormat="1">
      <c r="A114" s="202"/>
      <c r="B114" s="202"/>
      <c r="C114" s="184"/>
      <c r="D114" s="184"/>
      <c r="E114" s="184"/>
      <c r="F114" s="203"/>
      <c r="G114" s="203"/>
      <c r="H114" s="204"/>
      <c r="I114" s="204"/>
    </row>
    <row r="115" spans="1:9" s="17" customFormat="1">
      <c r="A115" s="202"/>
      <c r="B115" s="202"/>
      <c r="C115" s="184"/>
      <c r="D115" s="184"/>
      <c r="E115" s="184"/>
      <c r="F115" s="203"/>
      <c r="G115" s="203"/>
      <c r="H115" s="204"/>
      <c r="I115" s="204"/>
    </row>
    <row r="116" spans="1:9" s="17" customFormat="1">
      <c r="A116" s="202"/>
      <c r="B116" s="202"/>
      <c r="C116" s="184"/>
      <c r="D116" s="184"/>
      <c r="E116" s="184"/>
      <c r="F116" s="203"/>
      <c r="G116" s="203"/>
      <c r="H116" s="204"/>
      <c r="I116" s="204"/>
    </row>
    <row r="117" spans="1:9" s="17" customFormat="1">
      <c r="A117" s="202"/>
      <c r="B117" s="202"/>
      <c r="C117" s="184"/>
      <c r="D117" s="184"/>
      <c r="E117" s="184"/>
      <c r="F117" s="203"/>
      <c r="G117" s="203"/>
      <c r="H117" s="204"/>
      <c r="I117" s="204"/>
    </row>
    <row r="118" spans="1:9" s="17" customFormat="1">
      <c r="A118" s="202"/>
      <c r="B118" s="202"/>
      <c r="C118" s="184"/>
      <c r="D118" s="184"/>
      <c r="E118" s="184"/>
      <c r="F118" s="203"/>
      <c r="G118" s="203"/>
      <c r="H118" s="204"/>
      <c r="I118" s="204"/>
    </row>
    <row r="119" spans="1:9" s="17" customFormat="1">
      <c r="A119" s="202"/>
      <c r="B119" s="202"/>
      <c r="C119" s="184"/>
      <c r="D119" s="184"/>
      <c r="E119" s="184"/>
      <c r="F119" s="203"/>
      <c r="G119" s="203"/>
      <c r="H119" s="204"/>
      <c r="I119" s="204"/>
    </row>
    <row r="120" spans="1:9" s="17" customFormat="1">
      <c r="A120" s="202"/>
      <c r="B120" s="202"/>
      <c r="C120" s="184"/>
      <c r="D120" s="184"/>
      <c r="E120" s="184"/>
      <c r="F120" s="203"/>
      <c r="G120" s="203"/>
      <c r="H120" s="204"/>
      <c r="I120" s="204"/>
    </row>
    <row r="121" spans="1:9" s="17" customFormat="1">
      <c r="A121" s="202"/>
      <c r="B121" s="202"/>
      <c r="C121" s="184"/>
      <c r="D121" s="184"/>
      <c r="E121" s="184"/>
      <c r="F121" s="203"/>
      <c r="G121" s="203"/>
      <c r="H121" s="204"/>
      <c r="I121" s="204"/>
    </row>
    <row r="122" spans="1:9" s="17" customFormat="1">
      <c r="A122" s="202"/>
      <c r="B122" s="202"/>
      <c r="C122" s="184"/>
      <c r="D122" s="184"/>
      <c r="E122" s="184"/>
      <c r="F122" s="203"/>
      <c r="G122" s="203"/>
      <c r="H122" s="204"/>
      <c r="I122" s="204"/>
    </row>
    <row r="123" spans="1:9" s="17" customFormat="1">
      <c r="A123" s="202"/>
      <c r="B123" s="202"/>
      <c r="C123" s="184"/>
      <c r="D123" s="184"/>
      <c r="E123" s="184"/>
      <c r="F123" s="203"/>
      <c r="G123" s="203"/>
      <c r="H123" s="204"/>
      <c r="I123" s="204"/>
    </row>
    <row r="124" spans="1:9" s="17" customFormat="1">
      <c r="A124" s="202"/>
      <c r="B124" s="202"/>
      <c r="C124" s="184"/>
      <c r="D124" s="184"/>
      <c r="E124" s="184"/>
      <c r="F124" s="203"/>
      <c r="G124" s="203"/>
      <c r="H124" s="204"/>
      <c r="I124" s="204"/>
    </row>
    <row r="125" spans="1:9" s="17" customFormat="1">
      <c r="A125" s="202"/>
      <c r="B125" s="202"/>
      <c r="C125" s="184"/>
      <c r="D125" s="184"/>
      <c r="E125" s="184"/>
      <c r="F125" s="203"/>
      <c r="G125" s="203"/>
      <c r="H125" s="204"/>
      <c r="I125" s="204"/>
    </row>
    <row r="126" spans="1:9" s="17" customFormat="1">
      <c r="A126" s="202"/>
      <c r="B126" s="202"/>
      <c r="C126" s="184"/>
      <c r="D126" s="184"/>
      <c r="E126" s="184"/>
      <c r="F126" s="203"/>
      <c r="G126" s="203"/>
      <c r="H126" s="204"/>
      <c r="I126" s="204"/>
    </row>
    <row r="127" spans="1:9" s="17" customFormat="1">
      <c r="A127" s="202"/>
      <c r="B127" s="202"/>
      <c r="C127" s="184"/>
      <c r="D127" s="184"/>
      <c r="E127" s="184"/>
      <c r="F127" s="203"/>
      <c r="G127" s="203"/>
      <c r="H127" s="204"/>
      <c r="I127" s="204"/>
    </row>
    <row r="128" spans="1:9" s="17" customFormat="1">
      <c r="A128" s="202"/>
      <c r="B128" s="202"/>
      <c r="C128" s="184"/>
      <c r="D128" s="184"/>
      <c r="E128" s="184"/>
      <c r="F128" s="203"/>
      <c r="G128" s="203"/>
      <c r="H128" s="204"/>
      <c r="I128" s="204"/>
    </row>
    <row r="129" spans="1:9" s="17" customFormat="1">
      <c r="A129" s="202"/>
      <c r="B129" s="202"/>
      <c r="C129" s="184"/>
      <c r="D129" s="184"/>
      <c r="E129" s="184"/>
      <c r="F129" s="203"/>
      <c r="G129" s="203"/>
      <c r="H129" s="204"/>
      <c r="I129" s="204"/>
    </row>
    <row r="130" spans="1:9" s="17" customFormat="1">
      <c r="A130" s="202"/>
      <c r="B130" s="202"/>
      <c r="C130" s="184"/>
      <c r="D130" s="184"/>
      <c r="E130" s="184"/>
      <c r="F130" s="203"/>
      <c r="G130" s="203"/>
      <c r="H130" s="204"/>
      <c r="I130" s="204"/>
    </row>
    <row r="131" spans="1:9" s="17" customFormat="1">
      <c r="A131" s="202"/>
      <c r="B131" s="202"/>
      <c r="C131" s="184"/>
      <c r="D131" s="184"/>
      <c r="E131" s="184"/>
      <c r="F131" s="203"/>
      <c r="G131" s="203"/>
      <c r="H131" s="204"/>
      <c r="I131" s="204"/>
    </row>
    <row r="132" spans="1:9" s="17" customFormat="1">
      <c r="A132" s="202"/>
      <c r="B132" s="202"/>
      <c r="C132" s="184"/>
      <c r="D132" s="184"/>
      <c r="E132" s="184"/>
      <c r="F132" s="203"/>
      <c r="G132" s="203"/>
      <c r="H132" s="204"/>
      <c r="I132" s="204"/>
    </row>
    <row r="133" spans="1:9" s="17" customFormat="1">
      <c r="A133" s="202"/>
      <c r="B133" s="202"/>
      <c r="C133" s="184"/>
      <c r="D133" s="184"/>
      <c r="E133" s="184"/>
      <c r="F133" s="203"/>
      <c r="G133" s="203"/>
      <c r="H133" s="204"/>
      <c r="I133" s="204"/>
    </row>
    <row r="134" spans="1:9" s="17" customFormat="1">
      <c r="A134" s="202"/>
      <c r="B134" s="202"/>
      <c r="C134" s="184"/>
      <c r="D134" s="184"/>
      <c r="E134" s="184"/>
      <c r="F134" s="203"/>
      <c r="G134" s="203"/>
      <c r="H134" s="204"/>
      <c r="I134" s="204"/>
    </row>
    <row r="135" spans="1:9" s="17" customFormat="1">
      <c r="A135" s="202"/>
      <c r="B135" s="202"/>
      <c r="C135" s="184"/>
      <c r="D135" s="184"/>
      <c r="E135" s="184"/>
      <c r="F135" s="203"/>
      <c r="G135" s="203"/>
      <c r="H135" s="204"/>
      <c r="I135" s="204"/>
    </row>
    <row r="136" spans="1:9" s="17" customFormat="1">
      <c r="A136" s="202"/>
      <c r="B136" s="202"/>
      <c r="C136" s="184"/>
      <c r="D136" s="184"/>
      <c r="E136" s="184"/>
      <c r="F136" s="203"/>
      <c r="G136" s="203"/>
      <c r="H136" s="204"/>
      <c r="I136" s="204"/>
    </row>
    <row r="137" spans="1:9" s="17" customFormat="1">
      <c r="A137" s="202"/>
      <c r="B137" s="202"/>
      <c r="C137" s="184"/>
      <c r="D137" s="184"/>
      <c r="E137" s="184"/>
      <c r="F137" s="203"/>
      <c r="G137" s="203"/>
      <c r="H137" s="204"/>
      <c r="I137" s="204"/>
    </row>
    <row r="138" spans="1:9" s="17" customFormat="1">
      <c r="A138" s="202"/>
      <c r="B138" s="202"/>
      <c r="C138" s="184"/>
      <c r="D138" s="184"/>
      <c r="E138" s="184"/>
      <c r="F138" s="203"/>
      <c r="G138" s="203"/>
      <c r="H138" s="204"/>
      <c r="I138" s="204"/>
    </row>
    <row r="139" spans="1:9" s="17" customFormat="1">
      <c r="A139" s="202"/>
      <c r="B139" s="202"/>
      <c r="C139" s="184"/>
      <c r="D139" s="184"/>
      <c r="E139" s="184"/>
      <c r="F139" s="203"/>
      <c r="G139" s="203"/>
      <c r="H139" s="204"/>
      <c r="I139" s="204"/>
    </row>
    <row r="140" spans="1:9" s="17" customFormat="1">
      <c r="A140" s="202"/>
      <c r="B140" s="202"/>
      <c r="C140" s="184"/>
      <c r="D140" s="184"/>
      <c r="E140" s="184"/>
      <c r="F140" s="203"/>
      <c r="G140" s="203"/>
      <c r="H140" s="204"/>
      <c r="I140" s="204"/>
    </row>
    <row r="141" spans="1:9" s="17" customFormat="1">
      <c r="A141" s="202"/>
      <c r="B141" s="202"/>
      <c r="C141" s="184"/>
      <c r="D141" s="184"/>
      <c r="E141" s="184"/>
      <c r="F141" s="203"/>
      <c r="G141" s="203"/>
      <c r="H141" s="204"/>
      <c r="I141" s="204"/>
    </row>
    <row r="142" spans="1:9" s="17" customFormat="1">
      <c r="A142" s="202"/>
      <c r="B142" s="202"/>
      <c r="C142" s="184"/>
      <c r="D142" s="184"/>
      <c r="E142" s="184"/>
      <c r="F142" s="203"/>
      <c r="G142" s="203"/>
      <c r="H142" s="204"/>
      <c r="I142" s="204"/>
    </row>
    <row r="143" spans="1:9" s="17" customFormat="1">
      <c r="A143" s="202"/>
      <c r="B143" s="202"/>
      <c r="C143" s="184"/>
      <c r="D143" s="184"/>
      <c r="E143" s="184"/>
      <c r="F143" s="203"/>
      <c r="G143" s="203"/>
      <c r="H143" s="204"/>
      <c r="I143" s="204"/>
    </row>
    <row r="144" spans="1:9" s="17" customFormat="1">
      <c r="A144" s="202"/>
      <c r="B144" s="202"/>
      <c r="C144" s="184"/>
      <c r="D144" s="184"/>
      <c r="E144" s="184"/>
      <c r="F144" s="203"/>
      <c r="G144" s="203"/>
      <c r="H144" s="204"/>
      <c r="I144" s="204"/>
    </row>
    <row r="145" spans="1:9" s="17" customFormat="1">
      <c r="A145" s="202"/>
      <c r="B145" s="202"/>
      <c r="C145" s="184"/>
      <c r="D145" s="184"/>
      <c r="E145" s="184"/>
      <c r="F145" s="203"/>
      <c r="G145" s="203"/>
      <c r="H145" s="204"/>
      <c r="I145" s="204"/>
    </row>
    <row r="146" spans="1:9" s="17" customFormat="1">
      <c r="A146" s="202"/>
      <c r="B146" s="202"/>
      <c r="C146" s="184"/>
      <c r="D146" s="184"/>
      <c r="E146" s="184"/>
      <c r="F146" s="203"/>
      <c r="G146" s="203"/>
      <c r="H146" s="204"/>
      <c r="I146" s="204"/>
    </row>
    <row r="147" spans="1:9" s="17" customFormat="1">
      <c r="A147" s="202"/>
      <c r="B147" s="202"/>
      <c r="C147" s="184"/>
      <c r="D147" s="184"/>
      <c r="E147" s="184"/>
      <c r="F147" s="203"/>
      <c r="G147" s="203"/>
      <c r="H147" s="204"/>
      <c r="I147" s="204"/>
    </row>
    <row r="148" spans="1:9" s="17" customFormat="1">
      <c r="A148" s="202"/>
      <c r="B148" s="202"/>
      <c r="C148" s="184"/>
      <c r="D148" s="184"/>
      <c r="E148" s="184"/>
      <c r="F148" s="203"/>
      <c r="G148" s="203"/>
      <c r="H148" s="204"/>
      <c r="I148" s="204"/>
    </row>
    <row r="149" spans="1:9" s="17" customFormat="1">
      <c r="A149" s="202"/>
      <c r="B149" s="202"/>
      <c r="C149" s="184"/>
      <c r="D149" s="184"/>
      <c r="E149" s="184"/>
      <c r="F149" s="203"/>
      <c r="G149" s="203"/>
      <c r="H149" s="204"/>
      <c r="I149" s="204"/>
    </row>
    <row r="150" spans="1:9" s="17" customFormat="1">
      <c r="A150" s="202"/>
      <c r="B150" s="202"/>
      <c r="C150" s="184"/>
      <c r="D150" s="184"/>
      <c r="E150" s="184"/>
      <c r="F150" s="203"/>
      <c r="G150" s="203"/>
      <c r="H150" s="204"/>
      <c r="I150" s="204"/>
    </row>
    <row r="151" spans="1:9" s="17" customFormat="1">
      <c r="A151" s="202"/>
      <c r="B151" s="202"/>
      <c r="C151" s="184"/>
      <c r="D151" s="184"/>
      <c r="E151" s="184"/>
      <c r="F151" s="203"/>
      <c r="G151" s="203"/>
      <c r="H151" s="204"/>
      <c r="I151" s="204"/>
    </row>
    <row r="152" spans="1:9" s="17" customFormat="1">
      <c r="A152" s="202"/>
      <c r="B152" s="202"/>
      <c r="C152" s="184"/>
      <c r="D152" s="184"/>
      <c r="E152" s="184"/>
      <c r="F152" s="203"/>
      <c r="G152" s="203"/>
      <c r="H152" s="204"/>
      <c r="I152" s="204"/>
    </row>
    <row r="153" spans="1:9" s="17" customFormat="1">
      <c r="A153" s="202"/>
      <c r="B153" s="202"/>
      <c r="C153" s="184"/>
      <c r="D153" s="184"/>
      <c r="E153" s="184"/>
      <c r="F153" s="203"/>
      <c r="G153" s="203"/>
      <c r="H153" s="204"/>
      <c r="I153" s="204"/>
    </row>
    <row r="154" spans="1:9" s="17" customFormat="1">
      <c r="A154" s="202"/>
      <c r="B154" s="202"/>
      <c r="C154" s="184"/>
      <c r="D154" s="184"/>
      <c r="E154" s="184"/>
      <c r="F154" s="203"/>
      <c r="G154" s="203"/>
      <c r="H154" s="204"/>
      <c r="I154" s="204"/>
    </row>
    <row r="155" spans="1:9" s="17" customFormat="1">
      <c r="A155" s="202"/>
      <c r="B155" s="202"/>
      <c r="C155" s="184"/>
      <c r="D155" s="184"/>
      <c r="E155" s="184"/>
      <c r="F155" s="203"/>
      <c r="G155" s="203"/>
      <c r="H155" s="204"/>
      <c r="I155" s="204"/>
    </row>
    <row r="156" spans="1:9" s="17" customFormat="1">
      <c r="A156" s="202"/>
      <c r="B156" s="202"/>
      <c r="C156" s="184"/>
      <c r="D156" s="184"/>
      <c r="E156" s="184"/>
      <c r="F156" s="203"/>
      <c r="G156" s="203"/>
      <c r="H156" s="204"/>
      <c r="I156" s="204"/>
    </row>
    <row r="157" spans="1:9" s="17" customFormat="1">
      <c r="A157" s="202"/>
      <c r="B157" s="202"/>
      <c r="C157" s="184"/>
      <c r="D157" s="184"/>
      <c r="E157" s="184"/>
      <c r="F157" s="203"/>
      <c r="G157" s="203"/>
      <c r="H157" s="204"/>
      <c r="I157" s="204"/>
    </row>
    <row r="158" spans="1:9" s="17" customFormat="1">
      <c r="A158" s="202"/>
      <c r="B158" s="202"/>
      <c r="C158" s="184"/>
      <c r="D158" s="184"/>
      <c r="E158" s="184"/>
      <c r="F158" s="203"/>
      <c r="G158" s="203"/>
      <c r="H158" s="204"/>
      <c r="I158" s="204"/>
    </row>
    <row r="159" spans="1:9" s="17" customFormat="1">
      <c r="A159" s="202"/>
      <c r="B159" s="202"/>
      <c r="C159" s="184"/>
      <c r="D159" s="184"/>
      <c r="E159" s="184"/>
      <c r="F159" s="203"/>
      <c r="G159" s="203"/>
      <c r="H159" s="204"/>
      <c r="I159" s="204"/>
    </row>
    <row r="160" spans="1:9" s="17" customFormat="1">
      <c r="A160" s="202"/>
      <c r="B160" s="202"/>
      <c r="C160" s="184"/>
      <c r="D160" s="184"/>
      <c r="E160" s="184"/>
      <c r="F160" s="203"/>
      <c r="G160" s="203"/>
      <c r="H160" s="204"/>
      <c r="I160" s="204"/>
    </row>
    <row r="161" spans="1:9" s="17" customFormat="1">
      <c r="A161" s="202"/>
      <c r="B161" s="202"/>
      <c r="C161" s="184"/>
      <c r="D161" s="184"/>
      <c r="E161" s="184"/>
      <c r="F161" s="203"/>
      <c r="G161" s="203"/>
      <c r="H161" s="204"/>
      <c r="I161" s="204"/>
    </row>
    <row r="162" spans="1:9" s="17" customFormat="1">
      <c r="A162" s="202"/>
      <c r="B162" s="202"/>
      <c r="C162" s="184"/>
      <c r="D162" s="184"/>
      <c r="E162" s="184"/>
      <c r="F162" s="203"/>
      <c r="G162" s="203"/>
      <c r="H162" s="204"/>
      <c r="I162" s="204"/>
    </row>
    <row r="163" spans="1:9" s="17" customFormat="1">
      <c r="A163" s="202"/>
      <c r="B163" s="202"/>
      <c r="C163" s="184"/>
      <c r="D163" s="184"/>
      <c r="E163" s="184"/>
      <c r="F163" s="203"/>
      <c r="G163" s="203"/>
      <c r="H163" s="204"/>
      <c r="I163" s="204"/>
    </row>
    <row r="164" spans="1:9" s="17" customFormat="1">
      <c r="A164" s="202"/>
      <c r="B164" s="202"/>
      <c r="C164" s="184"/>
      <c r="D164" s="184"/>
      <c r="E164" s="184"/>
      <c r="F164" s="203"/>
      <c r="G164" s="203"/>
      <c r="H164" s="204"/>
      <c r="I164" s="204"/>
    </row>
    <row r="165" spans="1:9" s="17" customFormat="1">
      <c r="A165" s="202"/>
      <c r="B165" s="202"/>
      <c r="C165" s="184"/>
      <c r="D165" s="184"/>
      <c r="E165" s="184"/>
      <c r="F165" s="203"/>
      <c r="G165" s="203"/>
      <c r="H165" s="204"/>
      <c r="I165" s="204"/>
    </row>
    <row r="166" spans="1:9" s="17" customFormat="1">
      <c r="A166" s="202"/>
      <c r="B166" s="202"/>
      <c r="C166" s="184"/>
      <c r="D166" s="184"/>
      <c r="E166" s="184"/>
      <c r="F166" s="203"/>
      <c r="G166" s="203"/>
      <c r="H166" s="204"/>
      <c r="I166" s="204"/>
    </row>
    <row r="167" spans="1:9" s="17" customFormat="1">
      <c r="A167" s="202"/>
      <c r="B167" s="202"/>
      <c r="C167" s="184"/>
      <c r="D167" s="184"/>
      <c r="E167" s="184"/>
      <c r="F167" s="203"/>
      <c r="G167" s="203"/>
      <c r="H167" s="204"/>
      <c r="I167" s="204"/>
    </row>
    <row r="168" spans="1:9" s="17" customFormat="1">
      <c r="A168" s="202"/>
      <c r="B168" s="202"/>
      <c r="C168" s="184"/>
      <c r="D168" s="184"/>
      <c r="E168" s="184"/>
      <c r="F168" s="203"/>
      <c r="G168" s="203"/>
      <c r="H168" s="204"/>
      <c r="I168" s="204"/>
    </row>
    <row r="169" spans="1:9" s="17" customFormat="1">
      <c r="A169" s="202"/>
      <c r="B169" s="202"/>
      <c r="C169" s="184"/>
      <c r="D169" s="184"/>
      <c r="E169" s="184"/>
      <c r="F169" s="203"/>
      <c r="G169" s="203"/>
      <c r="H169" s="204"/>
      <c r="I169" s="204"/>
    </row>
    <row r="170" spans="1:9" s="17" customFormat="1">
      <c r="A170" s="202"/>
      <c r="B170" s="202"/>
      <c r="C170" s="184"/>
      <c r="D170" s="184"/>
      <c r="E170" s="184"/>
      <c r="F170" s="203"/>
      <c r="G170" s="203"/>
      <c r="H170" s="204"/>
      <c r="I170" s="204"/>
    </row>
    <row r="171" spans="1:9" s="17" customFormat="1">
      <c r="A171" s="202"/>
      <c r="B171" s="202"/>
      <c r="C171" s="184"/>
      <c r="D171" s="184"/>
      <c r="E171" s="184"/>
      <c r="F171" s="203"/>
      <c r="G171" s="203"/>
      <c r="H171" s="204"/>
      <c r="I171" s="204"/>
    </row>
    <row r="172" spans="1:9" s="17" customFormat="1">
      <c r="A172" s="202"/>
      <c r="B172" s="202"/>
      <c r="C172" s="184"/>
      <c r="D172" s="184"/>
      <c r="E172" s="184"/>
      <c r="F172" s="203"/>
      <c r="G172" s="203"/>
      <c r="H172" s="204"/>
      <c r="I172" s="204"/>
    </row>
    <row r="173" spans="1:9" s="17" customFormat="1">
      <c r="A173" s="202"/>
      <c r="B173" s="202"/>
      <c r="C173" s="184"/>
      <c r="D173" s="184"/>
      <c r="E173" s="184"/>
      <c r="F173" s="203"/>
      <c r="G173" s="203"/>
      <c r="H173" s="204"/>
      <c r="I173" s="204"/>
    </row>
    <row r="174" spans="1:9" s="17" customFormat="1">
      <c r="A174" s="202"/>
      <c r="B174" s="202"/>
      <c r="C174" s="184"/>
      <c r="D174" s="184"/>
      <c r="E174" s="184"/>
      <c r="F174" s="203"/>
      <c r="G174" s="203"/>
      <c r="H174" s="204"/>
      <c r="I174" s="204"/>
    </row>
    <row r="175" spans="1:9" s="17" customFormat="1">
      <c r="A175" s="202"/>
      <c r="B175" s="202"/>
      <c r="C175" s="184"/>
      <c r="D175" s="184"/>
      <c r="E175" s="184"/>
      <c r="F175" s="203"/>
      <c r="G175" s="203"/>
      <c r="H175" s="204"/>
      <c r="I175" s="204"/>
    </row>
    <row r="176" spans="1:9" s="17" customFormat="1">
      <c r="A176" s="202"/>
      <c r="B176" s="202"/>
      <c r="C176" s="184"/>
      <c r="D176" s="184"/>
      <c r="E176" s="184"/>
      <c r="F176" s="203"/>
      <c r="G176" s="203"/>
      <c r="H176" s="204"/>
      <c r="I176" s="204"/>
    </row>
    <row r="177" spans="1:9" s="17" customFormat="1">
      <c r="A177" s="202"/>
      <c r="B177" s="202"/>
      <c r="C177" s="184"/>
      <c r="D177" s="184"/>
      <c r="E177" s="184"/>
      <c r="F177" s="203"/>
      <c r="G177" s="203"/>
      <c r="H177" s="204"/>
      <c r="I177" s="204"/>
    </row>
    <row r="178" spans="1:9" s="17" customFormat="1">
      <c r="A178" s="202"/>
      <c r="B178" s="202"/>
      <c r="C178" s="184"/>
      <c r="D178" s="184"/>
      <c r="E178" s="184"/>
      <c r="F178" s="203"/>
      <c r="G178" s="203"/>
      <c r="H178" s="204"/>
      <c r="I178" s="204"/>
    </row>
    <row r="179" spans="1:9" s="17" customFormat="1">
      <c r="A179" s="202"/>
      <c r="B179" s="202"/>
      <c r="C179" s="184"/>
      <c r="D179" s="184"/>
      <c r="E179" s="184"/>
      <c r="F179" s="203"/>
      <c r="G179" s="203"/>
      <c r="H179" s="204"/>
      <c r="I179" s="204"/>
    </row>
    <row r="180" spans="1:9" s="17" customFormat="1">
      <c r="A180" s="202"/>
      <c r="B180" s="202"/>
      <c r="C180" s="184"/>
      <c r="D180" s="184"/>
      <c r="E180" s="184"/>
      <c r="F180" s="203"/>
      <c r="G180" s="203"/>
      <c r="H180" s="204"/>
      <c r="I180" s="204"/>
    </row>
    <row r="181" spans="1:9" s="17" customFormat="1">
      <c r="A181" s="202"/>
      <c r="B181" s="202"/>
      <c r="C181" s="184"/>
      <c r="D181" s="184"/>
      <c r="E181" s="184"/>
      <c r="F181" s="203"/>
      <c r="G181" s="203"/>
      <c r="H181" s="204"/>
      <c r="I181" s="204"/>
    </row>
    <row r="182" spans="1:9" s="17" customFormat="1">
      <c r="A182" s="202"/>
      <c r="B182" s="202"/>
      <c r="C182" s="184"/>
      <c r="D182" s="184"/>
      <c r="E182" s="184"/>
      <c r="F182" s="203"/>
      <c r="G182" s="203"/>
      <c r="H182" s="204"/>
      <c r="I182" s="204"/>
    </row>
    <row r="183" spans="1:9" s="17" customFormat="1">
      <c r="A183" s="202"/>
      <c r="B183" s="202"/>
      <c r="C183" s="184"/>
      <c r="D183" s="184"/>
      <c r="E183" s="184"/>
      <c r="F183" s="203"/>
      <c r="G183" s="203"/>
      <c r="H183" s="204"/>
      <c r="I183" s="204"/>
    </row>
    <row r="184" spans="1:9" s="17" customFormat="1">
      <c r="A184" s="202"/>
      <c r="B184" s="202"/>
      <c r="C184" s="184"/>
      <c r="D184" s="184"/>
      <c r="E184" s="184"/>
      <c r="F184" s="203"/>
      <c r="G184" s="203"/>
      <c r="H184" s="204"/>
      <c r="I184" s="204"/>
    </row>
    <row r="185" spans="1:9" s="17" customFormat="1">
      <c r="A185" s="202"/>
      <c r="B185" s="202"/>
      <c r="C185" s="184"/>
      <c r="D185" s="184"/>
      <c r="E185" s="184"/>
      <c r="F185" s="203"/>
      <c r="G185" s="203"/>
      <c r="H185" s="204"/>
      <c r="I185" s="204"/>
    </row>
    <row r="186" spans="1:9" s="17" customFormat="1">
      <c r="A186" s="202"/>
      <c r="B186" s="202"/>
      <c r="C186" s="184"/>
      <c r="D186" s="184"/>
      <c r="E186" s="184"/>
      <c r="F186" s="203"/>
      <c r="G186" s="203"/>
      <c r="H186" s="204"/>
      <c r="I186" s="204"/>
    </row>
    <row r="187" spans="1:9" s="17" customFormat="1">
      <c r="A187" s="202"/>
      <c r="B187" s="202"/>
      <c r="C187" s="184"/>
      <c r="D187" s="184"/>
      <c r="E187" s="184"/>
      <c r="F187" s="203"/>
      <c r="G187" s="203"/>
      <c r="H187" s="204"/>
      <c r="I187" s="204"/>
    </row>
    <row r="188" spans="1:9" s="17" customFormat="1">
      <c r="A188" s="202"/>
      <c r="B188" s="202"/>
      <c r="C188" s="184"/>
      <c r="D188" s="184"/>
      <c r="E188" s="184"/>
      <c r="F188" s="203"/>
      <c r="G188" s="203"/>
      <c r="H188" s="204"/>
      <c r="I188" s="204"/>
    </row>
    <row r="189" spans="1:9" s="17" customFormat="1">
      <c r="A189" s="202"/>
      <c r="B189" s="202"/>
      <c r="C189" s="184"/>
      <c r="D189" s="184"/>
      <c r="E189" s="184"/>
      <c r="F189" s="203"/>
      <c r="G189" s="203"/>
      <c r="H189" s="204"/>
      <c r="I189" s="204"/>
    </row>
    <row r="190" spans="1:9" s="17" customFormat="1">
      <c r="A190" s="202"/>
      <c r="B190" s="202"/>
      <c r="C190" s="184"/>
      <c r="D190" s="184"/>
      <c r="E190" s="184"/>
      <c r="F190" s="203"/>
      <c r="G190" s="203"/>
      <c r="H190" s="204"/>
      <c r="I190" s="204"/>
    </row>
    <row r="191" spans="1:9" s="17" customFormat="1">
      <c r="A191" s="202"/>
      <c r="B191" s="202"/>
      <c r="C191" s="184"/>
      <c r="D191" s="184"/>
      <c r="E191" s="184"/>
      <c r="F191" s="203"/>
      <c r="G191" s="203"/>
      <c r="H191" s="204"/>
      <c r="I191" s="204"/>
    </row>
    <row r="192" spans="1:9" s="17" customFormat="1">
      <c r="A192" s="202"/>
      <c r="B192" s="202"/>
      <c r="C192" s="184"/>
      <c r="D192" s="184"/>
      <c r="E192" s="184"/>
      <c r="F192" s="203"/>
      <c r="G192" s="203"/>
      <c r="H192" s="204"/>
      <c r="I192" s="204"/>
    </row>
    <row r="193" spans="1:9" s="17" customFormat="1">
      <c r="A193" s="202"/>
      <c r="B193" s="202"/>
      <c r="C193" s="184"/>
      <c r="D193" s="184"/>
      <c r="E193" s="184"/>
      <c r="F193" s="203"/>
      <c r="G193" s="203"/>
      <c r="H193" s="204"/>
      <c r="I193" s="204"/>
    </row>
    <row r="194" spans="1:9" s="17" customFormat="1">
      <c r="A194" s="202"/>
      <c r="B194" s="202"/>
      <c r="C194" s="184"/>
      <c r="D194" s="184"/>
      <c r="E194" s="184"/>
      <c r="F194" s="203"/>
      <c r="G194" s="203"/>
      <c r="H194" s="204"/>
      <c r="I194" s="204"/>
    </row>
    <row r="195" spans="1:9" s="17" customFormat="1">
      <c r="A195" s="202"/>
      <c r="B195" s="202"/>
      <c r="C195" s="184"/>
      <c r="D195" s="184"/>
      <c r="E195" s="184"/>
      <c r="F195" s="203"/>
      <c r="G195" s="203"/>
      <c r="H195" s="204"/>
      <c r="I195" s="204"/>
    </row>
    <row r="196" spans="1:9" s="17" customFormat="1">
      <c r="A196" s="202"/>
      <c r="B196" s="202"/>
      <c r="C196" s="184"/>
      <c r="D196" s="184"/>
      <c r="E196" s="184"/>
      <c r="F196" s="203"/>
      <c r="G196" s="203"/>
      <c r="H196" s="204"/>
      <c r="I196" s="204"/>
    </row>
    <row r="197" spans="1:9" s="17" customFormat="1">
      <c r="A197" s="202"/>
      <c r="B197" s="202"/>
      <c r="C197" s="184"/>
      <c r="D197" s="184"/>
      <c r="E197" s="184"/>
      <c r="F197" s="203"/>
      <c r="G197" s="203"/>
      <c r="H197" s="204"/>
      <c r="I197" s="204"/>
    </row>
    <row r="198" spans="1:9" s="17" customFormat="1">
      <c r="A198" s="202"/>
      <c r="B198" s="202"/>
      <c r="C198" s="184"/>
      <c r="D198" s="184"/>
      <c r="E198" s="184"/>
      <c r="F198" s="203"/>
      <c r="G198" s="203"/>
      <c r="H198" s="204"/>
      <c r="I198" s="204"/>
    </row>
    <row r="199" spans="1:9" s="17" customFormat="1">
      <c r="A199" s="202"/>
      <c r="B199" s="202"/>
      <c r="C199" s="184"/>
      <c r="D199" s="184"/>
      <c r="E199" s="184"/>
      <c r="F199" s="203"/>
      <c r="G199" s="203"/>
      <c r="H199" s="204"/>
      <c r="I199" s="204"/>
    </row>
    <row r="200" spans="1:9" s="17" customFormat="1">
      <c r="A200" s="202"/>
      <c r="B200" s="202"/>
      <c r="C200" s="184"/>
      <c r="D200" s="184"/>
      <c r="E200" s="184"/>
      <c r="F200" s="203"/>
      <c r="G200" s="203"/>
      <c r="H200" s="204"/>
      <c r="I200" s="204"/>
    </row>
    <row r="201" spans="1:9" s="17" customFormat="1">
      <c r="A201" s="202"/>
      <c r="B201" s="202"/>
      <c r="C201" s="184"/>
      <c r="D201" s="184"/>
      <c r="E201" s="184"/>
      <c r="F201" s="203"/>
      <c r="G201" s="203"/>
      <c r="H201" s="204"/>
      <c r="I201" s="204"/>
    </row>
    <row r="202" spans="1:9" s="17" customFormat="1">
      <c r="A202" s="202"/>
      <c r="B202" s="202"/>
      <c r="C202" s="184"/>
      <c r="D202" s="184"/>
      <c r="E202" s="184"/>
      <c r="F202" s="203"/>
      <c r="G202" s="203"/>
      <c r="H202" s="204"/>
      <c r="I202" s="204"/>
    </row>
    <row r="203" spans="1:9" s="17" customFormat="1">
      <c r="A203" s="202"/>
      <c r="B203" s="202"/>
      <c r="C203" s="184"/>
      <c r="D203" s="184"/>
      <c r="E203" s="184"/>
      <c r="F203" s="203"/>
      <c r="G203" s="203"/>
      <c r="H203" s="204"/>
      <c r="I203" s="204"/>
    </row>
    <row r="204" spans="1:9" s="17" customFormat="1">
      <c r="A204" s="202"/>
      <c r="B204" s="202"/>
      <c r="C204" s="184"/>
      <c r="D204" s="184"/>
      <c r="E204" s="184"/>
      <c r="F204" s="203"/>
      <c r="G204" s="203"/>
      <c r="H204" s="204"/>
      <c r="I204" s="204"/>
    </row>
    <row r="205" spans="1:9" s="17" customFormat="1">
      <c r="A205" s="202"/>
      <c r="B205" s="202"/>
      <c r="C205" s="184"/>
      <c r="D205" s="184"/>
      <c r="E205" s="184"/>
      <c r="F205" s="203"/>
      <c r="G205" s="203"/>
      <c r="H205" s="204"/>
      <c r="I205" s="204"/>
    </row>
    <row r="206" spans="1:9" s="17" customFormat="1">
      <c r="A206" s="202"/>
      <c r="B206" s="202"/>
      <c r="C206" s="184"/>
      <c r="D206" s="184"/>
      <c r="E206" s="184"/>
      <c r="F206" s="203"/>
      <c r="G206" s="203"/>
      <c r="H206" s="204"/>
      <c r="I206" s="204"/>
    </row>
    <row r="207" spans="1:9" s="17" customFormat="1">
      <c r="A207" s="202"/>
      <c r="B207" s="202"/>
      <c r="C207" s="184"/>
      <c r="D207" s="184"/>
      <c r="E207" s="184"/>
      <c r="F207" s="203"/>
      <c r="G207" s="203"/>
      <c r="H207" s="204"/>
      <c r="I207" s="204"/>
    </row>
    <row r="208" spans="1:9" s="17" customFormat="1">
      <c r="A208" s="202"/>
      <c r="B208" s="202"/>
      <c r="C208" s="184"/>
      <c r="D208" s="184"/>
      <c r="E208" s="184"/>
      <c r="F208" s="203"/>
      <c r="G208" s="203"/>
      <c r="H208" s="204"/>
      <c r="I208" s="204"/>
    </row>
    <row r="209" spans="1:9" s="17" customFormat="1">
      <c r="A209" s="202"/>
      <c r="B209" s="202"/>
      <c r="C209" s="184"/>
      <c r="D209" s="184"/>
      <c r="E209" s="184"/>
      <c r="F209" s="203"/>
      <c r="G209" s="203"/>
      <c r="H209" s="204"/>
      <c r="I209" s="204"/>
    </row>
    <row r="210" spans="1:9" s="17" customFormat="1">
      <c r="A210" s="202"/>
      <c r="B210" s="202"/>
      <c r="C210" s="184"/>
      <c r="D210" s="184"/>
      <c r="E210" s="184"/>
      <c r="F210" s="203"/>
      <c r="G210" s="203"/>
      <c r="H210" s="204"/>
      <c r="I210" s="204"/>
    </row>
    <row r="211" spans="1:9" s="17" customFormat="1">
      <c r="A211" s="202"/>
      <c r="B211" s="202"/>
      <c r="C211" s="184"/>
      <c r="D211" s="184"/>
      <c r="E211" s="184"/>
      <c r="F211" s="203"/>
      <c r="G211" s="203"/>
      <c r="H211" s="204"/>
      <c r="I211" s="204"/>
    </row>
    <row r="212" spans="1:9" s="17" customFormat="1">
      <c r="A212" s="202"/>
      <c r="B212" s="202"/>
      <c r="C212" s="184"/>
      <c r="D212" s="184"/>
      <c r="E212" s="184"/>
      <c r="F212" s="203"/>
      <c r="G212" s="203"/>
      <c r="H212" s="204"/>
      <c r="I212" s="204"/>
    </row>
    <row r="213" spans="1:9" s="17" customFormat="1">
      <c r="A213" s="202"/>
      <c r="B213" s="202"/>
      <c r="C213" s="184"/>
      <c r="D213" s="184"/>
      <c r="E213" s="184"/>
      <c r="F213" s="203"/>
      <c r="G213" s="203"/>
      <c r="H213" s="204"/>
      <c r="I213" s="204"/>
    </row>
    <row r="214" spans="1:9" s="17" customFormat="1">
      <c r="A214" s="202"/>
      <c r="B214" s="202"/>
      <c r="C214" s="184"/>
      <c r="D214" s="184"/>
      <c r="E214" s="184"/>
      <c r="F214" s="203"/>
      <c r="G214" s="203"/>
      <c r="H214" s="204"/>
      <c r="I214" s="204"/>
    </row>
    <row r="215" spans="1:9" s="17" customFormat="1">
      <c r="A215" s="202"/>
      <c r="B215" s="202"/>
      <c r="C215" s="184"/>
      <c r="D215" s="184"/>
      <c r="E215" s="184"/>
      <c r="F215" s="203"/>
      <c r="G215" s="203"/>
      <c r="H215" s="204"/>
      <c r="I215" s="204"/>
    </row>
    <row r="216" spans="1:9" s="17" customFormat="1">
      <c r="A216" s="202"/>
      <c r="B216" s="202"/>
      <c r="C216" s="184"/>
      <c r="D216" s="184"/>
      <c r="E216" s="184"/>
      <c r="F216" s="203"/>
      <c r="G216" s="203"/>
      <c r="H216" s="204"/>
      <c r="I216" s="204"/>
    </row>
    <row r="217" spans="1:9" s="17" customFormat="1">
      <c r="A217" s="202"/>
      <c r="B217" s="202"/>
      <c r="C217" s="184"/>
      <c r="D217" s="184"/>
      <c r="E217" s="184"/>
      <c r="F217" s="203"/>
      <c r="G217" s="203"/>
      <c r="H217" s="204"/>
      <c r="I217" s="204"/>
    </row>
    <row r="218" spans="1:9" s="17" customFormat="1">
      <c r="A218" s="202"/>
      <c r="B218" s="202"/>
      <c r="C218" s="184"/>
      <c r="D218" s="184"/>
      <c r="E218" s="184"/>
      <c r="F218" s="203"/>
      <c r="G218" s="203"/>
      <c r="H218" s="204"/>
      <c r="I218" s="204"/>
    </row>
    <row r="219" spans="1:9" s="17" customFormat="1">
      <c r="A219" s="202"/>
      <c r="B219" s="202"/>
      <c r="C219" s="184"/>
      <c r="D219" s="184"/>
      <c r="E219" s="184"/>
      <c r="F219" s="203"/>
      <c r="G219" s="203"/>
      <c r="H219" s="204"/>
      <c r="I219" s="204"/>
    </row>
    <row r="220" spans="1:9" s="17" customFormat="1">
      <c r="A220" s="202"/>
      <c r="B220" s="202"/>
      <c r="C220" s="184"/>
      <c r="D220" s="184"/>
      <c r="E220" s="184"/>
      <c r="F220" s="203"/>
      <c r="G220" s="203"/>
      <c r="H220" s="204"/>
      <c r="I220" s="204"/>
    </row>
    <row r="221" spans="1:9" s="17" customFormat="1">
      <c r="A221" s="202"/>
      <c r="B221" s="202"/>
      <c r="C221" s="184"/>
      <c r="D221" s="184"/>
      <c r="E221" s="184"/>
      <c r="F221" s="203"/>
      <c r="G221" s="203"/>
      <c r="H221" s="204"/>
      <c r="I221" s="204"/>
    </row>
    <row r="222" spans="1:9" s="17" customFormat="1">
      <c r="A222" s="202"/>
      <c r="B222" s="202"/>
      <c r="C222" s="184"/>
      <c r="D222" s="184"/>
      <c r="E222" s="184"/>
      <c r="F222" s="203"/>
      <c r="G222" s="203"/>
      <c r="H222" s="204"/>
      <c r="I222" s="204"/>
    </row>
    <row r="223" spans="1:9" s="17" customFormat="1">
      <c r="A223" s="202"/>
      <c r="B223" s="202"/>
      <c r="C223" s="184"/>
      <c r="D223" s="184"/>
      <c r="E223" s="184"/>
      <c r="F223" s="203"/>
      <c r="G223" s="203"/>
      <c r="H223" s="204"/>
      <c r="I223" s="204"/>
    </row>
    <row r="224" spans="1:9" s="17" customFormat="1">
      <c r="A224" s="202"/>
      <c r="B224" s="202"/>
      <c r="C224" s="184"/>
      <c r="D224" s="184"/>
      <c r="E224" s="184"/>
      <c r="F224" s="203"/>
      <c r="G224" s="203"/>
      <c r="H224" s="204"/>
      <c r="I224" s="204"/>
    </row>
    <row r="225" spans="1:9" s="17" customFormat="1">
      <c r="A225" s="202"/>
      <c r="B225" s="202"/>
      <c r="C225" s="184"/>
      <c r="D225" s="184"/>
      <c r="E225" s="184"/>
      <c r="F225" s="203"/>
      <c r="G225" s="203"/>
      <c r="H225" s="204"/>
      <c r="I225" s="204"/>
    </row>
    <row r="226" spans="1:9" s="17" customFormat="1">
      <c r="A226" s="202"/>
      <c r="B226" s="202"/>
      <c r="C226" s="184"/>
      <c r="D226" s="184"/>
      <c r="E226" s="184"/>
      <c r="F226" s="203"/>
      <c r="G226" s="203"/>
      <c r="H226" s="204"/>
      <c r="I226" s="204"/>
    </row>
    <row r="227" spans="1:9" s="17" customFormat="1">
      <c r="A227" s="202"/>
      <c r="B227" s="202"/>
      <c r="C227" s="184"/>
      <c r="D227" s="184"/>
      <c r="E227" s="184"/>
      <c r="F227" s="203"/>
      <c r="G227" s="203"/>
      <c r="H227" s="204"/>
      <c r="I227" s="204"/>
    </row>
    <row r="228" spans="1:9" s="17" customFormat="1">
      <c r="A228" s="202"/>
      <c r="B228" s="202"/>
      <c r="C228" s="184"/>
      <c r="D228" s="184"/>
      <c r="E228" s="184"/>
      <c r="F228" s="203"/>
      <c r="G228" s="203"/>
      <c r="H228" s="204"/>
      <c r="I228" s="204"/>
    </row>
    <row r="229" spans="1:9" s="17" customFormat="1">
      <c r="A229" s="202"/>
      <c r="B229" s="202"/>
      <c r="C229" s="184"/>
      <c r="D229" s="184"/>
      <c r="E229" s="184"/>
      <c r="F229" s="203"/>
      <c r="G229" s="203"/>
      <c r="H229" s="204"/>
      <c r="I229" s="204"/>
    </row>
    <row r="230" spans="1:9" s="17" customFormat="1">
      <c r="A230" s="202"/>
      <c r="B230" s="202"/>
      <c r="C230" s="184"/>
      <c r="D230" s="184"/>
      <c r="E230" s="184"/>
      <c r="F230" s="203"/>
      <c r="G230" s="203"/>
      <c r="H230" s="204"/>
      <c r="I230" s="204"/>
    </row>
    <row r="231" spans="1:9" s="17" customFormat="1">
      <c r="A231" s="202"/>
      <c r="B231" s="202"/>
      <c r="C231" s="184"/>
      <c r="D231" s="184"/>
      <c r="E231" s="184"/>
      <c r="F231" s="203"/>
      <c r="G231" s="203"/>
      <c r="H231" s="204"/>
      <c r="I231" s="204"/>
    </row>
    <row r="232" spans="1:9" s="17" customFormat="1">
      <c r="A232" s="202"/>
      <c r="B232" s="202"/>
      <c r="C232" s="184"/>
      <c r="D232" s="184"/>
      <c r="E232" s="184"/>
      <c r="F232" s="203"/>
      <c r="G232" s="203"/>
      <c r="H232" s="204"/>
      <c r="I232" s="204"/>
    </row>
    <row r="233" spans="1:9" s="17" customFormat="1">
      <c r="A233" s="202"/>
      <c r="B233" s="202"/>
      <c r="C233" s="184"/>
      <c r="D233" s="184"/>
      <c r="E233" s="184"/>
      <c r="F233" s="203"/>
      <c r="G233" s="203"/>
      <c r="H233" s="204"/>
      <c r="I233" s="204"/>
    </row>
    <row r="234" spans="1:9" s="17" customFormat="1">
      <c r="A234" s="202"/>
      <c r="B234" s="202"/>
      <c r="C234" s="184"/>
      <c r="D234" s="184"/>
      <c r="E234" s="184"/>
      <c r="F234" s="203"/>
      <c r="G234" s="203"/>
      <c r="H234" s="204"/>
      <c r="I234" s="204"/>
    </row>
    <row r="235" spans="1:9" s="17" customFormat="1">
      <c r="A235" s="202"/>
      <c r="B235" s="202"/>
      <c r="C235" s="184"/>
      <c r="D235" s="184"/>
      <c r="E235" s="184"/>
      <c r="F235" s="203"/>
      <c r="G235" s="203"/>
      <c r="H235" s="204"/>
      <c r="I235" s="204"/>
    </row>
    <row r="236" spans="1:9" s="17" customFormat="1">
      <c r="A236" s="202"/>
      <c r="B236" s="202"/>
      <c r="C236" s="184"/>
      <c r="D236" s="184"/>
      <c r="E236" s="184"/>
      <c r="F236" s="203"/>
      <c r="G236" s="203"/>
      <c r="H236" s="204"/>
      <c r="I236" s="204"/>
    </row>
    <row r="237" spans="1:9" s="17" customFormat="1">
      <c r="A237" s="202"/>
      <c r="B237" s="202"/>
      <c r="C237" s="184"/>
      <c r="D237" s="184"/>
      <c r="E237" s="184"/>
      <c r="F237" s="203"/>
      <c r="G237" s="203"/>
      <c r="H237" s="204"/>
      <c r="I237" s="204"/>
    </row>
    <row r="238" spans="1:9" s="17" customFormat="1">
      <c r="A238" s="202"/>
      <c r="B238" s="202"/>
      <c r="C238" s="184"/>
      <c r="D238" s="184"/>
      <c r="E238" s="184"/>
      <c r="F238" s="203"/>
      <c r="G238" s="203"/>
      <c r="H238" s="204"/>
      <c r="I238" s="204"/>
    </row>
    <row r="239" spans="1:9" s="17" customFormat="1">
      <c r="A239" s="202"/>
      <c r="B239" s="202"/>
      <c r="C239" s="184"/>
      <c r="D239" s="184"/>
      <c r="E239" s="184"/>
      <c r="F239" s="203"/>
      <c r="G239" s="203"/>
      <c r="H239" s="204"/>
      <c r="I239" s="204"/>
    </row>
    <row r="240" spans="1:9" s="17" customFormat="1">
      <c r="A240" s="202"/>
      <c r="B240" s="202"/>
      <c r="C240" s="184"/>
      <c r="D240" s="184"/>
      <c r="E240" s="184"/>
      <c r="F240" s="203"/>
      <c r="G240" s="203"/>
      <c r="H240" s="204"/>
      <c r="I240" s="204"/>
    </row>
    <row r="241" spans="1:9" s="17" customFormat="1">
      <c r="A241" s="202"/>
      <c r="B241" s="202"/>
      <c r="C241" s="184"/>
      <c r="D241" s="184"/>
      <c r="E241" s="184"/>
      <c r="F241" s="203"/>
      <c r="G241" s="203"/>
      <c r="H241" s="204"/>
      <c r="I241" s="204"/>
    </row>
    <row r="242" spans="1:9" s="17" customFormat="1">
      <c r="A242" s="202"/>
      <c r="B242" s="202"/>
      <c r="C242" s="184"/>
      <c r="D242" s="184"/>
      <c r="E242" s="184"/>
      <c r="F242" s="203"/>
      <c r="G242" s="203"/>
      <c r="H242" s="204"/>
      <c r="I242" s="204"/>
    </row>
    <row r="243" spans="1:9" s="17" customFormat="1">
      <c r="A243" s="202"/>
      <c r="B243" s="202"/>
      <c r="C243" s="184"/>
      <c r="D243" s="184"/>
      <c r="E243" s="184"/>
      <c r="F243" s="203"/>
      <c r="G243" s="203"/>
      <c r="H243" s="204"/>
      <c r="I243" s="204"/>
    </row>
    <row r="244" spans="1:9" s="17" customFormat="1">
      <c r="A244" s="202"/>
      <c r="B244" s="202"/>
      <c r="C244" s="184"/>
      <c r="D244" s="184"/>
      <c r="E244" s="184"/>
      <c r="F244" s="203"/>
      <c r="G244" s="203"/>
      <c r="H244" s="204"/>
      <c r="I244" s="204"/>
    </row>
    <row r="245" spans="1:9" s="17" customFormat="1">
      <c r="A245" s="202"/>
      <c r="B245" s="202"/>
      <c r="C245" s="184"/>
      <c r="D245" s="184"/>
      <c r="E245" s="184"/>
      <c r="F245" s="203"/>
      <c r="G245" s="203"/>
      <c r="H245" s="204"/>
      <c r="I245" s="204"/>
    </row>
    <row r="246" spans="1:9" s="17" customFormat="1">
      <c r="A246" s="202"/>
      <c r="B246" s="202"/>
      <c r="C246" s="184"/>
      <c r="D246" s="184"/>
      <c r="E246" s="184"/>
      <c r="F246" s="203"/>
      <c r="G246" s="203"/>
      <c r="H246" s="204"/>
      <c r="I246" s="204"/>
    </row>
    <row r="247" spans="1:9" s="17" customFormat="1">
      <c r="A247" s="202"/>
      <c r="B247" s="202"/>
      <c r="C247" s="184"/>
      <c r="D247" s="184"/>
      <c r="E247" s="184"/>
      <c r="F247" s="203"/>
      <c r="G247" s="203"/>
      <c r="H247" s="204"/>
      <c r="I247" s="204"/>
    </row>
    <row r="248" spans="1:9" s="17" customFormat="1">
      <c r="A248" s="202"/>
      <c r="B248" s="202"/>
      <c r="C248" s="184"/>
      <c r="D248" s="184"/>
      <c r="E248" s="184"/>
      <c r="F248" s="203"/>
      <c r="G248" s="203"/>
      <c r="H248" s="204"/>
      <c r="I248" s="204"/>
    </row>
    <row r="249" spans="1:9" s="17" customFormat="1">
      <c r="A249" s="202"/>
      <c r="B249" s="202"/>
      <c r="C249" s="184"/>
      <c r="D249" s="184"/>
      <c r="E249" s="184"/>
      <c r="F249" s="203"/>
      <c r="G249" s="203"/>
      <c r="H249" s="204"/>
      <c r="I249" s="204"/>
    </row>
    <row r="250" spans="1:9" s="17" customFormat="1">
      <c r="A250" s="202"/>
      <c r="B250" s="202"/>
      <c r="C250" s="184"/>
      <c r="D250" s="184"/>
      <c r="E250" s="184"/>
      <c r="F250" s="203"/>
      <c r="G250" s="203"/>
      <c r="H250" s="204"/>
      <c r="I250" s="204"/>
    </row>
    <row r="251" spans="1:9" s="17" customFormat="1">
      <c r="A251" s="202"/>
      <c r="B251" s="202"/>
      <c r="C251" s="184"/>
      <c r="D251" s="184"/>
      <c r="E251" s="184"/>
      <c r="F251" s="203"/>
      <c r="G251" s="203"/>
      <c r="H251" s="204"/>
      <c r="I251" s="204"/>
    </row>
    <row r="252" spans="1:9" s="17" customFormat="1">
      <c r="A252" s="202"/>
      <c r="B252" s="202"/>
      <c r="C252" s="184"/>
      <c r="D252" s="184"/>
      <c r="E252" s="184"/>
      <c r="F252" s="203"/>
      <c r="G252" s="203"/>
      <c r="H252" s="204"/>
      <c r="I252" s="204"/>
    </row>
    <row r="253" spans="1:9" s="17" customFormat="1">
      <c r="A253" s="202"/>
      <c r="B253" s="202"/>
      <c r="C253" s="184"/>
      <c r="D253" s="184"/>
      <c r="E253" s="184"/>
      <c r="F253" s="203"/>
      <c r="G253" s="203"/>
      <c r="H253" s="204"/>
      <c r="I253" s="204"/>
    </row>
    <row r="254" spans="1:9" s="17" customFormat="1">
      <c r="A254" s="202"/>
      <c r="B254" s="202"/>
      <c r="C254" s="184"/>
      <c r="D254" s="184"/>
      <c r="E254" s="184"/>
      <c r="F254" s="203"/>
      <c r="G254" s="203"/>
      <c r="H254" s="204"/>
      <c r="I254" s="204"/>
    </row>
    <row r="255" spans="1:9" s="17" customFormat="1">
      <c r="A255" s="202"/>
      <c r="B255" s="202"/>
      <c r="C255" s="184"/>
      <c r="D255" s="184"/>
      <c r="E255" s="184"/>
      <c r="F255" s="203"/>
      <c r="G255" s="203"/>
      <c r="H255" s="204"/>
      <c r="I255" s="204"/>
    </row>
    <row r="256" spans="1:9" s="17" customFormat="1">
      <c r="A256" s="202"/>
      <c r="B256" s="202"/>
      <c r="C256" s="184"/>
      <c r="D256" s="184"/>
      <c r="E256" s="184"/>
      <c r="F256" s="203"/>
      <c r="G256" s="203"/>
      <c r="H256" s="204"/>
      <c r="I256" s="204"/>
    </row>
    <row r="257" spans="1:9" s="17" customFormat="1">
      <c r="A257" s="202"/>
      <c r="B257" s="202"/>
      <c r="C257" s="184"/>
      <c r="D257" s="184"/>
      <c r="E257" s="184"/>
      <c r="F257" s="203"/>
      <c r="G257" s="203"/>
      <c r="H257" s="204"/>
      <c r="I257" s="204"/>
    </row>
    <row r="258" spans="1:9" s="17" customFormat="1">
      <c r="A258" s="202"/>
      <c r="B258" s="202"/>
      <c r="C258" s="184"/>
      <c r="D258" s="184"/>
      <c r="E258" s="184"/>
      <c r="F258" s="203"/>
      <c r="G258" s="203"/>
      <c r="H258" s="204"/>
      <c r="I258" s="204"/>
    </row>
    <row r="259" spans="1:9" s="17" customFormat="1">
      <c r="A259" s="202"/>
      <c r="B259" s="202"/>
      <c r="C259" s="184"/>
      <c r="D259" s="184"/>
      <c r="E259" s="184"/>
      <c r="F259" s="203"/>
      <c r="G259" s="203"/>
      <c r="H259" s="204"/>
      <c r="I259" s="204"/>
    </row>
    <row r="260" spans="1:9" s="17" customFormat="1">
      <c r="A260" s="202"/>
      <c r="B260" s="202"/>
      <c r="C260" s="184"/>
      <c r="D260" s="184"/>
      <c r="E260" s="184"/>
      <c r="F260" s="203"/>
      <c r="G260" s="203"/>
      <c r="H260" s="204"/>
      <c r="I260" s="204"/>
    </row>
    <row r="261" spans="1:9" s="17" customFormat="1">
      <c r="A261" s="202"/>
      <c r="B261" s="202"/>
      <c r="C261" s="184"/>
      <c r="D261" s="184"/>
      <c r="E261" s="184"/>
      <c r="F261" s="203"/>
      <c r="G261" s="203"/>
      <c r="H261" s="204"/>
      <c r="I261" s="204"/>
    </row>
    <row r="262" spans="1:9" s="17" customFormat="1">
      <c r="A262" s="202"/>
      <c r="B262" s="202"/>
      <c r="C262" s="184"/>
      <c r="D262" s="184"/>
      <c r="E262" s="184"/>
      <c r="F262" s="203"/>
      <c r="G262" s="203"/>
      <c r="H262" s="204"/>
      <c r="I262" s="204"/>
    </row>
    <row r="263" spans="1:9" s="17" customFormat="1">
      <c r="A263" s="202"/>
      <c r="B263" s="202"/>
      <c r="C263" s="184"/>
      <c r="D263" s="184"/>
      <c r="E263" s="184"/>
      <c r="F263" s="203"/>
      <c r="G263" s="203"/>
      <c r="H263" s="204"/>
      <c r="I263" s="204"/>
    </row>
    <row r="264" spans="1:9" s="17" customFormat="1">
      <c r="A264" s="202"/>
      <c r="B264" s="202"/>
      <c r="C264" s="184"/>
      <c r="D264" s="184"/>
      <c r="E264" s="184"/>
      <c r="F264" s="203"/>
      <c r="G264" s="203"/>
      <c r="H264" s="204"/>
      <c r="I264" s="204"/>
    </row>
    <row r="265" spans="1:9" s="17" customFormat="1">
      <c r="A265" s="202"/>
      <c r="B265" s="202"/>
      <c r="C265" s="184"/>
      <c r="D265" s="184"/>
      <c r="E265" s="184"/>
      <c r="F265" s="203"/>
      <c r="G265" s="203"/>
      <c r="H265" s="204"/>
      <c r="I265" s="204"/>
    </row>
    <row r="266" spans="1:9" s="17" customFormat="1">
      <c r="A266" s="202"/>
      <c r="B266" s="202"/>
      <c r="C266" s="184"/>
      <c r="D266" s="184"/>
      <c r="E266" s="184"/>
      <c r="F266" s="203"/>
      <c r="G266" s="203"/>
      <c r="H266" s="204"/>
      <c r="I266" s="204"/>
    </row>
    <row r="267" spans="1:9" s="17" customFormat="1">
      <c r="A267" s="202"/>
      <c r="B267" s="202"/>
      <c r="C267" s="184"/>
      <c r="D267" s="184"/>
      <c r="E267" s="184"/>
      <c r="F267" s="203"/>
      <c r="G267" s="203"/>
      <c r="H267" s="204"/>
      <c r="I267" s="204"/>
    </row>
    <row r="268" spans="1:9" s="17" customFormat="1">
      <c r="A268" s="202"/>
      <c r="B268" s="202"/>
      <c r="C268" s="184"/>
      <c r="D268" s="184"/>
      <c r="E268" s="184"/>
      <c r="F268" s="203"/>
      <c r="G268" s="203"/>
      <c r="H268" s="204"/>
      <c r="I268" s="204"/>
    </row>
    <row r="269" spans="1:9" s="17" customFormat="1">
      <c r="A269" s="202"/>
      <c r="B269" s="202"/>
      <c r="C269" s="184"/>
      <c r="D269" s="184"/>
      <c r="E269" s="184"/>
      <c r="F269" s="203"/>
      <c r="G269" s="203"/>
      <c r="H269" s="204"/>
      <c r="I269" s="204"/>
    </row>
    <row r="270" spans="1:9" s="17" customFormat="1">
      <c r="A270" s="202"/>
      <c r="B270" s="202"/>
      <c r="C270" s="184"/>
      <c r="D270" s="184"/>
      <c r="E270" s="184"/>
      <c r="F270" s="203"/>
      <c r="G270" s="203"/>
      <c r="H270" s="204"/>
      <c r="I270" s="204"/>
    </row>
    <row r="271" spans="1:9" s="17" customFormat="1">
      <c r="A271" s="202"/>
      <c r="B271" s="202"/>
      <c r="C271" s="184"/>
      <c r="D271" s="184"/>
      <c r="E271" s="184"/>
      <c r="F271" s="203"/>
      <c r="G271" s="203"/>
      <c r="H271" s="204"/>
      <c r="I271" s="204"/>
    </row>
    <row r="272" spans="1:9" s="17" customFormat="1">
      <c r="A272" s="202"/>
      <c r="B272" s="202"/>
      <c r="C272" s="184"/>
      <c r="D272" s="184"/>
      <c r="E272" s="184"/>
      <c r="F272" s="203"/>
      <c r="G272" s="203"/>
      <c r="H272" s="204"/>
      <c r="I272" s="204"/>
    </row>
    <row r="273" spans="1:9" s="17" customFormat="1">
      <c r="A273" s="202"/>
      <c r="B273" s="202"/>
      <c r="C273" s="184"/>
      <c r="D273" s="184"/>
      <c r="E273" s="184"/>
      <c r="F273" s="203"/>
      <c r="G273" s="203"/>
      <c r="H273" s="204"/>
      <c r="I273" s="204"/>
    </row>
    <row r="274" spans="1:9" s="17" customFormat="1">
      <c r="A274" s="202"/>
      <c r="B274" s="202"/>
      <c r="C274" s="184"/>
      <c r="D274" s="184"/>
      <c r="E274" s="184"/>
      <c r="F274" s="203"/>
      <c r="G274" s="203"/>
      <c r="H274" s="204"/>
      <c r="I274" s="204"/>
    </row>
    <row r="275" spans="1:9" s="17" customFormat="1">
      <c r="A275" s="202"/>
      <c r="B275" s="202"/>
      <c r="C275" s="184"/>
      <c r="D275" s="184"/>
      <c r="E275" s="184"/>
      <c r="F275" s="203"/>
      <c r="G275" s="203"/>
      <c r="H275" s="204"/>
      <c r="I275" s="204"/>
    </row>
    <row r="276" spans="1:9" s="17" customFormat="1">
      <c r="A276" s="202"/>
      <c r="B276" s="202"/>
      <c r="C276" s="184"/>
      <c r="D276" s="184"/>
      <c r="E276" s="184"/>
      <c r="F276" s="203"/>
      <c r="G276" s="203"/>
      <c r="H276" s="204"/>
      <c r="I276" s="204"/>
    </row>
    <row r="277" spans="1:9" s="17" customFormat="1">
      <c r="A277" s="202"/>
      <c r="B277" s="202"/>
      <c r="C277" s="184"/>
      <c r="D277" s="184"/>
      <c r="E277" s="184"/>
      <c r="F277" s="203"/>
      <c r="G277" s="203"/>
      <c r="H277" s="204"/>
      <c r="I277" s="204"/>
    </row>
    <row r="278" spans="1:9" s="17" customFormat="1">
      <c r="A278" s="202"/>
      <c r="B278" s="202"/>
      <c r="C278" s="184"/>
      <c r="D278" s="184"/>
      <c r="E278" s="184"/>
      <c r="F278" s="203"/>
      <c r="G278" s="203"/>
      <c r="H278" s="204"/>
      <c r="I278" s="204"/>
    </row>
    <row r="279" spans="1:9" s="17" customFormat="1">
      <c r="A279" s="202"/>
      <c r="B279" s="202"/>
      <c r="C279" s="184"/>
      <c r="D279" s="184"/>
      <c r="E279" s="184"/>
      <c r="F279" s="203"/>
      <c r="G279" s="203"/>
      <c r="H279" s="204"/>
      <c r="I279" s="204"/>
    </row>
    <row r="280" spans="1:9" s="17" customFormat="1">
      <c r="A280" s="202"/>
      <c r="B280" s="202"/>
      <c r="C280" s="184"/>
      <c r="D280" s="184"/>
      <c r="E280" s="184"/>
      <c r="F280" s="203"/>
      <c r="G280" s="203"/>
      <c r="H280" s="204"/>
      <c r="I280" s="204"/>
    </row>
    <row r="281" spans="1:9" s="17" customFormat="1">
      <c r="A281" s="202"/>
      <c r="B281" s="202"/>
      <c r="C281" s="184"/>
      <c r="D281" s="184"/>
      <c r="E281" s="184"/>
      <c r="F281" s="203"/>
      <c r="G281" s="203"/>
      <c r="H281" s="204"/>
      <c r="I281" s="204"/>
    </row>
    <row r="282" spans="1:9" s="17" customFormat="1">
      <c r="A282" s="202"/>
      <c r="B282" s="202"/>
      <c r="C282" s="184"/>
      <c r="D282" s="184"/>
      <c r="E282" s="184"/>
      <c r="F282" s="203"/>
      <c r="G282" s="203"/>
      <c r="H282" s="204"/>
      <c r="I282" s="204"/>
    </row>
    <row r="283" spans="1:9" s="17" customFormat="1">
      <c r="A283" s="202"/>
      <c r="B283" s="202"/>
      <c r="C283" s="184"/>
      <c r="D283" s="184"/>
      <c r="E283" s="184"/>
      <c r="F283" s="203"/>
      <c r="G283" s="203"/>
      <c r="H283" s="204"/>
      <c r="I283" s="204"/>
    </row>
    <row r="284" spans="1:9" s="17" customFormat="1">
      <c r="A284" s="202"/>
      <c r="B284" s="202"/>
      <c r="C284" s="184"/>
      <c r="D284" s="184"/>
      <c r="E284" s="184"/>
      <c r="F284" s="203"/>
      <c r="G284" s="203"/>
      <c r="H284" s="204"/>
      <c r="I284" s="204"/>
    </row>
    <row r="285" spans="1:9" s="17" customFormat="1">
      <c r="A285" s="202"/>
      <c r="B285" s="202"/>
      <c r="C285" s="184"/>
      <c r="D285" s="184"/>
      <c r="E285" s="184"/>
      <c r="F285" s="203"/>
      <c r="G285" s="203"/>
      <c r="H285" s="204"/>
      <c r="I285" s="204"/>
    </row>
    <row r="286" spans="1:9" s="17" customFormat="1">
      <c r="A286" s="202"/>
      <c r="B286" s="202"/>
      <c r="C286" s="184"/>
      <c r="D286" s="184"/>
      <c r="E286" s="184"/>
      <c r="F286" s="203"/>
      <c r="G286" s="203"/>
      <c r="H286" s="204"/>
      <c r="I286" s="204"/>
    </row>
    <row r="287" spans="1:9" s="17" customFormat="1">
      <c r="A287" s="202"/>
      <c r="B287" s="202"/>
      <c r="C287" s="184"/>
      <c r="D287" s="184"/>
      <c r="E287" s="184"/>
      <c r="F287" s="203"/>
      <c r="G287" s="203"/>
      <c r="H287" s="204"/>
      <c r="I287" s="204"/>
    </row>
    <row r="288" spans="1:9" s="17" customFormat="1">
      <c r="A288" s="202"/>
      <c r="B288" s="202"/>
      <c r="C288" s="184"/>
      <c r="D288" s="184"/>
      <c r="E288" s="184"/>
      <c r="F288" s="203"/>
      <c r="G288" s="203"/>
      <c r="H288" s="204"/>
      <c r="I288" s="204"/>
    </row>
    <row r="289" spans="1:9" s="17" customFormat="1">
      <c r="A289" s="202"/>
      <c r="B289" s="202"/>
      <c r="C289" s="184"/>
      <c r="D289" s="184"/>
      <c r="E289" s="184"/>
      <c r="F289" s="203"/>
      <c r="G289" s="203"/>
      <c r="H289" s="204"/>
      <c r="I289" s="204"/>
    </row>
    <row r="290" spans="1:9" s="17" customFormat="1">
      <c r="A290" s="202"/>
      <c r="B290" s="202"/>
      <c r="C290" s="184"/>
      <c r="D290" s="184"/>
      <c r="E290" s="184"/>
      <c r="F290" s="203"/>
      <c r="G290" s="203"/>
      <c r="H290" s="204"/>
      <c r="I290" s="204"/>
    </row>
    <row r="291" spans="1:9" s="17" customFormat="1">
      <c r="A291" s="202"/>
      <c r="B291" s="202"/>
      <c r="C291" s="184"/>
      <c r="D291" s="184"/>
      <c r="E291" s="184"/>
      <c r="F291" s="203"/>
      <c r="G291" s="203"/>
      <c r="H291" s="204"/>
      <c r="I291" s="204"/>
    </row>
    <row r="292" spans="1:9" s="17" customFormat="1">
      <c r="A292" s="202"/>
      <c r="B292" s="202"/>
      <c r="C292" s="184"/>
      <c r="D292" s="184"/>
      <c r="E292" s="184"/>
      <c r="F292" s="203"/>
      <c r="G292" s="203"/>
      <c r="H292" s="204"/>
      <c r="I292" s="204"/>
    </row>
    <row r="293" spans="1:9" s="17" customFormat="1">
      <c r="A293" s="202"/>
      <c r="B293" s="202"/>
      <c r="C293" s="184"/>
      <c r="D293" s="184"/>
      <c r="E293" s="184"/>
      <c r="F293" s="203"/>
      <c r="G293" s="203"/>
      <c r="H293" s="204"/>
      <c r="I293" s="204"/>
    </row>
    <row r="294" spans="1:9" s="17" customFormat="1">
      <c r="A294" s="202"/>
      <c r="B294" s="202"/>
      <c r="C294" s="184"/>
      <c r="D294" s="184"/>
      <c r="E294" s="184"/>
      <c r="F294" s="203"/>
      <c r="G294" s="203"/>
      <c r="H294" s="204"/>
      <c r="I294" s="204"/>
    </row>
    <row r="295" spans="1:9" s="17" customFormat="1">
      <c r="A295" s="202"/>
      <c r="B295" s="202"/>
      <c r="C295" s="184"/>
      <c r="D295" s="184"/>
      <c r="E295" s="184"/>
      <c r="F295" s="203"/>
      <c r="G295" s="203"/>
      <c r="H295" s="204"/>
      <c r="I295" s="204"/>
    </row>
    <row r="296" spans="1:9" s="17" customFormat="1">
      <c r="A296" s="202"/>
      <c r="B296" s="202"/>
      <c r="C296" s="184"/>
      <c r="D296" s="184"/>
      <c r="E296" s="184"/>
      <c r="F296" s="203"/>
      <c r="G296" s="203"/>
      <c r="H296" s="204"/>
      <c r="I296" s="204"/>
    </row>
    <row r="297" spans="1:9" s="17" customFormat="1">
      <c r="A297" s="202"/>
      <c r="B297" s="202"/>
      <c r="C297" s="184"/>
      <c r="D297" s="184"/>
      <c r="E297" s="184"/>
      <c r="F297" s="203"/>
      <c r="G297" s="203"/>
      <c r="H297" s="204"/>
      <c r="I297" s="204"/>
    </row>
    <row r="298" spans="1:9" s="17" customFormat="1">
      <c r="A298" s="202"/>
      <c r="B298" s="202"/>
      <c r="C298" s="184"/>
      <c r="D298" s="184"/>
      <c r="E298" s="184"/>
      <c r="F298" s="203"/>
      <c r="G298" s="203"/>
      <c r="H298" s="204"/>
      <c r="I298" s="204"/>
    </row>
    <row r="299" spans="1:9" s="17" customFormat="1">
      <c r="A299" s="202"/>
      <c r="B299" s="202"/>
      <c r="C299" s="184"/>
      <c r="D299" s="184"/>
      <c r="E299" s="184"/>
      <c r="F299" s="203"/>
      <c r="G299" s="203"/>
      <c r="H299" s="204"/>
      <c r="I299" s="204"/>
    </row>
    <row r="300" spans="1:9" s="17" customFormat="1">
      <c r="A300" s="202"/>
      <c r="B300" s="202"/>
      <c r="C300" s="184"/>
      <c r="D300" s="184"/>
      <c r="E300" s="184"/>
      <c r="F300" s="203"/>
      <c r="G300" s="203"/>
      <c r="H300" s="204"/>
      <c r="I300" s="204"/>
    </row>
    <row r="301" spans="1:9" s="17" customFormat="1">
      <c r="A301" s="202"/>
      <c r="B301" s="202"/>
      <c r="C301" s="184"/>
      <c r="D301" s="184"/>
      <c r="E301" s="184"/>
      <c r="F301" s="203"/>
      <c r="G301" s="203"/>
      <c r="H301" s="204"/>
      <c r="I301" s="204"/>
    </row>
    <row r="302" spans="1:9" s="17" customFormat="1">
      <c r="A302" s="202"/>
      <c r="B302" s="202"/>
      <c r="C302" s="184"/>
      <c r="D302" s="184"/>
      <c r="E302" s="184"/>
      <c r="F302" s="203"/>
      <c r="G302" s="203"/>
      <c r="H302" s="204"/>
      <c r="I302" s="204"/>
    </row>
    <row r="303" spans="1:9" s="17" customFormat="1">
      <c r="A303" s="202"/>
      <c r="B303" s="202"/>
      <c r="C303" s="184"/>
      <c r="D303" s="184"/>
      <c r="E303" s="184"/>
      <c r="F303" s="203"/>
      <c r="G303" s="203"/>
      <c r="H303" s="204"/>
      <c r="I303" s="204"/>
    </row>
    <row r="304" spans="1:9" s="17" customFormat="1">
      <c r="A304" s="202"/>
      <c r="B304" s="202"/>
      <c r="C304" s="184"/>
      <c r="D304" s="184"/>
      <c r="E304" s="184"/>
      <c r="F304" s="203"/>
      <c r="G304" s="203"/>
      <c r="H304" s="204"/>
      <c r="I304" s="204"/>
    </row>
    <row r="305" spans="1:9" s="17" customFormat="1">
      <c r="A305" s="202"/>
      <c r="B305" s="202"/>
      <c r="C305" s="184"/>
      <c r="D305" s="184"/>
      <c r="E305" s="184"/>
      <c r="F305" s="203"/>
      <c r="G305" s="203"/>
      <c r="H305" s="204"/>
      <c r="I305" s="204"/>
    </row>
    <row r="306" spans="1:9" s="17" customFormat="1">
      <c r="A306" s="202"/>
      <c r="B306" s="202"/>
      <c r="C306" s="184"/>
      <c r="D306" s="184"/>
      <c r="E306" s="184"/>
      <c r="F306" s="203"/>
      <c r="G306" s="203"/>
      <c r="H306" s="204"/>
      <c r="I306" s="204"/>
    </row>
    <row r="307" spans="1:9" s="17" customFormat="1">
      <c r="A307" s="202"/>
      <c r="B307" s="202"/>
      <c r="C307" s="184"/>
      <c r="D307" s="184"/>
      <c r="E307" s="184"/>
      <c r="F307" s="203"/>
      <c r="G307" s="203"/>
      <c r="H307" s="204"/>
      <c r="I307" s="204"/>
    </row>
    <row r="308" spans="1:9" s="17" customFormat="1">
      <c r="A308" s="202"/>
      <c r="B308" s="202"/>
      <c r="C308" s="184"/>
      <c r="D308" s="184"/>
      <c r="E308" s="184"/>
      <c r="F308" s="203"/>
      <c r="G308" s="203"/>
      <c r="H308" s="204"/>
      <c r="I308" s="204"/>
    </row>
    <row r="309" spans="1:9" s="17" customFormat="1">
      <c r="A309" s="202"/>
      <c r="B309" s="202"/>
      <c r="C309" s="184"/>
      <c r="D309" s="184"/>
      <c r="E309" s="184"/>
      <c r="F309" s="203"/>
      <c r="G309" s="203"/>
      <c r="H309" s="204"/>
      <c r="I309" s="204"/>
    </row>
    <row r="310" spans="1:9" s="17" customFormat="1">
      <c r="A310" s="202"/>
      <c r="B310" s="202"/>
      <c r="C310" s="184"/>
      <c r="D310" s="184"/>
      <c r="E310" s="184"/>
      <c r="F310" s="203"/>
      <c r="G310" s="203"/>
      <c r="H310" s="204"/>
      <c r="I310" s="204"/>
    </row>
    <row r="311" spans="1:9" s="17" customFormat="1">
      <c r="A311" s="202"/>
      <c r="B311" s="202"/>
      <c r="C311" s="184"/>
      <c r="D311" s="184"/>
      <c r="E311" s="184"/>
      <c r="F311" s="203"/>
      <c r="G311" s="203"/>
      <c r="H311" s="204"/>
      <c r="I311" s="204"/>
    </row>
    <row r="312" spans="1:9" s="17" customFormat="1">
      <c r="A312" s="202"/>
      <c r="B312" s="202"/>
      <c r="C312" s="184"/>
      <c r="D312" s="184"/>
      <c r="E312" s="184"/>
      <c r="F312" s="203"/>
      <c r="G312" s="203"/>
      <c r="H312" s="204"/>
      <c r="I312" s="204"/>
    </row>
    <row r="313" spans="1:9" s="17" customFormat="1">
      <c r="A313" s="202"/>
      <c r="B313" s="202"/>
      <c r="C313" s="184"/>
      <c r="D313" s="184"/>
      <c r="E313" s="184"/>
      <c r="F313" s="203"/>
      <c r="G313" s="203"/>
      <c r="H313" s="204"/>
      <c r="I313" s="204"/>
    </row>
    <row r="314" spans="1:9" s="17" customFormat="1">
      <c r="A314" s="202"/>
      <c r="B314" s="202"/>
      <c r="C314" s="184"/>
      <c r="D314" s="184"/>
      <c r="E314" s="184"/>
      <c r="F314" s="203"/>
      <c r="G314" s="203"/>
      <c r="H314" s="204"/>
      <c r="I314" s="204"/>
    </row>
    <row r="315" spans="1:9" s="17" customFormat="1">
      <c r="A315" s="202"/>
      <c r="B315" s="202"/>
      <c r="C315" s="184"/>
      <c r="D315" s="184"/>
      <c r="E315" s="184"/>
      <c r="F315" s="203"/>
      <c r="G315" s="203"/>
      <c r="H315" s="204"/>
      <c r="I315" s="204"/>
    </row>
    <row r="316" spans="1:9" s="17" customFormat="1">
      <c r="A316" s="202"/>
      <c r="B316" s="202"/>
      <c r="C316" s="184"/>
      <c r="D316" s="184"/>
      <c r="E316" s="184"/>
      <c r="F316" s="203"/>
      <c r="G316" s="203"/>
      <c r="H316" s="204"/>
      <c r="I316" s="204"/>
    </row>
    <row r="317" spans="1:9" s="17" customFormat="1">
      <c r="A317" s="202"/>
      <c r="B317" s="202"/>
      <c r="C317" s="184"/>
      <c r="D317" s="184"/>
      <c r="E317" s="184"/>
      <c r="F317" s="203"/>
      <c r="G317" s="203"/>
      <c r="H317" s="204"/>
      <c r="I317" s="204"/>
    </row>
    <row r="318" spans="1:9" s="17" customFormat="1">
      <c r="A318" s="202"/>
      <c r="B318" s="202"/>
      <c r="C318" s="184"/>
      <c r="D318" s="184"/>
      <c r="E318" s="184"/>
      <c r="F318" s="203"/>
      <c r="G318" s="203"/>
      <c r="H318" s="204"/>
      <c r="I318" s="204"/>
    </row>
    <row r="319" spans="1:9" s="17" customFormat="1">
      <c r="A319" s="202"/>
      <c r="B319" s="202"/>
      <c r="C319" s="184"/>
      <c r="D319" s="184"/>
      <c r="E319" s="184"/>
      <c r="F319" s="203"/>
      <c r="G319" s="203"/>
      <c r="H319" s="204"/>
      <c r="I319" s="204"/>
    </row>
    <row r="320" spans="1:9" s="17" customFormat="1">
      <c r="A320" s="202"/>
      <c r="B320" s="202"/>
      <c r="C320" s="184"/>
      <c r="D320" s="184"/>
      <c r="E320" s="184"/>
      <c r="F320" s="203"/>
      <c r="G320" s="203"/>
      <c r="H320" s="204"/>
      <c r="I320" s="204"/>
    </row>
    <row r="321" spans="1:9" s="17" customFormat="1">
      <c r="A321" s="202"/>
      <c r="B321" s="202"/>
      <c r="C321" s="184"/>
      <c r="D321" s="184"/>
      <c r="E321" s="184"/>
      <c r="F321" s="203"/>
      <c r="G321" s="203"/>
      <c r="H321" s="204"/>
      <c r="I321" s="204"/>
    </row>
    <row r="322" spans="1:9" s="17" customFormat="1">
      <c r="A322" s="202"/>
      <c r="B322" s="202"/>
      <c r="C322" s="184"/>
      <c r="D322" s="184"/>
      <c r="E322" s="184"/>
      <c r="F322" s="203"/>
      <c r="G322" s="203"/>
      <c r="H322" s="204"/>
      <c r="I322" s="204"/>
    </row>
    <row r="323" spans="1:9" s="17" customFormat="1">
      <c r="A323" s="202"/>
      <c r="B323" s="202"/>
      <c r="C323" s="184"/>
      <c r="D323" s="184"/>
      <c r="E323" s="184"/>
      <c r="F323" s="203"/>
      <c r="G323" s="203"/>
      <c r="H323" s="204"/>
      <c r="I323" s="204"/>
    </row>
    <row r="324" spans="1:9" s="17" customFormat="1">
      <c r="A324" s="202"/>
      <c r="B324" s="202"/>
      <c r="C324" s="184"/>
      <c r="D324" s="184"/>
      <c r="E324" s="184"/>
      <c r="F324" s="203"/>
      <c r="G324" s="203"/>
      <c r="H324" s="204"/>
      <c r="I324" s="204"/>
    </row>
    <row r="325" spans="1:9" s="17" customFormat="1">
      <c r="A325" s="202"/>
      <c r="B325" s="202"/>
      <c r="C325" s="184"/>
      <c r="D325" s="184"/>
      <c r="E325" s="184"/>
      <c r="F325" s="203"/>
      <c r="G325" s="203"/>
      <c r="H325" s="204"/>
      <c r="I325" s="204"/>
    </row>
    <row r="326" spans="1:9" s="17" customFormat="1">
      <c r="A326" s="202"/>
      <c r="B326" s="202"/>
      <c r="C326" s="184"/>
      <c r="D326" s="184"/>
      <c r="E326" s="184"/>
      <c r="F326" s="203"/>
      <c r="G326" s="203"/>
      <c r="H326" s="204"/>
      <c r="I326" s="204"/>
    </row>
    <row r="327" spans="1:9" s="17" customFormat="1">
      <c r="A327" s="202"/>
      <c r="B327" s="202"/>
      <c r="C327" s="184"/>
      <c r="D327" s="184"/>
      <c r="E327" s="184"/>
      <c r="F327" s="203"/>
      <c r="G327" s="203"/>
      <c r="H327" s="204"/>
      <c r="I327" s="204"/>
    </row>
    <row r="328" spans="1:9" s="17" customFormat="1">
      <c r="A328" s="202"/>
      <c r="B328" s="202"/>
      <c r="C328" s="184"/>
      <c r="D328" s="184"/>
      <c r="E328" s="184"/>
      <c r="F328" s="203"/>
      <c r="G328" s="203"/>
      <c r="H328" s="204"/>
      <c r="I328" s="204"/>
    </row>
    <row r="329" spans="1:9" s="17" customFormat="1">
      <c r="A329" s="202"/>
      <c r="B329" s="202"/>
      <c r="C329" s="184"/>
      <c r="D329" s="184"/>
      <c r="E329" s="184"/>
      <c r="F329" s="203"/>
      <c r="G329" s="203"/>
      <c r="H329" s="204"/>
      <c r="I329" s="204"/>
    </row>
    <row r="330" spans="1:9" s="17" customFormat="1">
      <c r="A330" s="202"/>
      <c r="B330" s="202"/>
      <c r="C330" s="184"/>
      <c r="D330" s="184"/>
      <c r="E330" s="184"/>
      <c r="F330" s="203"/>
      <c r="G330" s="203"/>
      <c r="H330" s="204"/>
      <c r="I330" s="204"/>
    </row>
    <row r="331" spans="1:9" s="17" customFormat="1">
      <c r="A331" s="202"/>
      <c r="B331" s="202"/>
      <c r="C331" s="184"/>
      <c r="D331" s="184"/>
      <c r="E331" s="184"/>
      <c r="F331" s="203"/>
      <c r="G331" s="203"/>
      <c r="H331" s="204"/>
      <c r="I331" s="204"/>
    </row>
    <row r="332" spans="1:9" s="17" customFormat="1">
      <c r="A332" s="202"/>
      <c r="B332" s="202"/>
      <c r="C332" s="184"/>
      <c r="D332" s="184"/>
      <c r="E332" s="184"/>
      <c r="F332" s="203"/>
      <c r="G332" s="203"/>
      <c r="H332" s="204"/>
      <c r="I332" s="204"/>
    </row>
    <row r="333" spans="1:9" s="17" customFormat="1">
      <c r="A333" s="202"/>
      <c r="B333" s="202"/>
      <c r="C333" s="184"/>
      <c r="D333" s="184"/>
      <c r="E333" s="184"/>
      <c r="F333" s="203"/>
      <c r="G333" s="203"/>
      <c r="H333" s="204"/>
      <c r="I333" s="204"/>
    </row>
    <row r="334" spans="1:9" s="17" customFormat="1">
      <c r="A334" s="202"/>
      <c r="B334" s="202"/>
      <c r="C334" s="184"/>
      <c r="D334" s="184"/>
      <c r="E334" s="184"/>
      <c r="F334" s="203"/>
      <c r="G334" s="203"/>
      <c r="H334" s="204"/>
      <c r="I334" s="204"/>
    </row>
    <row r="335" spans="1:9" s="17" customFormat="1">
      <c r="A335" s="202"/>
      <c r="B335" s="202"/>
      <c r="C335" s="184"/>
      <c r="D335" s="184"/>
      <c r="E335" s="184"/>
      <c r="F335" s="203"/>
      <c r="G335" s="203"/>
      <c r="H335" s="204"/>
      <c r="I335" s="204"/>
    </row>
    <row r="336" spans="1:9" s="17" customFormat="1">
      <c r="A336" s="202"/>
      <c r="B336" s="202"/>
      <c r="C336" s="184"/>
      <c r="D336" s="184"/>
      <c r="E336" s="184"/>
      <c r="F336" s="203"/>
      <c r="G336" s="203"/>
      <c r="H336" s="204"/>
      <c r="I336" s="204"/>
    </row>
    <row r="337" spans="1:9" s="17" customFormat="1">
      <c r="A337" s="202"/>
      <c r="B337" s="202"/>
      <c r="C337" s="184"/>
      <c r="D337" s="184"/>
      <c r="E337" s="184"/>
      <c r="F337" s="203"/>
      <c r="G337" s="203"/>
      <c r="H337" s="204"/>
      <c r="I337" s="204"/>
    </row>
    <row r="338" spans="1:9" s="17" customFormat="1">
      <c r="A338" s="202"/>
      <c r="B338" s="202"/>
      <c r="C338" s="184"/>
      <c r="D338" s="184"/>
      <c r="E338" s="184"/>
      <c r="F338" s="203"/>
      <c r="G338" s="203"/>
      <c r="H338" s="204"/>
      <c r="I338" s="204"/>
    </row>
    <row r="339" spans="1:9" s="17" customFormat="1">
      <c r="A339" s="202"/>
      <c r="B339" s="202"/>
      <c r="C339" s="184"/>
      <c r="D339" s="184"/>
      <c r="E339" s="184"/>
      <c r="F339" s="203"/>
      <c r="G339" s="203"/>
      <c r="H339" s="204"/>
      <c r="I339" s="204"/>
    </row>
    <row r="340" spans="1:9" s="17" customFormat="1">
      <c r="A340" s="202"/>
      <c r="B340" s="202"/>
      <c r="C340" s="184"/>
      <c r="D340" s="184"/>
      <c r="E340" s="184"/>
      <c r="F340" s="203"/>
      <c r="G340" s="203"/>
      <c r="H340" s="204"/>
      <c r="I340" s="204"/>
    </row>
    <row r="341" spans="1:9" s="17" customFormat="1">
      <c r="A341" s="202"/>
      <c r="B341" s="202"/>
      <c r="C341" s="184"/>
      <c r="D341" s="184"/>
      <c r="E341" s="184"/>
      <c r="F341" s="203"/>
      <c r="G341" s="203"/>
      <c r="H341" s="204"/>
      <c r="I341" s="204"/>
    </row>
    <row r="342" spans="1:9" s="17" customFormat="1">
      <c r="A342" s="202"/>
      <c r="B342" s="202"/>
      <c r="C342" s="184"/>
      <c r="D342" s="184"/>
      <c r="E342" s="184"/>
      <c r="F342" s="203"/>
      <c r="G342" s="203"/>
      <c r="H342" s="204"/>
      <c r="I342" s="204"/>
    </row>
    <row r="343" spans="1:9" s="17" customFormat="1">
      <c r="A343" s="202"/>
      <c r="B343" s="202"/>
      <c r="C343" s="184"/>
      <c r="D343" s="184"/>
      <c r="E343" s="184"/>
      <c r="F343" s="203"/>
      <c r="G343" s="203"/>
      <c r="H343" s="204"/>
      <c r="I343" s="204"/>
    </row>
    <row r="344" spans="1:9" s="17" customFormat="1">
      <c r="A344" s="202"/>
      <c r="B344" s="202"/>
      <c r="C344" s="184"/>
      <c r="D344" s="184"/>
      <c r="E344" s="184"/>
      <c r="F344" s="203"/>
      <c r="G344" s="203"/>
      <c r="H344" s="204"/>
      <c r="I344" s="204"/>
    </row>
    <row r="345" spans="1:9" s="17" customFormat="1">
      <c r="A345" s="202"/>
      <c r="B345" s="202"/>
      <c r="C345" s="184"/>
      <c r="D345" s="184"/>
      <c r="E345" s="184"/>
      <c r="F345" s="203"/>
      <c r="G345" s="203"/>
      <c r="H345" s="204"/>
      <c r="I345" s="204"/>
    </row>
    <row r="346" spans="1:9" s="17" customFormat="1">
      <c r="A346" s="202"/>
      <c r="B346" s="202"/>
      <c r="C346" s="184"/>
      <c r="D346" s="184"/>
      <c r="E346" s="184"/>
      <c r="F346" s="203"/>
      <c r="G346" s="203"/>
      <c r="H346" s="204"/>
      <c r="I346" s="204"/>
    </row>
    <row r="347" spans="1:9" s="17" customFormat="1">
      <c r="A347" s="202"/>
      <c r="B347" s="202"/>
      <c r="C347" s="184"/>
      <c r="D347" s="184"/>
      <c r="E347" s="184"/>
      <c r="F347" s="203"/>
      <c r="G347" s="203"/>
      <c r="H347" s="204"/>
      <c r="I347" s="204"/>
    </row>
    <row r="348" spans="1:9" s="17" customFormat="1">
      <c r="A348" s="202"/>
      <c r="B348" s="202"/>
      <c r="C348" s="184"/>
      <c r="D348" s="184"/>
      <c r="E348" s="184"/>
      <c r="F348" s="203"/>
      <c r="G348" s="203"/>
      <c r="H348" s="204"/>
      <c r="I348" s="204"/>
    </row>
    <row r="349" spans="1:9" s="17" customFormat="1">
      <c r="A349" s="202"/>
      <c r="B349" s="202"/>
      <c r="C349" s="184"/>
      <c r="D349" s="184"/>
      <c r="E349" s="184"/>
      <c r="F349" s="203"/>
      <c r="G349" s="203"/>
      <c r="H349" s="204"/>
      <c r="I349" s="204"/>
    </row>
    <row r="350" spans="1:9" s="17" customFormat="1">
      <c r="A350" s="202"/>
      <c r="B350" s="202"/>
      <c r="C350" s="184"/>
      <c r="D350" s="184"/>
      <c r="E350" s="184"/>
      <c r="F350" s="203"/>
      <c r="G350" s="203"/>
      <c r="H350" s="204"/>
      <c r="I350" s="204"/>
    </row>
    <row r="351" spans="1:9" s="17" customFormat="1">
      <c r="A351" s="202"/>
      <c r="B351" s="202"/>
      <c r="C351" s="184"/>
      <c r="D351" s="184"/>
      <c r="E351" s="184"/>
      <c r="F351" s="203"/>
      <c r="G351" s="203"/>
      <c r="H351" s="204"/>
      <c r="I351" s="204"/>
    </row>
    <row r="352" spans="1:9" s="17" customFormat="1">
      <c r="A352" s="202"/>
      <c r="B352" s="202"/>
      <c r="C352" s="184"/>
      <c r="D352" s="184"/>
      <c r="E352" s="184"/>
      <c r="F352" s="203"/>
      <c r="G352" s="203"/>
      <c r="H352" s="204"/>
      <c r="I352" s="204"/>
    </row>
    <row r="353" spans="1:9" s="17" customFormat="1">
      <c r="A353" s="202"/>
      <c r="B353" s="202"/>
      <c r="C353" s="184"/>
      <c r="D353" s="184"/>
      <c r="E353" s="184"/>
      <c r="F353" s="203"/>
      <c r="G353" s="203"/>
      <c r="H353" s="204"/>
      <c r="I353" s="204"/>
    </row>
    <row r="354" spans="1:9" s="17" customFormat="1">
      <c r="A354" s="202"/>
      <c r="B354" s="202"/>
      <c r="C354" s="184"/>
      <c r="D354" s="184"/>
      <c r="E354" s="184"/>
      <c r="F354" s="203"/>
      <c r="G354" s="203"/>
      <c r="H354" s="204"/>
      <c r="I354" s="204"/>
    </row>
    <row r="355" spans="1:9" s="17" customFormat="1">
      <c r="A355" s="202"/>
      <c r="B355" s="202"/>
      <c r="C355" s="184"/>
      <c r="D355" s="184"/>
      <c r="E355" s="184"/>
      <c r="F355" s="203"/>
      <c r="G355" s="203"/>
      <c r="H355" s="204"/>
      <c r="I355" s="204"/>
    </row>
    <row r="356" spans="1:9" s="17" customFormat="1">
      <c r="A356" s="202"/>
      <c r="B356" s="202"/>
      <c r="C356" s="184"/>
      <c r="D356" s="184"/>
      <c r="E356" s="184"/>
      <c r="F356" s="203"/>
      <c r="G356" s="203"/>
      <c r="H356" s="204"/>
      <c r="I356" s="204"/>
    </row>
    <row r="357" spans="1:9" s="17" customFormat="1">
      <c r="A357" s="202"/>
      <c r="B357" s="202"/>
      <c r="C357" s="184"/>
      <c r="D357" s="184"/>
      <c r="E357" s="184"/>
      <c r="F357" s="203"/>
      <c r="G357" s="203"/>
      <c r="H357" s="204"/>
      <c r="I357" s="204"/>
    </row>
    <row r="358" spans="1:9" s="17" customFormat="1">
      <c r="A358" s="202"/>
      <c r="B358" s="202"/>
      <c r="C358" s="184"/>
      <c r="D358" s="184"/>
      <c r="E358" s="184"/>
      <c r="F358" s="203"/>
      <c r="G358" s="203"/>
      <c r="H358" s="204"/>
      <c r="I358" s="204"/>
    </row>
    <row r="359" spans="1:9" s="17" customFormat="1">
      <c r="A359" s="202"/>
      <c r="B359" s="202"/>
      <c r="C359" s="184"/>
      <c r="D359" s="184"/>
      <c r="E359" s="184"/>
      <c r="F359" s="203"/>
      <c r="G359" s="203"/>
      <c r="H359" s="204"/>
      <c r="I359" s="204"/>
    </row>
    <row r="360" spans="1:9" s="17" customFormat="1">
      <c r="A360" s="202"/>
      <c r="B360" s="202"/>
      <c r="C360" s="184"/>
      <c r="D360" s="184"/>
      <c r="E360" s="184"/>
      <c r="F360" s="203"/>
      <c r="G360" s="203"/>
      <c r="H360" s="204"/>
      <c r="I360" s="204"/>
    </row>
    <row r="361" spans="1:9" s="17" customFormat="1">
      <c r="A361" s="202"/>
      <c r="B361" s="202"/>
      <c r="C361" s="184"/>
      <c r="D361" s="184"/>
      <c r="E361" s="184"/>
      <c r="F361" s="203"/>
      <c r="G361" s="203"/>
      <c r="H361" s="204"/>
      <c r="I361" s="204"/>
    </row>
    <row r="362" spans="1:9" s="17" customFormat="1">
      <c r="A362" s="202"/>
      <c r="B362" s="202"/>
      <c r="C362" s="184"/>
      <c r="D362" s="184"/>
      <c r="E362" s="184"/>
      <c r="F362" s="203"/>
      <c r="G362" s="203"/>
      <c r="H362" s="204"/>
      <c r="I362" s="204"/>
    </row>
    <row r="363" spans="1:9" s="17" customFormat="1">
      <c r="A363" s="202"/>
      <c r="B363" s="202"/>
      <c r="C363" s="184"/>
      <c r="D363" s="184"/>
      <c r="E363" s="184"/>
      <c r="F363" s="203"/>
      <c r="G363" s="203"/>
      <c r="H363" s="204"/>
      <c r="I363" s="204"/>
    </row>
    <row r="364" spans="1:9" s="17" customFormat="1">
      <c r="A364" s="202"/>
      <c r="B364" s="202"/>
      <c r="C364" s="184"/>
      <c r="D364" s="184"/>
      <c r="E364" s="184"/>
      <c r="F364" s="203"/>
      <c r="G364" s="203"/>
      <c r="H364" s="204"/>
      <c r="I364" s="204"/>
    </row>
    <row r="365" spans="1:9" s="17" customFormat="1">
      <c r="A365" s="202"/>
      <c r="B365" s="202"/>
      <c r="C365" s="184"/>
      <c r="D365" s="184"/>
      <c r="E365" s="184"/>
      <c r="F365" s="203"/>
      <c r="G365" s="203"/>
      <c r="H365" s="204"/>
      <c r="I365" s="204"/>
    </row>
    <row r="366" spans="1:9" s="17" customFormat="1">
      <c r="A366" s="202"/>
      <c r="B366" s="202"/>
      <c r="C366" s="184"/>
      <c r="D366" s="184"/>
      <c r="E366" s="184"/>
      <c r="F366" s="203"/>
      <c r="G366" s="203"/>
      <c r="H366" s="204"/>
      <c r="I366" s="204"/>
    </row>
    <row r="367" spans="1:9" s="17" customFormat="1">
      <c r="A367" s="202"/>
      <c r="B367" s="202"/>
      <c r="C367" s="184"/>
      <c r="D367" s="184"/>
      <c r="E367" s="184"/>
      <c r="F367" s="203"/>
      <c r="G367" s="203"/>
      <c r="H367" s="204"/>
      <c r="I367" s="204"/>
    </row>
    <row r="368" spans="1:9" s="17" customFormat="1">
      <c r="A368" s="202"/>
      <c r="B368" s="202"/>
      <c r="C368" s="184"/>
      <c r="D368" s="184"/>
      <c r="E368" s="184"/>
      <c r="F368" s="203"/>
      <c r="G368" s="203"/>
      <c r="H368" s="204"/>
      <c r="I368" s="204"/>
    </row>
    <row r="369" spans="1:9" s="17" customFormat="1">
      <c r="A369" s="202"/>
      <c r="B369" s="202"/>
      <c r="C369" s="184"/>
      <c r="D369" s="184"/>
      <c r="E369" s="184"/>
      <c r="F369" s="203"/>
      <c r="G369" s="203"/>
      <c r="H369" s="204"/>
      <c r="I369" s="204"/>
    </row>
    <row r="370" spans="1:9" s="17" customFormat="1">
      <c r="A370" s="202"/>
      <c r="B370" s="202"/>
      <c r="C370" s="184"/>
      <c r="D370" s="184"/>
      <c r="E370" s="184"/>
      <c r="F370" s="203"/>
      <c r="G370" s="203"/>
      <c r="H370" s="204"/>
      <c r="I370" s="204"/>
    </row>
    <row r="371" spans="1:9" s="17" customFormat="1">
      <c r="A371" s="202"/>
      <c r="B371" s="202"/>
      <c r="C371" s="184"/>
      <c r="D371" s="184"/>
      <c r="E371" s="184"/>
      <c r="F371" s="203"/>
      <c r="G371" s="203"/>
      <c r="H371" s="204"/>
      <c r="I371" s="204"/>
    </row>
    <row r="372" spans="1:9" s="17" customFormat="1">
      <c r="A372" s="202"/>
      <c r="B372" s="202"/>
      <c r="C372" s="184"/>
      <c r="D372" s="184"/>
      <c r="E372" s="184"/>
      <c r="F372" s="203"/>
      <c r="G372" s="203"/>
      <c r="H372" s="204"/>
      <c r="I372" s="204"/>
    </row>
    <row r="373" spans="1:9" s="17" customFormat="1">
      <c r="A373" s="202"/>
      <c r="B373" s="202"/>
      <c r="C373" s="184"/>
      <c r="D373" s="184"/>
      <c r="E373" s="184"/>
      <c r="F373" s="203"/>
      <c r="G373" s="203"/>
      <c r="H373" s="204"/>
      <c r="I373" s="204"/>
    </row>
    <row r="374" spans="1:9" s="17" customFormat="1">
      <c r="A374" s="202"/>
      <c r="B374" s="202"/>
      <c r="C374" s="184"/>
      <c r="D374" s="184"/>
      <c r="E374" s="184"/>
      <c r="F374" s="203"/>
      <c r="G374" s="203"/>
      <c r="H374" s="204"/>
      <c r="I374" s="204"/>
    </row>
    <row r="375" spans="1:9" s="17" customFormat="1">
      <c r="A375" s="202"/>
      <c r="B375" s="202"/>
      <c r="C375" s="184"/>
      <c r="D375" s="184"/>
      <c r="E375" s="184"/>
      <c r="F375" s="203"/>
      <c r="G375" s="203"/>
      <c r="H375" s="204"/>
      <c r="I375" s="204"/>
    </row>
    <row r="376" spans="1:9" s="17" customFormat="1">
      <c r="A376" s="202"/>
      <c r="B376" s="202"/>
      <c r="C376" s="184"/>
      <c r="D376" s="184"/>
      <c r="E376" s="184"/>
      <c r="F376" s="203"/>
      <c r="G376" s="203"/>
      <c r="H376" s="204"/>
      <c r="I376" s="204"/>
    </row>
    <row r="377" spans="1:9" s="17" customFormat="1">
      <c r="A377" s="202"/>
      <c r="B377" s="202"/>
      <c r="C377" s="184"/>
      <c r="D377" s="184"/>
      <c r="E377" s="184"/>
      <c r="F377" s="203"/>
      <c r="G377" s="203"/>
      <c r="H377" s="204"/>
      <c r="I377" s="204"/>
    </row>
    <row r="378" spans="1:9" s="17" customFormat="1">
      <c r="A378" s="202"/>
      <c r="B378" s="202"/>
      <c r="C378" s="184"/>
      <c r="D378" s="184"/>
      <c r="E378" s="184"/>
      <c r="F378" s="203"/>
      <c r="G378" s="203"/>
      <c r="H378" s="204"/>
      <c r="I378" s="204"/>
    </row>
    <row r="379" spans="1:9" s="17" customFormat="1">
      <c r="A379" s="202"/>
      <c r="B379" s="202"/>
      <c r="C379" s="184"/>
      <c r="D379" s="184"/>
      <c r="E379" s="184"/>
      <c r="F379" s="203"/>
      <c r="G379" s="203"/>
      <c r="H379" s="204"/>
      <c r="I379" s="204"/>
    </row>
    <row r="380" spans="1:9" s="17" customFormat="1">
      <c r="A380" s="202"/>
      <c r="B380" s="202"/>
      <c r="C380" s="184"/>
      <c r="D380" s="184"/>
      <c r="E380" s="184"/>
      <c r="F380" s="203"/>
      <c r="G380" s="203"/>
      <c r="H380" s="204"/>
      <c r="I380" s="204"/>
    </row>
    <row r="381" spans="1:9" s="17" customFormat="1">
      <c r="A381" s="202"/>
      <c r="B381" s="202"/>
      <c r="C381" s="184"/>
      <c r="D381" s="184"/>
      <c r="E381" s="184"/>
      <c r="F381" s="203"/>
      <c r="G381" s="203"/>
      <c r="H381" s="204"/>
      <c r="I381" s="204"/>
    </row>
    <row r="382" spans="1:9" s="17" customFormat="1">
      <c r="A382" s="202"/>
      <c r="B382" s="202"/>
      <c r="C382" s="184"/>
      <c r="D382" s="184"/>
      <c r="E382" s="184"/>
      <c r="F382" s="203"/>
      <c r="G382" s="203"/>
      <c r="H382" s="204"/>
      <c r="I382" s="204"/>
    </row>
    <row r="383" spans="1:9" s="17" customFormat="1">
      <c r="A383" s="202"/>
      <c r="B383" s="202"/>
      <c r="C383" s="184"/>
      <c r="D383" s="184"/>
      <c r="E383" s="184"/>
      <c r="F383" s="203"/>
      <c r="G383" s="203"/>
      <c r="H383" s="204"/>
      <c r="I383" s="204"/>
    </row>
    <row r="384" spans="1:9" s="17" customFormat="1">
      <c r="A384" s="202"/>
      <c r="B384" s="202"/>
      <c r="C384" s="184"/>
      <c r="D384" s="184"/>
      <c r="E384" s="184"/>
      <c r="F384" s="203"/>
      <c r="G384" s="203"/>
      <c r="H384" s="204"/>
      <c r="I384" s="204"/>
    </row>
    <row r="385" spans="1:9" s="17" customFormat="1">
      <c r="A385" s="202"/>
      <c r="B385" s="202"/>
      <c r="C385" s="184"/>
      <c r="D385" s="184"/>
      <c r="E385" s="184"/>
      <c r="F385" s="203"/>
      <c r="G385" s="203"/>
      <c r="H385" s="204"/>
      <c r="I385" s="204"/>
    </row>
    <row r="386" spans="1:9" s="17" customFormat="1">
      <c r="A386" s="202"/>
      <c r="B386" s="202"/>
      <c r="C386" s="184"/>
      <c r="D386" s="184"/>
      <c r="E386" s="184"/>
      <c r="F386" s="203"/>
      <c r="G386" s="203"/>
      <c r="H386" s="204"/>
      <c r="I386" s="204"/>
    </row>
    <row r="387" spans="1:9" s="17" customFormat="1">
      <c r="A387" s="202"/>
      <c r="B387" s="202"/>
      <c r="C387" s="184"/>
      <c r="D387" s="184"/>
      <c r="E387" s="184"/>
      <c r="F387" s="203"/>
      <c r="G387" s="203"/>
      <c r="H387" s="204"/>
      <c r="I387" s="204"/>
    </row>
    <row r="388" spans="1:9" s="17" customFormat="1">
      <c r="A388" s="202"/>
      <c r="B388" s="202"/>
      <c r="C388" s="184"/>
      <c r="D388" s="184"/>
      <c r="E388" s="184"/>
      <c r="F388" s="203"/>
      <c r="G388" s="203"/>
      <c r="H388" s="204"/>
      <c r="I388" s="204"/>
    </row>
    <row r="389" spans="1:9" s="17" customFormat="1">
      <c r="A389" s="202"/>
      <c r="B389" s="202"/>
      <c r="C389" s="184"/>
      <c r="D389" s="184"/>
      <c r="E389" s="184"/>
      <c r="F389" s="203"/>
      <c r="G389" s="203"/>
      <c r="H389" s="204"/>
      <c r="I389" s="204"/>
    </row>
    <row r="390" spans="1:9" s="17" customFormat="1">
      <c r="A390" s="202"/>
      <c r="B390" s="202"/>
      <c r="C390" s="184"/>
      <c r="D390" s="184"/>
      <c r="E390" s="184"/>
      <c r="F390" s="203"/>
      <c r="G390" s="203"/>
      <c r="H390" s="204"/>
      <c r="I390" s="204"/>
    </row>
    <row r="391" spans="1:9" s="17" customFormat="1">
      <c r="A391" s="202"/>
      <c r="B391" s="202"/>
      <c r="C391" s="184"/>
      <c r="D391" s="184"/>
      <c r="E391" s="184"/>
      <c r="F391" s="203"/>
      <c r="G391" s="203"/>
      <c r="H391" s="204"/>
      <c r="I391" s="204"/>
    </row>
    <row r="392" spans="1:9" s="17" customFormat="1">
      <c r="A392" s="202"/>
      <c r="B392" s="202"/>
      <c r="C392" s="184"/>
      <c r="D392" s="184"/>
      <c r="E392" s="184"/>
      <c r="F392" s="203"/>
      <c r="G392" s="203"/>
      <c r="H392" s="204"/>
      <c r="I392" s="204"/>
    </row>
    <row r="393" spans="1:9" s="17" customFormat="1">
      <c r="A393" s="202"/>
      <c r="B393" s="202"/>
      <c r="C393" s="184"/>
      <c r="D393" s="184"/>
      <c r="E393" s="184"/>
      <c r="F393" s="203"/>
      <c r="G393" s="203"/>
      <c r="H393" s="204"/>
      <c r="I393" s="204"/>
    </row>
    <row r="394" spans="1:9" s="17" customFormat="1">
      <c r="A394" s="202"/>
      <c r="B394" s="202"/>
      <c r="C394" s="184"/>
      <c r="D394" s="184"/>
      <c r="E394" s="184"/>
      <c r="F394" s="203"/>
      <c r="G394" s="203"/>
      <c r="H394" s="204"/>
      <c r="I394" s="204"/>
    </row>
    <row r="395" spans="1:9" s="17" customFormat="1">
      <c r="A395" s="202"/>
      <c r="B395" s="202"/>
      <c r="C395" s="184"/>
      <c r="D395" s="184"/>
      <c r="E395" s="184"/>
      <c r="F395" s="203"/>
      <c r="G395" s="203"/>
      <c r="H395" s="204"/>
      <c r="I395" s="204"/>
    </row>
    <row r="396" spans="1:9" s="17" customFormat="1">
      <c r="A396" s="202"/>
      <c r="B396" s="202"/>
      <c r="C396" s="184"/>
      <c r="D396" s="184"/>
      <c r="E396" s="184"/>
      <c r="F396" s="203"/>
      <c r="G396" s="203"/>
      <c r="H396" s="204"/>
      <c r="I396" s="204"/>
    </row>
    <row r="397" spans="1:9" s="17" customFormat="1">
      <c r="A397" s="202"/>
      <c r="B397" s="202"/>
      <c r="C397" s="184"/>
      <c r="D397" s="184"/>
      <c r="E397" s="184"/>
      <c r="F397" s="203"/>
      <c r="G397" s="203"/>
      <c r="H397" s="204"/>
      <c r="I397" s="204"/>
    </row>
    <row r="398" spans="1:9" s="17" customFormat="1">
      <c r="A398" s="202"/>
      <c r="B398" s="202"/>
      <c r="C398" s="184"/>
      <c r="D398" s="184"/>
      <c r="E398" s="184"/>
      <c r="F398" s="203"/>
      <c r="G398" s="203"/>
      <c r="H398" s="204"/>
      <c r="I398" s="204"/>
    </row>
    <row r="399" spans="1:9" s="17" customFormat="1">
      <c r="A399" s="202"/>
      <c r="B399" s="202"/>
      <c r="C399" s="184"/>
      <c r="D399" s="184"/>
      <c r="E399" s="184"/>
      <c r="F399" s="203"/>
      <c r="G399" s="203"/>
      <c r="H399" s="204"/>
      <c r="I399" s="204"/>
    </row>
    <row r="400" spans="1:9" s="17" customFormat="1">
      <c r="A400" s="202"/>
      <c r="B400" s="202"/>
      <c r="C400" s="184"/>
      <c r="D400" s="184"/>
      <c r="E400" s="184"/>
      <c r="F400" s="203"/>
      <c r="G400" s="203"/>
      <c r="H400" s="204"/>
      <c r="I400" s="204"/>
    </row>
    <row r="401" spans="1:9" s="17" customFormat="1">
      <c r="A401" s="202"/>
      <c r="B401" s="202"/>
      <c r="C401" s="184"/>
      <c r="D401" s="184"/>
      <c r="E401" s="184"/>
      <c r="F401" s="203"/>
      <c r="G401" s="203"/>
      <c r="H401" s="204"/>
      <c r="I401" s="204"/>
    </row>
    <row r="402" spans="1:9" s="17" customFormat="1">
      <c r="A402" s="202"/>
      <c r="B402" s="202"/>
      <c r="C402" s="184"/>
      <c r="D402" s="184"/>
      <c r="E402" s="184"/>
      <c r="F402" s="203"/>
      <c r="G402" s="203"/>
      <c r="H402" s="204"/>
      <c r="I402" s="204"/>
    </row>
    <row r="403" spans="1:9" s="17" customFormat="1">
      <c r="A403" s="202"/>
      <c r="B403" s="202"/>
      <c r="C403" s="184"/>
      <c r="D403" s="184"/>
      <c r="E403" s="184"/>
      <c r="F403" s="203"/>
      <c r="G403" s="203"/>
      <c r="H403" s="204"/>
      <c r="I403" s="204"/>
    </row>
    <row r="404" spans="1:9" s="17" customFormat="1">
      <c r="A404" s="202"/>
      <c r="B404" s="202"/>
      <c r="C404" s="184"/>
      <c r="D404" s="184"/>
      <c r="E404" s="184"/>
      <c r="F404" s="203"/>
      <c r="G404" s="203"/>
      <c r="H404" s="204"/>
      <c r="I404" s="204"/>
    </row>
    <row r="405" spans="1:9" s="17" customFormat="1">
      <c r="A405" s="202"/>
      <c r="B405" s="202"/>
      <c r="C405" s="184"/>
      <c r="D405" s="184"/>
      <c r="E405" s="184"/>
      <c r="F405" s="203"/>
      <c r="G405" s="203"/>
      <c r="H405" s="204"/>
      <c r="I405" s="204"/>
    </row>
    <row r="406" spans="1:9" s="17" customFormat="1">
      <c r="A406" s="202"/>
      <c r="B406" s="202"/>
      <c r="C406" s="184"/>
      <c r="D406" s="184"/>
      <c r="E406" s="184"/>
      <c r="F406" s="203"/>
      <c r="G406" s="203"/>
      <c r="H406" s="204"/>
      <c r="I406" s="204"/>
    </row>
    <row r="407" spans="1:9" s="17" customFormat="1">
      <c r="A407" s="202"/>
      <c r="B407" s="202"/>
      <c r="C407" s="184"/>
      <c r="D407" s="184"/>
      <c r="E407" s="184"/>
      <c r="F407" s="203"/>
      <c r="G407" s="203"/>
      <c r="H407" s="204"/>
      <c r="I407" s="204"/>
    </row>
    <row r="408" spans="1:9" s="17" customFormat="1">
      <c r="A408" s="202"/>
      <c r="B408" s="202"/>
      <c r="C408" s="184"/>
      <c r="D408" s="184"/>
      <c r="E408" s="184"/>
      <c r="F408" s="203"/>
      <c r="G408" s="203"/>
      <c r="H408" s="204"/>
      <c r="I408" s="204"/>
    </row>
    <row r="409" spans="1:9" s="17" customFormat="1">
      <c r="A409" s="202"/>
      <c r="B409" s="202"/>
      <c r="C409" s="184"/>
      <c r="D409" s="184"/>
      <c r="E409" s="184"/>
      <c r="F409" s="203"/>
      <c r="G409" s="203"/>
      <c r="H409" s="204"/>
      <c r="I409" s="204"/>
    </row>
    <row r="410" spans="1:9" s="17" customFormat="1">
      <c r="A410" s="202"/>
      <c r="B410" s="202"/>
      <c r="C410" s="184"/>
      <c r="D410" s="184"/>
      <c r="E410" s="184"/>
      <c r="F410" s="203"/>
      <c r="G410" s="203"/>
      <c r="H410" s="204"/>
      <c r="I410" s="204"/>
    </row>
    <row r="411" spans="1:9" s="17" customFormat="1">
      <c r="A411" s="202"/>
      <c r="B411" s="202"/>
      <c r="C411" s="184"/>
      <c r="D411" s="184"/>
      <c r="E411" s="184"/>
      <c r="F411" s="203"/>
      <c r="G411" s="203"/>
      <c r="H411" s="204"/>
      <c r="I411" s="204"/>
    </row>
    <row r="412" spans="1:9" s="17" customFormat="1">
      <c r="A412" s="202"/>
      <c r="B412" s="202"/>
      <c r="C412" s="184"/>
      <c r="D412" s="184"/>
      <c r="E412" s="184"/>
      <c r="F412" s="203"/>
      <c r="G412" s="203"/>
      <c r="H412" s="204"/>
      <c r="I412" s="204"/>
    </row>
    <row r="413" spans="1:9" s="17" customFormat="1">
      <c r="A413" s="202"/>
      <c r="B413" s="202"/>
      <c r="C413" s="184"/>
      <c r="D413" s="184"/>
      <c r="E413" s="184"/>
      <c r="F413" s="203"/>
      <c r="G413" s="203"/>
      <c r="H413" s="204"/>
      <c r="I413" s="204"/>
    </row>
    <row r="414" spans="1:9" s="17" customFormat="1">
      <c r="A414" s="202"/>
      <c r="B414" s="202"/>
      <c r="C414" s="184"/>
      <c r="D414" s="184"/>
      <c r="E414" s="184"/>
      <c r="F414" s="203"/>
      <c r="G414" s="203"/>
      <c r="H414" s="204"/>
      <c r="I414" s="204"/>
    </row>
    <row r="415" spans="1:9" s="17" customFormat="1">
      <c r="A415" s="202"/>
      <c r="B415" s="202"/>
      <c r="C415" s="184"/>
      <c r="D415" s="184"/>
      <c r="E415" s="184"/>
      <c r="F415" s="203"/>
      <c r="G415" s="203"/>
      <c r="H415" s="204"/>
      <c r="I415" s="204"/>
    </row>
    <row r="416" spans="1:9" s="17" customFormat="1">
      <c r="A416" s="202"/>
      <c r="B416" s="202"/>
      <c r="C416" s="184"/>
      <c r="D416" s="184"/>
      <c r="E416" s="184"/>
      <c r="F416" s="203"/>
      <c r="G416" s="203"/>
      <c r="H416" s="204"/>
      <c r="I416" s="204"/>
    </row>
    <row r="417" spans="1:9" s="17" customFormat="1">
      <c r="A417" s="202"/>
      <c r="B417" s="202"/>
      <c r="C417" s="184"/>
      <c r="D417" s="184"/>
      <c r="E417" s="184"/>
      <c r="F417" s="203"/>
      <c r="G417" s="203"/>
      <c r="H417" s="204"/>
      <c r="I417" s="204"/>
    </row>
    <row r="418" spans="1:9" s="17" customFormat="1">
      <c r="A418" s="202"/>
      <c r="B418" s="202"/>
      <c r="C418" s="184"/>
      <c r="D418" s="184"/>
      <c r="E418" s="184"/>
      <c r="F418" s="203"/>
      <c r="G418" s="203"/>
      <c r="H418" s="204"/>
      <c r="I418" s="204"/>
    </row>
    <row r="419" spans="1:9" s="17" customFormat="1">
      <c r="A419" s="202"/>
      <c r="B419" s="202"/>
      <c r="C419" s="184"/>
      <c r="D419" s="184"/>
      <c r="E419" s="184"/>
      <c r="F419" s="203"/>
      <c r="G419" s="203"/>
      <c r="H419" s="204"/>
      <c r="I419" s="204"/>
    </row>
    <row r="420" spans="1:9" s="17" customFormat="1">
      <c r="A420" s="202"/>
      <c r="B420" s="202"/>
      <c r="C420" s="184"/>
      <c r="D420" s="184"/>
      <c r="E420" s="184"/>
      <c r="F420" s="203"/>
      <c r="G420" s="203"/>
      <c r="H420" s="204"/>
      <c r="I420" s="204"/>
    </row>
    <row r="421" spans="1:9" s="17" customFormat="1">
      <c r="A421" s="202"/>
      <c r="B421" s="202"/>
      <c r="C421" s="184"/>
      <c r="D421" s="184"/>
      <c r="E421" s="184"/>
      <c r="F421" s="203"/>
      <c r="G421" s="203"/>
      <c r="H421" s="204"/>
      <c r="I421" s="204"/>
    </row>
    <row r="422" spans="1:9" s="17" customFormat="1">
      <c r="A422" s="202"/>
      <c r="B422" s="202"/>
      <c r="C422" s="184"/>
      <c r="D422" s="184"/>
      <c r="E422" s="184"/>
      <c r="F422" s="203"/>
      <c r="G422" s="203"/>
      <c r="H422" s="204"/>
      <c r="I422" s="204"/>
    </row>
    <row r="423" spans="1:9" s="17" customFormat="1">
      <c r="A423" s="202"/>
      <c r="B423" s="202"/>
      <c r="C423" s="184"/>
      <c r="D423" s="184"/>
      <c r="E423" s="184"/>
      <c r="F423" s="203"/>
      <c r="G423" s="203"/>
      <c r="H423" s="204"/>
      <c r="I423" s="204"/>
    </row>
    <row r="424" spans="1:9" s="17" customFormat="1">
      <c r="A424" s="202"/>
      <c r="B424" s="202"/>
      <c r="C424" s="184"/>
      <c r="D424" s="184"/>
      <c r="E424" s="184"/>
      <c r="F424" s="203"/>
      <c r="G424" s="203"/>
      <c r="H424" s="204"/>
      <c r="I424" s="204"/>
    </row>
    <row r="425" spans="1:9" s="17" customFormat="1">
      <c r="A425" s="202"/>
      <c r="B425" s="202"/>
      <c r="C425" s="184"/>
      <c r="D425" s="184"/>
      <c r="E425" s="184"/>
      <c r="F425" s="203"/>
      <c r="G425" s="203"/>
      <c r="H425" s="204"/>
      <c r="I425" s="204"/>
    </row>
    <row r="426" spans="1:9" s="17" customFormat="1">
      <c r="A426" s="202"/>
      <c r="B426" s="202"/>
      <c r="C426" s="184"/>
      <c r="D426" s="184"/>
      <c r="E426" s="184"/>
      <c r="F426" s="203"/>
      <c r="G426" s="203"/>
      <c r="H426" s="204"/>
      <c r="I426" s="204"/>
    </row>
    <row r="427" spans="1:9" s="17" customFormat="1">
      <c r="A427" s="202"/>
      <c r="B427" s="202"/>
      <c r="C427" s="184"/>
      <c r="D427" s="184"/>
      <c r="E427" s="184"/>
      <c r="F427" s="203"/>
      <c r="G427" s="203"/>
      <c r="H427" s="204"/>
      <c r="I427" s="204"/>
    </row>
    <row r="428" spans="1:9" s="17" customFormat="1">
      <c r="A428" s="202"/>
      <c r="B428" s="202"/>
      <c r="C428" s="184"/>
      <c r="D428" s="184"/>
      <c r="E428" s="184"/>
      <c r="F428" s="203"/>
      <c r="G428" s="203"/>
      <c r="H428" s="204"/>
      <c r="I428" s="204"/>
    </row>
    <row r="429" spans="1:9" s="17" customFormat="1">
      <c r="A429" s="202"/>
      <c r="B429" s="202"/>
      <c r="C429" s="184"/>
      <c r="D429" s="184"/>
      <c r="E429" s="184"/>
      <c r="F429" s="203"/>
      <c r="G429" s="203"/>
      <c r="H429" s="204"/>
      <c r="I429" s="204"/>
    </row>
    <row r="430" spans="1:9" s="17" customFormat="1">
      <c r="A430" s="202"/>
      <c r="B430" s="202"/>
      <c r="C430" s="184"/>
      <c r="D430" s="184"/>
      <c r="E430" s="184"/>
      <c r="F430" s="203"/>
      <c r="G430" s="203"/>
      <c r="H430" s="204"/>
      <c r="I430" s="204"/>
    </row>
    <row r="431" spans="1:9" s="17" customFormat="1">
      <c r="A431" s="202"/>
      <c r="B431" s="202"/>
      <c r="C431" s="184"/>
      <c r="D431" s="184"/>
      <c r="E431" s="184"/>
      <c r="F431" s="203"/>
      <c r="G431" s="203"/>
      <c r="H431" s="204"/>
      <c r="I431" s="204"/>
    </row>
    <row r="432" spans="1:9" s="17" customFormat="1">
      <c r="A432" s="202"/>
      <c r="B432" s="202"/>
      <c r="C432" s="184"/>
      <c r="D432" s="184"/>
      <c r="E432" s="184"/>
      <c r="F432" s="203"/>
      <c r="G432" s="203"/>
      <c r="H432" s="204"/>
      <c r="I432" s="204"/>
    </row>
    <row r="433" spans="1:9" s="17" customFormat="1">
      <c r="A433" s="202"/>
      <c r="B433" s="202"/>
      <c r="C433" s="184"/>
      <c r="D433" s="184"/>
      <c r="E433" s="184"/>
      <c r="F433" s="203"/>
      <c r="G433" s="203"/>
      <c r="H433" s="204"/>
      <c r="I433" s="204"/>
    </row>
    <row r="434" spans="1:9" s="17" customFormat="1">
      <c r="A434" s="202"/>
      <c r="B434" s="202"/>
      <c r="C434" s="184"/>
      <c r="D434" s="184"/>
      <c r="E434" s="184"/>
      <c r="F434" s="203"/>
      <c r="G434" s="203"/>
      <c r="H434" s="204"/>
      <c r="I434" s="204"/>
    </row>
    <row r="435" spans="1:9" s="17" customFormat="1">
      <c r="A435" s="202"/>
      <c r="B435" s="202"/>
      <c r="C435" s="184"/>
      <c r="D435" s="184"/>
      <c r="E435" s="184"/>
      <c r="F435" s="203"/>
      <c r="G435" s="203"/>
      <c r="H435" s="204"/>
      <c r="I435" s="204"/>
    </row>
    <row r="436" spans="1:9" s="17" customFormat="1">
      <c r="A436" s="202"/>
      <c r="B436" s="202"/>
      <c r="C436" s="184"/>
      <c r="D436" s="184"/>
      <c r="E436" s="184"/>
      <c r="F436" s="203"/>
      <c r="G436" s="203"/>
      <c r="H436" s="204"/>
      <c r="I436" s="204"/>
    </row>
    <row r="437" spans="1:9" s="17" customFormat="1">
      <c r="A437" s="202"/>
      <c r="B437" s="202"/>
      <c r="C437" s="184"/>
      <c r="D437" s="184"/>
      <c r="E437" s="184"/>
      <c r="F437" s="203"/>
      <c r="G437" s="203"/>
      <c r="H437" s="204"/>
      <c r="I437" s="204"/>
    </row>
    <row r="438" spans="1:9" s="17" customFormat="1">
      <c r="A438" s="202"/>
      <c r="B438" s="202"/>
      <c r="C438" s="184"/>
      <c r="D438" s="184"/>
      <c r="E438" s="184"/>
      <c r="F438" s="203"/>
      <c r="G438" s="203"/>
      <c r="H438" s="204"/>
      <c r="I438" s="204"/>
    </row>
    <row r="439" spans="1:9" s="17" customFormat="1">
      <c r="A439" s="202"/>
      <c r="B439" s="202"/>
      <c r="C439" s="184"/>
      <c r="D439" s="184"/>
      <c r="E439" s="184"/>
      <c r="F439" s="203"/>
      <c r="G439" s="203"/>
      <c r="H439" s="204"/>
      <c r="I439" s="204"/>
    </row>
    <row r="440" spans="1:9" s="17" customFormat="1">
      <c r="A440" s="202"/>
      <c r="B440" s="202"/>
      <c r="C440" s="184"/>
      <c r="D440" s="184"/>
      <c r="E440" s="184"/>
      <c r="F440" s="203"/>
      <c r="G440" s="203"/>
      <c r="H440" s="204"/>
      <c r="I440" s="204"/>
    </row>
    <row r="441" spans="1:9" s="17" customFormat="1">
      <c r="A441" s="202"/>
      <c r="B441" s="202"/>
      <c r="C441" s="184"/>
      <c r="D441" s="184"/>
      <c r="E441" s="184"/>
      <c r="F441" s="203"/>
      <c r="G441" s="203"/>
      <c r="H441" s="204"/>
      <c r="I441" s="204"/>
    </row>
    <row r="442" spans="1:9" s="17" customFormat="1">
      <c r="A442" s="202"/>
      <c r="B442" s="202"/>
      <c r="C442" s="184"/>
      <c r="D442" s="184"/>
      <c r="E442" s="184"/>
      <c r="F442" s="203"/>
      <c r="G442" s="203"/>
      <c r="H442" s="204"/>
      <c r="I442" s="204"/>
    </row>
    <row r="443" spans="1:9" s="17" customFormat="1">
      <c r="A443" s="202"/>
      <c r="B443" s="202"/>
      <c r="C443" s="184"/>
      <c r="D443" s="184"/>
      <c r="E443" s="184"/>
      <c r="F443" s="203"/>
      <c r="G443" s="203"/>
      <c r="H443" s="204"/>
      <c r="I443" s="204"/>
    </row>
    <row r="444" spans="1:9" s="17" customFormat="1">
      <c r="A444" s="202"/>
      <c r="B444" s="202"/>
      <c r="C444" s="184"/>
      <c r="D444" s="184"/>
      <c r="E444" s="184"/>
      <c r="F444" s="203"/>
      <c r="G444" s="203"/>
      <c r="H444" s="204"/>
      <c r="I444" s="204"/>
    </row>
    <row r="445" spans="1:9" s="17" customFormat="1">
      <c r="A445" s="202"/>
      <c r="B445" s="202"/>
      <c r="C445" s="184"/>
      <c r="D445" s="184"/>
      <c r="E445" s="184"/>
      <c r="F445" s="203"/>
      <c r="G445" s="203"/>
      <c r="H445" s="204"/>
      <c r="I445" s="204"/>
    </row>
    <row r="446" spans="1:9" s="17" customFormat="1">
      <c r="A446" s="202"/>
      <c r="B446" s="202"/>
      <c r="C446" s="184"/>
      <c r="D446" s="184"/>
      <c r="E446" s="184"/>
      <c r="F446" s="203"/>
      <c r="G446" s="203"/>
      <c r="H446" s="204"/>
      <c r="I446" s="204"/>
    </row>
    <row r="447" spans="1:9" s="17" customFormat="1">
      <c r="A447" s="202"/>
      <c r="B447" s="202"/>
      <c r="C447" s="184"/>
      <c r="D447" s="184"/>
      <c r="E447" s="184"/>
      <c r="F447" s="203"/>
      <c r="G447" s="203"/>
      <c r="H447" s="204"/>
      <c r="I447" s="204"/>
    </row>
    <row r="448" spans="1:9" s="17" customFormat="1">
      <c r="A448" s="202"/>
      <c r="B448" s="202"/>
      <c r="C448" s="184"/>
      <c r="D448" s="184"/>
      <c r="E448" s="184"/>
      <c r="F448" s="203"/>
      <c r="G448" s="203"/>
      <c r="H448" s="204"/>
      <c r="I448" s="204"/>
    </row>
    <row r="449" spans="1:9" s="17" customFormat="1">
      <c r="A449" s="202"/>
      <c r="B449" s="202"/>
      <c r="C449" s="184"/>
      <c r="D449" s="184"/>
      <c r="E449" s="184"/>
      <c r="F449" s="203"/>
      <c r="G449" s="203"/>
      <c r="H449" s="204"/>
      <c r="I449" s="204"/>
    </row>
    <row r="450" spans="1:9" s="17" customFormat="1">
      <c r="A450" s="202"/>
      <c r="B450" s="202"/>
      <c r="C450" s="184"/>
      <c r="D450" s="184"/>
      <c r="E450" s="184"/>
      <c r="F450" s="203"/>
      <c r="G450" s="203"/>
      <c r="H450" s="204"/>
      <c r="I450" s="204"/>
    </row>
    <row r="451" spans="1:9" s="17" customFormat="1">
      <c r="A451" s="202"/>
      <c r="B451" s="202"/>
      <c r="C451" s="184"/>
      <c r="D451" s="184"/>
      <c r="E451" s="184"/>
      <c r="F451" s="203"/>
      <c r="G451" s="203"/>
      <c r="H451" s="204"/>
      <c r="I451" s="204"/>
    </row>
    <row r="452" spans="1:9" s="17" customFormat="1">
      <c r="A452" s="202"/>
      <c r="B452" s="202"/>
      <c r="C452" s="184"/>
      <c r="D452" s="184"/>
      <c r="E452" s="184"/>
      <c r="F452" s="203"/>
      <c r="G452" s="203"/>
      <c r="H452" s="204"/>
      <c r="I452" s="204"/>
    </row>
    <row r="453" spans="1:9" s="17" customFormat="1">
      <c r="A453" s="202"/>
      <c r="B453" s="202"/>
      <c r="C453" s="184"/>
      <c r="D453" s="184"/>
      <c r="E453" s="184"/>
      <c r="F453" s="203"/>
      <c r="G453" s="203"/>
      <c r="H453" s="204"/>
      <c r="I453" s="204"/>
    </row>
    <row r="454" spans="1:9" s="17" customFormat="1">
      <c r="A454" s="202"/>
      <c r="B454" s="202"/>
      <c r="C454" s="184"/>
      <c r="D454" s="184"/>
      <c r="E454" s="184"/>
      <c r="F454" s="203"/>
      <c r="G454" s="203"/>
      <c r="H454" s="204"/>
      <c r="I454" s="204"/>
    </row>
    <row r="455" spans="1:9" s="17" customFormat="1">
      <c r="A455" s="202"/>
      <c r="B455" s="202"/>
      <c r="C455" s="184"/>
      <c r="D455" s="184"/>
      <c r="E455" s="184"/>
      <c r="F455" s="203"/>
      <c r="G455" s="203"/>
      <c r="H455" s="204"/>
      <c r="I455" s="204"/>
    </row>
    <row r="456" spans="1:9" s="17" customFormat="1">
      <c r="A456" s="202"/>
      <c r="B456" s="202"/>
      <c r="C456" s="184"/>
      <c r="D456" s="184"/>
      <c r="E456" s="184"/>
      <c r="F456" s="203"/>
      <c r="G456" s="203"/>
      <c r="H456" s="204"/>
      <c r="I456" s="204"/>
    </row>
    <row r="457" spans="1:9" s="17" customFormat="1">
      <c r="A457" s="202"/>
      <c r="B457" s="202"/>
      <c r="C457" s="184"/>
      <c r="D457" s="184"/>
      <c r="E457" s="184"/>
      <c r="F457" s="203"/>
      <c r="G457" s="203"/>
      <c r="H457" s="204"/>
      <c r="I457" s="204"/>
    </row>
    <row r="458" spans="1:9" s="17" customFormat="1">
      <c r="A458" s="202"/>
      <c r="B458" s="202"/>
      <c r="C458" s="184"/>
      <c r="D458" s="184"/>
      <c r="E458" s="184"/>
      <c r="F458" s="203"/>
      <c r="G458" s="203"/>
      <c r="H458" s="204"/>
      <c r="I458" s="204"/>
    </row>
    <row r="459" spans="1:9" s="17" customFormat="1">
      <c r="A459" s="202"/>
      <c r="B459" s="202"/>
      <c r="C459" s="184"/>
      <c r="D459" s="184"/>
      <c r="E459" s="184"/>
      <c r="F459" s="203"/>
      <c r="G459" s="203"/>
      <c r="H459" s="204"/>
      <c r="I459" s="204"/>
    </row>
    <row r="460" spans="1:9" s="17" customFormat="1">
      <c r="A460" s="202"/>
      <c r="B460" s="202"/>
      <c r="C460" s="184"/>
      <c r="D460" s="184"/>
      <c r="E460" s="184"/>
      <c r="F460" s="203"/>
      <c r="G460" s="203"/>
      <c r="H460" s="204"/>
      <c r="I460" s="204"/>
    </row>
    <row r="461" spans="1:9" s="17" customFormat="1">
      <c r="A461" s="202"/>
      <c r="B461" s="202"/>
      <c r="C461" s="184"/>
      <c r="D461" s="184"/>
      <c r="E461" s="184"/>
      <c r="F461" s="203"/>
      <c r="G461" s="203"/>
      <c r="H461" s="204"/>
      <c r="I461" s="204"/>
    </row>
    <row r="462" spans="1:9" s="17" customFormat="1">
      <c r="A462" s="202"/>
      <c r="B462" s="202"/>
      <c r="C462" s="184"/>
      <c r="D462" s="184"/>
      <c r="E462" s="184"/>
      <c r="F462" s="203"/>
      <c r="G462" s="203"/>
      <c r="H462" s="204"/>
      <c r="I462" s="204"/>
    </row>
    <row r="463" spans="1:9" s="17" customFormat="1">
      <c r="A463" s="202"/>
      <c r="B463" s="202"/>
      <c r="C463" s="184"/>
      <c r="D463" s="184"/>
      <c r="E463" s="184"/>
      <c r="F463" s="203"/>
      <c r="G463" s="203"/>
      <c r="H463" s="204"/>
      <c r="I463" s="204"/>
    </row>
    <row r="464" spans="1:9" s="17" customFormat="1">
      <c r="A464" s="202"/>
      <c r="B464" s="202"/>
      <c r="C464" s="184"/>
      <c r="D464" s="184"/>
      <c r="E464" s="184"/>
      <c r="F464" s="203"/>
      <c r="G464" s="203"/>
      <c r="H464" s="204"/>
      <c r="I464" s="204"/>
    </row>
    <row r="465" spans="1:9" s="17" customFormat="1">
      <c r="A465" s="202"/>
      <c r="B465" s="202"/>
      <c r="C465" s="184"/>
      <c r="D465" s="184"/>
      <c r="E465" s="184"/>
      <c r="F465" s="203"/>
      <c r="G465" s="203"/>
      <c r="H465" s="204"/>
      <c r="I465" s="204"/>
    </row>
    <row r="466" spans="1:9" s="17" customFormat="1">
      <c r="A466" s="202"/>
      <c r="B466" s="202"/>
      <c r="C466" s="184"/>
      <c r="D466" s="184"/>
      <c r="E466" s="184"/>
      <c r="F466" s="203"/>
      <c r="G466" s="203"/>
      <c r="H466" s="204"/>
      <c r="I466" s="204"/>
    </row>
    <row r="467" spans="1:9" s="17" customFormat="1">
      <c r="A467" s="202"/>
      <c r="B467" s="202"/>
      <c r="C467" s="184"/>
      <c r="D467" s="184"/>
      <c r="E467" s="184"/>
      <c r="F467" s="203"/>
      <c r="G467" s="203"/>
      <c r="H467" s="204"/>
      <c r="I467" s="204"/>
    </row>
    <row r="468" spans="1:9" s="17" customFormat="1">
      <c r="A468" s="202"/>
      <c r="B468" s="202"/>
      <c r="C468" s="184"/>
      <c r="D468" s="184"/>
      <c r="E468" s="184"/>
      <c r="F468" s="203"/>
      <c r="G468" s="203"/>
      <c r="H468" s="204"/>
      <c r="I468" s="204"/>
    </row>
    <row r="469" spans="1:9" s="17" customFormat="1">
      <c r="A469" s="202"/>
      <c r="B469" s="202"/>
      <c r="C469" s="184"/>
      <c r="D469" s="184"/>
      <c r="E469" s="184"/>
      <c r="F469" s="203"/>
      <c r="G469" s="203"/>
      <c r="H469" s="204"/>
      <c r="I469" s="204"/>
    </row>
    <row r="470" spans="1:9" s="17" customFormat="1">
      <c r="A470" s="202"/>
      <c r="B470" s="202"/>
      <c r="C470" s="184"/>
      <c r="D470" s="184"/>
      <c r="E470" s="184"/>
      <c r="F470" s="203"/>
      <c r="G470" s="203"/>
      <c r="H470" s="204"/>
      <c r="I470" s="204"/>
    </row>
    <row r="471" spans="1:9" s="17" customFormat="1">
      <c r="A471" s="202"/>
      <c r="B471" s="202"/>
      <c r="C471" s="184"/>
      <c r="D471" s="184"/>
      <c r="E471" s="184"/>
      <c r="F471" s="203"/>
      <c r="G471" s="203"/>
      <c r="H471" s="204"/>
      <c r="I471" s="204"/>
    </row>
    <row r="472" spans="1:9" s="17" customFormat="1">
      <c r="A472" s="202"/>
      <c r="B472" s="202"/>
      <c r="C472" s="184"/>
      <c r="D472" s="184"/>
      <c r="E472" s="184"/>
      <c r="F472" s="203"/>
      <c r="G472" s="203"/>
      <c r="H472" s="204"/>
      <c r="I472" s="204"/>
    </row>
    <row r="473" spans="1:9" s="17" customFormat="1">
      <c r="A473" s="202"/>
      <c r="B473" s="202"/>
      <c r="C473" s="184"/>
      <c r="D473" s="184"/>
      <c r="E473" s="184"/>
      <c r="F473" s="203"/>
      <c r="G473" s="203"/>
      <c r="H473" s="204"/>
      <c r="I473" s="204"/>
    </row>
    <row r="474" spans="1:9" s="17" customFormat="1">
      <c r="A474" s="202"/>
      <c r="B474" s="202"/>
      <c r="C474" s="184"/>
      <c r="D474" s="184"/>
      <c r="E474" s="184"/>
      <c r="F474" s="203"/>
      <c r="G474" s="203"/>
      <c r="H474" s="204"/>
      <c r="I474" s="204"/>
    </row>
    <row r="475" spans="1:9" s="17" customFormat="1">
      <c r="A475" s="202"/>
      <c r="B475" s="202"/>
      <c r="C475" s="184"/>
      <c r="D475" s="184"/>
      <c r="E475" s="184"/>
      <c r="F475" s="203"/>
      <c r="G475" s="203"/>
      <c r="H475" s="204"/>
      <c r="I475" s="204"/>
    </row>
    <row r="476" spans="1:9" s="17" customFormat="1">
      <c r="A476" s="202"/>
      <c r="B476" s="202"/>
      <c r="C476" s="184"/>
      <c r="D476" s="184"/>
      <c r="E476" s="184"/>
      <c r="F476" s="203"/>
      <c r="G476" s="203"/>
      <c r="H476" s="204"/>
      <c r="I476" s="204"/>
    </row>
    <row r="477" spans="1:9" s="17" customFormat="1">
      <c r="A477" s="202"/>
      <c r="B477" s="202"/>
      <c r="C477" s="184"/>
      <c r="D477" s="184"/>
      <c r="E477" s="184"/>
      <c r="F477" s="203"/>
      <c r="G477" s="203"/>
      <c r="H477" s="204"/>
      <c r="I477" s="204"/>
    </row>
    <row r="478" spans="1:9" s="17" customFormat="1">
      <c r="A478" s="202"/>
      <c r="B478" s="202"/>
      <c r="C478" s="184"/>
      <c r="D478" s="184"/>
      <c r="E478" s="184"/>
      <c r="F478" s="203"/>
      <c r="G478" s="203"/>
      <c r="H478" s="204"/>
      <c r="I478" s="204"/>
    </row>
    <row r="479" spans="1:9" s="17" customFormat="1">
      <c r="A479" s="202"/>
      <c r="B479" s="202"/>
      <c r="C479" s="184"/>
      <c r="D479" s="184"/>
      <c r="E479" s="184"/>
      <c r="F479" s="203"/>
      <c r="G479" s="203"/>
      <c r="H479" s="204"/>
      <c r="I479" s="204"/>
    </row>
    <row r="480" spans="1:9" s="17" customFormat="1">
      <c r="A480" s="202"/>
      <c r="B480" s="202"/>
      <c r="C480" s="184"/>
      <c r="D480" s="184"/>
      <c r="E480" s="184"/>
      <c r="F480" s="203"/>
      <c r="G480" s="203"/>
      <c r="H480" s="204"/>
      <c r="I480" s="204"/>
    </row>
    <row r="481" spans="1:9" s="17" customFormat="1">
      <c r="A481" s="202"/>
      <c r="B481" s="202"/>
      <c r="C481" s="184"/>
      <c r="D481" s="184"/>
      <c r="E481" s="184"/>
      <c r="F481" s="203"/>
      <c r="G481" s="203"/>
      <c r="H481" s="204"/>
      <c r="I481" s="204"/>
    </row>
    <row r="482" spans="1:9" s="17" customFormat="1">
      <c r="A482" s="202"/>
      <c r="B482" s="202"/>
      <c r="C482" s="184"/>
      <c r="D482" s="184"/>
      <c r="E482" s="184"/>
      <c r="F482" s="203"/>
      <c r="G482" s="203"/>
      <c r="H482" s="204"/>
      <c r="I482" s="204"/>
    </row>
    <row r="483" spans="1:9" s="17" customFormat="1">
      <c r="A483" s="202"/>
      <c r="B483" s="202"/>
      <c r="C483" s="184"/>
      <c r="D483" s="184"/>
      <c r="E483" s="184"/>
      <c r="F483" s="203"/>
      <c r="G483" s="203"/>
      <c r="H483" s="204"/>
      <c r="I483" s="204"/>
    </row>
    <row r="484" spans="1:9" s="17" customFormat="1">
      <c r="A484" s="202"/>
      <c r="B484" s="202"/>
      <c r="C484" s="184"/>
      <c r="D484" s="184"/>
      <c r="E484" s="184"/>
      <c r="F484" s="203"/>
      <c r="G484" s="203"/>
      <c r="H484" s="204"/>
      <c r="I484" s="204"/>
    </row>
    <row r="485" spans="1:9" s="17" customFormat="1">
      <c r="A485" s="202"/>
      <c r="B485" s="202"/>
      <c r="C485" s="184"/>
      <c r="D485" s="184"/>
      <c r="E485" s="184"/>
      <c r="F485" s="203"/>
      <c r="G485" s="203"/>
      <c r="H485" s="204"/>
      <c r="I485" s="204"/>
    </row>
    <row r="486" spans="1:9" s="17" customFormat="1">
      <c r="A486" s="202"/>
      <c r="B486" s="202"/>
      <c r="C486" s="184"/>
      <c r="D486" s="184"/>
      <c r="E486" s="184"/>
      <c r="F486" s="203"/>
      <c r="G486" s="203"/>
      <c r="H486" s="204"/>
      <c r="I486" s="204"/>
    </row>
    <row r="487" spans="1:9" s="17" customFormat="1">
      <c r="A487" s="202"/>
      <c r="B487" s="202"/>
      <c r="C487" s="184"/>
      <c r="D487" s="184"/>
      <c r="E487" s="184"/>
      <c r="F487" s="203"/>
      <c r="G487" s="203"/>
      <c r="H487" s="204"/>
      <c r="I487" s="204"/>
    </row>
    <row r="488" spans="1:9" s="17" customFormat="1">
      <c r="A488" s="202"/>
      <c r="B488" s="202"/>
      <c r="C488" s="184"/>
      <c r="D488" s="184"/>
      <c r="E488" s="184"/>
      <c r="F488" s="203"/>
      <c r="G488" s="203"/>
      <c r="H488" s="204"/>
      <c r="I488" s="204"/>
    </row>
    <row r="489" spans="1:9" s="17" customFormat="1">
      <c r="A489" s="202"/>
      <c r="B489" s="202"/>
      <c r="C489" s="184"/>
      <c r="D489" s="184"/>
      <c r="E489" s="184"/>
      <c r="F489" s="203"/>
      <c r="G489" s="203"/>
      <c r="H489" s="204"/>
      <c r="I489" s="204"/>
    </row>
    <row r="490" spans="1:9" s="17" customFormat="1">
      <c r="A490" s="202"/>
      <c r="B490" s="202"/>
      <c r="C490" s="184"/>
      <c r="D490" s="184"/>
      <c r="E490" s="184"/>
      <c r="F490" s="203"/>
      <c r="G490" s="203"/>
      <c r="H490" s="204"/>
      <c r="I490" s="204"/>
    </row>
    <row r="491" spans="1:9" s="17" customFormat="1">
      <c r="A491" s="202"/>
      <c r="B491" s="202"/>
      <c r="C491" s="184"/>
      <c r="D491" s="184"/>
      <c r="E491" s="184"/>
      <c r="F491" s="203"/>
      <c r="G491" s="203"/>
      <c r="H491" s="204"/>
      <c r="I491" s="204"/>
    </row>
    <row r="492" spans="1:9" s="17" customFormat="1">
      <c r="A492" s="202"/>
      <c r="B492" s="202"/>
      <c r="C492" s="184"/>
      <c r="D492" s="184"/>
      <c r="E492" s="184"/>
      <c r="F492" s="203"/>
      <c r="G492" s="203"/>
      <c r="H492" s="204"/>
      <c r="I492" s="204"/>
    </row>
    <row r="493" spans="1:9" s="17" customFormat="1">
      <c r="A493" s="202"/>
      <c r="B493" s="202"/>
      <c r="C493" s="184"/>
      <c r="D493" s="184"/>
      <c r="E493" s="184"/>
      <c r="F493" s="203"/>
      <c r="G493" s="203"/>
      <c r="H493" s="204"/>
      <c r="I493" s="204"/>
    </row>
    <row r="494" spans="1:9" s="17" customFormat="1">
      <c r="A494" s="202"/>
      <c r="B494" s="202"/>
      <c r="C494" s="184"/>
      <c r="D494" s="184"/>
      <c r="E494" s="184"/>
      <c r="F494" s="203"/>
      <c r="G494" s="203"/>
      <c r="H494" s="204"/>
      <c r="I494" s="204"/>
    </row>
    <row r="495" spans="1:9" s="17" customFormat="1">
      <c r="A495" s="202"/>
      <c r="B495" s="202"/>
      <c r="C495" s="184"/>
      <c r="D495" s="184"/>
      <c r="E495" s="184"/>
      <c r="F495" s="203"/>
      <c r="G495" s="203"/>
      <c r="H495" s="204"/>
      <c r="I495" s="204"/>
    </row>
    <row r="496" spans="1:9" s="17" customFormat="1">
      <c r="A496" s="202"/>
      <c r="B496" s="202"/>
      <c r="C496" s="184"/>
      <c r="D496" s="184"/>
      <c r="E496" s="184"/>
      <c r="F496" s="203"/>
      <c r="G496" s="203"/>
      <c r="H496" s="204"/>
      <c r="I496" s="204"/>
    </row>
    <row r="497" spans="1:9" s="17" customFormat="1">
      <c r="A497" s="202"/>
      <c r="B497" s="202"/>
      <c r="C497" s="184"/>
      <c r="D497" s="184"/>
      <c r="E497" s="184"/>
      <c r="F497" s="203"/>
      <c r="G497" s="203"/>
      <c r="H497" s="204"/>
      <c r="I497" s="204"/>
    </row>
    <row r="498" spans="1:9" s="17" customFormat="1">
      <c r="A498" s="202"/>
      <c r="B498" s="202"/>
      <c r="C498" s="184"/>
      <c r="D498" s="184"/>
      <c r="E498" s="184"/>
      <c r="F498" s="203"/>
      <c r="G498" s="203"/>
      <c r="H498" s="204"/>
      <c r="I498" s="204"/>
    </row>
    <row r="499" spans="1:9" s="17" customFormat="1">
      <c r="A499" s="202"/>
      <c r="B499" s="202"/>
      <c r="C499" s="184"/>
      <c r="D499" s="184"/>
      <c r="E499" s="184"/>
      <c r="F499" s="203"/>
      <c r="G499" s="203"/>
      <c r="H499" s="204"/>
      <c r="I499" s="204"/>
    </row>
    <row r="500" spans="1:9" s="17" customFormat="1">
      <c r="A500" s="202"/>
      <c r="B500" s="202"/>
      <c r="C500" s="184"/>
      <c r="D500" s="184"/>
      <c r="E500" s="184"/>
      <c r="F500" s="203"/>
      <c r="G500" s="203"/>
      <c r="H500" s="204"/>
      <c r="I500" s="204"/>
    </row>
    <row r="501" spans="1:9" s="17" customFormat="1">
      <c r="A501" s="202"/>
      <c r="B501" s="202"/>
      <c r="C501" s="184"/>
      <c r="D501" s="184"/>
      <c r="E501" s="184"/>
      <c r="F501" s="203"/>
      <c r="G501" s="203"/>
      <c r="H501" s="204"/>
      <c r="I501" s="204"/>
    </row>
    <row r="502" spans="1:9" s="17" customFormat="1">
      <c r="A502" s="202"/>
      <c r="B502" s="202"/>
      <c r="C502" s="184"/>
      <c r="D502" s="184"/>
      <c r="E502" s="184"/>
      <c r="F502" s="203"/>
      <c r="G502" s="203"/>
      <c r="H502" s="204"/>
      <c r="I502" s="204"/>
    </row>
    <row r="503" spans="1:9" s="17" customFormat="1">
      <c r="A503" s="202"/>
      <c r="B503" s="202"/>
      <c r="C503" s="184"/>
      <c r="D503" s="184"/>
      <c r="E503" s="184"/>
      <c r="F503" s="203"/>
      <c r="G503" s="203"/>
      <c r="H503" s="204"/>
      <c r="I503" s="204"/>
    </row>
    <row r="504" spans="1:9" s="17" customFormat="1">
      <c r="A504" s="202"/>
      <c r="B504" s="202"/>
      <c r="C504" s="184"/>
      <c r="D504" s="184"/>
      <c r="E504" s="184"/>
      <c r="F504" s="203"/>
      <c r="G504" s="203"/>
      <c r="H504" s="204"/>
      <c r="I504" s="204"/>
    </row>
    <row r="505" spans="1:9" s="17" customFormat="1">
      <c r="A505" s="202"/>
      <c r="B505" s="202"/>
      <c r="C505" s="184"/>
      <c r="D505" s="184"/>
      <c r="E505" s="184"/>
      <c r="F505" s="203"/>
      <c r="G505" s="203"/>
      <c r="H505" s="204"/>
      <c r="I505" s="204"/>
    </row>
    <row r="506" spans="1:9" s="17" customFormat="1">
      <c r="A506" s="202"/>
      <c r="B506" s="202"/>
      <c r="C506" s="184"/>
      <c r="D506" s="184"/>
      <c r="E506" s="184"/>
      <c r="F506" s="203"/>
      <c r="G506" s="203"/>
      <c r="H506" s="204"/>
      <c r="I506" s="204"/>
    </row>
    <row r="507" spans="1:9" s="17" customFormat="1">
      <c r="A507" s="202"/>
      <c r="B507" s="202"/>
      <c r="C507" s="184"/>
      <c r="D507" s="184"/>
      <c r="E507" s="184"/>
      <c r="F507" s="203"/>
      <c r="G507" s="203"/>
      <c r="H507" s="204"/>
      <c r="I507" s="204"/>
    </row>
    <row r="508" spans="1:9" s="17" customFormat="1">
      <c r="A508" s="202"/>
      <c r="B508" s="202"/>
      <c r="C508" s="184"/>
      <c r="D508" s="184"/>
      <c r="E508" s="184"/>
      <c r="F508" s="203"/>
      <c r="G508" s="203"/>
      <c r="H508" s="204"/>
      <c r="I508" s="204"/>
    </row>
    <row r="509" spans="1:9" s="17" customFormat="1">
      <c r="A509" s="202"/>
      <c r="B509" s="202"/>
      <c r="C509" s="184"/>
      <c r="D509" s="184"/>
      <c r="E509" s="184"/>
      <c r="F509" s="203"/>
      <c r="G509" s="203"/>
      <c r="H509" s="204"/>
      <c r="I509" s="204"/>
    </row>
    <row r="510" spans="1:9" s="17" customFormat="1">
      <c r="A510" s="202"/>
      <c r="B510" s="202"/>
      <c r="C510" s="184"/>
      <c r="D510" s="184"/>
      <c r="E510" s="184"/>
      <c r="F510" s="203"/>
      <c r="G510" s="203"/>
      <c r="H510" s="204"/>
      <c r="I510" s="204"/>
    </row>
    <row r="511" spans="1:9" s="17" customFormat="1">
      <c r="A511" s="202"/>
      <c r="B511" s="202"/>
      <c r="C511" s="184"/>
      <c r="D511" s="184"/>
      <c r="E511" s="184"/>
      <c r="F511" s="203"/>
      <c r="G511" s="203"/>
      <c r="H511" s="204"/>
      <c r="I511" s="204"/>
    </row>
    <row r="512" spans="1:9" s="17" customFormat="1">
      <c r="A512" s="202"/>
      <c r="B512" s="202"/>
      <c r="C512" s="184"/>
      <c r="D512" s="184"/>
      <c r="E512" s="184"/>
      <c r="F512" s="203"/>
      <c r="G512" s="203"/>
      <c r="H512" s="204"/>
      <c r="I512" s="204"/>
    </row>
    <row r="513" spans="1:9" s="17" customFormat="1">
      <c r="A513" s="202"/>
      <c r="B513" s="202"/>
      <c r="C513" s="184"/>
      <c r="D513" s="184"/>
      <c r="E513" s="184"/>
      <c r="F513" s="203"/>
      <c r="G513" s="203"/>
      <c r="H513" s="204"/>
      <c r="I513" s="204"/>
    </row>
    <row r="514" spans="1:9" s="17" customFormat="1">
      <c r="A514" s="202"/>
      <c r="B514" s="202"/>
      <c r="C514" s="184"/>
      <c r="D514" s="184"/>
      <c r="E514" s="184"/>
      <c r="F514" s="203"/>
      <c r="G514" s="203"/>
      <c r="H514" s="204"/>
      <c r="I514" s="204"/>
    </row>
    <row r="515" spans="1:9" s="17" customFormat="1">
      <c r="A515" s="202"/>
      <c r="B515" s="202"/>
      <c r="C515" s="184"/>
      <c r="D515" s="184"/>
      <c r="E515" s="184"/>
      <c r="F515" s="203"/>
      <c r="G515" s="203"/>
      <c r="H515" s="204"/>
      <c r="I515" s="204"/>
    </row>
    <row r="516" spans="1:9" s="17" customFormat="1">
      <c r="A516" s="202"/>
      <c r="B516" s="202"/>
      <c r="C516" s="184"/>
      <c r="D516" s="184"/>
      <c r="E516" s="184"/>
      <c r="F516" s="203"/>
      <c r="G516" s="203"/>
      <c r="H516" s="204"/>
      <c r="I516" s="204"/>
    </row>
    <row r="517" spans="1:9" s="17" customFormat="1">
      <c r="A517" s="202"/>
      <c r="B517" s="202"/>
      <c r="C517" s="184"/>
      <c r="D517" s="184"/>
      <c r="E517" s="184"/>
      <c r="F517" s="203"/>
      <c r="G517" s="203"/>
      <c r="H517" s="204"/>
      <c r="I517" s="204"/>
    </row>
    <row r="518" spans="1:9" s="17" customFormat="1">
      <c r="A518" s="202"/>
      <c r="B518" s="202"/>
      <c r="C518" s="184"/>
      <c r="D518" s="184"/>
      <c r="E518" s="184"/>
      <c r="F518" s="203"/>
      <c r="G518" s="203"/>
      <c r="H518" s="204"/>
      <c r="I518" s="204"/>
    </row>
    <row r="519" spans="1:9" s="17" customFormat="1">
      <c r="A519" s="202"/>
      <c r="B519" s="202"/>
      <c r="C519" s="184"/>
      <c r="D519" s="184"/>
      <c r="E519" s="184"/>
      <c r="F519" s="203"/>
      <c r="G519" s="203"/>
      <c r="H519" s="204"/>
      <c r="I519" s="204"/>
    </row>
    <row r="520" spans="1:9" s="17" customFormat="1">
      <c r="A520" s="202"/>
      <c r="B520" s="202"/>
      <c r="C520" s="184"/>
      <c r="D520" s="184"/>
      <c r="E520" s="184"/>
      <c r="F520" s="203"/>
      <c r="G520" s="203"/>
      <c r="H520" s="204"/>
      <c r="I520" s="204"/>
    </row>
    <row r="521" spans="1:9" s="17" customFormat="1">
      <c r="A521" s="202"/>
      <c r="B521" s="202"/>
      <c r="C521" s="184"/>
      <c r="D521" s="184"/>
      <c r="E521" s="184"/>
      <c r="F521" s="203"/>
      <c r="G521" s="203"/>
      <c r="H521" s="204"/>
      <c r="I521" s="204"/>
    </row>
    <row r="522" spans="1:9" s="17" customFormat="1">
      <c r="A522" s="202"/>
      <c r="B522" s="202"/>
      <c r="C522" s="184"/>
      <c r="D522" s="184"/>
      <c r="E522" s="184"/>
      <c r="F522" s="203"/>
      <c r="G522" s="203"/>
      <c r="H522" s="204"/>
      <c r="I522" s="204"/>
    </row>
    <row r="523" spans="1:9" s="17" customFormat="1">
      <c r="A523" s="202"/>
      <c r="B523" s="202"/>
      <c r="C523" s="184"/>
      <c r="D523" s="184"/>
      <c r="E523" s="184"/>
      <c r="F523" s="203"/>
      <c r="G523" s="203"/>
      <c r="H523" s="204"/>
      <c r="I523" s="204"/>
    </row>
    <row r="524" spans="1:9" s="17" customFormat="1">
      <c r="A524" s="202"/>
      <c r="B524" s="202"/>
      <c r="C524" s="184"/>
      <c r="D524" s="184"/>
      <c r="E524" s="184"/>
      <c r="F524" s="203"/>
      <c r="G524" s="203"/>
      <c r="H524" s="204"/>
      <c r="I524" s="204"/>
    </row>
    <row r="525" spans="1:9" s="17" customFormat="1">
      <c r="A525" s="202"/>
      <c r="B525" s="202"/>
      <c r="C525" s="184"/>
      <c r="D525" s="184"/>
      <c r="E525" s="184"/>
      <c r="F525" s="203"/>
      <c r="G525" s="203"/>
      <c r="H525" s="204"/>
      <c r="I525" s="204"/>
    </row>
    <row r="526" spans="1:9" s="17" customFormat="1">
      <c r="A526" s="202"/>
      <c r="B526" s="202"/>
      <c r="C526" s="184"/>
      <c r="D526" s="184"/>
      <c r="E526" s="184"/>
      <c r="F526" s="203"/>
      <c r="G526" s="203"/>
      <c r="H526" s="204"/>
      <c r="I526" s="204"/>
    </row>
    <row r="527" spans="1:9" s="17" customFormat="1">
      <c r="A527" s="202"/>
      <c r="B527" s="202"/>
      <c r="C527" s="184"/>
      <c r="D527" s="184"/>
      <c r="E527" s="184"/>
      <c r="F527" s="203"/>
      <c r="G527" s="203"/>
      <c r="H527" s="204"/>
      <c r="I527" s="204"/>
    </row>
    <row r="528" spans="1:9" s="17" customFormat="1">
      <c r="A528" s="202"/>
      <c r="B528" s="202"/>
      <c r="C528" s="184"/>
      <c r="D528" s="184"/>
      <c r="E528" s="184"/>
      <c r="F528" s="203"/>
      <c r="G528" s="203"/>
      <c r="H528" s="204"/>
      <c r="I528" s="204"/>
    </row>
    <row r="529" spans="1:9" s="17" customFormat="1">
      <c r="A529" s="202"/>
      <c r="B529" s="202"/>
      <c r="C529" s="184"/>
      <c r="D529" s="184"/>
      <c r="E529" s="184"/>
      <c r="F529" s="203"/>
      <c r="G529" s="203"/>
      <c r="H529" s="204"/>
      <c r="I529" s="204"/>
    </row>
    <row r="530" spans="1:9" s="17" customFormat="1">
      <c r="A530" s="202"/>
      <c r="B530" s="202"/>
      <c r="C530" s="184"/>
      <c r="D530" s="184"/>
      <c r="E530" s="184"/>
      <c r="F530" s="203"/>
      <c r="G530" s="203"/>
      <c r="H530" s="204"/>
      <c r="I530" s="204"/>
    </row>
    <row r="531" spans="1:9" s="17" customFormat="1">
      <c r="A531" s="202"/>
      <c r="B531" s="202"/>
      <c r="C531" s="184"/>
      <c r="D531" s="184"/>
      <c r="E531" s="184"/>
      <c r="F531" s="203"/>
      <c r="G531" s="203"/>
      <c r="H531" s="204"/>
      <c r="I531" s="204"/>
    </row>
    <row r="532" spans="1:9" s="17" customFormat="1">
      <c r="A532" s="202"/>
      <c r="B532" s="202"/>
      <c r="C532" s="184"/>
      <c r="D532" s="184"/>
      <c r="E532" s="184"/>
      <c r="F532" s="203"/>
      <c r="G532" s="203"/>
      <c r="H532" s="204"/>
      <c r="I532" s="204"/>
    </row>
    <row r="533" spans="1:9" s="17" customFormat="1">
      <c r="A533" s="202"/>
      <c r="B533" s="202"/>
      <c r="C533" s="184"/>
      <c r="D533" s="184"/>
      <c r="E533" s="184"/>
      <c r="F533" s="203"/>
      <c r="G533" s="203"/>
      <c r="H533" s="204"/>
      <c r="I533" s="204"/>
    </row>
    <row r="534" spans="1:9" s="17" customFormat="1">
      <c r="A534" s="202"/>
      <c r="B534" s="202"/>
      <c r="C534" s="184"/>
      <c r="D534" s="184"/>
      <c r="E534" s="184"/>
      <c r="F534" s="203"/>
      <c r="G534" s="203"/>
      <c r="H534" s="204"/>
      <c r="I534" s="204"/>
    </row>
    <row r="535" spans="1:9" s="17" customFormat="1">
      <c r="A535" s="202"/>
      <c r="B535" s="202"/>
      <c r="C535" s="184"/>
      <c r="D535" s="184"/>
      <c r="E535" s="184"/>
      <c r="F535" s="203"/>
      <c r="G535" s="203"/>
      <c r="H535" s="204"/>
      <c r="I535" s="204"/>
    </row>
    <row r="536" spans="1:9" s="17" customFormat="1">
      <c r="A536" s="202"/>
      <c r="B536" s="202"/>
      <c r="C536" s="184"/>
      <c r="D536" s="184"/>
      <c r="E536" s="184"/>
      <c r="F536" s="203"/>
      <c r="G536" s="203"/>
      <c r="H536" s="204"/>
      <c r="I536" s="204"/>
    </row>
    <row r="537" spans="1:9" s="17" customFormat="1">
      <c r="A537" s="202"/>
      <c r="B537" s="202"/>
      <c r="C537" s="184"/>
      <c r="D537" s="184"/>
      <c r="E537" s="184"/>
      <c r="F537" s="203"/>
      <c r="G537" s="203"/>
      <c r="H537" s="204"/>
      <c r="I537" s="204"/>
    </row>
    <row r="538" spans="1:9" s="17" customFormat="1">
      <c r="A538" s="202"/>
      <c r="B538" s="202"/>
      <c r="C538" s="184"/>
      <c r="D538" s="184"/>
      <c r="E538" s="184"/>
      <c r="F538" s="203"/>
      <c r="G538" s="203"/>
      <c r="H538" s="204"/>
      <c r="I538" s="204"/>
    </row>
    <row r="539" spans="1:9" s="17" customFormat="1">
      <c r="A539" s="202"/>
      <c r="B539" s="202"/>
      <c r="C539" s="184"/>
      <c r="D539" s="184"/>
      <c r="E539" s="184"/>
      <c r="F539" s="203"/>
      <c r="G539" s="203"/>
      <c r="H539" s="204"/>
      <c r="I539" s="204"/>
    </row>
    <row r="540" spans="1:9" s="17" customFormat="1">
      <c r="A540" s="202"/>
      <c r="B540" s="202"/>
      <c r="C540" s="184"/>
      <c r="D540" s="184"/>
      <c r="E540" s="184"/>
      <c r="F540" s="203"/>
      <c r="G540" s="203"/>
      <c r="H540" s="204"/>
      <c r="I540" s="204"/>
    </row>
    <row r="541" spans="1:9" s="17" customFormat="1">
      <c r="A541" s="202"/>
      <c r="B541" s="202"/>
      <c r="C541" s="184"/>
      <c r="D541" s="184"/>
      <c r="E541" s="184"/>
      <c r="F541" s="203"/>
      <c r="G541" s="203"/>
      <c r="H541" s="204"/>
      <c r="I541" s="204"/>
    </row>
    <row r="542" spans="1:9" s="17" customFormat="1">
      <c r="A542" s="202"/>
      <c r="B542" s="202"/>
      <c r="C542" s="184"/>
      <c r="D542" s="184"/>
      <c r="E542" s="184"/>
      <c r="F542" s="203"/>
      <c r="G542" s="203"/>
      <c r="H542" s="204"/>
      <c r="I542" s="204"/>
    </row>
    <row r="543" spans="1:9" s="17" customFormat="1">
      <c r="A543" s="202"/>
      <c r="B543" s="202"/>
      <c r="C543" s="184"/>
      <c r="D543" s="184"/>
      <c r="E543" s="184"/>
      <c r="F543" s="203"/>
      <c r="G543" s="203"/>
      <c r="H543" s="204"/>
      <c r="I543" s="204"/>
    </row>
    <row r="544" spans="1:9" s="17" customFormat="1">
      <c r="A544" s="202"/>
      <c r="B544" s="202"/>
      <c r="C544" s="184"/>
      <c r="D544" s="184"/>
      <c r="E544" s="184"/>
      <c r="F544" s="203"/>
      <c r="G544" s="203"/>
      <c r="H544" s="204"/>
      <c r="I544" s="204"/>
    </row>
    <row r="545" spans="1:9" s="17" customFormat="1">
      <c r="A545" s="202"/>
      <c r="B545" s="202"/>
      <c r="C545" s="184"/>
      <c r="D545" s="184"/>
      <c r="E545" s="184"/>
      <c r="F545" s="203"/>
      <c r="G545" s="203"/>
      <c r="H545" s="204"/>
      <c r="I545" s="204"/>
    </row>
    <row r="546" spans="1:9" s="17" customFormat="1">
      <c r="A546" s="202"/>
      <c r="B546" s="202"/>
      <c r="C546" s="184"/>
      <c r="D546" s="184"/>
      <c r="E546" s="184"/>
      <c r="F546" s="203"/>
      <c r="G546" s="203"/>
      <c r="H546" s="204"/>
      <c r="I546" s="204"/>
    </row>
    <row r="547" spans="1:9" s="17" customFormat="1">
      <c r="A547" s="202"/>
      <c r="B547" s="202"/>
      <c r="C547" s="184"/>
      <c r="D547" s="184"/>
      <c r="E547" s="184"/>
      <c r="F547" s="203"/>
      <c r="G547" s="203"/>
      <c r="H547" s="204"/>
      <c r="I547" s="204"/>
    </row>
    <row r="548" spans="1:9" s="17" customFormat="1">
      <c r="A548" s="202"/>
      <c r="B548" s="202"/>
      <c r="C548" s="184"/>
      <c r="D548" s="184"/>
      <c r="E548" s="184"/>
      <c r="F548" s="203"/>
      <c r="G548" s="203"/>
      <c r="H548" s="204"/>
      <c r="I548" s="204"/>
    </row>
    <row r="549" spans="1:9" s="17" customFormat="1">
      <c r="A549" s="202"/>
      <c r="B549" s="202"/>
      <c r="C549" s="184"/>
      <c r="D549" s="184"/>
      <c r="E549" s="184"/>
      <c r="F549" s="203"/>
      <c r="G549" s="203"/>
      <c r="H549" s="204"/>
      <c r="I549" s="204"/>
    </row>
    <row r="550" spans="1:9" s="17" customFormat="1">
      <c r="A550" s="202"/>
      <c r="B550" s="202"/>
      <c r="C550" s="184"/>
      <c r="D550" s="184"/>
      <c r="E550" s="184"/>
      <c r="F550" s="203"/>
      <c r="G550" s="203"/>
      <c r="H550" s="204"/>
      <c r="I550" s="204"/>
    </row>
    <row r="551" spans="1:9" s="17" customFormat="1">
      <c r="A551" s="202"/>
      <c r="B551" s="202"/>
      <c r="C551" s="184"/>
      <c r="D551" s="184"/>
      <c r="E551" s="184"/>
      <c r="F551" s="203"/>
      <c r="G551" s="203"/>
      <c r="H551" s="204"/>
      <c r="I551" s="204"/>
    </row>
    <row r="552" spans="1:9" s="17" customFormat="1">
      <c r="A552" s="202"/>
      <c r="B552" s="202"/>
      <c r="C552" s="184"/>
      <c r="D552" s="184"/>
      <c r="E552" s="184"/>
      <c r="F552" s="203"/>
      <c r="G552" s="203"/>
      <c r="H552" s="204"/>
      <c r="I552" s="204"/>
    </row>
    <row r="553" spans="1:9" s="17" customFormat="1">
      <c r="A553" s="202"/>
      <c r="B553" s="202"/>
      <c r="C553" s="184"/>
      <c r="D553" s="184"/>
      <c r="E553" s="184"/>
      <c r="F553" s="203"/>
      <c r="G553" s="203"/>
      <c r="H553" s="204"/>
      <c r="I553" s="204"/>
    </row>
    <row r="554" spans="1:9" s="17" customFormat="1">
      <c r="A554" s="202"/>
      <c r="B554" s="202"/>
      <c r="C554" s="184"/>
      <c r="D554" s="184"/>
      <c r="E554" s="184"/>
      <c r="F554" s="203"/>
      <c r="G554" s="203"/>
      <c r="H554" s="204"/>
      <c r="I554" s="204"/>
    </row>
    <row r="555" spans="1:9" s="17" customFormat="1">
      <c r="A555" s="202"/>
      <c r="B555" s="202"/>
      <c r="C555" s="184"/>
      <c r="D555" s="184"/>
      <c r="E555" s="184"/>
      <c r="F555" s="203"/>
      <c r="G555" s="203"/>
      <c r="H555" s="204"/>
      <c r="I555" s="204"/>
    </row>
    <row r="556" spans="1:9" s="17" customFormat="1">
      <c r="A556" s="202"/>
      <c r="B556" s="202"/>
      <c r="C556" s="184"/>
      <c r="D556" s="184"/>
      <c r="E556" s="184"/>
      <c r="F556" s="203"/>
      <c r="G556" s="203"/>
      <c r="H556" s="204"/>
      <c r="I556" s="204"/>
    </row>
    <row r="557" spans="1:9" s="17" customFormat="1">
      <c r="A557" s="202"/>
      <c r="B557" s="202"/>
      <c r="C557" s="184"/>
      <c r="D557" s="184"/>
      <c r="E557" s="184"/>
      <c r="F557" s="203"/>
      <c r="G557" s="203"/>
      <c r="H557" s="204"/>
      <c r="I557" s="204"/>
    </row>
    <row r="558" spans="1:9" s="17" customFormat="1">
      <c r="A558" s="202"/>
      <c r="B558" s="202"/>
      <c r="C558" s="184"/>
      <c r="D558" s="184"/>
      <c r="E558" s="184"/>
      <c r="F558" s="203"/>
      <c r="G558" s="203"/>
      <c r="H558" s="204"/>
      <c r="I558" s="204"/>
    </row>
    <row r="559" spans="1:9" s="17" customFormat="1">
      <c r="A559" s="202"/>
      <c r="B559" s="202"/>
      <c r="C559" s="184"/>
      <c r="D559" s="184"/>
      <c r="E559" s="184"/>
      <c r="F559" s="203"/>
      <c r="G559" s="203"/>
      <c r="H559" s="204"/>
      <c r="I559" s="204"/>
    </row>
    <row r="560" spans="1:9" s="17" customFormat="1">
      <c r="A560" s="202"/>
      <c r="B560" s="202"/>
      <c r="C560" s="184"/>
      <c r="D560" s="184"/>
      <c r="E560" s="184"/>
      <c r="F560" s="203"/>
      <c r="G560" s="203"/>
      <c r="H560" s="204"/>
      <c r="I560" s="204"/>
    </row>
    <row r="561" spans="1:9" s="17" customFormat="1">
      <c r="A561" s="202"/>
      <c r="B561" s="202"/>
      <c r="C561" s="184"/>
      <c r="D561" s="184"/>
      <c r="E561" s="184"/>
      <c r="F561" s="203"/>
      <c r="G561" s="203"/>
      <c r="H561" s="204"/>
      <c r="I561" s="204"/>
    </row>
    <row r="562" spans="1:9" s="17" customFormat="1">
      <c r="A562" s="202"/>
      <c r="B562" s="202"/>
      <c r="C562" s="184"/>
      <c r="D562" s="184"/>
      <c r="E562" s="184"/>
      <c r="F562" s="203"/>
      <c r="G562" s="203"/>
      <c r="H562" s="204"/>
      <c r="I562" s="204"/>
    </row>
    <row r="563" spans="1:9" s="17" customFormat="1">
      <c r="A563" s="202"/>
      <c r="B563" s="202"/>
      <c r="C563" s="184"/>
      <c r="D563" s="184"/>
      <c r="E563" s="184"/>
      <c r="F563" s="203"/>
      <c r="G563" s="203"/>
      <c r="H563" s="204"/>
      <c r="I563" s="204"/>
    </row>
    <row r="564" spans="1:9" s="17" customFormat="1">
      <c r="A564" s="202"/>
      <c r="B564" s="202"/>
      <c r="C564" s="184"/>
      <c r="D564" s="184"/>
      <c r="E564" s="184"/>
      <c r="F564" s="203"/>
      <c r="G564" s="203"/>
      <c r="H564" s="204"/>
      <c r="I564" s="204"/>
    </row>
    <row r="565" spans="1:9" s="17" customFormat="1">
      <c r="A565" s="202"/>
      <c r="B565" s="202"/>
      <c r="C565" s="184"/>
      <c r="D565" s="184"/>
      <c r="E565" s="184"/>
      <c r="F565" s="203"/>
      <c r="G565" s="203"/>
      <c r="H565" s="204"/>
      <c r="I565" s="204"/>
    </row>
    <row r="566" spans="1:9" s="17" customFormat="1">
      <c r="A566" s="202"/>
      <c r="B566" s="202"/>
      <c r="C566" s="184"/>
      <c r="D566" s="184"/>
      <c r="E566" s="184"/>
      <c r="F566" s="203"/>
      <c r="G566" s="203"/>
      <c r="H566" s="204"/>
      <c r="I566" s="204"/>
    </row>
    <row r="567" spans="1:9" s="17" customFormat="1">
      <c r="A567" s="202"/>
      <c r="B567" s="202"/>
      <c r="C567" s="184"/>
      <c r="D567" s="184"/>
      <c r="E567" s="184"/>
      <c r="F567" s="203"/>
      <c r="G567" s="203"/>
      <c r="H567" s="204"/>
      <c r="I567" s="204"/>
    </row>
    <row r="568" spans="1:9" s="17" customFormat="1">
      <c r="A568" s="202"/>
      <c r="B568" s="202"/>
      <c r="C568" s="184"/>
      <c r="D568" s="184"/>
      <c r="E568" s="184"/>
      <c r="F568" s="203"/>
      <c r="G568" s="203"/>
      <c r="H568" s="204"/>
      <c r="I568" s="204"/>
    </row>
    <row r="569" spans="1:9" s="17" customFormat="1">
      <c r="A569" s="202"/>
      <c r="B569" s="202"/>
      <c r="C569" s="184"/>
      <c r="D569" s="184"/>
      <c r="E569" s="184"/>
      <c r="F569" s="203"/>
      <c r="G569" s="203"/>
      <c r="H569" s="204"/>
      <c r="I569" s="204"/>
    </row>
    <row r="570" spans="1:9" s="17" customFormat="1">
      <c r="A570" s="202"/>
      <c r="B570" s="202"/>
      <c r="C570" s="184"/>
      <c r="D570" s="184"/>
      <c r="E570" s="184"/>
      <c r="F570" s="203"/>
      <c r="G570" s="203"/>
      <c r="H570" s="204"/>
      <c r="I570" s="204"/>
    </row>
    <row r="571" spans="1:9" s="17" customFormat="1">
      <c r="A571" s="202"/>
      <c r="B571" s="202"/>
      <c r="C571" s="184"/>
      <c r="D571" s="184"/>
      <c r="E571" s="184"/>
      <c r="F571" s="203"/>
      <c r="G571" s="203"/>
      <c r="H571" s="204"/>
      <c r="I571" s="204"/>
    </row>
    <row r="572" spans="1:9" s="17" customFormat="1">
      <c r="A572" s="202"/>
      <c r="B572" s="202"/>
      <c r="C572" s="184"/>
      <c r="D572" s="184"/>
      <c r="E572" s="184"/>
      <c r="F572" s="203"/>
      <c r="G572" s="203"/>
      <c r="H572" s="204"/>
      <c r="I572" s="204"/>
    </row>
    <row r="573" spans="1:9" s="17" customFormat="1">
      <c r="A573" s="202"/>
      <c r="B573" s="202"/>
      <c r="C573" s="184"/>
      <c r="D573" s="184"/>
      <c r="E573" s="184"/>
      <c r="F573" s="203"/>
      <c r="G573" s="203"/>
      <c r="H573" s="204"/>
      <c r="I573" s="204"/>
    </row>
    <row r="574" spans="1:9" s="17" customFormat="1">
      <c r="A574" s="202"/>
      <c r="B574" s="202"/>
      <c r="C574" s="184"/>
      <c r="D574" s="184"/>
      <c r="E574" s="184"/>
      <c r="F574" s="203"/>
      <c r="G574" s="203"/>
      <c r="H574" s="204"/>
      <c r="I574" s="204"/>
    </row>
    <row r="575" spans="1:9" s="17" customFormat="1">
      <c r="A575" s="202"/>
      <c r="B575" s="202"/>
      <c r="C575" s="184"/>
      <c r="D575" s="184"/>
      <c r="E575" s="184"/>
      <c r="F575" s="203"/>
      <c r="G575" s="203"/>
      <c r="H575" s="204"/>
      <c r="I575" s="204"/>
    </row>
    <row r="576" spans="1:9" s="17" customFormat="1">
      <c r="A576" s="202"/>
      <c r="B576" s="202"/>
      <c r="C576" s="184"/>
      <c r="D576" s="184"/>
      <c r="E576" s="184"/>
      <c r="F576" s="203"/>
      <c r="G576" s="203"/>
      <c r="H576" s="204"/>
      <c r="I576" s="204"/>
    </row>
    <row r="577" spans="1:9" s="17" customFormat="1">
      <c r="A577" s="202"/>
      <c r="B577" s="202"/>
      <c r="C577" s="184"/>
      <c r="D577" s="184"/>
      <c r="E577" s="184"/>
      <c r="F577" s="203"/>
      <c r="G577" s="203"/>
      <c r="H577" s="204"/>
      <c r="I577" s="204"/>
    </row>
    <row r="578" spans="1:9" s="17" customFormat="1">
      <c r="A578" s="202"/>
      <c r="B578" s="202"/>
      <c r="C578" s="184"/>
      <c r="D578" s="184"/>
      <c r="E578" s="184"/>
      <c r="F578" s="203"/>
      <c r="G578" s="203"/>
      <c r="H578" s="204"/>
      <c r="I578" s="204"/>
    </row>
    <row r="579" spans="1:9" s="17" customFormat="1">
      <c r="A579" s="202"/>
      <c r="B579" s="202"/>
      <c r="C579" s="184"/>
      <c r="D579" s="184"/>
      <c r="E579" s="184"/>
      <c r="F579" s="203"/>
      <c r="G579" s="203"/>
      <c r="H579" s="204"/>
      <c r="I579" s="204"/>
    </row>
    <row r="580" spans="1:9" s="17" customFormat="1">
      <c r="A580" s="202"/>
      <c r="B580" s="202"/>
      <c r="C580" s="184"/>
      <c r="D580" s="184"/>
      <c r="E580" s="184"/>
      <c r="F580" s="203"/>
      <c r="G580" s="203"/>
      <c r="H580" s="204"/>
      <c r="I580" s="204"/>
    </row>
    <row r="581" spans="1:9" s="17" customFormat="1">
      <c r="A581" s="202"/>
      <c r="B581" s="202"/>
      <c r="C581" s="184"/>
      <c r="D581" s="184"/>
      <c r="E581" s="184"/>
      <c r="F581" s="203"/>
      <c r="G581" s="203"/>
      <c r="H581" s="204"/>
      <c r="I581" s="204"/>
    </row>
    <row r="582" spans="1:9" s="17" customFormat="1">
      <c r="A582" s="202"/>
      <c r="B582" s="202"/>
      <c r="C582" s="184"/>
      <c r="D582" s="184"/>
      <c r="E582" s="184"/>
      <c r="F582" s="203"/>
      <c r="G582" s="203"/>
      <c r="H582" s="204"/>
      <c r="I582" s="204"/>
    </row>
    <row r="583" spans="1:9" s="17" customFormat="1">
      <c r="A583" s="202"/>
      <c r="B583" s="202"/>
      <c r="C583" s="184"/>
      <c r="D583" s="184"/>
      <c r="E583" s="184"/>
      <c r="F583" s="203"/>
      <c r="G583" s="203"/>
      <c r="H583" s="204"/>
      <c r="I583" s="204"/>
    </row>
    <row r="584" spans="1:9" s="17" customFormat="1">
      <c r="A584" s="202"/>
      <c r="B584" s="202"/>
      <c r="C584" s="184"/>
      <c r="D584" s="184"/>
      <c r="E584" s="184"/>
      <c r="F584" s="203"/>
      <c r="G584" s="203"/>
      <c r="H584" s="204"/>
      <c r="I584" s="204"/>
    </row>
    <row r="585" spans="1:9" s="17" customFormat="1">
      <c r="A585" s="202"/>
      <c r="B585" s="202"/>
      <c r="C585" s="184"/>
      <c r="D585" s="184"/>
      <c r="E585" s="184"/>
      <c r="F585" s="203"/>
      <c r="G585" s="203"/>
      <c r="H585" s="204"/>
      <c r="I585" s="204"/>
    </row>
    <row r="586" spans="1:9" s="17" customFormat="1">
      <c r="A586" s="202"/>
      <c r="B586" s="202"/>
      <c r="C586" s="184"/>
      <c r="D586" s="184"/>
      <c r="E586" s="184"/>
      <c r="F586" s="203"/>
      <c r="G586" s="203"/>
      <c r="H586" s="204"/>
      <c r="I586" s="204"/>
    </row>
    <row r="587" spans="1:9" s="17" customFormat="1">
      <c r="A587" s="202"/>
      <c r="B587" s="202"/>
      <c r="C587" s="184"/>
      <c r="D587" s="184"/>
      <c r="E587" s="184"/>
      <c r="F587" s="203"/>
      <c r="G587" s="203"/>
      <c r="H587" s="204"/>
      <c r="I587" s="204"/>
    </row>
    <row r="588" spans="1:9" s="17" customFormat="1">
      <c r="A588" s="202"/>
      <c r="B588" s="202"/>
      <c r="C588" s="184"/>
      <c r="D588" s="184"/>
      <c r="E588" s="184"/>
      <c r="F588" s="203"/>
      <c r="G588" s="203"/>
      <c r="H588" s="204"/>
      <c r="I588" s="204"/>
    </row>
    <row r="589" spans="1:9" s="17" customFormat="1">
      <c r="A589" s="202"/>
      <c r="B589" s="202"/>
      <c r="C589" s="184"/>
      <c r="D589" s="184"/>
      <c r="E589" s="184"/>
      <c r="F589" s="203"/>
      <c r="G589" s="203"/>
      <c r="H589" s="204"/>
      <c r="I589" s="204"/>
    </row>
    <row r="590" spans="1:9" s="17" customFormat="1">
      <c r="A590" s="202"/>
      <c r="B590" s="202"/>
      <c r="C590" s="184"/>
      <c r="D590" s="184"/>
      <c r="E590" s="184"/>
      <c r="F590" s="203"/>
      <c r="G590" s="203"/>
      <c r="H590" s="204"/>
      <c r="I590" s="204"/>
    </row>
    <row r="591" spans="1:9" s="17" customFormat="1">
      <c r="A591" s="202"/>
      <c r="B591" s="202"/>
      <c r="C591" s="184"/>
      <c r="D591" s="184"/>
      <c r="E591" s="184"/>
      <c r="F591" s="203"/>
      <c r="G591" s="203"/>
      <c r="H591" s="204"/>
      <c r="I591" s="204"/>
    </row>
    <row r="592" spans="1:9" s="17" customFormat="1">
      <c r="A592" s="202"/>
      <c r="B592" s="202"/>
      <c r="C592" s="184"/>
      <c r="D592" s="184"/>
      <c r="E592" s="184"/>
      <c r="F592" s="203"/>
      <c r="G592" s="203"/>
      <c r="H592" s="204"/>
      <c r="I592" s="204"/>
    </row>
    <row r="593" spans="1:9" s="17" customFormat="1">
      <c r="A593" s="202"/>
      <c r="B593" s="202"/>
      <c r="C593" s="184"/>
      <c r="D593" s="184"/>
      <c r="E593" s="184"/>
      <c r="F593" s="203"/>
      <c r="G593" s="203"/>
      <c r="H593" s="204"/>
      <c r="I593" s="204"/>
    </row>
    <row r="594" spans="1:9" s="17" customFormat="1">
      <c r="A594" s="202"/>
      <c r="B594" s="202"/>
      <c r="C594" s="184"/>
      <c r="D594" s="184"/>
      <c r="E594" s="184"/>
      <c r="F594" s="203"/>
      <c r="G594" s="203"/>
      <c r="H594" s="204"/>
      <c r="I594" s="204"/>
    </row>
    <row r="595" spans="1:9" s="17" customFormat="1">
      <c r="A595" s="202"/>
      <c r="B595" s="202"/>
      <c r="C595" s="184"/>
      <c r="D595" s="184"/>
      <c r="E595" s="184"/>
      <c r="F595" s="203"/>
      <c r="G595" s="203"/>
      <c r="H595" s="204"/>
      <c r="I595" s="204"/>
    </row>
    <row r="596" spans="1:9" s="17" customFormat="1">
      <c r="A596" s="202"/>
      <c r="B596" s="202"/>
      <c r="C596" s="184"/>
      <c r="D596" s="184"/>
      <c r="E596" s="184"/>
      <c r="F596" s="203"/>
      <c r="G596" s="203"/>
      <c r="H596" s="204"/>
      <c r="I596" s="204"/>
    </row>
    <row r="597" spans="1:9" s="17" customFormat="1">
      <c r="A597" s="202"/>
      <c r="B597" s="202"/>
      <c r="C597" s="184"/>
      <c r="D597" s="184"/>
      <c r="E597" s="184"/>
      <c r="F597" s="203"/>
      <c r="G597" s="203"/>
      <c r="H597" s="204"/>
      <c r="I597" s="204"/>
    </row>
    <row r="598" spans="1:9" s="17" customFormat="1">
      <c r="A598" s="202"/>
      <c r="B598" s="202"/>
      <c r="C598" s="184"/>
      <c r="D598" s="184"/>
      <c r="E598" s="184"/>
      <c r="F598" s="203"/>
      <c r="G598" s="203"/>
      <c r="H598" s="204"/>
      <c r="I598" s="204"/>
    </row>
    <row r="599" spans="1:9" s="17" customFormat="1">
      <c r="A599" s="202"/>
      <c r="B599" s="202"/>
      <c r="C599" s="184"/>
      <c r="D599" s="184"/>
      <c r="E599" s="184"/>
      <c r="F599" s="203"/>
      <c r="G599" s="203"/>
      <c r="H599" s="204"/>
      <c r="I599" s="204"/>
    </row>
    <row r="600" spans="1:9" s="17" customFormat="1">
      <c r="A600" s="202"/>
      <c r="B600" s="202"/>
      <c r="C600" s="184"/>
      <c r="D600" s="184"/>
      <c r="E600" s="184"/>
      <c r="F600" s="203"/>
      <c r="G600" s="203"/>
      <c r="H600" s="204"/>
      <c r="I600" s="204"/>
    </row>
    <row r="601" spans="1:9" s="17" customFormat="1">
      <c r="A601" s="202"/>
      <c r="B601" s="202"/>
      <c r="C601" s="184"/>
      <c r="D601" s="184"/>
      <c r="E601" s="184"/>
      <c r="F601" s="203"/>
      <c r="G601" s="203"/>
      <c r="H601" s="204"/>
      <c r="I601" s="204"/>
    </row>
    <row r="602" spans="1:9" s="17" customFormat="1">
      <c r="A602" s="202"/>
      <c r="B602" s="202"/>
      <c r="C602" s="184"/>
      <c r="D602" s="184"/>
      <c r="E602" s="184"/>
      <c r="F602" s="203"/>
      <c r="G602" s="203"/>
      <c r="H602" s="204"/>
      <c r="I602" s="204"/>
    </row>
    <row r="603" spans="1:9" s="17" customFormat="1">
      <c r="A603" s="202"/>
      <c r="B603" s="202"/>
      <c r="C603" s="184"/>
      <c r="D603" s="184"/>
      <c r="E603" s="184"/>
      <c r="F603" s="203"/>
      <c r="G603" s="203"/>
      <c r="H603" s="204"/>
      <c r="I603" s="204"/>
    </row>
    <row r="604" spans="1:9" s="17" customFormat="1">
      <c r="A604" s="202"/>
      <c r="B604" s="202"/>
      <c r="C604" s="184"/>
      <c r="D604" s="184"/>
      <c r="E604" s="184"/>
      <c r="F604" s="203"/>
      <c r="G604" s="203"/>
      <c r="H604" s="204"/>
      <c r="I604" s="204"/>
    </row>
    <row r="605" spans="1:9" s="17" customFormat="1">
      <c r="A605" s="202"/>
      <c r="B605" s="202"/>
      <c r="C605" s="184"/>
      <c r="D605" s="184"/>
      <c r="E605" s="184"/>
      <c r="F605" s="203"/>
      <c r="G605" s="203"/>
      <c r="H605" s="204"/>
      <c r="I605" s="204"/>
    </row>
    <row r="606" spans="1:9" s="17" customFormat="1">
      <c r="A606" s="202"/>
      <c r="B606" s="202"/>
      <c r="C606" s="184"/>
      <c r="D606" s="184"/>
      <c r="E606" s="184"/>
      <c r="F606" s="203"/>
      <c r="G606" s="203"/>
      <c r="H606" s="204"/>
      <c r="I606" s="204"/>
    </row>
    <row r="607" spans="1:9" s="17" customFormat="1">
      <c r="A607" s="202"/>
      <c r="B607" s="202"/>
      <c r="C607" s="184"/>
      <c r="D607" s="184"/>
      <c r="E607" s="184"/>
      <c r="F607" s="203"/>
      <c r="G607" s="203"/>
      <c r="H607" s="204"/>
      <c r="I607" s="204"/>
    </row>
    <row r="608" spans="1:9" s="17" customFormat="1">
      <c r="A608" s="202"/>
      <c r="B608" s="202"/>
      <c r="C608" s="184"/>
      <c r="D608" s="184"/>
      <c r="E608" s="184"/>
      <c r="F608" s="203"/>
      <c r="G608" s="203"/>
      <c r="H608" s="204"/>
      <c r="I608" s="204"/>
    </row>
    <row r="609" spans="1:9" s="17" customFormat="1">
      <c r="A609" s="202"/>
      <c r="B609" s="202"/>
      <c r="C609" s="184"/>
      <c r="D609" s="184"/>
      <c r="E609" s="184"/>
      <c r="F609" s="203"/>
      <c r="G609" s="203"/>
      <c r="H609" s="204"/>
      <c r="I609" s="204"/>
    </row>
    <row r="610" spans="1:9" s="17" customFormat="1">
      <c r="A610" s="202"/>
      <c r="B610" s="202"/>
      <c r="C610" s="184"/>
      <c r="D610" s="184"/>
      <c r="E610" s="184"/>
      <c r="F610" s="203"/>
      <c r="G610" s="203"/>
      <c r="H610" s="204"/>
      <c r="I610" s="204"/>
    </row>
    <row r="611" spans="1:9" s="17" customFormat="1">
      <c r="A611" s="202"/>
      <c r="B611" s="202"/>
      <c r="C611" s="184"/>
      <c r="D611" s="184"/>
      <c r="E611" s="184"/>
      <c r="F611" s="203"/>
      <c r="G611" s="203"/>
      <c r="H611" s="204"/>
      <c r="I611" s="204"/>
    </row>
    <row r="612" spans="1:9" s="17" customFormat="1">
      <c r="A612" s="202"/>
      <c r="B612" s="202"/>
      <c r="C612" s="184"/>
      <c r="D612" s="184"/>
      <c r="E612" s="184"/>
      <c r="F612" s="203"/>
      <c r="G612" s="203"/>
      <c r="H612" s="204"/>
      <c r="I612" s="204"/>
    </row>
    <row r="613" spans="1:9" s="17" customFormat="1">
      <c r="A613" s="202"/>
      <c r="B613" s="202"/>
      <c r="C613" s="184"/>
      <c r="D613" s="184"/>
      <c r="E613" s="184"/>
      <c r="F613" s="203"/>
      <c r="G613" s="203"/>
      <c r="H613" s="204"/>
      <c r="I613" s="204"/>
    </row>
    <row r="614" spans="1:9" s="17" customFormat="1">
      <c r="A614" s="202"/>
      <c r="B614" s="202"/>
      <c r="C614" s="184"/>
      <c r="D614" s="184"/>
      <c r="E614" s="184"/>
      <c r="F614" s="203"/>
      <c r="G614" s="203"/>
      <c r="H614" s="204"/>
      <c r="I614" s="204"/>
    </row>
    <row r="615" spans="1:9" s="17" customFormat="1">
      <c r="A615" s="202"/>
      <c r="B615" s="202"/>
      <c r="C615" s="184"/>
      <c r="D615" s="184"/>
      <c r="E615" s="184"/>
      <c r="F615" s="203"/>
      <c r="G615" s="203"/>
      <c r="H615" s="204"/>
      <c r="I615" s="204"/>
    </row>
    <row r="616" spans="1:9" s="17" customFormat="1">
      <c r="A616" s="202"/>
      <c r="B616" s="202"/>
      <c r="C616" s="184"/>
      <c r="D616" s="184"/>
      <c r="E616" s="184"/>
      <c r="F616" s="203"/>
      <c r="G616" s="203"/>
      <c r="H616" s="204"/>
      <c r="I616" s="204"/>
    </row>
    <row r="617" spans="1:9" s="17" customFormat="1">
      <c r="A617" s="202"/>
      <c r="B617" s="202"/>
      <c r="C617" s="184"/>
      <c r="D617" s="184"/>
      <c r="E617" s="184"/>
      <c r="F617" s="203"/>
      <c r="G617" s="203"/>
      <c r="H617" s="204"/>
      <c r="I617" s="204"/>
    </row>
    <row r="618" spans="1:9" s="17" customFormat="1">
      <c r="A618" s="202"/>
      <c r="B618" s="202"/>
      <c r="C618" s="184"/>
      <c r="D618" s="184"/>
      <c r="E618" s="184"/>
      <c r="F618" s="203"/>
      <c r="G618" s="203"/>
      <c r="H618" s="204"/>
      <c r="I618" s="204"/>
    </row>
    <row r="619" spans="1:9" s="17" customFormat="1">
      <c r="A619" s="202"/>
      <c r="B619" s="202"/>
      <c r="C619" s="184"/>
      <c r="D619" s="184"/>
      <c r="E619" s="184"/>
      <c r="F619" s="203"/>
      <c r="G619" s="203"/>
      <c r="H619" s="204"/>
      <c r="I619" s="204"/>
    </row>
    <row r="620" spans="1:9" s="17" customFormat="1">
      <c r="A620" s="202"/>
      <c r="B620" s="202"/>
      <c r="C620" s="184"/>
      <c r="D620" s="184"/>
      <c r="E620" s="184"/>
      <c r="F620" s="203"/>
      <c r="G620" s="203"/>
      <c r="H620" s="204"/>
      <c r="I620" s="204"/>
    </row>
    <row r="621" spans="1:9" s="17" customFormat="1">
      <c r="A621" s="202"/>
      <c r="B621" s="202"/>
      <c r="C621" s="184"/>
      <c r="D621" s="184"/>
      <c r="E621" s="184"/>
      <c r="F621" s="203"/>
      <c r="G621" s="203"/>
      <c r="H621" s="204"/>
      <c r="I621" s="204"/>
    </row>
    <row r="622" spans="1:9" s="17" customFormat="1">
      <c r="A622" s="202"/>
      <c r="B622" s="202"/>
      <c r="C622" s="184"/>
      <c r="D622" s="184"/>
      <c r="E622" s="184"/>
      <c r="F622" s="203"/>
      <c r="G622" s="203"/>
      <c r="H622" s="204"/>
      <c r="I622" s="204"/>
    </row>
    <row r="623" spans="1:9" s="17" customFormat="1">
      <c r="A623" s="202"/>
      <c r="B623" s="202"/>
      <c r="C623" s="184"/>
      <c r="D623" s="184"/>
      <c r="E623" s="184"/>
      <c r="F623" s="203"/>
      <c r="G623" s="203"/>
      <c r="H623" s="204"/>
      <c r="I623" s="204"/>
    </row>
    <row r="624" spans="1:9" s="17" customFormat="1">
      <c r="A624" s="202"/>
      <c r="B624" s="202"/>
      <c r="C624" s="184"/>
      <c r="D624" s="184"/>
      <c r="E624" s="184"/>
      <c r="F624" s="203"/>
      <c r="G624" s="203"/>
      <c r="H624" s="204"/>
      <c r="I624" s="204"/>
    </row>
    <row r="625" spans="1:9" s="17" customFormat="1">
      <c r="A625" s="202"/>
      <c r="B625" s="202"/>
      <c r="C625" s="184"/>
      <c r="D625" s="184"/>
      <c r="E625" s="184"/>
      <c r="F625" s="203"/>
      <c r="G625" s="203"/>
      <c r="H625" s="204"/>
      <c r="I625" s="204"/>
    </row>
    <row r="626" spans="1:9" s="17" customFormat="1">
      <c r="A626" s="202"/>
      <c r="B626" s="202"/>
      <c r="C626" s="184"/>
      <c r="D626" s="184"/>
      <c r="E626" s="184"/>
      <c r="F626" s="203"/>
      <c r="G626" s="203"/>
      <c r="H626" s="204"/>
      <c r="I626" s="204"/>
    </row>
    <row r="627" spans="1:9" s="17" customFormat="1">
      <c r="A627" s="202"/>
      <c r="B627" s="202"/>
      <c r="C627" s="184"/>
      <c r="D627" s="184"/>
      <c r="E627" s="184"/>
      <c r="F627" s="203"/>
      <c r="G627" s="203"/>
      <c r="H627" s="204"/>
      <c r="I627" s="204"/>
    </row>
    <row r="628" spans="1:9" s="17" customFormat="1">
      <c r="A628" s="202"/>
      <c r="B628" s="202"/>
      <c r="C628" s="184"/>
      <c r="D628" s="184"/>
      <c r="E628" s="184"/>
      <c r="F628" s="203"/>
      <c r="G628" s="203"/>
      <c r="H628" s="204"/>
      <c r="I628" s="204"/>
    </row>
    <row r="629" spans="1:9" s="17" customFormat="1">
      <c r="A629" s="202"/>
      <c r="B629" s="202"/>
      <c r="C629" s="184"/>
      <c r="D629" s="184"/>
      <c r="E629" s="184"/>
      <c r="F629" s="203"/>
      <c r="G629" s="203"/>
      <c r="H629" s="204"/>
      <c r="I629" s="204"/>
    </row>
    <row r="630" spans="1:9" s="17" customFormat="1">
      <c r="A630" s="202"/>
      <c r="B630" s="202"/>
      <c r="C630" s="184"/>
      <c r="D630" s="184"/>
      <c r="E630" s="184"/>
      <c r="F630" s="203"/>
      <c r="G630" s="203"/>
      <c r="H630" s="204"/>
      <c r="I630" s="204"/>
    </row>
    <row r="631" spans="1:9" s="17" customFormat="1">
      <c r="A631" s="202"/>
      <c r="B631" s="202"/>
      <c r="C631" s="184"/>
      <c r="D631" s="184"/>
      <c r="E631" s="184"/>
      <c r="F631" s="203"/>
      <c r="G631" s="203"/>
      <c r="H631" s="204"/>
      <c r="I631" s="204"/>
    </row>
    <row r="632" spans="1:9" s="17" customFormat="1">
      <c r="A632" s="202"/>
      <c r="B632" s="202"/>
      <c r="C632" s="184"/>
      <c r="D632" s="184"/>
      <c r="E632" s="184"/>
      <c r="F632" s="203"/>
      <c r="G632" s="203"/>
      <c r="H632" s="204"/>
      <c r="I632" s="204"/>
    </row>
    <row r="633" spans="1:9" s="17" customFormat="1">
      <c r="A633" s="202"/>
      <c r="B633" s="202"/>
      <c r="C633" s="184"/>
      <c r="D633" s="184"/>
      <c r="E633" s="184"/>
      <c r="F633" s="203"/>
      <c r="G633" s="203"/>
      <c r="H633" s="204"/>
      <c r="I633" s="204"/>
    </row>
    <row r="634" spans="1:9" s="17" customFormat="1">
      <c r="A634" s="202"/>
      <c r="B634" s="202"/>
      <c r="C634" s="184"/>
      <c r="D634" s="184"/>
      <c r="E634" s="184"/>
      <c r="F634" s="203"/>
      <c r="G634" s="203"/>
      <c r="H634" s="204"/>
      <c r="I634" s="204"/>
    </row>
    <row r="635" spans="1:9" s="17" customFormat="1">
      <c r="A635" s="202"/>
      <c r="B635" s="202"/>
      <c r="C635" s="184"/>
      <c r="D635" s="184"/>
      <c r="E635" s="184"/>
      <c r="F635" s="203"/>
      <c r="G635" s="203"/>
      <c r="H635" s="204"/>
      <c r="I635" s="204"/>
    </row>
    <row r="636" spans="1:9" s="17" customFormat="1">
      <c r="A636" s="202"/>
      <c r="B636" s="202"/>
      <c r="C636" s="184"/>
      <c r="D636" s="184"/>
      <c r="E636" s="184"/>
      <c r="F636" s="203"/>
      <c r="G636" s="203"/>
      <c r="H636" s="204"/>
      <c r="I636" s="204"/>
    </row>
    <row r="637" spans="1:9" s="17" customFormat="1">
      <c r="A637" s="202"/>
      <c r="B637" s="202"/>
      <c r="C637" s="184"/>
      <c r="D637" s="184"/>
      <c r="E637" s="184"/>
      <c r="F637" s="203"/>
      <c r="G637" s="203"/>
      <c r="H637" s="204"/>
      <c r="I637" s="204"/>
    </row>
    <row r="638" spans="1:9" s="17" customFormat="1">
      <c r="A638" s="202"/>
      <c r="B638" s="202"/>
      <c r="C638" s="184"/>
      <c r="D638" s="184"/>
      <c r="E638" s="184"/>
      <c r="F638" s="203"/>
      <c r="G638" s="203"/>
      <c r="H638" s="204"/>
      <c r="I638" s="204"/>
    </row>
    <row r="639" spans="1:9" s="17" customFormat="1">
      <c r="A639" s="202"/>
      <c r="B639" s="202"/>
      <c r="C639" s="184"/>
      <c r="D639" s="184"/>
      <c r="E639" s="184"/>
      <c r="F639" s="203"/>
      <c r="G639" s="203"/>
      <c r="H639" s="204"/>
      <c r="I639" s="204"/>
    </row>
    <row r="640" spans="1:9" s="17" customFormat="1">
      <c r="A640" s="202"/>
      <c r="B640" s="202"/>
      <c r="C640" s="184"/>
      <c r="D640" s="184"/>
      <c r="E640" s="184"/>
      <c r="F640" s="203"/>
      <c r="G640" s="203"/>
      <c r="H640" s="204"/>
      <c r="I640" s="204"/>
    </row>
    <row r="641" spans="1:9" s="17" customFormat="1">
      <c r="A641" s="202"/>
      <c r="B641" s="202"/>
      <c r="C641" s="184"/>
      <c r="D641" s="184"/>
      <c r="E641" s="184"/>
      <c r="F641" s="203"/>
      <c r="G641" s="203"/>
      <c r="H641" s="204"/>
      <c r="I641" s="204"/>
    </row>
    <row r="642" spans="1:9" s="17" customFormat="1">
      <c r="A642" s="202"/>
      <c r="B642" s="202"/>
      <c r="C642" s="184"/>
      <c r="D642" s="184"/>
      <c r="E642" s="184"/>
      <c r="F642" s="203"/>
      <c r="G642" s="203"/>
      <c r="H642" s="204"/>
      <c r="I642" s="204"/>
    </row>
    <row r="643" spans="1:9" s="17" customFormat="1">
      <c r="A643" s="202"/>
      <c r="B643" s="202"/>
      <c r="C643" s="184"/>
      <c r="D643" s="184"/>
      <c r="E643" s="184"/>
      <c r="F643" s="203"/>
      <c r="G643" s="203"/>
      <c r="H643" s="204"/>
      <c r="I643" s="204"/>
    </row>
    <row r="644" spans="1:9" s="17" customFormat="1">
      <c r="A644" s="202"/>
      <c r="B644" s="202"/>
      <c r="C644" s="184"/>
      <c r="D644" s="184"/>
      <c r="E644" s="184"/>
      <c r="F644" s="203"/>
      <c r="G644" s="203"/>
      <c r="H644" s="204"/>
      <c r="I644" s="204"/>
    </row>
    <row r="645" spans="1:9" s="17" customFormat="1">
      <c r="A645" s="202"/>
      <c r="B645" s="202"/>
      <c r="C645" s="184"/>
      <c r="D645" s="184"/>
      <c r="E645" s="184"/>
      <c r="F645" s="203"/>
      <c r="G645" s="203"/>
      <c r="H645" s="204"/>
      <c r="I645" s="204"/>
    </row>
    <row r="646" spans="1:9" s="17" customFormat="1">
      <c r="A646" s="202"/>
      <c r="B646" s="202"/>
      <c r="C646" s="184"/>
      <c r="D646" s="184"/>
      <c r="E646" s="184"/>
      <c r="F646" s="203"/>
      <c r="G646" s="203"/>
      <c r="H646" s="204"/>
      <c r="I646" s="204"/>
    </row>
    <row r="647" spans="1:9" s="17" customFormat="1">
      <c r="A647" s="202"/>
      <c r="B647" s="202"/>
      <c r="C647" s="184"/>
      <c r="D647" s="184"/>
      <c r="E647" s="184"/>
      <c r="F647" s="203"/>
      <c r="G647" s="203"/>
      <c r="H647" s="204"/>
      <c r="I647" s="204"/>
    </row>
    <row r="648" spans="1:9" s="17" customFormat="1">
      <c r="A648" s="202"/>
      <c r="B648" s="202"/>
      <c r="C648" s="184"/>
      <c r="D648" s="184"/>
      <c r="E648" s="184"/>
      <c r="F648" s="203"/>
      <c r="G648" s="203"/>
      <c r="H648" s="204"/>
      <c r="I648" s="204"/>
    </row>
    <row r="649" spans="1:9" s="17" customFormat="1">
      <c r="A649" s="202"/>
      <c r="B649" s="202"/>
      <c r="C649" s="184"/>
      <c r="D649" s="184"/>
      <c r="E649" s="184"/>
      <c r="F649" s="203"/>
      <c r="G649" s="203"/>
      <c r="H649" s="204"/>
      <c r="I649" s="204"/>
    </row>
    <row r="650" spans="1:9" s="17" customFormat="1">
      <c r="A650" s="202"/>
      <c r="B650" s="202"/>
      <c r="C650" s="184"/>
      <c r="D650" s="184"/>
      <c r="E650" s="184"/>
      <c r="F650" s="203"/>
      <c r="G650" s="203"/>
      <c r="H650" s="204"/>
      <c r="I650" s="204"/>
    </row>
    <row r="651" spans="1:9" s="17" customFormat="1">
      <c r="A651" s="202"/>
      <c r="B651" s="202"/>
      <c r="C651" s="184"/>
      <c r="D651" s="184"/>
      <c r="E651" s="184"/>
      <c r="F651" s="203"/>
      <c r="G651" s="203"/>
      <c r="H651" s="204"/>
      <c r="I651" s="204"/>
    </row>
    <row r="652" spans="1:9" s="17" customFormat="1">
      <c r="A652" s="202"/>
      <c r="B652" s="202"/>
      <c r="C652" s="184"/>
      <c r="D652" s="184"/>
      <c r="E652" s="184"/>
      <c r="F652" s="203"/>
      <c r="G652" s="203"/>
      <c r="H652" s="204"/>
      <c r="I652" s="204"/>
    </row>
    <row r="653" spans="1:9" s="17" customFormat="1">
      <c r="A653" s="202"/>
      <c r="B653" s="202"/>
      <c r="C653" s="184"/>
      <c r="D653" s="184"/>
      <c r="E653" s="184"/>
      <c r="F653" s="203"/>
      <c r="G653" s="203"/>
      <c r="H653" s="204"/>
      <c r="I653" s="204"/>
    </row>
    <row r="654" spans="1:9" s="17" customFormat="1">
      <c r="A654" s="202"/>
      <c r="B654" s="202"/>
      <c r="C654" s="184"/>
      <c r="D654" s="184"/>
      <c r="E654" s="184"/>
      <c r="F654" s="203"/>
      <c r="G654" s="203"/>
      <c r="H654" s="204"/>
      <c r="I654" s="204"/>
    </row>
    <row r="655" spans="1:9" s="17" customFormat="1">
      <c r="A655" s="202"/>
      <c r="B655" s="202"/>
      <c r="C655" s="184"/>
      <c r="D655" s="184"/>
      <c r="E655" s="184"/>
      <c r="F655" s="203"/>
      <c r="G655" s="203"/>
      <c r="H655" s="204"/>
      <c r="I655" s="204"/>
    </row>
    <row r="656" spans="1:9" s="17" customFormat="1">
      <c r="A656" s="202"/>
      <c r="B656" s="202"/>
      <c r="C656" s="184"/>
      <c r="D656" s="184"/>
      <c r="E656" s="184"/>
      <c r="F656" s="203"/>
      <c r="G656" s="203"/>
      <c r="H656" s="204"/>
      <c r="I656" s="204"/>
    </row>
    <row r="657" spans="1:9" s="17" customFormat="1">
      <c r="A657" s="202"/>
      <c r="B657" s="202"/>
      <c r="C657" s="184"/>
      <c r="D657" s="184"/>
      <c r="E657" s="184"/>
      <c r="F657" s="203"/>
      <c r="G657" s="203"/>
      <c r="H657" s="204"/>
      <c r="I657" s="204"/>
    </row>
    <row r="658" spans="1:9" s="17" customFormat="1">
      <c r="A658" s="202"/>
      <c r="B658" s="202"/>
      <c r="C658" s="184"/>
      <c r="D658" s="184"/>
      <c r="E658" s="184"/>
      <c r="F658" s="203"/>
      <c r="G658" s="203"/>
      <c r="H658" s="204"/>
      <c r="I658" s="204"/>
    </row>
    <row r="659" spans="1:9" s="17" customFormat="1">
      <c r="A659" s="202"/>
      <c r="B659" s="202"/>
      <c r="C659" s="184"/>
      <c r="D659" s="184"/>
      <c r="E659" s="184"/>
      <c r="F659" s="203"/>
      <c r="G659" s="203"/>
      <c r="H659" s="204"/>
      <c r="I659" s="204"/>
    </row>
    <row r="660" spans="1:9" s="17" customFormat="1">
      <c r="A660" s="202"/>
      <c r="B660" s="202"/>
      <c r="C660" s="184"/>
      <c r="D660" s="184"/>
      <c r="E660" s="184"/>
      <c r="F660" s="203"/>
      <c r="G660" s="203"/>
      <c r="H660" s="204"/>
      <c r="I660" s="204"/>
    </row>
    <row r="661" spans="1:9" s="17" customFormat="1">
      <c r="A661" s="202"/>
      <c r="B661" s="202"/>
      <c r="C661" s="184"/>
      <c r="D661" s="184"/>
      <c r="E661" s="184"/>
      <c r="F661" s="203"/>
      <c r="G661" s="203"/>
      <c r="H661" s="204"/>
      <c r="I661" s="204"/>
    </row>
    <row r="662" spans="1:9" s="17" customFormat="1">
      <c r="A662" s="202"/>
      <c r="B662" s="202"/>
      <c r="C662" s="184"/>
      <c r="D662" s="184"/>
      <c r="E662" s="184"/>
      <c r="F662" s="203"/>
      <c r="G662" s="203"/>
      <c r="H662" s="204"/>
      <c r="I662" s="204"/>
    </row>
    <row r="663" spans="1:9" s="17" customFormat="1">
      <c r="A663" s="202"/>
      <c r="B663" s="202"/>
      <c r="C663" s="184"/>
      <c r="D663" s="184"/>
      <c r="E663" s="184"/>
      <c r="F663" s="203"/>
      <c r="G663" s="203"/>
      <c r="H663" s="204"/>
      <c r="I663" s="204"/>
    </row>
    <row r="664" spans="1:9" s="17" customFormat="1">
      <c r="A664" s="202"/>
      <c r="B664" s="202"/>
      <c r="C664" s="184"/>
      <c r="D664" s="184"/>
      <c r="E664" s="184"/>
      <c r="F664" s="203"/>
      <c r="G664" s="203"/>
      <c r="H664" s="204"/>
      <c r="I664" s="204"/>
    </row>
    <row r="665" spans="1:9" s="17" customFormat="1">
      <c r="A665" s="202"/>
      <c r="B665" s="202"/>
      <c r="C665" s="184"/>
      <c r="D665" s="184"/>
      <c r="E665" s="184"/>
      <c r="F665" s="203"/>
      <c r="G665" s="203"/>
      <c r="H665" s="204"/>
      <c r="I665" s="204"/>
    </row>
    <row r="666" spans="1:9" s="17" customFormat="1">
      <c r="A666" s="202"/>
      <c r="B666" s="202"/>
      <c r="C666" s="184"/>
      <c r="D666" s="184"/>
      <c r="E666" s="184"/>
      <c r="F666" s="203"/>
      <c r="G666" s="203"/>
      <c r="H666" s="204"/>
      <c r="I666" s="204"/>
    </row>
    <row r="667" spans="1:9" s="17" customFormat="1">
      <c r="A667" s="202"/>
      <c r="B667" s="202"/>
      <c r="C667" s="184"/>
      <c r="D667" s="184"/>
      <c r="E667" s="184"/>
      <c r="F667" s="203"/>
      <c r="G667" s="203"/>
      <c r="H667" s="204"/>
      <c r="I667" s="204"/>
    </row>
    <row r="668" spans="1:9" s="17" customFormat="1">
      <c r="A668" s="202"/>
      <c r="B668" s="202"/>
      <c r="C668" s="184"/>
      <c r="D668" s="184"/>
      <c r="E668" s="184"/>
      <c r="F668" s="203"/>
      <c r="G668" s="203"/>
      <c r="H668" s="204"/>
      <c r="I668" s="204"/>
    </row>
    <row r="669" spans="1:9" s="17" customFormat="1">
      <c r="A669" s="202"/>
      <c r="B669" s="202"/>
      <c r="C669" s="184"/>
      <c r="D669" s="184"/>
      <c r="E669" s="184"/>
      <c r="F669" s="203"/>
      <c r="G669" s="203"/>
      <c r="H669" s="204"/>
      <c r="I669" s="204"/>
    </row>
    <row r="670" spans="1:9" s="17" customFormat="1">
      <c r="A670" s="202"/>
      <c r="B670" s="202"/>
      <c r="C670" s="184"/>
      <c r="D670" s="184"/>
      <c r="E670" s="184"/>
      <c r="F670" s="203"/>
      <c r="G670" s="203"/>
      <c r="H670" s="204"/>
      <c r="I670" s="204"/>
    </row>
    <row r="671" spans="1:9" s="17" customFormat="1">
      <c r="A671" s="202"/>
      <c r="B671" s="202"/>
      <c r="C671" s="184"/>
      <c r="D671" s="184"/>
      <c r="E671" s="184"/>
      <c r="F671" s="203"/>
      <c r="G671" s="203"/>
      <c r="H671" s="204"/>
      <c r="I671" s="204"/>
    </row>
    <row r="672" spans="1:9" s="17" customFormat="1">
      <c r="A672" s="202"/>
      <c r="B672" s="202"/>
      <c r="C672" s="184"/>
      <c r="D672" s="184"/>
      <c r="E672" s="184"/>
      <c r="F672" s="203"/>
      <c r="G672" s="203"/>
      <c r="H672" s="204"/>
      <c r="I672" s="204"/>
    </row>
    <row r="673" spans="1:9" s="17" customFormat="1">
      <c r="A673" s="202"/>
      <c r="B673" s="202"/>
      <c r="C673" s="184"/>
      <c r="D673" s="184"/>
      <c r="E673" s="184"/>
      <c r="F673" s="203"/>
      <c r="G673" s="203"/>
      <c r="H673" s="204"/>
      <c r="I673" s="204"/>
    </row>
    <row r="674" spans="1:9" s="17" customFormat="1">
      <c r="A674" s="202"/>
      <c r="B674" s="202"/>
      <c r="C674" s="184"/>
      <c r="D674" s="184"/>
      <c r="E674" s="184"/>
      <c r="F674" s="203"/>
      <c r="G674" s="203"/>
      <c r="H674" s="204"/>
      <c r="I674" s="204"/>
    </row>
    <row r="675" spans="1:9" s="17" customFormat="1">
      <c r="A675" s="202"/>
      <c r="B675" s="202"/>
      <c r="C675" s="184"/>
      <c r="D675" s="184"/>
      <c r="E675" s="184"/>
      <c r="F675" s="203"/>
      <c r="G675" s="203"/>
      <c r="H675" s="204"/>
      <c r="I675" s="204"/>
    </row>
    <row r="676" spans="1:9" s="17" customFormat="1">
      <c r="A676" s="202"/>
      <c r="B676" s="202"/>
      <c r="C676" s="184"/>
      <c r="D676" s="184"/>
      <c r="E676" s="184"/>
      <c r="F676" s="203"/>
      <c r="G676" s="203"/>
      <c r="H676" s="204"/>
      <c r="I676" s="204"/>
    </row>
    <row r="677" spans="1:9" s="17" customFormat="1">
      <c r="A677" s="202"/>
      <c r="B677" s="202"/>
      <c r="C677" s="184"/>
      <c r="D677" s="184"/>
      <c r="E677" s="184"/>
      <c r="F677" s="203"/>
      <c r="G677" s="203"/>
      <c r="H677" s="204"/>
      <c r="I677" s="204"/>
    </row>
    <row r="678" spans="1:9" s="17" customFormat="1">
      <c r="A678" s="202"/>
      <c r="B678" s="202"/>
      <c r="C678" s="184"/>
      <c r="D678" s="184"/>
      <c r="E678" s="184"/>
      <c r="F678" s="203"/>
      <c r="G678" s="203"/>
      <c r="H678" s="204"/>
      <c r="I678" s="204"/>
    </row>
    <row r="679" spans="1:9" s="17" customFormat="1">
      <c r="A679" s="202"/>
      <c r="B679" s="202"/>
      <c r="C679" s="184"/>
      <c r="D679" s="184"/>
      <c r="E679" s="184"/>
      <c r="F679" s="203"/>
      <c r="G679" s="203"/>
      <c r="H679" s="204"/>
      <c r="I679" s="204"/>
    </row>
    <row r="680" spans="1:9" s="17" customFormat="1">
      <c r="A680" s="202"/>
      <c r="B680" s="202"/>
      <c r="C680" s="184"/>
      <c r="D680" s="184"/>
      <c r="E680" s="184"/>
      <c r="F680" s="203"/>
      <c r="G680" s="203"/>
      <c r="H680" s="204"/>
      <c r="I680" s="204"/>
    </row>
    <row r="681" spans="1:9" s="17" customFormat="1">
      <c r="A681" s="202"/>
      <c r="B681" s="202"/>
      <c r="C681" s="184"/>
      <c r="D681" s="184"/>
      <c r="E681" s="184"/>
      <c r="F681" s="203"/>
      <c r="G681" s="203"/>
      <c r="H681" s="204"/>
      <c r="I681" s="204"/>
    </row>
    <row r="682" spans="1:9" s="17" customFormat="1">
      <c r="A682" s="202"/>
      <c r="B682" s="202"/>
      <c r="C682" s="184"/>
      <c r="D682" s="184"/>
      <c r="E682" s="184"/>
      <c r="F682" s="203"/>
      <c r="G682" s="203"/>
      <c r="H682" s="204"/>
      <c r="I682" s="204"/>
    </row>
    <row r="683" spans="1:9" s="17" customFormat="1">
      <c r="A683" s="202"/>
      <c r="B683" s="202"/>
      <c r="C683" s="184"/>
      <c r="D683" s="184"/>
      <c r="E683" s="184"/>
      <c r="F683" s="203"/>
      <c r="G683" s="203"/>
      <c r="H683" s="204"/>
      <c r="I683" s="204"/>
    </row>
    <row r="684" spans="1:9" s="17" customFormat="1">
      <c r="A684" s="202"/>
      <c r="B684" s="202"/>
      <c r="C684" s="184"/>
      <c r="D684" s="184"/>
      <c r="E684" s="184"/>
      <c r="F684" s="203"/>
      <c r="G684" s="203"/>
      <c r="H684" s="204"/>
      <c r="I684" s="204"/>
    </row>
    <row r="685" spans="1:9" s="17" customFormat="1">
      <c r="A685" s="202"/>
      <c r="B685" s="202"/>
      <c r="C685" s="184"/>
      <c r="D685" s="184"/>
      <c r="E685" s="184"/>
      <c r="F685" s="203"/>
      <c r="G685" s="203"/>
      <c r="H685" s="204"/>
      <c r="I685" s="204"/>
    </row>
    <row r="686" spans="1:9" s="17" customFormat="1">
      <c r="A686" s="202"/>
      <c r="B686" s="202"/>
      <c r="C686" s="184"/>
      <c r="D686" s="184"/>
      <c r="E686" s="184"/>
      <c r="F686" s="203"/>
      <c r="G686" s="203"/>
      <c r="H686" s="204"/>
      <c r="I686" s="204"/>
    </row>
    <row r="687" spans="1:9" s="17" customFormat="1">
      <c r="A687" s="202"/>
      <c r="B687" s="202"/>
      <c r="C687" s="184"/>
      <c r="D687" s="184"/>
      <c r="E687" s="184"/>
      <c r="F687" s="203"/>
      <c r="G687" s="203"/>
      <c r="H687" s="204"/>
      <c r="I687" s="204"/>
    </row>
    <row r="688" spans="1:9" s="17" customFormat="1">
      <c r="A688" s="202"/>
      <c r="B688" s="202"/>
      <c r="C688" s="184"/>
      <c r="D688" s="184"/>
      <c r="E688" s="184"/>
      <c r="F688" s="203"/>
      <c r="G688" s="203"/>
      <c r="H688" s="204"/>
      <c r="I688" s="204"/>
    </row>
    <row r="689" spans="1:9" s="17" customFormat="1">
      <c r="A689" s="202"/>
      <c r="B689" s="202"/>
      <c r="C689" s="184"/>
      <c r="D689" s="184"/>
      <c r="E689" s="184"/>
      <c r="F689" s="203"/>
      <c r="G689" s="203"/>
      <c r="H689" s="204"/>
      <c r="I689" s="204"/>
    </row>
    <row r="690" spans="1:9" s="17" customFormat="1">
      <c r="A690" s="202"/>
      <c r="B690" s="202"/>
      <c r="C690" s="184"/>
      <c r="D690" s="184"/>
      <c r="E690" s="184"/>
      <c r="F690" s="203"/>
      <c r="G690" s="203"/>
      <c r="H690" s="204"/>
      <c r="I690" s="204"/>
    </row>
    <row r="691" spans="1:9" s="17" customFormat="1">
      <c r="A691" s="202"/>
      <c r="B691" s="202"/>
      <c r="C691" s="184"/>
      <c r="D691" s="184"/>
      <c r="E691" s="184"/>
      <c r="F691" s="203"/>
      <c r="G691" s="203"/>
      <c r="H691" s="204"/>
      <c r="I691" s="204"/>
    </row>
    <row r="692" spans="1:9" s="17" customFormat="1">
      <c r="A692" s="202"/>
      <c r="B692" s="202"/>
      <c r="C692" s="184"/>
      <c r="D692" s="184"/>
      <c r="E692" s="184"/>
      <c r="F692" s="203"/>
      <c r="G692" s="203"/>
      <c r="H692" s="204"/>
      <c r="I692" s="204"/>
    </row>
    <row r="693" spans="1:9" s="17" customFormat="1">
      <c r="A693" s="202"/>
      <c r="B693" s="202"/>
      <c r="C693" s="184"/>
      <c r="D693" s="184"/>
      <c r="E693" s="184"/>
      <c r="F693" s="203"/>
      <c r="G693" s="203"/>
      <c r="H693" s="204"/>
      <c r="I693" s="204"/>
    </row>
    <row r="694" spans="1:9" s="17" customFormat="1">
      <c r="A694" s="202"/>
      <c r="B694" s="202"/>
      <c r="C694" s="184"/>
      <c r="D694" s="184"/>
      <c r="E694" s="184"/>
      <c r="F694" s="203"/>
      <c r="G694" s="203"/>
      <c r="H694" s="204"/>
      <c r="I694" s="204"/>
    </row>
    <row r="695" spans="1:9" s="17" customFormat="1">
      <c r="A695" s="202"/>
      <c r="B695" s="202"/>
      <c r="C695" s="184"/>
      <c r="D695" s="184"/>
      <c r="E695" s="184"/>
      <c r="F695" s="203"/>
      <c r="G695" s="203"/>
      <c r="H695" s="204"/>
      <c r="I695" s="204"/>
    </row>
    <row r="696" spans="1:9" s="17" customFormat="1">
      <c r="A696" s="202"/>
      <c r="B696" s="202"/>
      <c r="C696" s="184"/>
      <c r="D696" s="184"/>
      <c r="E696" s="184"/>
      <c r="F696" s="203"/>
      <c r="G696" s="203"/>
      <c r="H696" s="204"/>
      <c r="I696" s="204"/>
    </row>
    <row r="697" spans="1:9" s="17" customFormat="1">
      <c r="A697" s="202"/>
      <c r="B697" s="202"/>
      <c r="C697" s="184"/>
      <c r="D697" s="184"/>
      <c r="E697" s="184"/>
      <c r="F697" s="203"/>
      <c r="G697" s="203"/>
      <c r="H697" s="204"/>
      <c r="I697" s="204"/>
    </row>
    <row r="698" spans="1:9" s="17" customFormat="1">
      <c r="A698" s="202"/>
      <c r="B698" s="202"/>
      <c r="C698" s="184"/>
      <c r="D698" s="184"/>
      <c r="E698" s="184"/>
      <c r="F698" s="203"/>
      <c r="G698" s="203"/>
      <c r="H698" s="204"/>
      <c r="I698" s="204"/>
    </row>
    <row r="699" spans="1:9" s="17" customFormat="1">
      <c r="A699" s="202"/>
      <c r="B699" s="202"/>
      <c r="C699" s="184"/>
      <c r="D699" s="184"/>
      <c r="E699" s="184"/>
      <c r="F699" s="203"/>
      <c r="G699" s="203"/>
      <c r="H699" s="204"/>
      <c r="I699" s="204"/>
    </row>
    <row r="700" spans="1:9" s="17" customFormat="1">
      <c r="A700" s="202"/>
      <c r="B700" s="202"/>
      <c r="C700" s="184"/>
      <c r="D700" s="184"/>
      <c r="E700" s="184"/>
      <c r="F700" s="203"/>
      <c r="G700" s="203"/>
      <c r="H700" s="204"/>
      <c r="I700" s="204"/>
    </row>
    <row r="701" spans="1:9" s="17" customFormat="1">
      <c r="A701" s="202"/>
      <c r="B701" s="202"/>
      <c r="C701" s="184"/>
      <c r="D701" s="184"/>
      <c r="E701" s="184"/>
      <c r="F701" s="203"/>
      <c r="G701" s="203"/>
      <c r="H701" s="204"/>
      <c r="I701" s="204"/>
    </row>
    <row r="702" spans="1:9" s="17" customFormat="1">
      <c r="A702" s="202"/>
      <c r="B702" s="202"/>
      <c r="C702" s="184"/>
      <c r="D702" s="184"/>
      <c r="E702" s="184"/>
      <c r="F702" s="203"/>
      <c r="G702" s="203"/>
      <c r="H702" s="204"/>
      <c r="I702" s="204"/>
    </row>
    <row r="703" spans="1:9" s="17" customFormat="1">
      <c r="A703" s="202"/>
      <c r="B703" s="202"/>
      <c r="C703" s="184"/>
      <c r="D703" s="184"/>
      <c r="E703" s="184"/>
      <c r="F703" s="203"/>
      <c r="G703" s="203"/>
      <c r="H703" s="204"/>
      <c r="I703" s="204"/>
    </row>
    <row r="704" spans="1:9" s="17" customFormat="1">
      <c r="A704" s="202"/>
      <c r="B704" s="202"/>
      <c r="C704" s="184"/>
      <c r="D704" s="184"/>
      <c r="E704" s="184"/>
      <c r="F704" s="203"/>
      <c r="G704" s="203"/>
      <c r="H704" s="204"/>
      <c r="I704" s="204"/>
    </row>
    <row r="705" spans="1:9" s="17" customFormat="1">
      <c r="A705" s="202"/>
      <c r="B705" s="202"/>
      <c r="C705" s="184"/>
      <c r="D705" s="184"/>
      <c r="E705" s="184"/>
      <c r="F705" s="203"/>
      <c r="G705" s="203"/>
      <c r="H705" s="204"/>
      <c r="I705" s="204"/>
    </row>
    <row r="706" spans="1:9" s="17" customFormat="1">
      <c r="A706" s="202"/>
      <c r="B706" s="202"/>
      <c r="C706" s="184"/>
      <c r="D706" s="184"/>
      <c r="E706" s="184"/>
      <c r="F706" s="203"/>
      <c r="G706" s="203"/>
      <c r="H706" s="204"/>
      <c r="I706" s="204"/>
    </row>
    <row r="707" spans="1:9" s="17" customFormat="1">
      <c r="A707" s="202"/>
      <c r="B707" s="202"/>
      <c r="C707" s="184"/>
      <c r="D707" s="184"/>
      <c r="E707" s="184"/>
      <c r="F707" s="203"/>
      <c r="G707" s="203"/>
      <c r="H707" s="204"/>
      <c r="I707" s="204"/>
    </row>
    <row r="708" spans="1:9" s="17" customFormat="1">
      <c r="A708" s="202"/>
      <c r="B708" s="202"/>
      <c r="C708" s="184"/>
      <c r="D708" s="184"/>
      <c r="E708" s="184"/>
      <c r="F708" s="203"/>
      <c r="G708" s="203"/>
      <c r="H708" s="204"/>
      <c r="I708" s="204"/>
    </row>
    <row r="709" spans="1:9" s="17" customFormat="1">
      <c r="A709" s="202"/>
      <c r="B709" s="202"/>
      <c r="C709" s="184"/>
      <c r="D709" s="184"/>
      <c r="E709" s="184"/>
      <c r="F709" s="203"/>
      <c r="G709" s="203"/>
      <c r="H709" s="204"/>
      <c r="I709" s="204"/>
    </row>
    <row r="710" spans="1:9" s="17" customFormat="1">
      <c r="A710" s="202"/>
      <c r="B710" s="202"/>
      <c r="C710" s="184"/>
      <c r="D710" s="184"/>
      <c r="E710" s="184"/>
      <c r="F710" s="203"/>
      <c r="G710" s="203"/>
      <c r="H710" s="204"/>
      <c r="I710" s="204"/>
    </row>
    <row r="711" spans="1:9" s="17" customFormat="1">
      <c r="A711" s="202"/>
      <c r="B711" s="202"/>
      <c r="C711" s="184"/>
      <c r="D711" s="184"/>
      <c r="E711" s="184"/>
      <c r="F711" s="203"/>
      <c r="G711" s="203"/>
      <c r="H711" s="204"/>
      <c r="I711" s="204"/>
    </row>
    <row r="712" spans="1:9" s="17" customFormat="1">
      <c r="A712" s="202"/>
      <c r="B712" s="202"/>
      <c r="C712" s="184"/>
      <c r="D712" s="184"/>
      <c r="E712" s="184"/>
      <c r="F712" s="203"/>
      <c r="G712" s="203"/>
      <c r="H712" s="204"/>
      <c r="I712" s="204"/>
    </row>
    <row r="713" spans="1:9" s="17" customFormat="1">
      <c r="A713" s="202"/>
      <c r="B713" s="202"/>
      <c r="C713" s="184"/>
      <c r="D713" s="184"/>
      <c r="E713" s="184"/>
      <c r="F713" s="203"/>
      <c r="G713" s="203"/>
      <c r="H713" s="204"/>
      <c r="I713" s="204"/>
    </row>
    <row r="714" spans="1:9" s="17" customFormat="1">
      <c r="A714" s="202"/>
      <c r="B714" s="202"/>
      <c r="C714" s="184"/>
      <c r="D714" s="184"/>
      <c r="E714" s="184"/>
      <c r="F714" s="203"/>
      <c r="G714" s="203"/>
      <c r="H714" s="204"/>
      <c r="I714" s="204"/>
    </row>
    <row r="715" spans="1:9" s="17" customFormat="1">
      <c r="A715" s="202"/>
      <c r="B715" s="202"/>
      <c r="C715" s="184"/>
      <c r="D715" s="184"/>
      <c r="E715" s="184"/>
      <c r="F715" s="203"/>
      <c r="G715" s="203"/>
      <c r="H715" s="204"/>
      <c r="I715" s="204"/>
    </row>
    <row r="716" spans="1:9" s="17" customFormat="1">
      <c r="A716" s="202"/>
      <c r="B716" s="202"/>
      <c r="C716" s="184"/>
      <c r="D716" s="184"/>
      <c r="E716" s="184"/>
      <c r="F716" s="203"/>
      <c r="G716" s="203"/>
      <c r="H716" s="204"/>
      <c r="I716" s="204"/>
    </row>
    <row r="717" spans="1:9" s="17" customFormat="1">
      <c r="A717" s="202"/>
      <c r="B717" s="202"/>
      <c r="C717" s="184"/>
      <c r="D717" s="184"/>
      <c r="E717" s="184"/>
      <c r="F717" s="203"/>
      <c r="G717" s="203"/>
      <c r="H717" s="204"/>
      <c r="I717" s="204"/>
    </row>
    <row r="718" spans="1:9" s="17" customFormat="1">
      <c r="A718" s="202"/>
      <c r="B718" s="202"/>
      <c r="C718" s="184"/>
      <c r="D718" s="184"/>
      <c r="E718" s="184"/>
      <c r="F718" s="203"/>
      <c r="G718" s="203"/>
      <c r="H718" s="204"/>
      <c r="I718" s="204"/>
    </row>
    <row r="719" spans="1:9" s="17" customFormat="1">
      <c r="A719" s="202"/>
      <c r="B719" s="202"/>
      <c r="C719" s="184"/>
      <c r="D719" s="184"/>
      <c r="E719" s="184"/>
      <c r="F719" s="203"/>
      <c r="G719" s="203"/>
      <c r="H719" s="204"/>
      <c r="I719" s="204"/>
    </row>
    <row r="720" spans="1:9" s="17" customFormat="1">
      <c r="A720" s="202"/>
      <c r="B720" s="202"/>
      <c r="C720" s="184"/>
      <c r="D720" s="184"/>
      <c r="E720" s="184"/>
      <c r="F720" s="203"/>
      <c r="G720" s="203"/>
      <c r="H720" s="204"/>
      <c r="I720" s="204"/>
    </row>
    <row r="721" spans="1:9" s="17" customFormat="1">
      <c r="A721" s="202"/>
      <c r="B721" s="202"/>
      <c r="C721" s="184"/>
      <c r="D721" s="184"/>
      <c r="E721" s="184"/>
      <c r="F721" s="203"/>
      <c r="G721" s="203"/>
      <c r="H721" s="204"/>
      <c r="I721" s="204"/>
    </row>
    <row r="722" spans="1:9" s="17" customFormat="1">
      <c r="A722" s="202"/>
      <c r="B722" s="202"/>
      <c r="C722" s="184"/>
      <c r="D722" s="184"/>
      <c r="E722" s="184"/>
      <c r="F722" s="203"/>
      <c r="G722" s="203"/>
      <c r="H722" s="204"/>
      <c r="I722" s="204"/>
    </row>
    <row r="723" spans="1:9" s="17" customFormat="1">
      <c r="A723" s="202"/>
      <c r="B723" s="202"/>
      <c r="C723" s="184"/>
      <c r="D723" s="184"/>
      <c r="E723" s="184"/>
      <c r="F723" s="203"/>
      <c r="G723" s="203"/>
      <c r="H723" s="204"/>
      <c r="I723" s="204"/>
    </row>
    <row r="724" spans="1:9" s="17" customFormat="1">
      <c r="A724" s="202"/>
      <c r="B724" s="202"/>
      <c r="C724" s="184"/>
      <c r="D724" s="184"/>
      <c r="E724" s="184"/>
      <c r="F724" s="203"/>
      <c r="G724" s="203"/>
      <c r="H724" s="204"/>
      <c r="I724" s="204"/>
    </row>
    <row r="725" spans="1:9" s="17" customFormat="1">
      <c r="A725" s="202"/>
      <c r="B725" s="202"/>
      <c r="C725" s="184"/>
      <c r="D725" s="184"/>
      <c r="E725" s="184"/>
      <c r="F725" s="203"/>
      <c r="G725" s="203"/>
      <c r="H725" s="204"/>
      <c r="I725" s="204"/>
    </row>
    <row r="726" spans="1:9" s="17" customFormat="1">
      <c r="A726" s="202"/>
      <c r="B726" s="202"/>
      <c r="C726" s="184"/>
      <c r="D726" s="184"/>
      <c r="E726" s="184"/>
      <c r="F726" s="203"/>
      <c r="G726" s="203"/>
      <c r="H726" s="204"/>
      <c r="I726" s="204"/>
    </row>
    <row r="727" spans="1:9" s="17" customFormat="1">
      <c r="A727" s="202"/>
      <c r="B727" s="202"/>
      <c r="C727" s="184"/>
      <c r="D727" s="184"/>
      <c r="E727" s="184"/>
      <c r="F727" s="203"/>
      <c r="G727" s="203"/>
      <c r="H727" s="204"/>
      <c r="I727" s="204"/>
    </row>
    <row r="728" spans="1:9" s="17" customFormat="1">
      <c r="A728" s="202"/>
      <c r="B728" s="202"/>
      <c r="C728" s="184"/>
      <c r="D728" s="184"/>
      <c r="E728" s="184"/>
      <c r="F728" s="203"/>
      <c r="G728" s="203"/>
      <c r="H728" s="204"/>
      <c r="I728" s="204"/>
    </row>
    <row r="729" spans="1:9" s="17" customFormat="1">
      <c r="A729" s="202"/>
      <c r="B729" s="202"/>
      <c r="C729" s="184"/>
      <c r="D729" s="184"/>
      <c r="E729" s="184"/>
      <c r="F729" s="203"/>
      <c r="G729" s="203"/>
      <c r="H729" s="204"/>
      <c r="I729" s="204"/>
    </row>
    <row r="730" spans="1:9" s="17" customFormat="1">
      <c r="A730" s="202"/>
      <c r="B730" s="202"/>
      <c r="C730" s="184"/>
      <c r="D730" s="184"/>
      <c r="E730" s="184"/>
      <c r="F730" s="203"/>
      <c r="G730" s="203"/>
      <c r="H730" s="204"/>
      <c r="I730" s="204"/>
    </row>
    <row r="731" spans="1:9" s="17" customFormat="1">
      <c r="A731" s="202"/>
      <c r="B731" s="202"/>
      <c r="C731" s="184"/>
      <c r="D731" s="184"/>
      <c r="E731" s="184"/>
      <c r="F731" s="203"/>
      <c r="G731" s="203"/>
      <c r="H731" s="204"/>
      <c r="I731" s="204"/>
    </row>
    <row r="732" spans="1:9" s="17" customFormat="1">
      <c r="A732" s="202"/>
      <c r="B732" s="202"/>
      <c r="C732" s="184"/>
      <c r="D732" s="184"/>
      <c r="E732" s="184"/>
      <c r="F732" s="203"/>
      <c r="G732" s="203"/>
      <c r="H732" s="204"/>
      <c r="I732" s="204"/>
    </row>
    <row r="733" spans="1:9" s="17" customFormat="1">
      <c r="A733" s="202"/>
      <c r="B733" s="202"/>
      <c r="C733" s="184"/>
      <c r="D733" s="184"/>
      <c r="E733" s="184"/>
      <c r="F733" s="203"/>
      <c r="G733" s="203"/>
      <c r="H733" s="204"/>
      <c r="I733" s="204"/>
    </row>
    <row r="734" spans="1:9" s="17" customFormat="1">
      <c r="A734" s="202"/>
      <c r="B734" s="202"/>
      <c r="C734" s="184"/>
      <c r="D734" s="184"/>
      <c r="E734" s="184"/>
      <c r="F734" s="203"/>
      <c r="G734" s="203"/>
      <c r="H734" s="204"/>
      <c r="I734" s="204"/>
    </row>
    <row r="735" spans="1:9" s="17" customFormat="1">
      <c r="A735" s="202"/>
      <c r="B735" s="202"/>
      <c r="C735" s="184"/>
      <c r="D735" s="184"/>
      <c r="E735" s="184"/>
      <c r="F735" s="203"/>
      <c r="G735" s="203"/>
      <c r="H735" s="204"/>
      <c r="I735" s="204"/>
    </row>
    <row r="736" spans="1:9" s="17" customFormat="1">
      <c r="A736" s="202"/>
      <c r="B736" s="202"/>
      <c r="C736" s="184"/>
      <c r="D736" s="184"/>
      <c r="E736" s="184"/>
      <c r="F736" s="203"/>
      <c r="G736" s="203"/>
      <c r="H736" s="204"/>
      <c r="I736" s="204"/>
    </row>
    <row r="737" spans="1:9" s="17" customFormat="1">
      <c r="A737" s="202"/>
      <c r="B737" s="202"/>
      <c r="C737" s="184"/>
      <c r="D737" s="184"/>
      <c r="E737" s="184"/>
      <c r="F737" s="203"/>
      <c r="G737" s="203"/>
      <c r="H737" s="204"/>
      <c r="I737" s="204"/>
    </row>
    <row r="738" spans="1:9" s="17" customFormat="1">
      <c r="A738" s="202"/>
      <c r="B738" s="202"/>
      <c r="C738" s="184"/>
      <c r="D738" s="184"/>
      <c r="E738" s="184"/>
      <c r="F738" s="203"/>
      <c r="G738" s="203"/>
      <c r="H738" s="204"/>
      <c r="I738" s="204"/>
    </row>
    <row r="739" spans="1:9" s="17" customFormat="1">
      <c r="A739" s="202"/>
      <c r="B739" s="202"/>
      <c r="C739" s="184"/>
      <c r="D739" s="184"/>
      <c r="E739" s="184"/>
      <c r="F739" s="203"/>
      <c r="G739" s="203"/>
      <c r="H739" s="204"/>
      <c r="I739" s="204"/>
    </row>
    <row r="740" spans="1:9" s="17" customFormat="1">
      <c r="A740" s="202"/>
      <c r="B740" s="202"/>
      <c r="C740" s="184"/>
      <c r="D740" s="184"/>
      <c r="E740" s="184"/>
      <c r="F740" s="203"/>
      <c r="G740" s="203"/>
      <c r="H740" s="204"/>
      <c r="I740" s="204"/>
    </row>
    <row r="741" spans="1:9" s="17" customFormat="1">
      <c r="A741" s="202"/>
      <c r="B741" s="202"/>
      <c r="C741" s="184"/>
      <c r="D741" s="184"/>
      <c r="E741" s="184"/>
      <c r="F741" s="203"/>
      <c r="G741" s="203"/>
      <c r="H741" s="204"/>
      <c r="I741" s="204"/>
    </row>
    <row r="742" spans="1:9" s="17" customFormat="1">
      <c r="A742" s="202"/>
      <c r="B742" s="202"/>
      <c r="C742" s="184"/>
      <c r="D742" s="184"/>
      <c r="E742" s="184"/>
      <c r="F742" s="203"/>
      <c r="G742" s="203"/>
      <c r="H742" s="204"/>
      <c r="I742" s="204"/>
    </row>
    <row r="743" spans="1:9" s="17" customFormat="1">
      <c r="A743" s="202"/>
      <c r="B743" s="202"/>
      <c r="C743" s="184"/>
      <c r="D743" s="184"/>
      <c r="E743" s="184"/>
      <c r="F743" s="203"/>
      <c r="G743" s="203"/>
      <c r="H743" s="204"/>
      <c r="I743" s="204"/>
    </row>
    <row r="744" spans="1:9" s="17" customFormat="1">
      <c r="A744" s="202"/>
      <c r="B744" s="202"/>
      <c r="C744" s="184"/>
      <c r="D744" s="184"/>
      <c r="E744" s="184"/>
      <c r="F744" s="203"/>
      <c r="G744" s="203"/>
      <c r="H744" s="204"/>
      <c r="I744" s="204"/>
    </row>
    <row r="745" spans="1:9" s="17" customFormat="1">
      <c r="A745" s="202"/>
      <c r="B745" s="202"/>
      <c r="C745" s="184"/>
      <c r="D745" s="184"/>
      <c r="E745" s="184"/>
      <c r="F745" s="203"/>
      <c r="G745" s="203"/>
      <c r="H745" s="204"/>
      <c r="I745" s="204"/>
    </row>
    <row r="746" spans="1:9" s="17" customFormat="1">
      <c r="A746" s="202"/>
      <c r="B746" s="202"/>
      <c r="C746" s="184"/>
      <c r="D746" s="184"/>
      <c r="E746" s="184"/>
      <c r="F746" s="203"/>
      <c r="G746" s="203"/>
      <c r="H746" s="204"/>
      <c r="I746" s="204"/>
    </row>
    <row r="747" spans="1:9" s="17" customFormat="1">
      <c r="A747" s="202"/>
      <c r="B747" s="202"/>
      <c r="C747" s="184"/>
      <c r="D747" s="184"/>
      <c r="E747" s="184"/>
      <c r="F747" s="203"/>
      <c r="G747" s="203"/>
      <c r="H747" s="204"/>
      <c r="I747" s="204"/>
    </row>
    <row r="748" spans="1:9" s="17" customFormat="1">
      <c r="A748" s="202"/>
      <c r="B748" s="202"/>
      <c r="C748" s="184"/>
      <c r="D748" s="184"/>
      <c r="E748" s="184"/>
      <c r="F748" s="203"/>
      <c r="G748" s="203"/>
      <c r="H748" s="204"/>
      <c r="I748" s="204"/>
    </row>
    <row r="749" spans="1:9" s="17" customFormat="1">
      <c r="A749" s="202"/>
      <c r="B749" s="202"/>
      <c r="C749" s="184"/>
      <c r="D749" s="184"/>
      <c r="E749" s="184"/>
      <c r="F749" s="203"/>
      <c r="G749" s="203"/>
      <c r="H749" s="204"/>
      <c r="I749" s="204"/>
    </row>
    <row r="750" spans="1:9" s="17" customFormat="1">
      <c r="A750" s="202"/>
      <c r="B750" s="202"/>
      <c r="C750" s="184"/>
      <c r="D750" s="184"/>
      <c r="E750" s="184"/>
      <c r="F750" s="203"/>
      <c r="G750" s="203"/>
      <c r="H750" s="204"/>
      <c r="I750" s="204"/>
    </row>
    <row r="751" spans="1:9" s="17" customFormat="1">
      <c r="A751" s="202"/>
      <c r="B751" s="202"/>
      <c r="C751" s="184"/>
      <c r="D751" s="184"/>
      <c r="E751" s="184"/>
      <c r="F751" s="203"/>
      <c r="G751" s="203"/>
      <c r="H751" s="204"/>
      <c r="I751" s="204"/>
    </row>
    <row r="752" spans="1:9" s="17" customFormat="1">
      <c r="A752" s="202"/>
      <c r="B752" s="202"/>
      <c r="C752" s="184"/>
      <c r="D752" s="184"/>
      <c r="E752" s="184"/>
      <c r="F752" s="203"/>
      <c r="G752" s="203"/>
      <c r="H752" s="204"/>
      <c r="I752" s="204"/>
    </row>
    <row r="753" spans="1:9" s="17" customFormat="1">
      <c r="A753" s="202"/>
      <c r="B753" s="202"/>
      <c r="C753" s="184"/>
      <c r="D753" s="184"/>
      <c r="E753" s="184"/>
      <c r="F753" s="203"/>
      <c r="G753" s="203"/>
      <c r="H753" s="204"/>
      <c r="I753" s="204"/>
    </row>
    <row r="754" spans="1:9" s="17" customFormat="1">
      <c r="A754" s="202"/>
      <c r="B754" s="202"/>
      <c r="C754" s="184"/>
      <c r="D754" s="184"/>
      <c r="E754" s="184"/>
      <c r="F754" s="203"/>
      <c r="G754" s="203"/>
      <c r="H754" s="204"/>
      <c r="I754" s="204"/>
    </row>
    <row r="755" spans="1:9" s="17" customFormat="1">
      <c r="A755" s="202"/>
      <c r="B755" s="202"/>
      <c r="C755" s="184"/>
      <c r="D755" s="184"/>
      <c r="E755" s="184"/>
      <c r="F755" s="203"/>
      <c r="G755" s="203"/>
      <c r="H755" s="204"/>
      <c r="I755" s="204"/>
    </row>
    <row r="756" spans="1:9" s="17" customFormat="1">
      <c r="A756" s="202"/>
      <c r="B756" s="202"/>
      <c r="C756" s="184"/>
      <c r="D756" s="184"/>
      <c r="E756" s="184"/>
      <c r="F756" s="203"/>
      <c r="G756" s="203"/>
      <c r="H756" s="204"/>
      <c r="I756" s="204"/>
    </row>
    <row r="757" spans="1:9" s="17" customFormat="1">
      <c r="A757" s="202"/>
      <c r="B757" s="202"/>
      <c r="C757" s="184"/>
      <c r="D757" s="184"/>
      <c r="E757" s="184"/>
      <c r="F757" s="203"/>
      <c r="G757" s="203"/>
      <c r="H757" s="204"/>
      <c r="I757" s="204"/>
    </row>
    <row r="758" spans="1:9" s="17" customFormat="1">
      <c r="A758" s="202"/>
      <c r="B758" s="202"/>
      <c r="C758" s="184"/>
      <c r="D758" s="184"/>
      <c r="E758" s="184"/>
      <c r="F758" s="203"/>
      <c r="G758" s="203"/>
      <c r="H758" s="204"/>
      <c r="I758" s="204"/>
    </row>
    <row r="759" spans="1:9" s="17" customFormat="1">
      <c r="A759" s="202"/>
      <c r="B759" s="202"/>
      <c r="C759" s="184"/>
      <c r="D759" s="184"/>
      <c r="E759" s="184"/>
      <c r="F759" s="203"/>
      <c r="G759" s="203"/>
      <c r="H759" s="204"/>
      <c r="I759" s="204"/>
    </row>
    <row r="760" spans="1:9" s="17" customFormat="1">
      <c r="A760" s="202"/>
      <c r="B760" s="202"/>
      <c r="C760" s="184"/>
      <c r="D760" s="184"/>
      <c r="E760" s="184"/>
      <c r="F760" s="203"/>
      <c r="G760" s="203"/>
      <c r="H760" s="204"/>
      <c r="I760" s="204"/>
    </row>
    <row r="761" spans="1:9" s="17" customFormat="1">
      <c r="A761" s="202"/>
      <c r="B761" s="202"/>
      <c r="C761" s="184"/>
      <c r="D761" s="184"/>
      <c r="E761" s="184"/>
      <c r="F761" s="203"/>
      <c r="G761" s="203"/>
      <c r="H761" s="204"/>
      <c r="I761" s="204"/>
    </row>
    <row r="762" spans="1:9" s="17" customFormat="1">
      <c r="A762" s="202"/>
      <c r="B762" s="202"/>
      <c r="C762" s="184"/>
      <c r="D762" s="184"/>
      <c r="E762" s="184"/>
      <c r="F762" s="203"/>
      <c r="G762" s="203"/>
      <c r="H762" s="204"/>
      <c r="I762" s="204"/>
    </row>
    <row r="763" spans="1:9" s="17" customFormat="1">
      <c r="A763" s="202"/>
      <c r="B763" s="202"/>
      <c r="C763" s="184"/>
      <c r="D763" s="184"/>
      <c r="E763" s="184"/>
      <c r="F763" s="203"/>
      <c r="G763" s="203"/>
      <c r="H763" s="204"/>
      <c r="I763" s="204"/>
    </row>
    <row r="764" spans="1:9" s="17" customFormat="1">
      <c r="A764" s="202"/>
      <c r="B764" s="202"/>
      <c r="C764" s="184"/>
      <c r="D764" s="184"/>
      <c r="E764" s="184"/>
      <c r="F764" s="203"/>
      <c r="G764" s="203"/>
      <c r="H764" s="204"/>
      <c r="I764" s="204"/>
    </row>
    <row r="765" spans="1:9" s="17" customFormat="1">
      <c r="A765" s="202"/>
      <c r="B765" s="202"/>
      <c r="C765" s="184"/>
      <c r="D765" s="184"/>
      <c r="E765" s="184"/>
      <c r="F765" s="203"/>
      <c r="G765" s="203"/>
      <c r="H765" s="204"/>
      <c r="I765" s="204"/>
    </row>
    <row r="766" spans="1:9" s="17" customFormat="1">
      <c r="A766" s="202"/>
      <c r="B766" s="202"/>
      <c r="C766" s="184"/>
      <c r="D766" s="184"/>
      <c r="E766" s="184"/>
      <c r="F766" s="203"/>
      <c r="G766" s="203"/>
      <c r="H766" s="204"/>
      <c r="I766" s="204"/>
    </row>
    <row r="767" spans="1:9" s="17" customFormat="1">
      <c r="A767" s="202"/>
      <c r="B767" s="202"/>
      <c r="C767" s="184"/>
      <c r="D767" s="184"/>
      <c r="E767" s="184"/>
      <c r="F767" s="203"/>
      <c r="G767" s="203"/>
      <c r="H767" s="204"/>
      <c r="I767" s="204"/>
    </row>
    <row r="768" spans="1:9" s="17" customFormat="1">
      <c r="A768" s="202"/>
      <c r="B768" s="202"/>
      <c r="C768" s="184"/>
      <c r="D768" s="184"/>
      <c r="E768" s="184"/>
      <c r="F768" s="203"/>
      <c r="G768" s="203"/>
      <c r="H768" s="204"/>
      <c r="I768" s="204"/>
    </row>
    <row r="769" spans="1:9" s="17" customFormat="1">
      <c r="A769" s="202"/>
      <c r="B769" s="202"/>
      <c r="C769" s="184"/>
      <c r="D769" s="184"/>
      <c r="E769" s="184"/>
      <c r="F769" s="203"/>
      <c r="G769" s="203"/>
      <c r="H769" s="204"/>
      <c r="I769" s="204"/>
    </row>
    <row r="770" spans="1:9" s="17" customFormat="1">
      <c r="A770" s="202"/>
      <c r="B770" s="202"/>
      <c r="C770" s="184"/>
      <c r="D770" s="184"/>
      <c r="E770" s="184"/>
      <c r="F770" s="203"/>
      <c r="G770" s="203"/>
      <c r="H770" s="204"/>
      <c r="I770" s="204"/>
    </row>
    <row r="771" spans="1:9" s="17" customFormat="1">
      <c r="A771" s="202"/>
      <c r="B771" s="202"/>
      <c r="C771" s="184"/>
      <c r="D771" s="184"/>
      <c r="E771" s="184"/>
      <c r="F771" s="203"/>
      <c r="G771" s="203"/>
      <c r="H771" s="204"/>
      <c r="I771" s="204"/>
    </row>
    <row r="772" spans="1:9" s="17" customFormat="1">
      <c r="A772" s="202"/>
      <c r="B772" s="202"/>
      <c r="C772" s="184"/>
      <c r="D772" s="184"/>
      <c r="E772" s="184"/>
      <c r="F772" s="203"/>
      <c r="G772" s="203"/>
      <c r="H772" s="204"/>
      <c r="I772" s="204"/>
    </row>
    <row r="773" spans="1:9" s="17" customFormat="1">
      <c r="A773" s="202"/>
      <c r="B773" s="202"/>
      <c r="C773" s="184"/>
      <c r="D773" s="184"/>
      <c r="E773" s="184"/>
      <c r="F773" s="203"/>
      <c r="G773" s="203"/>
      <c r="H773" s="204"/>
      <c r="I773" s="204"/>
    </row>
    <row r="774" spans="1:9" s="17" customFormat="1">
      <c r="A774" s="202"/>
      <c r="B774" s="202"/>
      <c r="C774" s="184"/>
      <c r="D774" s="184"/>
      <c r="E774" s="184"/>
      <c r="F774" s="203"/>
      <c r="G774" s="203"/>
      <c r="H774" s="204"/>
      <c r="I774" s="204"/>
    </row>
    <row r="775" spans="1:9" s="17" customFormat="1">
      <c r="A775" s="202"/>
      <c r="B775" s="202"/>
      <c r="C775" s="184"/>
      <c r="D775" s="184"/>
      <c r="E775" s="184"/>
      <c r="F775" s="203"/>
      <c r="G775" s="203"/>
      <c r="H775" s="204"/>
      <c r="I775" s="204"/>
    </row>
    <row r="776" spans="1:9" s="17" customFormat="1">
      <c r="A776" s="202"/>
      <c r="B776" s="202"/>
      <c r="C776" s="184"/>
      <c r="D776" s="184"/>
      <c r="E776" s="184"/>
      <c r="F776" s="203"/>
      <c r="G776" s="203"/>
      <c r="H776" s="204"/>
      <c r="I776" s="204"/>
    </row>
    <row r="777" spans="1:9" s="17" customFormat="1">
      <c r="A777" s="202"/>
      <c r="B777" s="202"/>
      <c r="C777" s="184"/>
      <c r="D777" s="184"/>
      <c r="E777" s="184"/>
      <c r="F777" s="203"/>
      <c r="G777" s="203"/>
      <c r="H777" s="204"/>
      <c r="I777" s="204"/>
    </row>
    <row r="778" spans="1:9" s="17" customFormat="1">
      <c r="A778" s="202"/>
      <c r="B778" s="202"/>
      <c r="C778" s="184"/>
      <c r="D778" s="184"/>
      <c r="E778" s="184"/>
      <c r="F778" s="203"/>
      <c r="G778" s="203"/>
      <c r="H778" s="204"/>
      <c r="I778" s="204"/>
    </row>
    <row r="779" spans="1:9" s="17" customFormat="1">
      <c r="A779" s="202"/>
      <c r="B779" s="202"/>
      <c r="C779" s="184"/>
      <c r="D779" s="184"/>
      <c r="E779" s="184"/>
      <c r="F779" s="203"/>
      <c r="G779" s="203"/>
      <c r="H779" s="204"/>
      <c r="I779" s="204"/>
    </row>
    <row r="780" spans="1:9" s="17" customFormat="1">
      <c r="A780" s="202"/>
      <c r="B780" s="202"/>
      <c r="C780" s="184"/>
      <c r="D780" s="184"/>
      <c r="E780" s="184"/>
      <c r="F780" s="203"/>
      <c r="G780" s="203"/>
      <c r="H780" s="204"/>
      <c r="I780" s="204"/>
    </row>
    <row r="781" spans="1:9" s="17" customFormat="1">
      <c r="A781" s="202"/>
      <c r="B781" s="202"/>
      <c r="C781" s="184"/>
      <c r="D781" s="184"/>
      <c r="E781" s="184"/>
      <c r="F781" s="203"/>
      <c r="G781" s="203"/>
      <c r="H781" s="204"/>
      <c r="I781" s="204"/>
    </row>
    <row r="782" spans="1:9" s="17" customFormat="1">
      <c r="A782" s="202"/>
      <c r="B782" s="202"/>
      <c r="C782" s="184"/>
      <c r="D782" s="184"/>
      <c r="E782" s="184"/>
      <c r="F782" s="203"/>
      <c r="G782" s="203"/>
      <c r="H782" s="204"/>
      <c r="I782" s="204"/>
    </row>
    <row r="783" spans="1:9" s="17" customFormat="1">
      <c r="A783" s="202"/>
      <c r="B783" s="202"/>
      <c r="C783" s="184"/>
      <c r="D783" s="184"/>
      <c r="E783" s="184"/>
      <c r="F783" s="203"/>
      <c r="G783" s="203"/>
      <c r="H783" s="204"/>
      <c r="I783" s="204"/>
    </row>
    <row r="784" spans="1:9" s="17" customFormat="1">
      <c r="A784" s="202"/>
      <c r="B784" s="202"/>
      <c r="C784" s="184"/>
      <c r="D784" s="184"/>
      <c r="E784" s="184"/>
      <c r="F784" s="203"/>
      <c r="G784" s="203"/>
      <c r="H784" s="204"/>
      <c r="I784" s="204"/>
    </row>
    <row r="785" spans="1:9" s="17" customFormat="1">
      <c r="A785" s="202"/>
      <c r="B785" s="202"/>
      <c r="C785" s="184"/>
      <c r="D785" s="184"/>
      <c r="E785" s="184"/>
      <c r="F785" s="203"/>
      <c r="G785" s="203"/>
      <c r="H785" s="204"/>
      <c r="I785" s="204"/>
    </row>
    <row r="786" spans="1:9" s="17" customFormat="1">
      <c r="A786" s="202"/>
      <c r="B786" s="202"/>
      <c r="C786" s="184"/>
      <c r="D786" s="184"/>
      <c r="E786" s="184"/>
      <c r="F786" s="203"/>
      <c r="G786" s="203"/>
      <c r="H786" s="204"/>
      <c r="I786" s="204"/>
    </row>
    <row r="787" spans="1:9" s="17" customFormat="1">
      <c r="A787" s="202"/>
      <c r="B787" s="202"/>
      <c r="C787" s="184"/>
      <c r="D787" s="184"/>
      <c r="E787" s="184"/>
      <c r="F787" s="203"/>
      <c r="G787" s="203"/>
      <c r="H787" s="204"/>
      <c r="I787" s="204"/>
    </row>
    <row r="788" spans="1:9" s="17" customFormat="1">
      <c r="A788" s="202"/>
      <c r="B788" s="202"/>
      <c r="C788" s="184"/>
      <c r="D788" s="184"/>
      <c r="E788" s="184"/>
      <c r="F788" s="203"/>
      <c r="G788" s="203"/>
      <c r="H788" s="204"/>
      <c r="I788" s="204"/>
    </row>
    <row r="789" spans="1:9" s="17" customFormat="1">
      <c r="A789" s="202"/>
      <c r="B789" s="202"/>
      <c r="C789" s="184"/>
      <c r="D789" s="184"/>
      <c r="E789" s="184"/>
      <c r="F789" s="203"/>
      <c r="G789" s="203"/>
      <c r="H789" s="204"/>
      <c r="I789" s="204"/>
    </row>
    <row r="790" spans="1:9" s="17" customFormat="1">
      <c r="A790" s="202"/>
      <c r="B790" s="202"/>
      <c r="C790" s="184"/>
      <c r="D790" s="184"/>
      <c r="E790" s="184"/>
      <c r="F790" s="203"/>
      <c r="G790" s="203"/>
      <c r="H790" s="204"/>
      <c r="I790" s="204"/>
    </row>
    <row r="791" spans="1:9" s="17" customFormat="1">
      <c r="A791" s="202"/>
      <c r="B791" s="202"/>
      <c r="C791" s="184"/>
      <c r="D791" s="184"/>
      <c r="E791" s="184"/>
      <c r="F791" s="203"/>
      <c r="G791" s="203"/>
      <c r="H791" s="204"/>
      <c r="I791" s="204"/>
    </row>
    <row r="792" spans="1:9" s="17" customFormat="1">
      <c r="A792" s="202"/>
      <c r="B792" s="202"/>
      <c r="C792" s="184"/>
      <c r="D792" s="184"/>
      <c r="E792" s="184"/>
      <c r="F792" s="203"/>
      <c r="G792" s="203"/>
      <c r="H792" s="204"/>
      <c r="I792" s="204"/>
    </row>
    <row r="793" spans="1:9" s="17" customFormat="1">
      <c r="A793" s="202"/>
      <c r="B793" s="202"/>
      <c r="C793" s="184"/>
      <c r="D793" s="184"/>
      <c r="E793" s="184"/>
      <c r="F793" s="203"/>
      <c r="G793" s="203"/>
      <c r="H793" s="204"/>
      <c r="I793" s="204"/>
    </row>
    <row r="794" spans="1:9" s="17" customFormat="1">
      <c r="A794" s="202"/>
      <c r="B794" s="202"/>
      <c r="C794" s="184"/>
      <c r="D794" s="184"/>
      <c r="E794" s="184"/>
      <c r="F794" s="203"/>
      <c r="G794" s="203"/>
      <c r="H794" s="204"/>
      <c r="I794" s="204"/>
    </row>
    <row r="795" spans="1:9" s="17" customFormat="1">
      <c r="A795" s="202"/>
      <c r="B795" s="202"/>
      <c r="C795" s="184"/>
      <c r="D795" s="184"/>
      <c r="E795" s="184"/>
      <c r="F795" s="203"/>
      <c r="G795" s="203"/>
      <c r="H795" s="204"/>
      <c r="I795" s="204"/>
    </row>
    <row r="796" spans="1:9" s="17" customFormat="1">
      <c r="A796" s="202"/>
      <c r="B796" s="202"/>
      <c r="C796" s="184"/>
      <c r="D796" s="184"/>
      <c r="E796" s="184"/>
      <c r="F796" s="203"/>
      <c r="G796" s="203"/>
      <c r="H796" s="204"/>
      <c r="I796" s="204"/>
    </row>
    <row r="797" spans="1:9" s="17" customFormat="1">
      <c r="A797" s="202"/>
      <c r="B797" s="202"/>
      <c r="C797" s="184"/>
      <c r="D797" s="184"/>
      <c r="E797" s="184"/>
      <c r="F797" s="203"/>
      <c r="G797" s="203"/>
      <c r="H797" s="204"/>
      <c r="I797" s="204"/>
    </row>
    <row r="798" spans="1:9" s="17" customFormat="1">
      <c r="A798" s="202"/>
      <c r="B798" s="202"/>
      <c r="C798" s="184"/>
      <c r="D798" s="184"/>
      <c r="E798" s="184"/>
      <c r="F798" s="203"/>
      <c r="G798" s="203"/>
      <c r="H798" s="204"/>
      <c r="I798" s="204"/>
    </row>
    <row r="799" spans="1:9" s="17" customFormat="1">
      <c r="A799" s="202"/>
      <c r="B799" s="202"/>
      <c r="C799" s="184"/>
      <c r="D799" s="184"/>
      <c r="E799" s="184"/>
      <c r="F799" s="203"/>
      <c r="G799" s="203"/>
      <c r="H799" s="204"/>
      <c r="I799" s="204"/>
    </row>
    <row r="800" spans="1:9" s="17" customFormat="1">
      <c r="A800" s="202"/>
      <c r="B800" s="202"/>
      <c r="C800" s="184"/>
      <c r="D800" s="184"/>
      <c r="E800" s="184"/>
      <c r="F800" s="203"/>
      <c r="G800" s="203"/>
      <c r="H800" s="204"/>
      <c r="I800" s="204"/>
    </row>
    <row r="801" spans="1:9" s="17" customFormat="1">
      <c r="A801" s="202"/>
      <c r="B801" s="202"/>
      <c r="C801" s="184"/>
      <c r="D801" s="184"/>
      <c r="E801" s="184"/>
      <c r="F801" s="203"/>
      <c r="G801" s="203"/>
      <c r="H801" s="204"/>
      <c r="I801" s="204"/>
    </row>
    <row r="802" spans="1:9" s="17" customFormat="1">
      <c r="A802" s="202"/>
      <c r="B802" s="202"/>
      <c r="C802" s="184"/>
      <c r="D802" s="184"/>
      <c r="E802" s="184"/>
      <c r="F802" s="203"/>
      <c r="G802" s="203"/>
      <c r="H802" s="204"/>
      <c r="I802" s="204"/>
    </row>
    <row r="803" spans="1:9" s="17" customFormat="1">
      <c r="A803" s="202"/>
      <c r="B803" s="202"/>
      <c r="C803" s="184"/>
      <c r="D803" s="184"/>
      <c r="E803" s="184"/>
      <c r="F803" s="203"/>
      <c r="G803" s="203"/>
      <c r="H803" s="204"/>
      <c r="I803" s="204"/>
    </row>
    <row r="804" spans="1:9" s="17" customFormat="1">
      <c r="A804" s="202"/>
      <c r="B804" s="202"/>
      <c r="C804" s="184"/>
      <c r="D804" s="184"/>
      <c r="E804" s="184"/>
      <c r="F804" s="203"/>
      <c r="G804" s="203"/>
      <c r="H804" s="204"/>
      <c r="I804" s="204"/>
    </row>
    <row r="805" spans="1:9" s="17" customFormat="1">
      <c r="A805" s="202"/>
      <c r="B805" s="202"/>
      <c r="C805" s="184"/>
      <c r="D805" s="184"/>
      <c r="E805" s="184"/>
      <c r="F805" s="203"/>
      <c r="G805" s="203"/>
      <c r="H805" s="204"/>
      <c r="I805" s="204"/>
    </row>
    <row r="806" spans="1:9" s="17" customFormat="1">
      <c r="A806" s="202"/>
      <c r="B806" s="202"/>
      <c r="C806" s="184"/>
      <c r="D806" s="184"/>
      <c r="E806" s="184"/>
      <c r="F806" s="203"/>
      <c r="G806" s="203"/>
      <c r="H806" s="204"/>
      <c r="I806" s="204"/>
    </row>
    <row r="807" spans="1:9" s="17" customFormat="1">
      <c r="A807" s="202"/>
      <c r="B807" s="202"/>
      <c r="C807" s="184"/>
      <c r="D807" s="184"/>
      <c r="E807" s="184"/>
      <c r="F807" s="203"/>
      <c r="G807" s="203"/>
      <c r="H807" s="204"/>
      <c r="I807" s="204"/>
    </row>
    <row r="808" spans="1:9" s="17" customFormat="1">
      <c r="A808" s="202"/>
      <c r="B808" s="202"/>
      <c r="C808" s="184"/>
      <c r="D808" s="184"/>
      <c r="E808" s="184"/>
      <c r="F808" s="203"/>
      <c r="G808" s="203"/>
      <c r="H808" s="204"/>
      <c r="I808" s="204"/>
    </row>
    <row r="809" spans="1:9" s="17" customFormat="1">
      <c r="A809" s="202"/>
      <c r="B809" s="202"/>
      <c r="C809" s="184"/>
      <c r="D809" s="184"/>
      <c r="E809" s="184"/>
      <c r="F809" s="203"/>
      <c r="G809" s="203"/>
      <c r="H809" s="204"/>
      <c r="I809" s="204"/>
    </row>
    <row r="810" spans="1:9" s="17" customFormat="1">
      <c r="A810" s="202"/>
      <c r="B810" s="202"/>
      <c r="C810" s="184"/>
      <c r="D810" s="184"/>
      <c r="E810" s="184"/>
      <c r="F810" s="203"/>
      <c r="G810" s="203"/>
      <c r="H810" s="204"/>
      <c r="I810" s="204"/>
    </row>
    <row r="811" spans="1:9" s="17" customFormat="1">
      <c r="A811" s="202"/>
      <c r="B811" s="202"/>
      <c r="C811" s="184"/>
      <c r="D811" s="184"/>
      <c r="E811" s="184"/>
      <c r="F811" s="203"/>
      <c r="G811" s="203"/>
      <c r="H811" s="204"/>
      <c r="I811" s="204"/>
    </row>
    <row r="812" spans="1:9" s="17" customFormat="1">
      <c r="A812" s="202"/>
      <c r="B812" s="202"/>
      <c r="C812" s="184"/>
      <c r="D812" s="184"/>
      <c r="E812" s="184"/>
      <c r="F812" s="203"/>
      <c r="G812" s="203"/>
      <c r="H812" s="204"/>
      <c r="I812" s="204"/>
    </row>
    <row r="813" spans="1:9" s="17" customFormat="1">
      <c r="A813" s="202"/>
      <c r="B813" s="202"/>
      <c r="C813" s="184"/>
      <c r="D813" s="184"/>
      <c r="E813" s="184"/>
      <c r="F813" s="203"/>
      <c r="G813" s="203"/>
      <c r="H813" s="204"/>
      <c r="I813" s="204"/>
    </row>
    <row r="814" spans="1:9" s="17" customFormat="1">
      <c r="A814" s="202"/>
      <c r="B814" s="202"/>
      <c r="C814" s="184"/>
      <c r="D814" s="184"/>
      <c r="E814" s="184"/>
      <c r="F814" s="203"/>
      <c r="G814" s="203"/>
      <c r="H814" s="204"/>
      <c r="I814" s="204"/>
    </row>
    <row r="815" spans="1:9" s="17" customFormat="1">
      <c r="A815" s="202"/>
      <c r="B815" s="202"/>
      <c r="C815" s="184"/>
      <c r="D815" s="184"/>
      <c r="E815" s="184"/>
      <c r="F815" s="203"/>
      <c r="G815" s="203"/>
      <c r="H815" s="204"/>
      <c r="I815" s="204"/>
    </row>
    <row r="816" spans="1:9" s="17" customFormat="1">
      <c r="A816" s="202"/>
      <c r="B816" s="202"/>
      <c r="C816" s="184"/>
      <c r="D816" s="184"/>
      <c r="E816" s="184"/>
      <c r="F816" s="203"/>
      <c r="G816" s="203"/>
      <c r="H816" s="204"/>
      <c r="I816" s="204"/>
    </row>
    <row r="817" spans="1:9" s="17" customFormat="1">
      <c r="A817" s="202"/>
      <c r="B817" s="202"/>
      <c r="C817" s="184"/>
      <c r="D817" s="184"/>
      <c r="E817" s="184"/>
      <c r="F817" s="203"/>
      <c r="G817" s="203"/>
      <c r="H817" s="204"/>
      <c r="I817" s="204"/>
    </row>
    <row r="818" spans="1:9" s="17" customFormat="1">
      <c r="A818" s="202"/>
      <c r="B818" s="202"/>
      <c r="C818" s="184"/>
      <c r="D818" s="184"/>
      <c r="E818" s="184"/>
      <c r="F818" s="203"/>
      <c r="G818" s="203"/>
      <c r="H818" s="204"/>
      <c r="I818" s="204"/>
    </row>
    <row r="819" spans="1:9" s="17" customFormat="1">
      <c r="A819" s="202"/>
      <c r="B819" s="202"/>
      <c r="C819" s="184"/>
      <c r="D819" s="184"/>
      <c r="E819" s="184"/>
      <c r="F819" s="203"/>
      <c r="G819" s="203"/>
      <c r="H819" s="204"/>
      <c r="I819" s="204"/>
    </row>
    <row r="820" spans="1:9" s="17" customFormat="1">
      <c r="A820" s="202"/>
      <c r="B820" s="202"/>
      <c r="C820" s="184"/>
      <c r="D820" s="184"/>
      <c r="E820" s="184"/>
      <c r="F820" s="203"/>
      <c r="G820" s="203"/>
      <c r="H820" s="204"/>
      <c r="I820" s="204"/>
    </row>
    <row r="821" spans="1:9" s="17" customFormat="1">
      <c r="A821" s="202"/>
      <c r="B821" s="202"/>
      <c r="C821" s="184"/>
      <c r="D821" s="184"/>
      <c r="E821" s="184"/>
      <c r="F821" s="203"/>
      <c r="G821" s="203"/>
      <c r="H821" s="204"/>
      <c r="I821" s="204"/>
    </row>
    <row r="822" spans="1:9" s="17" customFormat="1">
      <c r="A822" s="202"/>
      <c r="B822" s="202"/>
      <c r="C822" s="184"/>
      <c r="D822" s="184"/>
      <c r="E822" s="184"/>
      <c r="F822" s="203"/>
      <c r="G822" s="203"/>
      <c r="H822" s="204"/>
      <c r="I822" s="204"/>
    </row>
    <row r="823" spans="1:9" s="17" customFormat="1">
      <c r="A823" s="202"/>
      <c r="B823" s="202"/>
      <c r="C823" s="184"/>
      <c r="D823" s="184"/>
      <c r="E823" s="184"/>
      <c r="F823" s="203"/>
      <c r="G823" s="203"/>
      <c r="H823" s="204"/>
      <c r="I823" s="204"/>
    </row>
    <row r="824" spans="1:9" s="17" customFormat="1">
      <c r="A824" s="202"/>
      <c r="B824" s="202"/>
      <c r="C824" s="184"/>
      <c r="D824" s="184"/>
      <c r="E824" s="184"/>
      <c r="F824" s="203"/>
      <c r="G824" s="203"/>
      <c r="H824" s="204"/>
      <c r="I824" s="204"/>
    </row>
    <row r="825" spans="1:9" s="17" customFormat="1">
      <c r="A825" s="202"/>
      <c r="B825" s="202"/>
      <c r="C825" s="184"/>
      <c r="D825" s="184"/>
      <c r="E825" s="184"/>
      <c r="F825" s="203"/>
      <c r="G825" s="203"/>
      <c r="H825" s="204"/>
      <c r="I825" s="204"/>
    </row>
    <row r="826" spans="1:9" s="17" customFormat="1">
      <c r="A826" s="202"/>
      <c r="B826" s="202"/>
      <c r="C826" s="184"/>
      <c r="D826" s="184"/>
      <c r="E826" s="184"/>
      <c r="F826" s="203"/>
      <c r="G826" s="203"/>
      <c r="H826" s="204"/>
      <c r="I826" s="204"/>
    </row>
    <row r="827" spans="1:9" s="17" customFormat="1">
      <c r="A827" s="202"/>
      <c r="B827" s="202"/>
      <c r="C827" s="184"/>
      <c r="D827" s="184"/>
      <c r="E827" s="184"/>
      <c r="F827" s="203"/>
      <c r="G827" s="203"/>
      <c r="H827" s="204"/>
      <c r="I827" s="204"/>
    </row>
    <row r="828" spans="1:9" s="17" customFormat="1">
      <c r="A828" s="202"/>
      <c r="B828" s="202"/>
      <c r="C828" s="184"/>
      <c r="D828" s="184"/>
      <c r="E828" s="184"/>
      <c r="F828" s="203"/>
      <c r="G828" s="203"/>
      <c r="H828" s="204"/>
      <c r="I828" s="204"/>
    </row>
    <row r="829" spans="1:9" s="17" customFormat="1">
      <c r="A829" s="202"/>
      <c r="B829" s="202"/>
      <c r="C829" s="184"/>
      <c r="D829" s="184"/>
      <c r="E829" s="184"/>
      <c r="F829" s="203"/>
      <c r="G829" s="203"/>
      <c r="H829" s="204"/>
      <c r="I829" s="204"/>
    </row>
    <row r="830" spans="1:9" s="17" customFormat="1">
      <c r="A830" s="202"/>
      <c r="B830" s="202"/>
      <c r="C830" s="184"/>
      <c r="D830" s="184"/>
      <c r="E830" s="184"/>
      <c r="F830" s="203"/>
      <c r="G830" s="203"/>
      <c r="H830" s="204"/>
      <c r="I830" s="204"/>
    </row>
    <row r="831" spans="1:9" s="17" customFormat="1">
      <c r="A831" s="202"/>
      <c r="B831" s="202"/>
      <c r="C831" s="184"/>
      <c r="D831" s="184"/>
      <c r="E831" s="184"/>
      <c r="F831" s="203"/>
      <c r="G831" s="203"/>
      <c r="H831" s="204"/>
      <c r="I831" s="204"/>
    </row>
    <row r="832" spans="1:9" s="17" customFormat="1">
      <c r="A832" s="202"/>
      <c r="B832" s="202"/>
      <c r="C832" s="184"/>
      <c r="D832" s="184"/>
      <c r="E832" s="184"/>
      <c r="F832" s="203"/>
      <c r="G832" s="203"/>
      <c r="H832" s="204"/>
      <c r="I832" s="204"/>
    </row>
    <row r="833" spans="1:9" s="17" customFormat="1">
      <c r="A833" s="202"/>
      <c r="B833" s="202"/>
      <c r="C833" s="184"/>
      <c r="D833" s="184"/>
      <c r="E833" s="184"/>
      <c r="F833" s="203"/>
      <c r="G833" s="203"/>
      <c r="H833" s="204"/>
      <c r="I833" s="204"/>
    </row>
    <row r="834" spans="1:9" s="17" customFormat="1">
      <c r="A834" s="202"/>
      <c r="B834" s="202"/>
      <c r="C834" s="184"/>
      <c r="D834" s="184"/>
      <c r="E834" s="184"/>
      <c r="F834" s="203"/>
      <c r="G834" s="203"/>
      <c r="H834" s="204"/>
      <c r="I834" s="204"/>
    </row>
    <row r="835" spans="1:9" s="17" customFormat="1">
      <c r="A835" s="202"/>
      <c r="B835" s="202"/>
      <c r="C835" s="184"/>
      <c r="D835" s="184"/>
      <c r="E835" s="184"/>
      <c r="F835" s="203"/>
      <c r="G835" s="203"/>
      <c r="H835" s="204"/>
      <c r="I835" s="204"/>
    </row>
    <row r="836" spans="1:9" s="17" customFormat="1">
      <c r="A836" s="202"/>
      <c r="B836" s="202"/>
      <c r="C836" s="184"/>
      <c r="D836" s="184"/>
      <c r="E836" s="184"/>
      <c r="F836" s="203"/>
      <c r="G836" s="203"/>
      <c r="H836" s="204"/>
      <c r="I836" s="204"/>
    </row>
    <row r="837" spans="1:9" s="17" customFormat="1">
      <c r="A837" s="202"/>
      <c r="B837" s="202"/>
      <c r="C837" s="184"/>
      <c r="D837" s="184"/>
      <c r="E837" s="184"/>
      <c r="F837" s="203"/>
      <c r="G837" s="203"/>
      <c r="H837" s="204"/>
      <c r="I837" s="204"/>
    </row>
    <row r="838" spans="1:9" s="17" customFormat="1">
      <c r="A838" s="202"/>
      <c r="B838" s="202"/>
      <c r="C838" s="184"/>
      <c r="D838" s="184"/>
      <c r="E838" s="184"/>
      <c r="F838" s="203"/>
      <c r="G838" s="203"/>
      <c r="H838" s="204"/>
      <c r="I838" s="204"/>
    </row>
    <row r="839" spans="1:9" s="17" customFormat="1">
      <c r="A839" s="202"/>
      <c r="B839" s="202"/>
      <c r="C839" s="184"/>
      <c r="D839" s="184"/>
      <c r="E839" s="184"/>
      <c r="F839" s="203"/>
      <c r="G839" s="203"/>
      <c r="H839" s="204"/>
      <c r="I839" s="204"/>
    </row>
    <row r="840" spans="1:9" s="17" customFormat="1">
      <c r="A840" s="202"/>
      <c r="B840" s="202"/>
      <c r="C840" s="184"/>
      <c r="D840" s="184"/>
      <c r="E840" s="184"/>
      <c r="F840" s="203"/>
      <c r="G840" s="203"/>
      <c r="H840" s="204"/>
      <c r="I840" s="204"/>
    </row>
    <row r="841" spans="1:9" s="17" customFormat="1">
      <c r="A841" s="202"/>
      <c r="B841" s="202"/>
      <c r="C841" s="184"/>
      <c r="D841" s="184"/>
      <c r="E841" s="184"/>
      <c r="F841" s="203"/>
      <c r="G841" s="203"/>
      <c r="H841" s="204"/>
      <c r="I841" s="204"/>
    </row>
    <row r="842" spans="1:9" s="17" customFormat="1">
      <c r="A842" s="202"/>
      <c r="B842" s="202"/>
      <c r="C842" s="184"/>
      <c r="D842" s="184"/>
      <c r="E842" s="184"/>
      <c r="F842" s="203"/>
      <c r="G842" s="203"/>
      <c r="H842" s="204"/>
      <c r="I842" s="204"/>
    </row>
    <row r="843" spans="1:9" s="17" customFormat="1">
      <c r="A843" s="202"/>
      <c r="B843" s="202"/>
      <c r="C843" s="184"/>
      <c r="D843" s="184"/>
      <c r="E843" s="184"/>
      <c r="F843" s="203"/>
      <c r="G843" s="203"/>
      <c r="H843" s="204"/>
      <c r="I843" s="204"/>
    </row>
    <row r="844" spans="1:9" s="17" customFormat="1">
      <c r="A844" s="202"/>
      <c r="B844" s="202"/>
      <c r="C844" s="184"/>
      <c r="D844" s="184"/>
      <c r="E844" s="184"/>
      <c r="F844" s="203"/>
      <c r="G844" s="203"/>
      <c r="H844" s="204"/>
      <c r="I844" s="204"/>
    </row>
    <row r="845" spans="1:9" s="17" customFormat="1">
      <c r="A845" s="202"/>
      <c r="B845" s="202"/>
      <c r="C845" s="184"/>
      <c r="D845" s="184"/>
      <c r="E845" s="184"/>
      <c r="F845" s="203"/>
      <c r="G845" s="203"/>
      <c r="H845" s="204"/>
      <c r="I845" s="204"/>
    </row>
    <row r="846" spans="1:9" s="17" customFormat="1">
      <c r="A846" s="202"/>
      <c r="B846" s="202"/>
      <c r="C846" s="184"/>
      <c r="D846" s="184"/>
      <c r="E846" s="184"/>
      <c r="F846" s="203"/>
      <c r="G846" s="203"/>
      <c r="H846" s="204"/>
      <c r="I846" s="204"/>
    </row>
    <row r="847" spans="1:9" s="17" customFormat="1">
      <c r="A847" s="202"/>
      <c r="B847" s="202"/>
      <c r="C847" s="184"/>
      <c r="D847" s="184"/>
      <c r="E847" s="184"/>
      <c r="F847" s="203"/>
      <c r="G847" s="203"/>
      <c r="H847" s="204"/>
      <c r="I847" s="204"/>
    </row>
    <row r="848" spans="1:9" s="17" customFormat="1">
      <c r="A848" s="202"/>
      <c r="B848" s="202"/>
      <c r="C848" s="184"/>
      <c r="D848" s="184"/>
      <c r="E848" s="184"/>
      <c r="F848" s="203"/>
      <c r="G848" s="203"/>
      <c r="H848" s="204"/>
      <c r="I848" s="204"/>
    </row>
    <row r="849" spans="1:9" s="17" customFormat="1">
      <c r="A849" s="202"/>
      <c r="B849" s="202"/>
      <c r="C849" s="184"/>
      <c r="D849" s="184"/>
      <c r="E849" s="184"/>
      <c r="F849" s="203"/>
      <c r="G849" s="203"/>
      <c r="H849" s="204"/>
      <c r="I849" s="204"/>
    </row>
    <row r="850" spans="1:9" s="17" customFormat="1">
      <c r="A850" s="202"/>
      <c r="B850" s="202"/>
      <c r="C850" s="184"/>
      <c r="D850" s="184"/>
      <c r="E850" s="184"/>
      <c r="F850" s="203"/>
      <c r="G850" s="203"/>
      <c r="H850" s="204"/>
      <c r="I850" s="204"/>
    </row>
    <row r="851" spans="1:9" s="17" customFormat="1">
      <c r="A851" s="202"/>
      <c r="B851" s="202"/>
      <c r="C851" s="184"/>
      <c r="D851" s="184"/>
      <c r="E851" s="184"/>
      <c r="F851" s="203"/>
      <c r="G851" s="203"/>
      <c r="H851" s="204"/>
      <c r="I851" s="204"/>
    </row>
    <row r="852" spans="1:9" s="17" customFormat="1">
      <c r="A852" s="202"/>
      <c r="B852" s="202"/>
      <c r="C852" s="184"/>
      <c r="D852" s="184"/>
      <c r="E852" s="184"/>
      <c r="F852" s="203"/>
      <c r="G852" s="203"/>
      <c r="H852" s="204"/>
      <c r="I852" s="204"/>
    </row>
    <row r="853" spans="1:9" s="17" customFormat="1">
      <c r="A853" s="202"/>
      <c r="B853" s="202"/>
      <c r="C853" s="184"/>
      <c r="D853" s="184"/>
      <c r="E853" s="184"/>
      <c r="F853" s="203"/>
      <c r="G853" s="203"/>
      <c r="H853" s="204"/>
      <c r="I853" s="204"/>
    </row>
    <row r="854" spans="1:9" s="17" customFormat="1">
      <c r="A854" s="202"/>
      <c r="B854" s="202"/>
      <c r="C854" s="184"/>
      <c r="D854" s="184"/>
      <c r="E854" s="184"/>
      <c r="F854" s="203"/>
      <c r="G854" s="203"/>
      <c r="H854" s="204"/>
      <c r="I854" s="204"/>
    </row>
    <row r="855" spans="1:9" s="17" customFormat="1">
      <c r="A855" s="202"/>
      <c r="B855" s="202"/>
      <c r="C855" s="184"/>
      <c r="D855" s="184"/>
      <c r="E855" s="184"/>
      <c r="F855" s="203"/>
      <c r="G855" s="203"/>
      <c r="H855" s="204"/>
      <c r="I855" s="204"/>
    </row>
    <row r="856" spans="1:9" s="17" customFormat="1">
      <c r="A856" s="202"/>
      <c r="B856" s="202"/>
      <c r="C856" s="184"/>
      <c r="D856" s="184"/>
      <c r="E856" s="184"/>
      <c r="F856" s="203"/>
      <c r="G856" s="203"/>
      <c r="H856" s="204"/>
      <c r="I856" s="204"/>
    </row>
    <row r="857" spans="1:9" s="17" customFormat="1">
      <c r="A857" s="202"/>
      <c r="B857" s="202"/>
      <c r="C857" s="184"/>
      <c r="D857" s="184"/>
      <c r="E857" s="184"/>
      <c r="F857" s="203"/>
      <c r="G857" s="203"/>
      <c r="H857" s="204"/>
      <c r="I857" s="204"/>
    </row>
    <row r="858" spans="1:9" s="17" customFormat="1">
      <c r="A858" s="202"/>
      <c r="B858" s="202"/>
      <c r="C858" s="184"/>
      <c r="D858" s="184"/>
      <c r="E858" s="184"/>
      <c r="F858" s="203"/>
      <c r="G858" s="203"/>
      <c r="H858" s="204"/>
      <c r="I858" s="204"/>
    </row>
    <row r="859" spans="1:9" s="17" customFormat="1">
      <c r="A859" s="202"/>
      <c r="B859" s="202"/>
      <c r="C859" s="184"/>
      <c r="D859" s="184"/>
      <c r="E859" s="184"/>
      <c r="F859" s="203"/>
      <c r="G859" s="203"/>
      <c r="H859" s="204"/>
      <c r="I859" s="204"/>
    </row>
    <row r="860" spans="1:9" s="17" customFormat="1">
      <c r="A860" s="202"/>
      <c r="B860" s="202"/>
      <c r="C860" s="184"/>
      <c r="D860" s="184"/>
      <c r="E860" s="184"/>
      <c r="F860" s="203"/>
      <c r="G860" s="203"/>
      <c r="H860" s="204"/>
      <c r="I860" s="204"/>
    </row>
    <row r="861" spans="1:9" s="17" customFormat="1">
      <c r="A861" s="202"/>
      <c r="B861" s="202"/>
      <c r="C861" s="184"/>
      <c r="D861" s="184"/>
      <c r="E861" s="184"/>
      <c r="F861" s="203"/>
      <c r="G861" s="203"/>
      <c r="H861" s="204"/>
      <c r="I861" s="204"/>
    </row>
    <row r="862" spans="1:9" s="17" customFormat="1">
      <c r="A862" s="202"/>
      <c r="B862" s="202"/>
      <c r="C862" s="184"/>
      <c r="D862" s="184"/>
      <c r="E862" s="184"/>
      <c r="F862" s="203"/>
      <c r="G862" s="203"/>
      <c r="H862" s="204"/>
      <c r="I862" s="204"/>
    </row>
    <row r="863" spans="1:9" s="17" customFormat="1">
      <c r="A863" s="202"/>
      <c r="B863" s="202"/>
      <c r="C863" s="184"/>
      <c r="D863" s="184"/>
      <c r="E863" s="184"/>
      <c r="F863" s="203"/>
      <c r="G863" s="203"/>
      <c r="H863" s="204"/>
      <c r="I863" s="204"/>
    </row>
    <row r="864" spans="1:9" s="17" customFormat="1">
      <c r="A864" s="202"/>
      <c r="B864" s="202"/>
      <c r="C864" s="184"/>
      <c r="D864" s="184"/>
      <c r="E864" s="184"/>
      <c r="F864" s="203"/>
      <c r="G864" s="203"/>
      <c r="H864" s="204"/>
      <c r="I864" s="204"/>
    </row>
    <row r="865" spans="1:9" s="17" customFormat="1">
      <c r="A865" s="202"/>
      <c r="B865" s="202"/>
      <c r="C865" s="184"/>
      <c r="D865" s="184"/>
      <c r="E865" s="184"/>
      <c r="F865" s="203"/>
      <c r="G865" s="203"/>
      <c r="H865" s="204"/>
      <c r="I865" s="204"/>
    </row>
    <row r="866" spans="1:9" s="17" customFormat="1">
      <c r="A866" s="202"/>
      <c r="B866" s="202"/>
      <c r="C866" s="184"/>
      <c r="D866" s="184"/>
      <c r="E866" s="184"/>
      <c r="F866" s="203"/>
      <c r="G866" s="203"/>
      <c r="H866" s="204"/>
      <c r="I866" s="204"/>
    </row>
    <row r="867" spans="1:9" s="17" customFormat="1">
      <c r="A867" s="202"/>
      <c r="B867" s="202"/>
      <c r="C867" s="184"/>
      <c r="D867" s="184"/>
      <c r="E867" s="184"/>
      <c r="F867" s="203"/>
      <c r="G867" s="203"/>
      <c r="H867" s="204"/>
      <c r="I867" s="204"/>
    </row>
    <row r="868" spans="1:9" s="17" customFormat="1">
      <c r="A868" s="202"/>
      <c r="B868" s="202"/>
      <c r="C868" s="184"/>
      <c r="D868" s="184"/>
      <c r="E868" s="184"/>
      <c r="F868" s="203"/>
      <c r="G868" s="203"/>
      <c r="H868" s="204"/>
      <c r="I868" s="204"/>
    </row>
    <row r="869" spans="1:9" s="17" customFormat="1">
      <c r="A869" s="202"/>
      <c r="B869" s="202"/>
      <c r="C869" s="184"/>
      <c r="D869" s="184"/>
      <c r="E869" s="184"/>
      <c r="F869" s="203"/>
      <c r="G869" s="203"/>
      <c r="H869" s="204"/>
      <c r="I869" s="204"/>
    </row>
    <row r="870" spans="1:9" s="17" customFormat="1">
      <c r="A870" s="202"/>
      <c r="B870" s="202"/>
      <c r="C870" s="184"/>
      <c r="D870" s="184"/>
      <c r="E870" s="184"/>
      <c r="F870" s="203"/>
      <c r="G870" s="203"/>
      <c r="H870" s="204"/>
      <c r="I870" s="204"/>
    </row>
    <row r="871" spans="1:9" s="17" customFormat="1">
      <c r="A871" s="202"/>
      <c r="B871" s="202"/>
      <c r="C871" s="184"/>
      <c r="D871" s="184"/>
      <c r="E871" s="184"/>
      <c r="F871" s="203"/>
      <c r="G871" s="203"/>
      <c r="H871" s="204"/>
      <c r="I871" s="204"/>
    </row>
    <row r="872" spans="1:9" s="17" customFormat="1">
      <c r="A872" s="202"/>
      <c r="B872" s="202"/>
      <c r="C872" s="184"/>
      <c r="D872" s="184"/>
      <c r="E872" s="184"/>
      <c r="F872" s="203"/>
      <c r="G872" s="203"/>
      <c r="H872" s="204"/>
      <c r="I872" s="204"/>
    </row>
    <row r="873" spans="1:9" s="17" customFormat="1">
      <c r="A873" s="202"/>
      <c r="B873" s="202"/>
      <c r="C873" s="184"/>
      <c r="D873" s="184"/>
      <c r="E873" s="184"/>
      <c r="F873" s="203"/>
      <c r="G873" s="203"/>
      <c r="H873" s="204"/>
      <c r="I873" s="204"/>
    </row>
    <row r="874" spans="1:9" s="17" customFormat="1">
      <c r="A874" s="202"/>
      <c r="B874" s="202"/>
      <c r="C874" s="184"/>
      <c r="D874" s="184"/>
      <c r="E874" s="184"/>
      <c r="F874" s="203"/>
      <c r="G874" s="203"/>
      <c r="H874" s="204"/>
      <c r="I874" s="204"/>
    </row>
    <row r="875" spans="1:9" s="17" customFormat="1">
      <c r="A875" s="202"/>
      <c r="B875" s="202"/>
      <c r="C875" s="184"/>
      <c r="D875" s="184"/>
      <c r="E875" s="184"/>
      <c r="F875" s="203"/>
      <c r="G875" s="203"/>
      <c r="H875" s="204"/>
      <c r="I875" s="204"/>
    </row>
    <row r="876" spans="1:9" s="17" customFormat="1">
      <c r="A876" s="202"/>
      <c r="B876" s="202"/>
      <c r="C876" s="184"/>
      <c r="D876" s="184"/>
      <c r="E876" s="184"/>
      <c r="F876" s="203"/>
      <c r="G876" s="203"/>
      <c r="H876" s="204"/>
      <c r="I876" s="204"/>
    </row>
    <row r="877" spans="1:9" s="17" customFormat="1">
      <c r="A877" s="202"/>
      <c r="B877" s="202"/>
      <c r="C877" s="184"/>
      <c r="D877" s="184"/>
      <c r="E877" s="184"/>
      <c r="F877" s="203"/>
      <c r="G877" s="203"/>
      <c r="H877" s="204"/>
      <c r="I877" s="204"/>
    </row>
    <row r="878" spans="1:9" s="17" customFormat="1">
      <c r="A878" s="202"/>
      <c r="B878" s="202"/>
      <c r="C878" s="184"/>
      <c r="D878" s="184"/>
      <c r="E878" s="184"/>
      <c r="F878" s="203"/>
      <c r="G878" s="203"/>
      <c r="H878" s="204"/>
      <c r="I878" s="204"/>
    </row>
    <row r="879" spans="1:9" s="17" customFormat="1">
      <c r="A879" s="202"/>
      <c r="B879" s="202"/>
      <c r="C879" s="184"/>
      <c r="D879" s="184"/>
      <c r="E879" s="184"/>
      <c r="F879" s="203"/>
      <c r="G879" s="203"/>
      <c r="H879" s="204"/>
      <c r="I879" s="204"/>
    </row>
    <row r="880" spans="1:9" s="17" customFormat="1">
      <c r="A880" s="202"/>
      <c r="B880" s="202"/>
      <c r="C880" s="184"/>
      <c r="D880" s="184"/>
      <c r="E880" s="184"/>
      <c r="F880" s="203"/>
      <c r="G880" s="203"/>
      <c r="H880" s="204"/>
      <c r="I880" s="204"/>
    </row>
    <row r="881" spans="1:9" s="17" customFormat="1">
      <c r="A881" s="202"/>
      <c r="B881" s="202"/>
      <c r="C881" s="184"/>
      <c r="D881" s="184"/>
      <c r="E881" s="184"/>
      <c r="F881" s="203"/>
      <c r="G881" s="203"/>
      <c r="H881" s="204"/>
      <c r="I881" s="204"/>
    </row>
    <row r="882" spans="1:9" s="17" customFormat="1">
      <c r="A882" s="202"/>
      <c r="B882" s="202"/>
      <c r="C882" s="184"/>
      <c r="D882" s="184"/>
      <c r="E882" s="184"/>
      <c r="F882" s="203"/>
      <c r="G882" s="203"/>
      <c r="H882" s="204"/>
      <c r="I882" s="204"/>
    </row>
    <row r="883" spans="1:9" s="17" customFormat="1">
      <c r="A883" s="202"/>
      <c r="B883" s="202"/>
      <c r="C883" s="184"/>
      <c r="D883" s="184"/>
      <c r="E883" s="184"/>
      <c r="F883" s="203"/>
      <c r="G883" s="203"/>
      <c r="H883" s="204"/>
      <c r="I883" s="204"/>
    </row>
    <row r="884" spans="1:9" s="17" customFormat="1">
      <c r="A884" s="202"/>
      <c r="B884" s="202"/>
      <c r="C884" s="184"/>
      <c r="D884" s="184"/>
      <c r="E884" s="184"/>
      <c r="F884" s="203"/>
      <c r="G884" s="203"/>
      <c r="H884" s="204"/>
      <c r="I884" s="204"/>
    </row>
    <row r="885" spans="1:9" s="17" customFormat="1">
      <c r="A885" s="202"/>
      <c r="B885" s="202"/>
      <c r="C885" s="184"/>
      <c r="D885" s="184"/>
      <c r="E885" s="184"/>
      <c r="F885" s="203"/>
      <c r="G885" s="203"/>
      <c r="H885" s="204"/>
      <c r="I885" s="204"/>
    </row>
    <row r="886" spans="1:9" s="17" customFormat="1">
      <c r="A886" s="202"/>
      <c r="B886" s="202"/>
      <c r="C886" s="184"/>
      <c r="D886" s="184"/>
      <c r="E886" s="184"/>
      <c r="F886" s="203"/>
      <c r="G886" s="203"/>
      <c r="H886" s="204"/>
      <c r="I886" s="204"/>
    </row>
    <row r="887" spans="1:9" s="17" customFormat="1">
      <c r="A887" s="202"/>
      <c r="B887" s="202"/>
      <c r="C887" s="184"/>
      <c r="D887" s="184"/>
      <c r="E887" s="184"/>
      <c r="F887" s="203"/>
      <c r="G887" s="203"/>
      <c r="H887" s="204"/>
      <c r="I887" s="204"/>
    </row>
    <row r="888" spans="1:9" s="17" customFormat="1">
      <c r="A888" s="202"/>
      <c r="B888" s="202"/>
      <c r="C888" s="184"/>
      <c r="D888" s="184"/>
      <c r="E888" s="184"/>
      <c r="F888" s="203"/>
      <c r="G888" s="203"/>
      <c r="H888" s="204"/>
      <c r="I888" s="204"/>
    </row>
    <row r="889" spans="1:9" s="17" customFormat="1">
      <c r="A889" s="202"/>
      <c r="B889" s="202"/>
      <c r="C889" s="184"/>
      <c r="D889" s="184"/>
      <c r="E889" s="184"/>
      <c r="F889" s="203"/>
      <c r="G889" s="203"/>
      <c r="H889" s="204"/>
      <c r="I889" s="204"/>
    </row>
    <row r="890" spans="1:9" s="17" customFormat="1">
      <c r="A890" s="202"/>
      <c r="B890" s="202"/>
      <c r="C890" s="184"/>
      <c r="D890" s="184"/>
      <c r="E890" s="184"/>
      <c r="F890" s="203"/>
      <c r="G890" s="203"/>
      <c r="H890" s="204"/>
      <c r="I890" s="204"/>
    </row>
    <row r="891" spans="1:9" s="17" customFormat="1">
      <c r="A891" s="202"/>
      <c r="B891" s="202"/>
      <c r="C891" s="184"/>
      <c r="D891" s="184"/>
      <c r="E891" s="184"/>
      <c r="F891" s="203"/>
      <c r="G891" s="203"/>
      <c r="H891" s="204"/>
      <c r="I891" s="204"/>
    </row>
  </sheetData>
  <sortState xmlns:xlrd2="http://schemas.microsoft.com/office/spreadsheetml/2017/richdata2" ref="O14:P65">
    <sortCondition ref="O14:O65"/>
    <sortCondition ref="P14:P65"/>
  </sortState>
  <dataValidations count="9">
    <dataValidation type="decimal" allowBlank="1" showInputMessage="1" showErrorMessage="1" sqref="E2:E4 E10 E7:E8" xr:uid="{FABE1769-4BEC-494F-B071-0862A3252EE9}">
      <formula1>-180</formula1>
      <formula2>180</formula2>
    </dataValidation>
    <dataValidation type="decimal" allowBlank="1" showInputMessage="1" showErrorMessage="1" sqref="D2:D4 D10 D7:D8" xr:uid="{DDC8DE20-0D59-46A3-91B4-A2553FD02DBE}">
      <formula1>-90</formula1>
      <formula2>90</formula2>
    </dataValidation>
    <dataValidation type="custom" allowBlank="1" showInputMessage="1" showErrorMessage="1" sqref="M10 M2:M8 J2" xr:uid="{BF0D4627-C122-49C5-B04F-2935F06C2F99}">
      <formula1>M2&lt;U2</formula1>
    </dataValidation>
    <dataValidation type="list" allowBlank="1" showInputMessage="1" showErrorMessage="1" sqref="C2:C8 C10:C18" xr:uid="{AFD7D478-8A1D-4B51-9CC9-966468EEC6DC}">
      <formula1>INDIRECT($A2)</formula1>
    </dataValidation>
    <dataValidation type="custom" allowBlank="1" showInputMessage="1" showErrorMessage="1" sqref="L11:L12" xr:uid="{13DE7A78-FE1E-4BAA-9BA4-536E6E825645}">
      <formula1>O11&lt;#REF!</formula1>
    </dataValidation>
    <dataValidation type="list" allowBlank="1" showInputMessage="1" showErrorMessage="1" sqref="I2:I10" xr:uid="{23C3F0E7-7A8E-4A36-BE72-EDB93869E0CB}">
      <formula1>INDIRECT(C2)</formula1>
    </dataValidation>
    <dataValidation type="list" allowBlank="1" showInputMessage="1" showErrorMessage="1" sqref="A2:A18" xr:uid="{B424F958-80A9-4DD3-A8AA-8E5F2EE801A1}">
      <formula1>VRE</formula1>
    </dataValidation>
    <dataValidation type="custom" allowBlank="1" showInputMessage="1" showErrorMessage="1" sqref="I11:I18 J3:J10" xr:uid="{16249AD5-E40A-4A00-A37A-E383E3B91EBB}">
      <formula1>#REF!&lt;#REF!*10^6</formula1>
    </dataValidation>
    <dataValidation type="custom" allowBlank="1" showInputMessage="1" showErrorMessage="1" sqref="H10 H2:H8 F2:F8 F10" xr:uid="{C3284F13-FA60-43FD-A8CC-89D84D56E4FA}">
      <formula1>I11&lt;Q11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47"/>
  <sheetViews>
    <sheetView topLeftCell="C97" zoomScaleNormal="100" workbookViewId="0">
      <selection activeCell="H43" sqref="H43"/>
    </sheetView>
  </sheetViews>
  <sheetFormatPr defaultColWidth="9.109375" defaultRowHeight="14.4"/>
  <cols>
    <col min="1" max="1" width="35.33203125" style="188" customWidth="1"/>
    <col min="2" max="2" width="19.109375" style="188" customWidth="1"/>
    <col min="3" max="3" width="17.5546875" style="194" customWidth="1"/>
    <col min="4" max="5" width="10.6640625" style="194" customWidth="1"/>
    <col min="6" max="6" width="18.44140625" style="194" customWidth="1"/>
    <col min="7" max="8" width="27" style="194" customWidth="1"/>
    <col min="9" max="9" width="12.33203125" style="170" bestFit="1" customWidth="1"/>
    <col min="10" max="10" width="21.6640625" style="170" customWidth="1"/>
    <col min="11" max="11" width="14" style="170" bestFit="1" customWidth="1"/>
    <col min="12" max="12" width="9.109375" style="170"/>
    <col min="13" max="13" width="31.6640625" style="183" customWidth="1"/>
    <col min="14" max="16384" width="9.109375" style="170"/>
  </cols>
  <sheetData>
    <row r="1" spans="1:23" s="176" customFormat="1" ht="43.2">
      <c r="A1" s="183" t="s">
        <v>223</v>
      </c>
      <c r="B1" s="183" t="s">
        <v>263</v>
      </c>
      <c r="C1" s="194" t="s">
        <v>274</v>
      </c>
      <c r="D1" s="194" t="s">
        <v>296</v>
      </c>
      <c r="E1" s="194" t="s">
        <v>406</v>
      </c>
      <c r="F1" s="194" t="s">
        <v>25</v>
      </c>
      <c r="G1" s="194" t="s">
        <v>261</v>
      </c>
      <c r="H1" s="194" t="s">
        <v>636</v>
      </c>
      <c r="I1" s="175" t="s">
        <v>300</v>
      </c>
      <c r="J1" s="175" t="s">
        <v>301</v>
      </c>
      <c r="K1" s="175" t="s">
        <v>302</v>
      </c>
      <c r="L1" s="175" t="s">
        <v>402</v>
      </c>
      <c r="M1" s="167" t="s">
        <v>301</v>
      </c>
      <c r="N1" s="167" t="s">
        <v>302</v>
      </c>
      <c r="O1" s="167" t="s">
        <v>402</v>
      </c>
      <c r="P1" s="167" t="s">
        <v>702</v>
      </c>
      <c r="Q1" s="167" t="s">
        <v>703</v>
      </c>
      <c r="R1" s="170" t="s">
        <v>704</v>
      </c>
      <c r="S1" s="170" t="s">
        <v>705</v>
      </c>
      <c r="T1" s="170" t="s">
        <v>706</v>
      </c>
      <c r="U1" s="170" t="s">
        <v>707</v>
      </c>
      <c r="V1" s="170" t="s">
        <v>708</v>
      </c>
      <c r="W1" s="170" t="s">
        <v>6</v>
      </c>
    </row>
    <row r="2" spans="1:23">
      <c r="A2" s="201" t="s">
        <v>484</v>
      </c>
      <c r="B2" s="201" t="s">
        <v>484</v>
      </c>
      <c r="C2" s="201" t="s">
        <v>522</v>
      </c>
      <c r="D2" t="s">
        <v>749</v>
      </c>
      <c r="E2" s="211">
        <f>ROUND(F2*0.1,0)</f>
        <v>2</v>
      </c>
      <c r="F2" s="212">
        <v>24</v>
      </c>
      <c r="G2" s="216" t="s">
        <v>430</v>
      </c>
      <c r="H2" s="212" t="s">
        <v>424</v>
      </c>
      <c r="I2" s="182"/>
      <c r="J2" s="182"/>
      <c r="K2" s="182"/>
      <c r="L2" s="171"/>
      <c r="M2" s="196"/>
      <c r="N2" s="171"/>
      <c r="O2" s="171"/>
      <c r="P2" s="171"/>
    </row>
    <row r="3" spans="1:23">
      <c r="A3" s="201" t="s">
        <v>485</v>
      </c>
      <c r="B3" s="201" t="s">
        <v>485</v>
      </c>
      <c r="C3" s="201" t="s">
        <v>10</v>
      </c>
      <c r="D3" t="s">
        <v>749</v>
      </c>
      <c r="E3" s="211">
        <f t="shared" ref="E3:E29" si="0">ROUND(F3*0.1,0)</f>
        <v>1</v>
      </c>
      <c r="F3" s="212">
        <v>6.5</v>
      </c>
      <c r="G3" s="216" t="s">
        <v>430</v>
      </c>
      <c r="H3" s="212" t="s">
        <v>639</v>
      </c>
      <c r="I3" s="171"/>
      <c r="J3" s="171"/>
      <c r="K3" s="171"/>
      <c r="L3" s="171"/>
      <c r="M3" s="196"/>
      <c r="N3" s="171"/>
      <c r="O3" s="171"/>
      <c r="P3" s="171"/>
    </row>
    <row r="4" spans="1:23">
      <c r="A4" s="201" t="s">
        <v>486</v>
      </c>
      <c r="B4" s="201" t="s">
        <v>486</v>
      </c>
      <c r="C4" s="201" t="s">
        <v>10</v>
      </c>
      <c r="D4" t="s">
        <v>749</v>
      </c>
      <c r="E4" s="211">
        <f t="shared" si="0"/>
        <v>2</v>
      </c>
      <c r="F4" s="212">
        <v>20.399999999999999</v>
      </c>
      <c r="G4" s="216" t="s">
        <v>419</v>
      </c>
      <c r="H4" s="212" t="s">
        <v>640</v>
      </c>
      <c r="I4" s="171"/>
      <c r="J4" s="171"/>
      <c r="K4" s="171"/>
      <c r="L4" s="171"/>
      <c r="M4" s="196"/>
      <c r="N4" s="171"/>
      <c r="O4" s="171"/>
      <c r="P4" s="171"/>
    </row>
    <row r="5" spans="1:23">
      <c r="A5" s="201" t="s">
        <v>487</v>
      </c>
      <c r="B5" s="201" t="s">
        <v>487</v>
      </c>
      <c r="C5" s="201" t="s">
        <v>10</v>
      </c>
      <c r="D5" t="s">
        <v>749</v>
      </c>
      <c r="E5" s="211">
        <f t="shared" si="0"/>
        <v>6</v>
      </c>
      <c r="F5" s="212">
        <v>62</v>
      </c>
      <c r="G5" s="216" t="s">
        <v>422</v>
      </c>
      <c r="H5" s="212" t="s">
        <v>641</v>
      </c>
      <c r="I5" s="171"/>
      <c r="J5" s="171"/>
      <c r="K5" s="171"/>
      <c r="L5" s="171"/>
      <c r="M5" s="196"/>
      <c r="N5" s="171"/>
      <c r="O5" s="171"/>
      <c r="P5" s="171"/>
    </row>
    <row r="6" spans="1:23">
      <c r="A6" s="201" t="s">
        <v>488</v>
      </c>
      <c r="B6" s="201" t="s">
        <v>488</v>
      </c>
      <c r="C6" s="201" t="s">
        <v>10</v>
      </c>
      <c r="D6" t="s">
        <v>749</v>
      </c>
      <c r="E6" s="211">
        <f t="shared" si="0"/>
        <v>6</v>
      </c>
      <c r="F6" s="212">
        <v>55</v>
      </c>
      <c r="G6" s="216" t="s">
        <v>432</v>
      </c>
      <c r="H6" s="212" t="s">
        <v>638</v>
      </c>
      <c r="I6" s="171"/>
      <c r="J6" s="171"/>
      <c r="K6" s="171"/>
      <c r="L6" s="171"/>
      <c r="M6" s="196"/>
      <c r="N6" s="171"/>
      <c r="O6" s="171"/>
      <c r="P6" s="171"/>
    </row>
    <row r="7" spans="1:23">
      <c r="A7" s="201" t="s">
        <v>489</v>
      </c>
      <c r="B7" s="201" t="s">
        <v>489</v>
      </c>
      <c r="C7" s="201" t="s">
        <v>10</v>
      </c>
      <c r="D7" t="s">
        <v>749</v>
      </c>
      <c r="E7" s="211">
        <f t="shared" si="0"/>
        <v>8</v>
      </c>
      <c r="F7" s="212">
        <v>78</v>
      </c>
      <c r="G7" s="216" t="s">
        <v>426</v>
      </c>
      <c r="H7" s="212" t="s">
        <v>643</v>
      </c>
      <c r="I7" s="171"/>
      <c r="J7" s="171"/>
      <c r="K7" s="171"/>
      <c r="L7" s="171"/>
      <c r="M7" s="196"/>
    </row>
    <row r="8" spans="1:23">
      <c r="A8" s="201" t="s">
        <v>490</v>
      </c>
      <c r="B8" s="201" t="s">
        <v>490</v>
      </c>
      <c r="C8" s="201" t="s">
        <v>10</v>
      </c>
      <c r="D8" t="s">
        <v>749</v>
      </c>
      <c r="E8" s="211">
        <f t="shared" si="0"/>
        <v>1</v>
      </c>
      <c r="F8" s="212">
        <v>12</v>
      </c>
      <c r="G8" s="216" t="s">
        <v>436</v>
      </c>
      <c r="H8" s="212" t="s">
        <v>644</v>
      </c>
      <c r="I8" s="172"/>
      <c r="J8" s="172"/>
      <c r="K8" s="172"/>
      <c r="L8" s="172"/>
      <c r="M8" s="196"/>
    </row>
    <row r="9" spans="1:23">
      <c r="A9" s="201" t="s">
        <v>491</v>
      </c>
      <c r="B9" s="201" t="s">
        <v>491</v>
      </c>
      <c r="C9" s="201" t="s">
        <v>10</v>
      </c>
      <c r="D9" t="s">
        <v>749</v>
      </c>
      <c r="E9" s="211">
        <f t="shared" si="0"/>
        <v>4</v>
      </c>
      <c r="F9" s="212">
        <v>36</v>
      </c>
      <c r="G9" s="216" t="s">
        <v>438</v>
      </c>
      <c r="H9" s="212" t="s">
        <v>645</v>
      </c>
      <c r="I9" s="172"/>
      <c r="J9" s="172"/>
      <c r="K9" s="172"/>
      <c r="L9" s="172"/>
      <c r="M9" s="196"/>
    </row>
    <row r="10" spans="1:23">
      <c r="A10" s="201" t="s">
        <v>492</v>
      </c>
      <c r="B10" s="201" t="s">
        <v>492</v>
      </c>
      <c r="C10" s="201" t="s">
        <v>10</v>
      </c>
      <c r="D10" t="s">
        <v>749</v>
      </c>
      <c r="E10" s="211">
        <f t="shared" si="0"/>
        <v>1</v>
      </c>
      <c r="F10" s="212">
        <v>10.5</v>
      </c>
      <c r="G10" s="216" t="s">
        <v>428</v>
      </c>
      <c r="H10" s="212" t="s">
        <v>646</v>
      </c>
      <c r="I10" s="171"/>
      <c r="J10" s="171"/>
      <c r="K10" s="171"/>
      <c r="L10" s="171"/>
      <c r="M10" s="196"/>
    </row>
    <row r="11" spans="1:23">
      <c r="A11" s="201" t="s">
        <v>493</v>
      </c>
      <c r="B11" s="201" t="s">
        <v>493</v>
      </c>
      <c r="C11" s="201" t="s">
        <v>10</v>
      </c>
      <c r="D11" t="s">
        <v>749</v>
      </c>
      <c r="E11" s="211">
        <f t="shared" si="0"/>
        <v>5</v>
      </c>
      <c r="F11" s="212">
        <v>52</v>
      </c>
      <c r="G11" s="216" t="s">
        <v>434</v>
      </c>
      <c r="H11" s="212" t="s">
        <v>647</v>
      </c>
      <c r="I11" s="171"/>
      <c r="J11" s="171"/>
      <c r="K11" s="171"/>
      <c r="L11" s="171"/>
      <c r="M11" s="196"/>
    </row>
    <row r="12" spans="1:23">
      <c r="A12" s="201" t="s">
        <v>494</v>
      </c>
      <c r="B12" s="201" t="s">
        <v>494</v>
      </c>
      <c r="C12" s="201" t="s">
        <v>10</v>
      </c>
      <c r="D12" t="s">
        <v>749</v>
      </c>
      <c r="E12" s="211">
        <f t="shared" si="0"/>
        <v>9</v>
      </c>
      <c r="F12" s="212">
        <v>90</v>
      </c>
      <c r="G12" s="216" t="s">
        <v>432</v>
      </c>
      <c r="H12" s="212" t="s">
        <v>648</v>
      </c>
      <c r="I12" s="171"/>
      <c r="J12" s="171"/>
      <c r="K12" s="171"/>
      <c r="L12" s="171"/>
      <c r="M12" s="196"/>
    </row>
    <row r="13" spans="1:23">
      <c r="A13" s="201" t="s">
        <v>495</v>
      </c>
      <c r="B13" s="201" t="s">
        <v>495</v>
      </c>
      <c r="C13" s="201" t="s">
        <v>10</v>
      </c>
      <c r="D13" t="s">
        <v>749</v>
      </c>
      <c r="E13" s="211">
        <f t="shared" si="0"/>
        <v>1</v>
      </c>
      <c r="F13" s="212">
        <v>7.5</v>
      </c>
      <c r="G13" s="216" t="s">
        <v>428</v>
      </c>
      <c r="H13" s="212" t="s">
        <v>649</v>
      </c>
      <c r="I13" s="171"/>
      <c r="J13" s="171"/>
      <c r="K13" s="171"/>
      <c r="L13" s="171"/>
      <c r="M13" s="196"/>
    </row>
    <row r="14" spans="1:23">
      <c r="A14" s="201" t="s">
        <v>496</v>
      </c>
      <c r="B14" s="201" t="s">
        <v>496</v>
      </c>
      <c r="C14" s="201" t="s">
        <v>10</v>
      </c>
      <c r="D14" t="s">
        <v>749</v>
      </c>
      <c r="E14" s="211">
        <f t="shared" si="0"/>
        <v>17</v>
      </c>
      <c r="F14" s="212">
        <v>167</v>
      </c>
      <c r="G14" s="216" t="s">
        <v>432</v>
      </c>
      <c r="H14" s="212" t="s">
        <v>650</v>
      </c>
      <c r="I14" s="171"/>
      <c r="J14" s="171"/>
      <c r="K14" s="171"/>
      <c r="L14" s="171"/>
      <c r="M14" s="196"/>
    </row>
    <row r="15" spans="1:23">
      <c r="A15" s="201" t="s">
        <v>497</v>
      </c>
      <c r="B15" s="201" t="s">
        <v>497</v>
      </c>
      <c r="C15" s="201" t="s">
        <v>10</v>
      </c>
      <c r="D15" t="s">
        <v>749</v>
      </c>
      <c r="E15" s="211">
        <f t="shared" si="0"/>
        <v>3</v>
      </c>
      <c r="F15" s="212">
        <v>31.7</v>
      </c>
      <c r="G15" s="216" t="s">
        <v>422</v>
      </c>
      <c r="H15" s="212" t="s">
        <v>422</v>
      </c>
      <c r="I15" s="171"/>
      <c r="J15" s="171"/>
      <c r="K15" s="171"/>
      <c r="L15" s="171"/>
      <c r="M15" s="196"/>
    </row>
    <row r="16" spans="1:23">
      <c r="A16" s="201" t="s">
        <v>498</v>
      </c>
      <c r="B16" s="201" t="s">
        <v>498</v>
      </c>
      <c r="C16" s="201" t="s">
        <v>10</v>
      </c>
      <c r="D16" t="s">
        <v>749</v>
      </c>
      <c r="E16" s="211">
        <f t="shared" si="0"/>
        <v>0</v>
      </c>
      <c r="F16" s="212">
        <v>4</v>
      </c>
      <c r="G16" s="216" t="s">
        <v>430</v>
      </c>
      <c r="H16" s="212" t="s">
        <v>637</v>
      </c>
      <c r="I16" s="171"/>
      <c r="J16" s="171"/>
      <c r="K16" s="171"/>
      <c r="L16" s="171"/>
    </row>
    <row r="17" spans="1:12">
      <c r="A17" s="201" t="s">
        <v>499</v>
      </c>
      <c r="B17" s="201" t="s">
        <v>499</v>
      </c>
      <c r="C17" s="201" t="s">
        <v>10</v>
      </c>
      <c r="D17" t="s">
        <v>749</v>
      </c>
      <c r="E17" s="211">
        <f t="shared" si="0"/>
        <v>7</v>
      </c>
      <c r="F17" s="212">
        <v>66</v>
      </c>
      <c r="G17" s="216" t="s">
        <v>424</v>
      </c>
      <c r="H17" s="212" t="s">
        <v>651</v>
      </c>
      <c r="I17" s="171"/>
      <c r="J17" s="171"/>
      <c r="K17" s="171"/>
      <c r="L17" s="171"/>
    </row>
    <row r="18" spans="1:12">
      <c r="A18" s="201" t="s">
        <v>500</v>
      </c>
      <c r="B18" s="201" t="s">
        <v>500</v>
      </c>
      <c r="C18" s="201" t="s">
        <v>10</v>
      </c>
      <c r="D18" t="s">
        <v>749</v>
      </c>
      <c r="E18" s="211">
        <f t="shared" si="0"/>
        <v>1</v>
      </c>
      <c r="F18" s="212">
        <v>14</v>
      </c>
      <c r="G18" s="216" t="s">
        <v>430</v>
      </c>
      <c r="H18" s="212" t="s">
        <v>652</v>
      </c>
      <c r="I18" s="171"/>
      <c r="J18" s="171"/>
      <c r="K18" s="171"/>
      <c r="L18" s="171"/>
    </row>
    <row r="19" spans="1:12">
      <c r="A19" s="201" t="s">
        <v>501</v>
      </c>
      <c r="B19" s="201" t="s">
        <v>501</v>
      </c>
      <c r="C19" s="201" t="s">
        <v>10</v>
      </c>
      <c r="D19" t="s">
        <v>749</v>
      </c>
      <c r="E19" s="211">
        <f t="shared" si="0"/>
        <v>4</v>
      </c>
      <c r="F19" s="212">
        <v>40</v>
      </c>
      <c r="G19" s="216" t="s">
        <v>420</v>
      </c>
      <c r="H19" s="212" t="s">
        <v>653</v>
      </c>
      <c r="I19" s="171"/>
      <c r="J19" s="171"/>
      <c r="K19" s="171"/>
      <c r="L19" s="171"/>
    </row>
    <row r="20" spans="1:12">
      <c r="A20" s="201" t="s">
        <v>502</v>
      </c>
      <c r="B20" s="201" t="s">
        <v>502</v>
      </c>
      <c r="C20" s="201" t="s">
        <v>10</v>
      </c>
      <c r="D20" t="s">
        <v>749</v>
      </c>
      <c r="E20" s="211">
        <f t="shared" si="0"/>
        <v>0</v>
      </c>
      <c r="F20" s="212">
        <v>1.8</v>
      </c>
      <c r="G20" s="216" t="s">
        <v>434</v>
      </c>
      <c r="H20" s="212" t="s">
        <v>647</v>
      </c>
      <c r="I20" s="171"/>
      <c r="J20" s="171"/>
      <c r="K20" s="171"/>
      <c r="L20" s="171"/>
    </row>
    <row r="21" spans="1:12">
      <c r="A21" s="201" t="s">
        <v>503</v>
      </c>
      <c r="B21" s="201" t="s">
        <v>503</v>
      </c>
      <c r="C21" s="201" t="s">
        <v>10</v>
      </c>
      <c r="D21" t="s">
        <v>749</v>
      </c>
      <c r="E21" s="211">
        <f t="shared" si="0"/>
        <v>6</v>
      </c>
      <c r="F21" s="212">
        <v>60.42</v>
      </c>
      <c r="G21" s="216" t="s">
        <v>422</v>
      </c>
      <c r="H21" s="212" t="s">
        <v>422</v>
      </c>
      <c r="I21" s="171"/>
      <c r="J21" s="171"/>
      <c r="K21" s="171"/>
      <c r="L21" s="171"/>
    </row>
    <row r="22" spans="1:12">
      <c r="A22" s="201" t="s">
        <v>504</v>
      </c>
      <c r="B22" s="201" t="s">
        <v>504</v>
      </c>
      <c r="C22" s="201" t="s">
        <v>10</v>
      </c>
      <c r="D22" t="s">
        <v>749</v>
      </c>
      <c r="E22" s="211">
        <f t="shared" si="0"/>
        <v>7</v>
      </c>
      <c r="F22" s="212">
        <v>67.69</v>
      </c>
      <c r="G22" s="216" t="s">
        <v>424</v>
      </c>
      <c r="H22" s="212" t="s">
        <v>639</v>
      </c>
      <c r="I22" s="171"/>
      <c r="J22" s="171"/>
      <c r="K22" s="171"/>
      <c r="L22" s="171"/>
    </row>
    <row r="23" spans="1:12">
      <c r="A23" s="201" t="s">
        <v>505</v>
      </c>
      <c r="B23" s="201" t="s">
        <v>505</v>
      </c>
      <c r="C23" s="201" t="s">
        <v>10</v>
      </c>
      <c r="D23" t="s">
        <v>749</v>
      </c>
      <c r="E23" s="211">
        <f t="shared" si="0"/>
        <v>8</v>
      </c>
      <c r="F23" s="212">
        <v>82</v>
      </c>
      <c r="G23" s="216" t="s">
        <v>432</v>
      </c>
      <c r="H23" s="212" t="s">
        <v>654</v>
      </c>
      <c r="I23" s="171"/>
      <c r="J23" s="171"/>
      <c r="K23" s="171"/>
      <c r="L23" s="171"/>
    </row>
    <row r="24" spans="1:12">
      <c r="A24" s="201" t="s">
        <v>506</v>
      </c>
      <c r="B24" s="201" t="s">
        <v>506</v>
      </c>
      <c r="C24" s="201" t="s">
        <v>10</v>
      </c>
      <c r="D24" t="s">
        <v>749</v>
      </c>
      <c r="E24" s="211">
        <f t="shared" si="0"/>
        <v>2</v>
      </c>
      <c r="F24" s="212">
        <v>22</v>
      </c>
      <c r="G24" s="216" t="s">
        <v>430</v>
      </c>
      <c r="H24" s="212" t="s">
        <v>430</v>
      </c>
      <c r="I24" s="171"/>
      <c r="J24" s="171"/>
      <c r="K24" s="171"/>
      <c r="L24" s="171"/>
    </row>
    <row r="25" spans="1:12">
      <c r="A25" s="201" t="s">
        <v>507</v>
      </c>
      <c r="B25" s="201" t="s">
        <v>507</v>
      </c>
      <c r="C25" s="201" t="s">
        <v>10</v>
      </c>
      <c r="D25" t="s">
        <v>749</v>
      </c>
      <c r="E25" s="211">
        <f t="shared" si="0"/>
        <v>5</v>
      </c>
      <c r="F25" s="212">
        <v>51.3</v>
      </c>
      <c r="G25" s="216" t="s">
        <v>428</v>
      </c>
      <c r="H25" s="212" t="s">
        <v>428</v>
      </c>
      <c r="I25" s="171"/>
      <c r="J25" s="171"/>
      <c r="K25" s="171"/>
      <c r="L25" s="171"/>
    </row>
    <row r="26" spans="1:12">
      <c r="A26" s="201" t="s">
        <v>508</v>
      </c>
      <c r="B26" s="201" t="s">
        <v>508</v>
      </c>
      <c r="C26" s="201" t="s">
        <v>10</v>
      </c>
      <c r="D26" t="s">
        <v>749</v>
      </c>
      <c r="E26" s="211">
        <f t="shared" si="0"/>
        <v>0</v>
      </c>
      <c r="F26" s="212">
        <v>1.4</v>
      </c>
      <c r="G26" s="216" t="s">
        <v>432</v>
      </c>
      <c r="H26" s="212" t="s">
        <v>657</v>
      </c>
      <c r="I26" s="171"/>
      <c r="J26" s="171"/>
      <c r="K26" s="171"/>
      <c r="L26" s="171"/>
    </row>
    <row r="27" spans="1:12">
      <c r="A27" s="201" t="s">
        <v>509</v>
      </c>
      <c r="B27" s="201" t="s">
        <v>509</v>
      </c>
      <c r="C27" s="201" t="s">
        <v>10</v>
      </c>
      <c r="D27" t="s">
        <v>749</v>
      </c>
      <c r="E27" s="211">
        <f t="shared" si="0"/>
        <v>1</v>
      </c>
      <c r="F27" s="212">
        <v>14.9</v>
      </c>
      <c r="G27" s="216" t="s">
        <v>441</v>
      </c>
      <c r="H27" s="212" t="s">
        <v>658</v>
      </c>
      <c r="I27" s="171"/>
      <c r="J27" s="171"/>
      <c r="K27" s="171"/>
      <c r="L27" s="171"/>
    </row>
    <row r="28" spans="1:12">
      <c r="A28" s="201" t="s">
        <v>510</v>
      </c>
      <c r="B28" s="201" t="s">
        <v>510</v>
      </c>
      <c r="C28" s="201" t="s">
        <v>10</v>
      </c>
      <c r="D28" t="s">
        <v>749</v>
      </c>
      <c r="E28" s="211">
        <f t="shared" si="0"/>
        <v>0</v>
      </c>
      <c r="F28" s="212">
        <v>2</v>
      </c>
      <c r="G28" s="216" t="s">
        <v>430</v>
      </c>
      <c r="H28" s="212" t="s">
        <v>659</v>
      </c>
      <c r="I28" s="171"/>
      <c r="J28" s="171"/>
      <c r="K28" s="171"/>
      <c r="L28" s="171"/>
    </row>
    <row r="29" spans="1:12">
      <c r="A29" s="201" t="s">
        <v>511</v>
      </c>
      <c r="B29" s="201" t="s">
        <v>511</v>
      </c>
      <c r="C29" s="201" t="s">
        <v>10</v>
      </c>
      <c r="D29" t="s">
        <v>749</v>
      </c>
      <c r="E29" s="211">
        <f t="shared" si="0"/>
        <v>0</v>
      </c>
      <c r="F29" s="212">
        <v>4.4000000000000004</v>
      </c>
      <c r="G29" s="216" t="s">
        <v>422</v>
      </c>
      <c r="H29" s="212" t="s">
        <v>422</v>
      </c>
      <c r="I29" s="171"/>
      <c r="J29" s="171"/>
      <c r="K29" s="171"/>
      <c r="L29" s="171"/>
    </row>
    <row r="30" spans="1:12">
      <c r="A30" s="201" t="s">
        <v>523</v>
      </c>
      <c r="B30" s="201" t="s">
        <v>523</v>
      </c>
      <c r="C30" s="201" t="s">
        <v>520</v>
      </c>
      <c r="D30" t="s">
        <v>748</v>
      </c>
      <c r="E30" s="201">
        <v>0</v>
      </c>
      <c r="F30" s="212">
        <v>24</v>
      </c>
      <c r="G30" s="216" t="s">
        <v>428</v>
      </c>
      <c r="H30" s="212" t="s">
        <v>428</v>
      </c>
      <c r="I30" s="171"/>
      <c r="J30" s="171"/>
      <c r="K30" s="171"/>
      <c r="L30" s="171"/>
    </row>
    <row r="31" spans="1:12">
      <c r="A31" s="201" t="s">
        <v>710</v>
      </c>
      <c r="B31" s="201" t="s">
        <v>710</v>
      </c>
      <c r="C31" s="201" t="s">
        <v>520</v>
      </c>
      <c r="D31" t="s">
        <v>748</v>
      </c>
      <c r="E31" s="201">
        <v>0</v>
      </c>
      <c r="F31" s="212">
        <v>9</v>
      </c>
      <c r="G31" s="216" t="s">
        <v>427</v>
      </c>
      <c r="H31" s="212" t="s">
        <v>427</v>
      </c>
    </row>
    <row r="32" spans="1:12">
      <c r="A32" s="201" t="s">
        <v>711</v>
      </c>
      <c r="B32" s="201" t="s">
        <v>711</v>
      </c>
      <c r="C32" s="201" t="s">
        <v>520</v>
      </c>
      <c r="D32" t="s">
        <v>748</v>
      </c>
      <c r="E32" s="201">
        <v>0</v>
      </c>
      <c r="F32" s="212">
        <v>185</v>
      </c>
      <c r="G32" s="216" t="s">
        <v>426</v>
      </c>
      <c r="H32" s="212" t="s">
        <v>643</v>
      </c>
    </row>
    <row r="33" spans="1:13">
      <c r="A33" s="201" t="s">
        <v>561</v>
      </c>
      <c r="B33" s="201" t="s">
        <v>561</v>
      </c>
      <c r="C33" s="201" t="s">
        <v>520</v>
      </c>
      <c r="D33" t="s">
        <v>748</v>
      </c>
      <c r="E33" s="201">
        <v>0</v>
      </c>
      <c r="F33" s="212">
        <v>28</v>
      </c>
      <c r="G33" s="216" t="s">
        <v>432</v>
      </c>
      <c r="H33" s="212" t="s">
        <v>660</v>
      </c>
    </row>
    <row r="34" spans="1:13">
      <c r="A34" s="201" t="s">
        <v>562</v>
      </c>
      <c r="B34" s="201" t="s">
        <v>562</v>
      </c>
      <c r="C34" s="201" t="s">
        <v>520</v>
      </c>
      <c r="D34" t="s">
        <v>748</v>
      </c>
      <c r="E34" s="201">
        <v>0</v>
      </c>
      <c r="F34" s="212">
        <v>480</v>
      </c>
      <c r="G34" s="216" t="s">
        <v>424</v>
      </c>
      <c r="H34" s="212" t="s">
        <v>423</v>
      </c>
      <c r="J34" s="233"/>
      <c r="K34"/>
    </row>
    <row r="35" spans="1:13" s="171" customFormat="1">
      <c r="A35" s="201" t="s">
        <v>712</v>
      </c>
      <c r="B35" s="201" t="s">
        <v>712</v>
      </c>
      <c r="C35" s="201" t="s">
        <v>520</v>
      </c>
      <c r="D35" t="s">
        <v>748</v>
      </c>
      <c r="E35" s="201">
        <v>0</v>
      </c>
      <c r="F35" s="212">
        <v>277</v>
      </c>
      <c r="G35" s="216" t="s">
        <v>426</v>
      </c>
      <c r="H35" s="212" t="s">
        <v>661</v>
      </c>
      <c r="J35" s="233"/>
      <c r="K35"/>
      <c r="M35" s="183"/>
    </row>
    <row r="36" spans="1:13">
      <c r="A36" s="201" t="s">
        <v>563</v>
      </c>
      <c r="B36" s="201" t="s">
        <v>563</v>
      </c>
      <c r="C36" s="201" t="s">
        <v>520</v>
      </c>
      <c r="D36" t="s">
        <v>748</v>
      </c>
      <c r="E36" s="201">
        <v>0</v>
      </c>
      <c r="F36" s="212">
        <v>7.2</v>
      </c>
      <c r="G36" s="216" t="s">
        <v>440</v>
      </c>
      <c r="H36" s="212" t="s">
        <v>662</v>
      </c>
      <c r="J36" s="233"/>
      <c r="K36"/>
    </row>
    <row r="37" spans="1:13">
      <c r="A37" s="201" t="s">
        <v>564</v>
      </c>
      <c r="B37" s="201" t="s">
        <v>564</v>
      </c>
      <c r="C37" s="201" t="s">
        <v>520</v>
      </c>
      <c r="D37" t="s">
        <v>748</v>
      </c>
      <c r="E37" s="201">
        <v>0</v>
      </c>
      <c r="F37" s="212">
        <v>55</v>
      </c>
      <c r="G37" s="216" t="s">
        <v>427</v>
      </c>
      <c r="H37" s="212" t="s">
        <v>663</v>
      </c>
      <c r="J37" s="234"/>
      <c r="K37"/>
    </row>
    <row r="38" spans="1:13">
      <c r="A38" s="201" t="s">
        <v>713</v>
      </c>
      <c r="B38" s="201" t="s">
        <v>713</v>
      </c>
      <c r="C38" s="201" t="s">
        <v>520</v>
      </c>
      <c r="D38" t="s">
        <v>748</v>
      </c>
      <c r="E38" s="201">
        <v>0</v>
      </c>
      <c r="F38" s="212">
        <v>180</v>
      </c>
      <c r="G38" s="216" t="s">
        <v>431</v>
      </c>
      <c r="H38" s="212" t="s">
        <v>664</v>
      </c>
      <c r="J38" s="233"/>
      <c r="K38"/>
    </row>
    <row r="39" spans="1:13">
      <c r="A39" s="201" t="s">
        <v>714</v>
      </c>
      <c r="B39" s="201" t="s">
        <v>714</v>
      </c>
      <c r="C39" s="201" t="s">
        <v>520</v>
      </c>
      <c r="D39" t="s">
        <v>748</v>
      </c>
      <c r="E39" s="201">
        <v>0</v>
      </c>
      <c r="F39" s="212">
        <v>45</v>
      </c>
      <c r="G39" s="216" t="s">
        <v>431</v>
      </c>
      <c r="H39" s="212" t="s">
        <v>665</v>
      </c>
      <c r="J39" s="233"/>
      <c r="K39"/>
    </row>
    <row r="40" spans="1:13">
      <c r="A40" s="201" t="s">
        <v>715</v>
      </c>
      <c r="B40" s="201" t="s">
        <v>715</v>
      </c>
      <c r="C40" s="201" t="s">
        <v>520</v>
      </c>
      <c r="D40" t="s">
        <v>748</v>
      </c>
      <c r="E40" s="201">
        <v>0</v>
      </c>
      <c r="F40" s="212">
        <v>51</v>
      </c>
      <c r="G40" s="216" t="s">
        <v>426</v>
      </c>
      <c r="H40" s="212" t="s">
        <v>666</v>
      </c>
      <c r="J40" s="233"/>
      <c r="K40"/>
    </row>
    <row r="41" spans="1:13">
      <c r="A41" s="201" t="s">
        <v>716</v>
      </c>
      <c r="B41" s="201" t="s">
        <v>716</v>
      </c>
      <c r="C41" s="201" t="s">
        <v>520</v>
      </c>
      <c r="D41" t="s">
        <v>748</v>
      </c>
      <c r="E41" s="201">
        <v>0</v>
      </c>
      <c r="F41" s="212">
        <v>1.1299999999999999</v>
      </c>
      <c r="G41" s="216" t="s">
        <v>441</v>
      </c>
      <c r="H41" s="212" t="s">
        <v>658</v>
      </c>
    </row>
    <row r="42" spans="1:13">
      <c r="A42" s="201" t="s">
        <v>717</v>
      </c>
      <c r="B42" s="201" t="s">
        <v>717</v>
      </c>
      <c r="C42" s="201" t="s">
        <v>520</v>
      </c>
      <c r="D42" t="s">
        <v>748</v>
      </c>
      <c r="E42" s="201">
        <v>0</v>
      </c>
      <c r="F42" s="212">
        <v>12</v>
      </c>
      <c r="G42" s="216" t="s">
        <v>428</v>
      </c>
      <c r="H42" s="212" t="s">
        <v>428</v>
      </c>
    </row>
    <row r="43" spans="1:13">
      <c r="A43" s="201" t="s">
        <v>718</v>
      </c>
      <c r="B43" s="201" t="s">
        <v>718</v>
      </c>
      <c r="C43" s="201" t="s">
        <v>520</v>
      </c>
      <c r="D43" t="s">
        <v>748</v>
      </c>
      <c r="E43" s="201">
        <v>0</v>
      </c>
      <c r="F43" s="212">
        <v>7</v>
      </c>
      <c r="G43" s="216" t="s">
        <v>440</v>
      </c>
      <c r="H43" s="212" t="s">
        <v>662</v>
      </c>
    </row>
    <row r="44" spans="1:13">
      <c r="A44" s="201" t="s">
        <v>719</v>
      </c>
      <c r="B44" s="201" t="s">
        <v>719</v>
      </c>
      <c r="C44" s="201" t="s">
        <v>520</v>
      </c>
      <c r="D44" t="s">
        <v>748</v>
      </c>
      <c r="E44" s="201">
        <v>0</v>
      </c>
      <c r="F44" s="212">
        <v>308</v>
      </c>
      <c r="G44" s="216" t="s">
        <v>432</v>
      </c>
      <c r="H44" s="212" t="s">
        <v>667</v>
      </c>
    </row>
    <row r="45" spans="1:13" s="171" customFormat="1">
      <c r="A45" s="211" t="s">
        <v>565</v>
      </c>
      <c r="B45" s="211" t="s">
        <v>565</v>
      </c>
      <c r="C45" s="211" t="s">
        <v>520</v>
      </c>
      <c r="D45" t="s">
        <v>748</v>
      </c>
      <c r="E45" s="211">
        <v>0</v>
      </c>
      <c r="F45" s="212">
        <v>591</v>
      </c>
      <c r="G45" s="216" t="s">
        <v>426</v>
      </c>
      <c r="H45" s="212" t="s">
        <v>666</v>
      </c>
      <c r="M45" s="211"/>
    </row>
    <row r="46" spans="1:13">
      <c r="A46" s="201" t="s">
        <v>720</v>
      </c>
      <c r="B46" s="201" t="s">
        <v>720</v>
      </c>
      <c r="C46" s="201" t="s">
        <v>520</v>
      </c>
      <c r="D46" t="s">
        <v>748</v>
      </c>
      <c r="E46" s="201">
        <v>0</v>
      </c>
      <c r="F46" s="212">
        <v>47</v>
      </c>
      <c r="G46" s="216" t="s">
        <v>432</v>
      </c>
      <c r="H46" s="212" t="s">
        <v>668</v>
      </c>
    </row>
    <row r="47" spans="1:13">
      <c r="A47" s="201" t="s">
        <v>721</v>
      </c>
      <c r="B47" s="201" t="s">
        <v>721</v>
      </c>
      <c r="C47" s="201" t="s">
        <v>520</v>
      </c>
      <c r="D47" t="s">
        <v>748</v>
      </c>
      <c r="E47" s="201">
        <v>0</v>
      </c>
      <c r="F47" s="212">
        <v>25</v>
      </c>
      <c r="G47" s="216" t="s">
        <v>424</v>
      </c>
      <c r="H47" s="212" t="s">
        <v>423</v>
      </c>
    </row>
    <row r="48" spans="1:13">
      <c r="A48" s="201" t="s">
        <v>722</v>
      </c>
      <c r="B48" s="201" t="s">
        <v>722</v>
      </c>
      <c r="C48" s="201" t="s">
        <v>520</v>
      </c>
      <c r="D48" t="s">
        <v>748</v>
      </c>
      <c r="E48" s="201">
        <v>0</v>
      </c>
      <c r="F48" s="212">
        <v>32</v>
      </c>
      <c r="G48" s="216" t="s">
        <v>432</v>
      </c>
      <c r="H48" s="212" t="s">
        <v>669</v>
      </c>
    </row>
    <row r="49" spans="1:10">
      <c r="A49" s="201" t="s">
        <v>723</v>
      </c>
      <c r="B49" s="201" t="s">
        <v>723</v>
      </c>
      <c r="C49" s="201" t="s">
        <v>520</v>
      </c>
      <c r="D49" t="s">
        <v>748</v>
      </c>
      <c r="E49" s="201">
        <v>0</v>
      </c>
      <c r="F49" s="212">
        <v>117</v>
      </c>
      <c r="G49" s="212" t="s">
        <v>430</v>
      </c>
      <c r="H49" s="212" t="s">
        <v>430</v>
      </c>
    </row>
    <row r="50" spans="1:10">
      <c r="A50" s="201" t="s">
        <v>566</v>
      </c>
      <c r="B50" s="201" t="s">
        <v>566</v>
      </c>
      <c r="C50" s="201" t="s">
        <v>520</v>
      </c>
      <c r="D50" t="s">
        <v>748</v>
      </c>
      <c r="E50" s="201">
        <v>0</v>
      </c>
      <c r="F50" s="212">
        <v>48</v>
      </c>
      <c r="G50" s="216" t="s">
        <v>424</v>
      </c>
      <c r="H50" s="212" t="s">
        <v>424</v>
      </c>
    </row>
    <row r="51" spans="1:10">
      <c r="A51" s="201" t="s">
        <v>567</v>
      </c>
      <c r="B51" s="201" t="s">
        <v>567</v>
      </c>
      <c r="C51" s="201" t="s">
        <v>520</v>
      </c>
      <c r="D51" t="s">
        <v>748</v>
      </c>
      <c r="E51" s="201">
        <v>0</v>
      </c>
      <c r="F51" s="212">
        <v>805</v>
      </c>
      <c r="G51" s="216" t="s">
        <v>426</v>
      </c>
      <c r="H51" s="212" t="s">
        <v>670</v>
      </c>
    </row>
    <row r="52" spans="1:10">
      <c r="A52" s="201" t="s">
        <v>568</v>
      </c>
      <c r="B52" s="201" t="s">
        <v>568</v>
      </c>
      <c r="C52" s="201" t="s">
        <v>520</v>
      </c>
      <c r="D52" t="s">
        <v>748</v>
      </c>
      <c r="E52" s="201">
        <v>0</v>
      </c>
      <c r="F52" s="212">
        <v>31</v>
      </c>
      <c r="G52" s="216" t="s">
        <v>440</v>
      </c>
      <c r="H52" s="212" t="s">
        <v>671</v>
      </c>
    </row>
    <row r="53" spans="1:10">
      <c r="A53" s="201" t="s">
        <v>724</v>
      </c>
      <c r="B53" s="201" t="s">
        <v>724</v>
      </c>
      <c r="C53" s="201" t="s">
        <v>520</v>
      </c>
      <c r="D53" t="s">
        <v>748</v>
      </c>
      <c r="E53" s="201">
        <v>0</v>
      </c>
      <c r="F53" s="212">
        <v>6</v>
      </c>
      <c r="G53" s="216" t="s">
        <v>419</v>
      </c>
      <c r="H53" s="212" t="s">
        <v>419</v>
      </c>
      <c r="J53" s="196"/>
    </row>
    <row r="54" spans="1:10">
      <c r="A54" s="201" t="s">
        <v>569</v>
      </c>
      <c r="B54" s="201" t="s">
        <v>569</v>
      </c>
      <c r="C54" s="201" t="s">
        <v>520</v>
      </c>
      <c r="D54" t="s">
        <v>748</v>
      </c>
      <c r="E54" s="201">
        <v>0</v>
      </c>
      <c r="F54" s="212">
        <v>57</v>
      </c>
      <c r="G54" s="216" t="s">
        <v>426</v>
      </c>
      <c r="H54" s="212" t="s">
        <v>666</v>
      </c>
      <c r="J54" s="196"/>
    </row>
    <row r="55" spans="1:10">
      <c r="A55" s="201" t="s">
        <v>570</v>
      </c>
      <c r="B55" s="201" t="s">
        <v>570</v>
      </c>
      <c r="C55" s="201" t="s">
        <v>520</v>
      </c>
      <c r="D55" t="s">
        <v>748</v>
      </c>
      <c r="E55" s="201">
        <v>0</v>
      </c>
      <c r="F55" s="212">
        <v>91</v>
      </c>
      <c r="G55" s="216" t="s">
        <v>429</v>
      </c>
      <c r="H55" s="212" t="s">
        <v>429</v>
      </c>
      <c r="J55" s="196"/>
    </row>
    <row r="56" spans="1:10">
      <c r="A56" s="201" t="s">
        <v>725</v>
      </c>
      <c r="B56" s="201" t="s">
        <v>725</v>
      </c>
      <c r="C56" s="201" t="s">
        <v>520</v>
      </c>
      <c r="D56" t="s">
        <v>748</v>
      </c>
      <c r="E56" s="201">
        <v>0</v>
      </c>
      <c r="F56" s="212">
        <v>64</v>
      </c>
      <c r="G56" s="216" t="s">
        <v>432</v>
      </c>
      <c r="H56" s="212" t="s">
        <v>432</v>
      </c>
      <c r="J56" s="196"/>
    </row>
    <row r="57" spans="1:10">
      <c r="A57" s="201" t="s">
        <v>726</v>
      </c>
      <c r="B57" s="201" t="s">
        <v>726</v>
      </c>
      <c r="C57" s="201" t="s">
        <v>520</v>
      </c>
      <c r="D57" t="s">
        <v>748</v>
      </c>
      <c r="E57" s="201">
        <v>0</v>
      </c>
      <c r="F57" s="212">
        <v>63</v>
      </c>
      <c r="G57" s="216" t="s">
        <v>426</v>
      </c>
      <c r="H57" s="212" t="s">
        <v>666</v>
      </c>
      <c r="J57" s="196"/>
    </row>
    <row r="58" spans="1:10">
      <c r="A58" s="201" t="s">
        <v>571</v>
      </c>
      <c r="B58" s="201" t="s">
        <v>571</v>
      </c>
      <c r="C58" s="201" t="s">
        <v>520</v>
      </c>
      <c r="D58" t="s">
        <v>748</v>
      </c>
      <c r="E58" s="201">
        <v>0</v>
      </c>
      <c r="F58" s="212">
        <v>65</v>
      </c>
      <c r="G58" s="216" t="s">
        <v>429</v>
      </c>
      <c r="H58" s="212" t="s">
        <v>443</v>
      </c>
      <c r="J58" s="196"/>
    </row>
    <row r="59" spans="1:10">
      <c r="A59" s="201" t="s">
        <v>572</v>
      </c>
      <c r="B59" s="201" t="s">
        <v>572</v>
      </c>
      <c r="C59" s="201" t="s">
        <v>520</v>
      </c>
      <c r="D59" t="s">
        <v>748</v>
      </c>
      <c r="E59" s="201">
        <v>0</v>
      </c>
      <c r="F59" s="212">
        <v>8</v>
      </c>
      <c r="G59" s="216" t="s">
        <v>442</v>
      </c>
      <c r="H59" s="212" t="s">
        <v>656</v>
      </c>
      <c r="J59" s="196"/>
    </row>
    <row r="60" spans="1:10">
      <c r="A60" s="201" t="s">
        <v>727</v>
      </c>
      <c r="B60" s="201" t="s">
        <v>727</v>
      </c>
      <c r="C60" s="201" t="s">
        <v>520</v>
      </c>
      <c r="D60" t="s">
        <v>748</v>
      </c>
      <c r="E60" s="201">
        <v>0</v>
      </c>
      <c r="F60" s="212">
        <v>790</v>
      </c>
      <c r="G60" s="216" t="s">
        <v>426</v>
      </c>
      <c r="H60" s="212" t="s">
        <v>672</v>
      </c>
      <c r="J60" s="196"/>
    </row>
    <row r="61" spans="1:10">
      <c r="A61" s="201" t="s">
        <v>573</v>
      </c>
      <c r="B61" s="201" t="s">
        <v>573</v>
      </c>
      <c r="C61" s="201" t="s">
        <v>520</v>
      </c>
      <c r="D61" t="s">
        <v>748</v>
      </c>
      <c r="E61" s="201">
        <v>0</v>
      </c>
      <c r="F61" s="212">
        <v>54</v>
      </c>
      <c r="G61" s="216" t="s">
        <v>419</v>
      </c>
      <c r="H61" s="212" t="s">
        <v>673</v>
      </c>
      <c r="J61" s="196"/>
    </row>
    <row r="62" spans="1:10">
      <c r="A62" s="201" t="s">
        <v>728</v>
      </c>
      <c r="B62" s="201" t="s">
        <v>728</v>
      </c>
      <c r="C62" s="201" t="s">
        <v>520</v>
      </c>
      <c r="D62" t="s">
        <v>748</v>
      </c>
      <c r="E62" s="201">
        <v>0</v>
      </c>
      <c r="F62" s="212">
        <v>22</v>
      </c>
      <c r="G62" s="216" t="s">
        <v>432</v>
      </c>
      <c r="H62" s="212" t="s">
        <v>674</v>
      </c>
      <c r="J62" s="196"/>
    </row>
    <row r="63" spans="1:10">
      <c r="A63" s="201" t="s">
        <v>574</v>
      </c>
      <c r="B63" s="201" t="s">
        <v>574</v>
      </c>
      <c r="C63" s="201" t="s">
        <v>520</v>
      </c>
      <c r="D63" t="s">
        <v>748</v>
      </c>
      <c r="E63" s="201">
        <v>0</v>
      </c>
      <c r="F63" s="212">
        <v>46</v>
      </c>
      <c r="G63" s="216" t="s">
        <v>426</v>
      </c>
      <c r="H63" s="212" t="s">
        <v>666</v>
      </c>
    </row>
    <row r="64" spans="1:10">
      <c r="A64" s="201" t="s">
        <v>524</v>
      </c>
      <c r="B64" s="201" t="s">
        <v>524</v>
      </c>
      <c r="C64" s="201" t="s">
        <v>521</v>
      </c>
      <c r="D64" t="s">
        <v>748</v>
      </c>
      <c r="E64" s="201">
        <v>0</v>
      </c>
      <c r="F64" s="212">
        <v>3050</v>
      </c>
      <c r="G64" s="216" t="s">
        <v>436</v>
      </c>
      <c r="H64" s="212" t="s">
        <v>436</v>
      </c>
    </row>
    <row r="65" spans="1:8">
      <c r="A65" s="201" t="s">
        <v>729</v>
      </c>
      <c r="B65" s="201" t="s">
        <v>729</v>
      </c>
      <c r="C65" s="201" t="s">
        <v>521</v>
      </c>
      <c r="D65" t="s">
        <v>748</v>
      </c>
      <c r="E65" s="201">
        <v>0</v>
      </c>
      <c r="F65" s="212">
        <v>900</v>
      </c>
      <c r="G65" s="216" t="s">
        <v>440</v>
      </c>
      <c r="H65" s="212" t="s">
        <v>675</v>
      </c>
    </row>
    <row r="66" spans="1:8">
      <c r="A66" s="201" t="s">
        <v>730</v>
      </c>
      <c r="B66" s="201" t="s">
        <v>730</v>
      </c>
      <c r="C66" s="201" t="s">
        <v>521</v>
      </c>
      <c r="D66" t="s">
        <v>748</v>
      </c>
      <c r="E66" s="201">
        <v>0</v>
      </c>
      <c r="F66" s="212">
        <v>2971</v>
      </c>
      <c r="G66" s="216" t="s">
        <v>439</v>
      </c>
      <c r="H66" s="212" t="s">
        <v>439</v>
      </c>
    </row>
    <row r="67" spans="1:8">
      <c r="A67" s="201" t="s">
        <v>731</v>
      </c>
      <c r="B67" s="201" t="s">
        <v>731</v>
      </c>
      <c r="C67" s="201" t="s">
        <v>521</v>
      </c>
      <c r="D67" t="s">
        <v>748</v>
      </c>
      <c r="E67" s="201">
        <v>0</v>
      </c>
      <c r="F67" s="212">
        <v>700</v>
      </c>
      <c r="G67" s="216" t="s">
        <v>437</v>
      </c>
      <c r="H67" s="212" t="s">
        <v>437</v>
      </c>
    </row>
    <row r="68" spans="1:8">
      <c r="A68" s="201" t="s">
        <v>732</v>
      </c>
      <c r="B68" s="201" t="s">
        <v>732</v>
      </c>
      <c r="C68" s="201" t="s">
        <v>521</v>
      </c>
      <c r="D68" t="s">
        <v>748</v>
      </c>
      <c r="E68" s="201">
        <v>0</v>
      </c>
      <c r="F68" s="212">
        <v>2500</v>
      </c>
      <c r="G68" s="216" t="s">
        <v>442</v>
      </c>
      <c r="H68" s="212" t="s">
        <v>442</v>
      </c>
    </row>
    <row r="69" spans="1:8">
      <c r="A69" s="201" t="s">
        <v>733</v>
      </c>
      <c r="B69" s="201" t="s">
        <v>733</v>
      </c>
      <c r="C69" s="201" t="s">
        <v>521</v>
      </c>
      <c r="D69" t="s">
        <v>748</v>
      </c>
      <c r="E69" s="201">
        <v>0</v>
      </c>
      <c r="F69" s="212">
        <v>1100</v>
      </c>
      <c r="G69" s="216" t="s">
        <v>436</v>
      </c>
      <c r="H69" s="212" t="s">
        <v>676</v>
      </c>
    </row>
    <row r="70" spans="1:8">
      <c r="A70" s="201" t="s">
        <v>525</v>
      </c>
      <c r="B70" s="201" t="s">
        <v>525</v>
      </c>
      <c r="C70" s="201" t="s">
        <v>519</v>
      </c>
      <c r="D70" t="s">
        <v>748</v>
      </c>
      <c r="E70" s="201">
        <v>0</v>
      </c>
      <c r="F70" s="212">
        <v>10</v>
      </c>
      <c r="G70" s="216" t="s">
        <v>432</v>
      </c>
      <c r="H70" s="212" t="s">
        <v>656</v>
      </c>
    </row>
    <row r="71" spans="1:8">
      <c r="A71" s="201" t="s">
        <v>575</v>
      </c>
      <c r="B71" s="201" t="s">
        <v>575</v>
      </c>
      <c r="C71" s="201" t="s">
        <v>519</v>
      </c>
      <c r="D71" t="s">
        <v>748</v>
      </c>
      <c r="E71" s="201">
        <v>0</v>
      </c>
      <c r="F71" s="212">
        <v>49.9</v>
      </c>
      <c r="G71" s="216" t="s">
        <v>431</v>
      </c>
      <c r="H71" s="212" t="s">
        <v>664</v>
      </c>
    </row>
    <row r="72" spans="1:8">
      <c r="A72" s="201" t="s">
        <v>576</v>
      </c>
      <c r="B72" s="201" t="s">
        <v>576</v>
      </c>
      <c r="C72" s="201" t="s">
        <v>519</v>
      </c>
      <c r="D72" t="s">
        <v>748</v>
      </c>
      <c r="E72" s="201">
        <v>0</v>
      </c>
      <c r="F72" s="212">
        <v>4</v>
      </c>
      <c r="G72" s="216" t="s">
        <v>432</v>
      </c>
      <c r="H72" s="212" t="s">
        <v>674</v>
      </c>
    </row>
    <row r="73" spans="1:8">
      <c r="A73" s="201" t="s">
        <v>577</v>
      </c>
      <c r="B73" s="201" t="s">
        <v>577</v>
      </c>
      <c r="C73" s="201" t="s">
        <v>519</v>
      </c>
      <c r="D73" t="s">
        <v>748</v>
      </c>
      <c r="E73" s="201">
        <v>0</v>
      </c>
      <c r="F73" s="212">
        <v>40.6</v>
      </c>
      <c r="G73" s="216" t="s">
        <v>429</v>
      </c>
      <c r="H73" s="212" t="s">
        <v>425</v>
      </c>
    </row>
    <row r="74" spans="1:8">
      <c r="A74" s="201" t="s">
        <v>578</v>
      </c>
      <c r="B74" s="201" t="s">
        <v>578</v>
      </c>
      <c r="C74" s="201" t="s">
        <v>519</v>
      </c>
      <c r="D74" t="s">
        <v>748</v>
      </c>
      <c r="E74" s="201">
        <v>0</v>
      </c>
      <c r="F74" s="212">
        <v>20</v>
      </c>
      <c r="G74" s="216" t="s">
        <v>420</v>
      </c>
      <c r="H74" s="212" t="s">
        <v>677</v>
      </c>
    </row>
    <row r="75" spans="1:8">
      <c r="A75" s="201" t="s">
        <v>579</v>
      </c>
      <c r="B75" s="201" t="s">
        <v>579</v>
      </c>
      <c r="C75" s="201" t="s">
        <v>519</v>
      </c>
      <c r="D75" t="s">
        <v>748</v>
      </c>
      <c r="E75" s="201">
        <v>0</v>
      </c>
      <c r="F75" s="212">
        <v>16.2</v>
      </c>
      <c r="G75" s="216" t="s">
        <v>426</v>
      </c>
      <c r="H75" s="212" t="s">
        <v>666</v>
      </c>
    </row>
    <row r="76" spans="1:8">
      <c r="A76" s="201" t="s">
        <v>580</v>
      </c>
      <c r="B76" s="201" t="s">
        <v>580</v>
      </c>
      <c r="C76" s="201" t="s">
        <v>519</v>
      </c>
      <c r="D76" t="s">
        <v>748</v>
      </c>
      <c r="E76" s="201">
        <v>0</v>
      </c>
      <c r="F76" s="212">
        <v>6</v>
      </c>
      <c r="G76" s="216" t="s">
        <v>429</v>
      </c>
      <c r="H76" s="212" t="s">
        <v>443</v>
      </c>
    </row>
    <row r="77" spans="1:8">
      <c r="A77" s="201" t="s">
        <v>581</v>
      </c>
      <c r="B77" s="201" t="s">
        <v>581</v>
      </c>
      <c r="C77" s="201" t="s">
        <v>519</v>
      </c>
      <c r="D77" t="s">
        <v>748</v>
      </c>
      <c r="E77" s="201">
        <v>0</v>
      </c>
      <c r="F77" s="212">
        <v>25</v>
      </c>
      <c r="G77" s="216" t="s">
        <v>431</v>
      </c>
      <c r="H77" s="212" t="s">
        <v>678</v>
      </c>
    </row>
    <row r="78" spans="1:8">
      <c r="A78" s="201" t="s">
        <v>582</v>
      </c>
      <c r="B78" s="201" t="s">
        <v>582</v>
      </c>
      <c r="C78" s="201" t="s">
        <v>519</v>
      </c>
      <c r="D78" t="s">
        <v>748</v>
      </c>
      <c r="E78" s="201">
        <v>0</v>
      </c>
      <c r="F78" s="212">
        <v>14.7</v>
      </c>
      <c r="G78" s="216" t="s">
        <v>432</v>
      </c>
      <c r="H78" s="212" t="s">
        <v>657</v>
      </c>
    </row>
    <row r="79" spans="1:8">
      <c r="A79" s="201" t="s">
        <v>583</v>
      </c>
      <c r="B79" s="201" t="s">
        <v>583</v>
      </c>
      <c r="C79" s="201" t="s">
        <v>519</v>
      </c>
      <c r="D79" t="s">
        <v>748</v>
      </c>
      <c r="E79" s="201">
        <v>0</v>
      </c>
      <c r="F79" s="212">
        <v>7.6</v>
      </c>
      <c r="G79" s="216" t="s">
        <v>431</v>
      </c>
      <c r="H79" s="212" t="s">
        <v>679</v>
      </c>
    </row>
    <row r="80" spans="1:8">
      <c r="A80" s="201" t="s">
        <v>584</v>
      </c>
      <c r="B80" s="201" t="s">
        <v>584</v>
      </c>
      <c r="C80" s="201" t="s">
        <v>519</v>
      </c>
      <c r="D80" t="s">
        <v>748</v>
      </c>
      <c r="E80" s="201">
        <v>0</v>
      </c>
      <c r="F80" s="212">
        <v>5.5</v>
      </c>
      <c r="G80" s="216" t="s">
        <v>432</v>
      </c>
      <c r="H80" s="212" t="s">
        <v>680</v>
      </c>
    </row>
    <row r="81" spans="1:8" ht="28.8">
      <c r="A81" s="201" t="s">
        <v>585</v>
      </c>
      <c r="B81" s="201" t="s">
        <v>585</v>
      </c>
      <c r="C81" s="201" t="s">
        <v>519</v>
      </c>
      <c r="D81" t="s">
        <v>748</v>
      </c>
      <c r="E81" s="201">
        <v>0</v>
      </c>
      <c r="F81" s="212">
        <v>6</v>
      </c>
      <c r="G81" s="216" t="s">
        <v>420</v>
      </c>
      <c r="H81" s="212" t="s">
        <v>681</v>
      </c>
    </row>
    <row r="82" spans="1:8">
      <c r="A82" s="201" t="s">
        <v>586</v>
      </c>
      <c r="B82" s="201" t="s">
        <v>586</v>
      </c>
      <c r="C82" s="201" t="s">
        <v>519</v>
      </c>
      <c r="D82" t="s">
        <v>748</v>
      </c>
      <c r="E82" s="201">
        <v>0</v>
      </c>
      <c r="F82" s="212">
        <v>6.3</v>
      </c>
      <c r="G82" s="216" t="s">
        <v>432</v>
      </c>
      <c r="H82" s="212" t="s">
        <v>642</v>
      </c>
    </row>
    <row r="83" spans="1:8">
      <c r="A83" s="201" t="s">
        <v>587</v>
      </c>
      <c r="B83" s="201" t="s">
        <v>587</v>
      </c>
      <c r="C83" s="201" t="s">
        <v>519</v>
      </c>
      <c r="D83" t="s">
        <v>748</v>
      </c>
      <c r="E83" s="201">
        <v>0</v>
      </c>
      <c r="F83" s="212">
        <v>11.5</v>
      </c>
      <c r="G83" s="216" t="s">
        <v>442</v>
      </c>
      <c r="H83" s="212" t="s">
        <v>656</v>
      </c>
    </row>
    <row r="84" spans="1:8">
      <c r="A84" s="201" t="s">
        <v>588</v>
      </c>
      <c r="B84" s="201" t="s">
        <v>588</v>
      </c>
      <c r="C84" s="201" t="s">
        <v>519</v>
      </c>
      <c r="D84" t="s">
        <v>748</v>
      </c>
      <c r="E84" s="201">
        <v>0</v>
      </c>
      <c r="F84" s="212">
        <v>15</v>
      </c>
      <c r="G84" s="216" t="s">
        <v>431</v>
      </c>
      <c r="H84" s="212" t="s">
        <v>431</v>
      </c>
    </row>
    <row r="85" spans="1:8">
      <c r="A85" s="201" t="s">
        <v>589</v>
      </c>
      <c r="B85" s="201" t="s">
        <v>589</v>
      </c>
      <c r="C85" s="201" t="s">
        <v>519</v>
      </c>
      <c r="D85" t="s">
        <v>748</v>
      </c>
      <c r="E85" s="201">
        <v>0</v>
      </c>
      <c r="F85" s="212">
        <v>2.83</v>
      </c>
      <c r="G85" s="216" t="s">
        <v>432</v>
      </c>
      <c r="H85" s="212" t="s">
        <v>682</v>
      </c>
    </row>
    <row r="86" spans="1:8">
      <c r="A86" s="201" t="s">
        <v>590</v>
      </c>
      <c r="B86" s="201" t="s">
        <v>590</v>
      </c>
      <c r="C86" s="201" t="s">
        <v>519</v>
      </c>
      <c r="D86" t="s">
        <v>748</v>
      </c>
      <c r="E86" s="201">
        <v>0</v>
      </c>
      <c r="F86" s="212">
        <v>20</v>
      </c>
      <c r="G86" s="216" t="s">
        <v>440</v>
      </c>
      <c r="H86" s="212" t="s">
        <v>440</v>
      </c>
    </row>
    <row r="87" spans="1:8">
      <c r="A87" s="201" t="s">
        <v>591</v>
      </c>
      <c r="B87" s="201" t="s">
        <v>591</v>
      </c>
      <c r="C87" s="201" t="s">
        <v>519</v>
      </c>
      <c r="D87" t="s">
        <v>748</v>
      </c>
      <c r="E87" s="201">
        <v>0</v>
      </c>
      <c r="F87" s="212">
        <v>5.6</v>
      </c>
      <c r="G87" s="216" t="s">
        <v>432</v>
      </c>
      <c r="H87" s="212" t="s">
        <v>680</v>
      </c>
    </row>
    <row r="88" spans="1:8">
      <c r="A88" s="201" t="s">
        <v>592</v>
      </c>
      <c r="B88" s="201" t="s">
        <v>592</v>
      </c>
      <c r="C88" s="201" t="s">
        <v>519</v>
      </c>
      <c r="D88" t="s">
        <v>748</v>
      </c>
      <c r="E88" s="201">
        <v>0</v>
      </c>
      <c r="F88" s="212">
        <v>28.76</v>
      </c>
      <c r="G88" s="216" t="s">
        <v>429</v>
      </c>
      <c r="H88" s="212" t="s">
        <v>425</v>
      </c>
    </row>
    <row r="89" spans="1:8">
      <c r="A89" s="201" t="s">
        <v>593</v>
      </c>
      <c r="B89" s="201" t="s">
        <v>593</v>
      </c>
      <c r="C89" s="201" t="s">
        <v>519</v>
      </c>
      <c r="D89" t="s">
        <v>748</v>
      </c>
      <c r="E89" s="201">
        <v>0</v>
      </c>
      <c r="F89" s="212">
        <v>147.30000000000001</v>
      </c>
      <c r="G89" s="216" t="s">
        <v>432</v>
      </c>
      <c r="H89" s="212" t="s">
        <v>683</v>
      </c>
    </row>
    <row r="90" spans="1:8">
      <c r="A90" s="201" t="s">
        <v>594</v>
      </c>
      <c r="B90" s="201" t="s">
        <v>594</v>
      </c>
      <c r="C90" s="201" t="s">
        <v>519</v>
      </c>
      <c r="D90" t="s">
        <v>748</v>
      </c>
      <c r="E90" s="201">
        <v>0</v>
      </c>
      <c r="F90" s="212">
        <v>1.6</v>
      </c>
      <c r="G90" s="216" t="s">
        <v>422</v>
      </c>
      <c r="H90" s="212" t="s">
        <v>422</v>
      </c>
    </row>
    <row r="91" spans="1:8">
      <c r="A91" s="201" t="s">
        <v>595</v>
      </c>
      <c r="B91" s="201" t="s">
        <v>595</v>
      </c>
      <c r="C91" s="201" t="s">
        <v>519</v>
      </c>
      <c r="D91" t="s">
        <v>748</v>
      </c>
      <c r="E91" s="201">
        <v>0</v>
      </c>
      <c r="F91" s="212">
        <v>25.28</v>
      </c>
      <c r="G91" s="216" t="s">
        <v>429</v>
      </c>
      <c r="H91" s="212" t="s">
        <v>425</v>
      </c>
    </row>
    <row r="92" spans="1:8">
      <c r="A92" s="201" t="s">
        <v>596</v>
      </c>
      <c r="B92" s="201" t="s">
        <v>596</v>
      </c>
      <c r="C92" s="201" t="s">
        <v>519</v>
      </c>
      <c r="D92" t="s">
        <v>748</v>
      </c>
      <c r="E92" s="201">
        <v>0</v>
      </c>
      <c r="F92" s="212">
        <v>8</v>
      </c>
      <c r="G92" s="216" t="s">
        <v>431</v>
      </c>
      <c r="H92" s="212" t="s">
        <v>431</v>
      </c>
    </row>
    <row r="93" spans="1:8">
      <c r="A93" s="201" t="s">
        <v>597</v>
      </c>
      <c r="B93" s="201" t="s">
        <v>597</v>
      </c>
      <c r="C93" s="201" t="s">
        <v>519</v>
      </c>
      <c r="D93" t="s">
        <v>748</v>
      </c>
      <c r="E93" s="201">
        <v>0</v>
      </c>
      <c r="F93" s="212">
        <v>212</v>
      </c>
      <c r="G93" s="216" t="s">
        <v>440</v>
      </c>
      <c r="H93" s="212" t="s">
        <v>684</v>
      </c>
    </row>
    <row r="94" spans="1:8">
      <c r="A94" s="201" t="s">
        <v>734</v>
      </c>
      <c r="B94" s="201" t="s">
        <v>734</v>
      </c>
      <c r="C94" s="201" t="s">
        <v>519</v>
      </c>
      <c r="D94" t="s">
        <v>748</v>
      </c>
      <c r="E94" s="201">
        <v>0</v>
      </c>
      <c r="F94" s="212">
        <v>10.4</v>
      </c>
      <c r="G94" s="216" t="s">
        <v>431</v>
      </c>
      <c r="H94" s="212" t="s">
        <v>431</v>
      </c>
    </row>
    <row r="95" spans="1:8">
      <c r="A95" s="201" t="s">
        <v>735</v>
      </c>
      <c r="B95" s="201" t="s">
        <v>735</v>
      </c>
      <c r="C95" s="201" t="s">
        <v>519</v>
      </c>
      <c r="D95" t="s">
        <v>748</v>
      </c>
      <c r="E95" s="201">
        <v>0</v>
      </c>
      <c r="F95" s="212">
        <v>6</v>
      </c>
      <c r="G95" s="216" t="s">
        <v>432</v>
      </c>
      <c r="H95" s="212" t="s">
        <v>680</v>
      </c>
    </row>
    <row r="96" spans="1:8" ht="28.8">
      <c r="A96" s="201" t="s">
        <v>736</v>
      </c>
      <c r="B96" s="201" t="s">
        <v>736</v>
      </c>
      <c r="C96" s="201" t="s">
        <v>519</v>
      </c>
      <c r="D96" t="s">
        <v>748</v>
      </c>
      <c r="E96" s="201">
        <v>0</v>
      </c>
      <c r="F96" s="212">
        <v>2.4</v>
      </c>
      <c r="G96" s="216" t="s">
        <v>420</v>
      </c>
      <c r="H96" s="212" t="s">
        <v>681</v>
      </c>
    </row>
    <row r="97" spans="1:8">
      <c r="A97" s="201" t="s">
        <v>737</v>
      </c>
      <c r="B97" s="201" t="s">
        <v>737</v>
      </c>
      <c r="C97" s="201" t="s">
        <v>519</v>
      </c>
      <c r="D97" t="s">
        <v>748</v>
      </c>
      <c r="E97" s="201">
        <v>0</v>
      </c>
      <c r="F97" s="212">
        <v>10.97</v>
      </c>
      <c r="G97" s="216" t="s">
        <v>429</v>
      </c>
      <c r="H97" s="212" t="s">
        <v>443</v>
      </c>
    </row>
    <row r="98" spans="1:8">
      <c r="A98" s="201" t="s">
        <v>738</v>
      </c>
      <c r="B98" s="201" t="s">
        <v>738</v>
      </c>
      <c r="C98" s="201" t="s">
        <v>519</v>
      </c>
      <c r="D98" t="s">
        <v>748</v>
      </c>
      <c r="E98" s="201">
        <v>0</v>
      </c>
      <c r="F98" s="212">
        <v>6</v>
      </c>
      <c r="G98" s="216" t="s">
        <v>420</v>
      </c>
      <c r="H98" s="212" t="s">
        <v>685</v>
      </c>
    </row>
    <row r="99" spans="1:8">
      <c r="A99" s="201" t="s">
        <v>739</v>
      </c>
      <c r="B99" s="201" t="s">
        <v>739</v>
      </c>
      <c r="C99" s="201" t="s">
        <v>519</v>
      </c>
      <c r="D99" t="s">
        <v>748</v>
      </c>
      <c r="E99" s="201">
        <v>0</v>
      </c>
      <c r="F99" s="212">
        <v>21.34</v>
      </c>
      <c r="G99" s="216" t="s">
        <v>424</v>
      </c>
      <c r="H99" s="212" t="s">
        <v>423</v>
      </c>
    </row>
    <row r="100" spans="1:8">
      <c r="A100" s="201" t="s">
        <v>740</v>
      </c>
      <c r="B100" s="201" t="s">
        <v>740</v>
      </c>
      <c r="C100" s="201" t="s">
        <v>519</v>
      </c>
      <c r="D100" t="s">
        <v>748</v>
      </c>
      <c r="E100" s="201">
        <v>0</v>
      </c>
      <c r="F100" s="212">
        <v>66.2</v>
      </c>
      <c r="G100" s="216" t="s">
        <v>432</v>
      </c>
      <c r="H100" s="212" t="s">
        <v>683</v>
      </c>
    </row>
    <row r="101" spans="1:8">
      <c r="A101" s="201" t="s">
        <v>741</v>
      </c>
      <c r="B101" s="201" t="s">
        <v>741</v>
      </c>
      <c r="C101" s="201" t="s">
        <v>519</v>
      </c>
      <c r="D101" t="s">
        <v>748</v>
      </c>
      <c r="E101" s="201">
        <v>0</v>
      </c>
      <c r="F101" s="212">
        <v>45</v>
      </c>
      <c r="G101" s="216" t="s">
        <v>432</v>
      </c>
      <c r="H101" s="212" t="s">
        <v>686</v>
      </c>
    </row>
    <row r="102" spans="1:8">
      <c r="A102" s="201" t="s">
        <v>598</v>
      </c>
      <c r="B102" s="201" t="s">
        <v>598</v>
      </c>
      <c r="C102" s="201" t="s">
        <v>519</v>
      </c>
      <c r="D102" t="s">
        <v>748</v>
      </c>
      <c r="E102" s="201">
        <v>0</v>
      </c>
      <c r="F102" s="212">
        <v>50</v>
      </c>
      <c r="G102" s="216" t="s">
        <v>420</v>
      </c>
      <c r="H102" s="212" t="s">
        <v>687</v>
      </c>
    </row>
    <row r="103" spans="1:8">
      <c r="A103" s="201" t="s">
        <v>599</v>
      </c>
      <c r="B103" s="201" t="s">
        <v>599</v>
      </c>
      <c r="C103" s="201" t="s">
        <v>519</v>
      </c>
      <c r="D103" t="s">
        <v>748</v>
      </c>
      <c r="E103" s="201">
        <v>0</v>
      </c>
      <c r="F103" s="212">
        <v>37</v>
      </c>
      <c r="G103" s="216" t="s">
        <v>432</v>
      </c>
      <c r="H103" s="212" t="s">
        <v>688</v>
      </c>
    </row>
    <row r="104" spans="1:8">
      <c r="A104" s="201" t="s">
        <v>600</v>
      </c>
      <c r="B104" s="201" t="s">
        <v>600</v>
      </c>
      <c r="C104" s="201" t="s">
        <v>519</v>
      </c>
      <c r="D104" t="s">
        <v>748</v>
      </c>
      <c r="E104" s="201">
        <v>0</v>
      </c>
      <c r="F104" s="212">
        <v>3.2</v>
      </c>
      <c r="G104" s="216" t="s">
        <v>429</v>
      </c>
      <c r="H104" s="212" t="s">
        <v>443</v>
      </c>
    </row>
    <row r="105" spans="1:8">
      <c r="A105" s="201" t="s">
        <v>601</v>
      </c>
      <c r="B105" s="201" t="s">
        <v>601</v>
      </c>
      <c r="C105" s="201" t="s">
        <v>519</v>
      </c>
      <c r="D105" t="s">
        <v>748</v>
      </c>
      <c r="E105" s="201">
        <v>0</v>
      </c>
      <c r="F105" s="212">
        <v>10</v>
      </c>
      <c r="G105" s="216" t="s">
        <v>431</v>
      </c>
      <c r="H105" s="212" t="s">
        <v>665</v>
      </c>
    </row>
    <row r="106" spans="1:8">
      <c r="A106" s="201" t="s">
        <v>602</v>
      </c>
      <c r="B106" s="201" t="s">
        <v>602</v>
      </c>
      <c r="C106" s="201" t="s">
        <v>519</v>
      </c>
      <c r="D106" t="s">
        <v>748</v>
      </c>
      <c r="E106" s="201">
        <v>0</v>
      </c>
      <c r="F106" s="212">
        <v>10.99</v>
      </c>
      <c r="G106" s="216" t="s">
        <v>431</v>
      </c>
      <c r="H106" s="212" t="s">
        <v>665</v>
      </c>
    </row>
    <row r="107" spans="1:8">
      <c r="A107" s="201" t="s">
        <v>603</v>
      </c>
      <c r="B107" s="201" t="s">
        <v>603</v>
      </c>
      <c r="C107" s="201" t="s">
        <v>519</v>
      </c>
      <c r="D107" t="s">
        <v>748</v>
      </c>
      <c r="E107" s="201">
        <v>0</v>
      </c>
      <c r="F107" s="212">
        <v>58</v>
      </c>
      <c r="G107" s="216" t="s">
        <v>431</v>
      </c>
      <c r="H107" s="212" t="s">
        <v>431</v>
      </c>
    </row>
    <row r="108" spans="1:8">
      <c r="A108" s="201" t="s">
        <v>604</v>
      </c>
      <c r="B108" s="201" t="s">
        <v>604</v>
      </c>
      <c r="C108" s="201" t="s">
        <v>519</v>
      </c>
      <c r="D108" t="s">
        <v>748</v>
      </c>
      <c r="E108" s="201">
        <v>0</v>
      </c>
      <c r="F108" s="212">
        <v>4.5999999999999996</v>
      </c>
      <c r="G108" s="216" t="s">
        <v>432</v>
      </c>
      <c r="H108" s="212" t="s">
        <v>680</v>
      </c>
    </row>
    <row r="109" spans="1:8" ht="28.8">
      <c r="A109" s="201" t="s">
        <v>605</v>
      </c>
      <c r="B109" s="201" t="s">
        <v>605</v>
      </c>
      <c r="C109" s="201" t="s">
        <v>519</v>
      </c>
      <c r="D109" t="s">
        <v>748</v>
      </c>
      <c r="E109" s="201">
        <v>0</v>
      </c>
      <c r="F109" s="212">
        <v>1.2</v>
      </c>
      <c r="G109" s="216" t="s">
        <v>420</v>
      </c>
      <c r="H109" s="212" t="s">
        <v>681</v>
      </c>
    </row>
    <row r="110" spans="1:8">
      <c r="A110" s="201" t="s">
        <v>606</v>
      </c>
      <c r="B110" s="201" t="s">
        <v>606</v>
      </c>
      <c r="C110" s="201" t="s">
        <v>519</v>
      </c>
      <c r="D110" t="s">
        <v>748</v>
      </c>
      <c r="E110" s="201">
        <v>0</v>
      </c>
      <c r="F110" s="212">
        <v>66</v>
      </c>
      <c r="G110" s="216" t="s">
        <v>440</v>
      </c>
      <c r="H110" s="212" t="s">
        <v>684</v>
      </c>
    </row>
    <row r="111" spans="1:8">
      <c r="A111" s="201" t="s">
        <v>607</v>
      </c>
      <c r="B111" s="201" t="s">
        <v>607</v>
      </c>
      <c r="C111" s="201" t="s">
        <v>519</v>
      </c>
      <c r="D111" t="s">
        <v>748</v>
      </c>
      <c r="E111" s="201">
        <v>0</v>
      </c>
      <c r="F111" s="212">
        <v>9.8000000000000007</v>
      </c>
      <c r="G111" s="216" t="s">
        <v>432</v>
      </c>
      <c r="H111" s="212" t="s">
        <v>657</v>
      </c>
    </row>
    <row r="112" spans="1:8">
      <c r="A112" s="201" t="s">
        <v>608</v>
      </c>
      <c r="B112" s="201" t="s">
        <v>608</v>
      </c>
      <c r="C112" s="201" t="s">
        <v>519</v>
      </c>
      <c r="D112" t="s">
        <v>748</v>
      </c>
      <c r="E112" s="201">
        <v>0</v>
      </c>
      <c r="F112" s="212">
        <v>3.8</v>
      </c>
      <c r="G112" s="216" t="s">
        <v>432</v>
      </c>
      <c r="H112" s="212" t="s">
        <v>682</v>
      </c>
    </row>
    <row r="113" spans="1:8">
      <c r="A113" s="201" t="s">
        <v>609</v>
      </c>
      <c r="B113" s="201" t="s">
        <v>609</v>
      </c>
      <c r="C113" s="201" t="s">
        <v>519</v>
      </c>
      <c r="D113" t="s">
        <v>748</v>
      </c>
      <c r="E113" s="201">
        <v>0</v>
      </c>
      <c r="F113" s="212">
        <v>29.5</v>
      </c>
      <c r="G113" s="216" t="s">
        <v>431</v>
      </c>
      <c r="H113" s="212" t="s">
        <v>678</v>
      </c>
    </row>
    <row r="114" spans="1:8">
      <c r="A114" s="201" t="s">
        <v>610</v>
      </c>
      <c r="B114" s="201" t="s">
        <v>610</v>
      </c>
      <c r="C114" s="201" t="s">
        <v>519</v>
      </c>
      <c r="D114" t="s">
        <v>748</v>
      </c>
      <c r="E114" s="201">
        <v>0</v>
      </c>
      <c r="F114" s="212">
        <v>77.900000000000006</v>
      </c>
      <c r="G114" s="216" t="s">
        <v>432</v>
      </c>
      <c r="H114" s="212" t="s">
        <v>683</v>
      </c>
    </row>
    <row r="115" spans="1:8">
      <c r="A115" s="201" t="s">
        <v>611</v>
      </c>
      <c r="B115" s="201" t="s">
        <v>611</v>
      </c>
      <c r="C115" s="201" t="s">
        <v>519</v>
      </c>
      <c r="D115" t="s">
        <v>748</v>
      </c>
      <c r="E115" s="201">
        <v>0</v>
      </c>
      <c r="F115" s="212">
        <v>33</v>
      </c>
      <c r="G115" s="212" t="s">
        <v>432</v>
      </c>
      <c r="H115" s="212" t="s">
        <v>432</v>
      </c>
    </row>
    <row r="116" spans="1:8">
      <c r="A116" s="201" t="s">
        <v>612</v>
      </c>
      <c r="B116" s="201" t="s">
        <v>612</v>
      </c>
      <c r="C116" s="201" t="s">
        <v>519</v>
      </c>
      <c r="D116" t="s">
        <v>748</v>
      </c>
      <c r="E116" s="201">
        <v>0</v>
      </c>
      <c r="F116" s="212">
        <v>17.5</v>
      </c>
      <c r="G116" s="216" t="s">
        <v>429</v>
      </c>
      <c r="H116" s="212" t="s">
        <v>689</v>
      </c>
    </row>
    <row r="117" spans="1:8">
      <c r="A117" s="201" t="s">
        <v>613</v>
      </c>
      <c r="B117" s="201" t="s">
        <v>613</v>
      </c>
      <c r="C117" s="201" t="s">
        <v>519</v>
      </c>
      <c r="D117" t="s">
        <v>748</v>
      </c>
      <c r="E117" s="201">
        <v>0</v>
      </c>
      <c r="F117" s="212">
        <v>45</v>
      </c>
      <c r="G117" s="216" t="s">
        <v>442</v>
      </c>
      <c r="H117" s="212" t="s">
        <v>656</v>
      </c>
    </row>
    <row r="118" spans="1:8">
      <c r="A118" s="201" t="s">
        <v>614</v>
      </c>
      <c r="B118" s="201" t="s">
        <v>614</v>
      </c>
      <c r="C118" s="201" t="s">
        <v>519</v>
      </c>
      <c r="D118" t="s">
        <v>748</v>
      </c>
      <c r="E118" s="201">
        <v>0</v>
      </c>
      <c r="F118" s="212">
        <v>38</v>
      </c>
      <c r="G118" s="216" t="s">
        <v>432</v>
      </c>
      <c r="H118" s="212" t="s">
        <v>655</v>
      </c>
    </row>
    <row r="119" spans="1:8">
      <c r="A119" s="201" t="s">
        <v>615</v>
      </c>
      <c r="B119" s="201" t="s">
        <v>615</v>
      </c>
      <c r="C119" s="201" t="s">
        <v>519</v>
      </c>
      <c r="D119" t="s">
        <v>748</v>
      </c>
      <c r="E119" s="201">
        <v>0</v>
      </c>
      <c r="F119" s="212">
        <v>4.8</v>
      </c>
      <c r="G119" s="212" t="s">
        <v>422</v>
      </c>
      <c r="H119" s="212" t="s">
        <v>422</v>
      </c>
    </row>
    <row r="120" spans="1:8">
      <c r="A120" s="201" t="s">
        <v>616</v>
      </c>
      <c r="B120" s="201" t="s">
        <v>616</v>
      </c>
      <c r="C120" s="201" t="s">
        <v>519</v>
      </c>
      <c r="D120" t="s">
        <v>748</v>
      </c>
      <c r="E120" s="201">
        <v>0</v>
      </c>
      <c r="F120" s="212">
        <v>50</v>
      </c>
      <c r="G120" s="216" t="s">
        <v>431</v>
      </c>
      <c r="H120" s="212" t="s">
        <v>678</v>
      </c>
    </row>
    <row r="121" spans="1:8">
      <c r="A121" s="201" t="s">
        <v>617</v>
      </c>
      <c r="B121" s="201" t="s">
        <v>617</v>
      </c>
      <c r="C121" s="201" t="s">
        <v>519</v>
      </c>
      <c r="D121" t="s">
        <v>748</v>
      </c>
      <c r="E121" s="201">
        <v>0</v>
      </c>
      <c r="F121" s="212">
        <v>6</v>
      </c>
      <c r="G121" s="216" t="s">
        <v>429</v>
      </c>
      <c r="H121" s="212" t="s">
        <v>421</v>
      </c>
    </row>
    <row r="122" spans="1:8">
      <c r="A122" s="201" t="s">
        <v>618</v>
      </c>
      <c r="B122" s="201" t="s">
        <v>618</v>
      </c>
      <c r="C122" s="201" t="s">
        <v>519</v>
      </c>
      <c r="D122" t="s">
        <v>748</v>
      </c>
      <c r="E122" s="201">
        <v>0</v>
      </c>
      <c r="F122" s="212">
        <v>29.2</v>
      </c>
      <c r="G122" s="216" t="s">
        <v>431</v>
      </c>
      <c r="H122" s="212" t="s">
        <v>690</v>
      </c>
    </row>
    <row r="123" spans="1:8">
      <c r="A123" s="201" t="s">
        <v>619</v>
      </c>
      <c r="B123" s="201" t="s">
        <v>619</v>
      </c>
      <c r="C123" s="201" t="s">
        <v>519</v>
      </c>
      <c r="D123" t="s">
        <v>748</v>
      </c>
      <c r="E123" s="201">
        <v>0</v>
      </c>
      <c r="F123" s="212">
        <v>13.3</v>
      </c>
      <c r="G123" s="216" t="s">
        <v>431</v>
      </c>
      <c r="H123" s="212" t="s">
        <v>678</v>
      </c>
    </row>
    <row r="124" spans="1:8">
      <c r="A124" s="201" t="s">
        <v>620</v>
      </c>
      <c r="B124" s="201" t="s">
        <v>620</v>
      </c>
      <c r="C124" s="201" t="s">
        <v>519</v>
      </c>
      <c r="D124" t="s">
        <v>748</v>
      </c>
      <c r="E124" s="201">
        <v>0</v>
      </c>
      <c r="F124" s="212">
        <v>11.5</v>
      </c>
      <c r="G124" s="216" t="s">
        <v>442</v>
      </c>
      <c r="H124" s="212" t="s">
        <v>656</v>
      </c>
    </row>
    <row r="125" spans="1:8">
      <c r="A125" s="201" t="s">
        <v>621</v>
      </c>
      <c r="B125" s="201" t="s">
        <v>621</v>
      </c>
      <c r="C125" s="201" t="s">
        <v>519</v>
      </c>
      <c r="D125" t="s">
        <v>748</v>
      </c>
      <c r="E125" s="201">
        <v>0</v>
      </c>
      <c r="F125" s="212">
        <v>4.9000000000000004</v>
      </c>
      <c r="G125" s="216" t="s">
        <v>432</v>
      </c>
      <c r="H125" s="212" t="s">
        <v>680</v>
      </c>
    </row>
    <row r="126" spans="1:8">
      <c r="A126" s="201" t="s">
        <v>622</v>
      </c>
      <c r="B126" s="201" t="s">
        <v>622</v>
      </c>
      <c r="C126" s="201" t="s">
        <v>519</v>
      </c>
      <c r="D126" t="s">
        <v>748</v>
      </c>
      <c r="E126" s="201">
        <v>0</v>
      </c>
      <c r="F126" s="212">
        <v>4.8</v>
      </c>
      <c r="G126" s="216" t="s">
        <v>428</v>
      </c>
      <c r="H126" s="212" t="s">
        <v>691</v>
      </c>
    </row>
    <row r="127" spans="1:8">
      <c r="A127" s="201" t="s">
        <v>623</v>
      </c>
      <c r="B127" s="201" t="s">
        <v>623</v>
      </c>
      <c r="C127" s="201" t="s">
        <v>519</v>
      </c>
      <c r="D127" t="s">
        <v>748</v>
      </c>
      <c r="E127" s="201">
        <v>0</v>
      </c>
      <c r="F127" s="212">
        <v>22.04</v>
      </c>
      <c r="G127" s="216" t="s">
        <v>429</v>
      </c>
      <c r="H127" s="212" t="s">
        <v>425</v>
      </c>
    </row>
    <row r="128" spans="1:8">
      <c r="A128" s="201" t="s">
        <v>624</v>
      </c>
      <c r="B128" s="201" t="s">
        <v>624</v>
      </c>
      <c r="C128" s="201" t="s">
        <v>519</v>
      </c>
      <c r="D128" t="s">
        <v>748</v>
      </c>
      <c r="E128" s="201">
        <v>0</v>
      </c>
      <c r="F128" s="212">
        <v>19.36</v>
      </c>
      <c r="G128" s="216" t="s">
        <v>429</v>
      </c>
      <c r="H128" s="212" t="s">
        <v>425</v>
      </c>
    </row>
    <row r="129" spans="1:8">
      <c r="A129" s="201" t="s">
        <v>625</v>
      </c>
      <c r="B129" s="201" t="s">
        <v>625</v>
      </c>
      <c r="C129" s="201" t="s">
        <v>519</v>
      </c>
      <c r="D129" t="s">
        <v>748</v>
      </c>
      <c r="E129" s="201">
        <v>0</v>
      </c>
      <c r="F129" s="212">
        <v>21.18</v>
      </c>
      <c r="G129" s="216" t="s">
        <v>429</v>
      </c>
      <c r="H129" s="212" t="s">
        <v>425</v>
      </c>
    </row>
    <row r="130" spans="1:8">
      <c r="A130" s="201" t="s">
        <v>626</v>
      </c>
      <c r="B130" s="201" t="s">
        <v>626</v>
      </c>
      <c r="C130" s="201" t="s">
        <v>519</v>
      </c>
      <c r="D130" t="s">
        <v>748</v>
      </c>
      <c r="E130" s="201">
        <v>0</v>
      </c>
      <c r="F130" s="212">
        <v>10</v>
      </c>
      <c r="G130" s="216" t="s">
        <v>431</v>
      </c>
      <c r="H130" s="212" t="s">
        <v>665</v>
      </c>
    </row>
    <row r="131" spans="1:8">
      <c r="A131" s="201" t="s">
        <v>627</v>
      </c>
      <c r="B131" s="201" t="s">
        <v>627</v>
      </c>
      <c r="C131" s="201" t="s">
        <v>519</v>
      </c>
      <c r="D131" t="s">
        <v>748</v>
      </c>
      <c r="E131" s="201">
        <v>0</v>
      </c>
      <c r="F131" s="212">
        <v>10.99</v>
      </c>
      <c r="G131" s="216" t="s">
        <v>431</v>
      </c>
      <c r="H131" s="212" t="s">
        <v>665</v>
      </c>
    </row>
    <row r="132" spans="1:8">
      <c r="A132" s="201" t="s">
        <v>628</v>
      </c>
      <c r="B132" s="201" t="s">
        <v>628</v>
      </c>
      <c r="C132" s="201" t="s">
        <v>519</v>
      </c>
      <c r="D132" t="s">
        <v>748</v>
      </c>
      <c r="E132" s="201">
        <v>0</v>
      </c>
      <c r="F132" s="212">
        <v>74</v>
      </c>
      <c r="G132" s="216" t="s">
        <v>431</v>
      </c>
      <c r="H132" s="212" t="s">
        <v>678</v>
      </c>
    </row>
    <row r="133" spans="1:8">
      <c r="A133" s="201" t="s">
        <v>629</v>
      </c>
      <c r="B133" s="201" t="s">
        <v>629</v>
      </c>
      <c r="C133" s="201" t="s">
        <v>519</v>
      </c>
      <c r="D133" t="s">
        <v>748</v>
      </c>
      <c r="E133" s="201">
        <v>0</v>
      </c>
      <c r="F133" s="212">
        <v>25</v>
      </c>
      <c r="G133" s="212" t="s">
        <v>431</v>
      </c>
      <c r="H133" s="212" t="s">
        <v>431</v>
      </c>
    </row>
    <row r="134" spans="1:8">
      <c r="A134" s="201" t="s">
        <v>630</v>
      </c>
      <c r="B134" s="201" t="s">
        <v>630</v>
      </c>
      <c r="C134" s="201" t="s">
        <v>519</v>
      </c>
      <c r="D134" t="s">
        <v>748</v>
      </c>
      <c r="E134" s="201">
        <v>0</v>
      </c>
      <c r="F134" s="212">
        <v>37.9</v>
      </c>
      <c r="G134" s="216" t="s">
        <v>429</v>
      </c>
      <c r="H134" s="212" t="s">
        <v>689</v>
      </c>
    </row>
    <row r="135" spans="1:8">
      <c r="A135" s="201" t="s">
        <v>631</v>
      </c>
      <c r="B135" s="201" t="s">
        <v>631</v>
      </c>
      <c r="C135" s="201" t="s">
        <v>519</v>
      </c>
      <c r="D135" t="s">
        <v>748</v>
      </c>
      <c r="E135" s="201">
        <v>0</v>
      </c>
      <c r="F135" s="212">
        <v>32.520000000000003</v>
      </c>
      <c r="G135" s="216" t="s">
        <v>429</v>
      </c>
      <c r="H135" s="212" t="s">
        <v>689</v>
      </c>
    </row>
    <row r="136" spans="1:8">
      <c r="A136" s="201" t="s">
        <v>632</v>
      </c>
      <c r="B136" s="201" t="s">
        <v>632</v>
      </c>
      <c r="C136" s="201" t="s">
        <v>519</v>
      </c>
      <c r="D136" t="s">
        <v>748</v>
      </c>
      <c r="E136" s="201">
        <v>0</v>
      </c>
      <c r="F136" s="212">
        <v>58.1</v>
      </c>
      <c r="G136" s="216" t="s">
        <v>432</v>
      </c>
      <c r="H136" s="212" t="s">
        <v>683</v>
      </c>
    </row>
    <row r="137" spans="1:8">
      <c r="A137" s="201" t="s">
        <v>633</v>
      </c>
      <c r="B137" s="201" t="s">
        <v>633</v>
      </c>
      <c r="C137" s="201" t="s">
        <v>519</v>
      </c>
      <c r="D137" t="s">
        <v>748</v>
      </c>
      <c r="E137" s="201">
        <v>0</v>
      </c>
      <c r="F137" s="212">
        <v>17.8</v>
      </c>
      <c r="G137" s="216" t="s">
        <v>440</v>
      </c>
      <c r="H137" s="212" t="s">
        <v>684</v>
      </c>
    </row>
    <row r="138" spans="1:8">
      <c r="A138" s="201" t="s">
        <v>634</v>
      </c>
      <c r="B138" s="201" t="s">
        <v>634</v>
      </c>
      <c r="C138" s="201" t="s">
        <v>519</v>
      </c>
      <c r="D138" t="s">
        <v>748</v>
      </c>
      <c r="E138" s="201">
        <v>0</v>
      </c>
      <c r="F138" s="212">
        <v>18</v>
      </c>
      <c r="G138" s="216" t="s">
        <v>424</v>
      </c>
      <c r="H138" s="212" t="s">
        <v>423</v>
      </c>
    </row>
    <row r="139" spans="1:8">
      <c r="A139" s="201" t="s">
        <v>635</v>
      </c>
      <c r="B139" s="201" t="s">
        <v>635</v>
      </c>
      <c r="C139" s="201" t="s">
        <v>519</v>
      </c>
      <c r="D139" t="s">
        <v>748</v>
      </c>
      <c r="E139" s="201">
        <v>0</v>
      </c>
      <c r="F139" s="212">
        <v>4</v>
      </c>
      <c r="G139" s="216" t="s">
        <v>432</v>
      </c>
      <c r="H139" s="212" t="s">
        <v>680</v>
      </c>
    </row>
    <row r="140" spans="1:8">
      <c r="A140" s="201" t="s">
        <v>512</v>
      </c>
      <c r="B140" s="201" t="s">
        <v>512</v>
      </c>
      <c r="C140" s="201" t="s">
        <v>481</v>
      </c>
      <c r="D140" t="s">
        <v>746</v>
      </c>
      <c r="E140" s="201">
        <f>ROUND(F140*0.2,0)</f>
        <v>58</v>
      </c>
      <c r="F140" s="212">
        <v>290</v>
      </c>
      <c r="G140" s="216" t="s">
        <v>432</v>
      </c>
      <c r="H140" s="212" t="s">
        <v>667</v>
      </c>
    </row>
    <row r="141" spans="1:8">
      <c r="A141" s="201" t="s">
        <v>513</v>
      </c>
      <c r="B141" s="201" t="s">
        <v>513</v>
      </c>
      <c r="C141" s="201" t="s">
        <v>481</v>
      </c>
      <c r="D141" t="s">
        <v>746</v>
      </c>
      <c r="E141" s="201">
        <f t="shared" ref="E141:E143" si="1">ROUND(F141*0.2,0)</f>
        <v>181</v>
      </c>
      <c r="F141" s="211">
        <v>904</v>
      </c>
      <c r="G141" s="216" t="s">
        <v>427</v>
      </c>
      <c r="H141" s="212" t="s">
        <v>692</v>
      </c>
    </row>
    <row r="142" spans="1:8">
      <c r="A142" s="201" t="s">
        <v>514</v>
      </c>
      <c r="B142" s="201" t="s">
        <v>514</v>
      </c>
      <c r="C142" s="201" t="s">
        <v>482</v>
      </c>
      <c r="D142" t="s">
        <v>747</v>
      </c>
      <c r="E142" s="201">
        <f t="shared" si="1"/>
        <v>9</v>
      </c>
      <c r="F142" s="212">
        <v>46</v>
      </c>
      <c r="G142" s="216" t="s">
        <v>440</v>
      </c>
      <c r="H142" s="212" t="s">
        <v>662</v>
      </c>
    </row>
    <row r="143" spans="1:8">
      <c r="A143" s="201" t="s">
        <v>515</v>
      </c>
      <c r="B143" s="201" t="s">
        <v>515</v>
      </c>
      <c r="C143" s="201" t="s">
        <v>483</v>
      </c>
      <c r="D143" t="s">
        <v>747</v>
      </c>
      <c r="E143" s="201">
        <f t="shared" si="1"/>
        <v>2</v>
      </c>
      <c r="F143" s="212">
        <v>11</v>
      </c>
      <c r="G143" s="216" t="s">
        <v>436</v>
      </c>
      <c r="H143" s="212" t="s">
        <v>693</v>
      </c>
    </row>
    <row r="144" spans="1:8">
      <c r="A144" s="188" t="s">
        <v>742</v>
      </c>
      <c r="B144" s="188" t="s">
        <v>742</v>
      </c>
      <c r="C144" s="188" t="s">
        <v>745</v>
      </c>
      <c r="D144" s="194" t="s">
        <v>297</v>
      </c>
      <c r="E144" s="194">
        <v>0</v>
      </c>
      <c r="F144" s="194">
        <v>1</v>
      </c>
      <c r="G144" s="235" t="s">
        <v>430</v>
      </c>
    </row>
    <row r="145" spans="1:7">
      <c r="A145" s="188" t="s">
        <v>743</v>
      </c>
      <c r="B145" s="188" t="s">
        <v>743</v>
      </c>
      <c r="C145" s="188" t="s">
        <v>745</v>
      </c>
      <c r="D145" s="194" t="s">
        <v>297</v>
      </c>
      <c r="E145" s="194">
        <v>0</v>
      </c>
      <c r="F145" s="194">
        <v>1</v>
      </c>
      <c r="G145" s="235" t="s">
        <v>430</v>
      </c>
    </row>
    <row r="146" spans="1:7">
      <c r="A146" s="188" t="s">
        <v>744</v>
      </c>
      <c r="B146" s="188" t="s">
        <v>744</v>
      </c>
      <c r="C146" s="188" t="s">
        <v>745</v>
      </c>
      <c r="D146" s="194" t="s">
        <v>297</v>
      </c>
      <c r="E146" s="194">
        <v>0</v>
      </c>
      <c r="F146" s="194">
        <v>1</v>
      </c>
      <c r="G146" s="235" t="s">
        <v>426</v>
      </c>
    </row>
    <row r="147" spans="1:7">
      <c r="A147" s="188" t="s">
        <v>750</v>
      </c>
      <c r="B147" s="188" t="s">
        <v>750</v>
      </c>
      <c r="C147" s="188" t="s">
        <v>745</v>
      </c>
      <c r="D147" s="194" t="s">
        <v>297</v>
      </c>
      <c r="E147" s="194">
        <v>0</v>
      </c>
      <c r="F147" s="194">
        <v>1</v>
      </c>
      <c r="G147" s="235" t="s">
        <v>428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6600"/>
  </sheetPr>
  <dimension ref="A1:Q16"/>
  <sheetViews>
    <sheetView zoomScale="80" zoomScaleNormal="80" workbookViewId="0">
      <selection activeCell="L7" sqref="L7"/>
    </sheetView>
  </sheetViews>
  <sheetFormatPr defaultRowHeight="14.4"/>
  <cols>
    <col min="1" max="1" width="13.33203125" customWidth="1"/>
    <col min="2" max="2" width="16.44140625" bestFit="1" customWidth="1"/>
    <col min="3" max="5" width="8" customWidth="1"/>
    <col min="6" max="6" width="10.44140625" customWidth="1"/>
    <col min="7" max="7" width="8" customWidth="1"/>
    <col min="8" max="8" width="8.88671875" customWidth="1"/>
    <col min="9" max="13" width="8" customWidth="1"/>
    <col min="14" max="14" width="8.88671875" customWidth="1"/>
  </cols>
  <sheetData>
    <row r="1" spans="1:17" s="57" customFormat="1" ht="57.6">
      <c r="A1" s="161" t="s">
        <v>223</v>
      </c>
      <c r="B1" s="161" t="s">
        <v>263</v>
      </c>
      <c r="C1" s="161" t="s">
        <v>274</v>
      </c>
      <c r="D1" s="161" t="s">
        <v>406</v>
      </c>
      <c r="E1" s="161" t="s">
        <v>25</v>
      </c>
      <c r="F1" s="104" t="s">
        <v>280</v>
      </c>
      <c r="G1" s="104" t="s">
        <v>279</v>
      </c>
      <c r="H1" s="161" t="s">
        <v>299</v>
      </c>
      <c r="I1" s="161" t="s">
        <v>261</v>
      </c>
      <c r="J1" s="160" t="s">
        <v>296</v>
      </c>
      <c r="K1" s="161" t="s">
        <v>300</v>
      </c>
      <c r="L1" s="161" t="s">
        <v>301</v>
      </c>
      <c r="M1" s="161" t="s">
        <v>302</v>
      </c>
      <c r="N1" s="161" t="s">
        <v>402</v>
      </c>
      <c r="O1" s="104"/>
      <c r="P1" s="104"/>
      <c r="Q1" s="104"/>
    </row>
    <row r="2" spans="1:17">
      <c r="A2" s="96"/>
      <c r="B2" s="96"/>
      <c r="C2" s="96"/>
      <c r="D2" s="96"/>
      <c r="E2" s="96"/>
      <c r="F2" s="96"/>
      <c r="G2" s="96"/>
      <c r="H2" s="96"/>
      <c r="I2" s="33"/>
      <c r="J2" s="96"/>
      <c r="K2" s="96"/>
      <c r="L2" s="96"/>
      <c r="M2" s="96"/>
      <c r="N2" s="5"/>
      <c r="O2" s="5"/>
      <c r="P2" s="5"/>
      <c r="Q2" s="5"/>
    </row>
    <row r="3" spans="1:17">
      <c r="A3" s="96"/>
      <c r="B3" s="5"/>
      <c r="C3" s="96"/>
      <c r="D3" s="96"/>
      <c r="E3" s="96"/>
      <c r="F3" s="96"/>
      <c r="G3" s="96"/>
      <c r="H3" s="96"/>
      <c r="I3" s="96"/>
      <c r="J3" s="96"/>
      <c r="K3" s="5"/>
      <c r="L3" s="5"/>
      <c r="M3" s="5"/>
      <c r="N3" s="5"/>
      <c r="O3" s="5"/>
      <c r="P3" s="5"/>
      <c r="Q3" s="5"/>
    </row>
    <row r="4" spans="1:17">
      <c r="A4" s="96"/>
      <c r="B4" s="96"/>
      <c r="C4" s="96"/>
      <c r="D4" s="96"/>
      <c r="E4" s="96"/>
      <c r="F4" s="96"/>
      <c r="G4" s="96"/>
      <c r="H4" s="96"/>
      <c r="I4" s="33"/>
      <c r="J4" s="96"/>
      <c r="K4" s="5"/>
      <c r="L4" s="5"/>
      <c r="M4" s="5"/>
      <c r="N4" s="5"/>
      <c r="O4" s="5"/>
      <c r="P4" s="5"/>
      <c r="Q4" s="5"/>
    </row>
    <row r="5" spans="1:17">
      <c r="A5" s="96"/>
      <c r="B5" s="96"/>
      <c r="C5" s="96"/>
      <c r="D5" s="96"/>
      <c r="E5" s="96"/>
      <c r="F5" s="96"/>
      <c r="G5" s="96"/>
      <c r="H5" s="96"/>
      <c r="I5" s="96"/>
      <c r="J5" s="96"/>
      <c r="K5" s="5"/>
      <c r="L5" s="5"/>
      <c r="M5" s="5"/>
      <c r="N5" s="5"/>
      <c r="O5" s="5"/>
      <c r="P5" s="5"/>
      <c r="Q5" s="5"/>
    </row>
    <row r="6" spans="1:17">
      <c r="A6" s="96"/>
      <c r="B6" s="96"/>
      <c r="C6" s="96"/>
      <c r="D6" s="96"/>
      <c r="E6" s="96"/>
      <c r="F6" s="96"/>
      <c r="G6" s="96"/>
      <c r="H6" s="155"/>
      <c r="I6" s="96"/>
      <c r="J6" s="5"/>
      <c r="K6" s="5"/>
      <c r="L6" s="5"/>
      <c r="M6" s="5"/>
      <c r="N6" s="5"/>
      <c r="O6" s="5"/>
      <c r="P6" s="5"/>
      <c r="Q6" s="5"/>
    </row>
    <row r="7" spans="1:17">
      <c r="A7" s="96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5"/>
      <c r="P7" s="5"/>
      <c r="Q7" s="5"/>
    </row>
    <row r="8" spans="1:17">
      <c r="A8" s="96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5"/>
      <c r="P8" s="5"/>
      <c r="Q8" s="5"/>
    </row>
    <row r="9" spans="1:17">
      <c r="A9" s="96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</row>
    <row r="10" spans="1:17">
      <c r="A10" s="96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</row>
    <row r="11" spans="1:17">
      <c r="A11" s="54"/>
      <c r="B11" s="55"/>
      <c r="C11" s="55"/>
      <c r="D11" s="54"/>
      <c r="E11" s="55"/>
      <c r="F11" s="55"/>
      <c r="G11" s="55"/>
      <c r="H11" s="55"/>
      <c r="I11" s="55"/>
      <c r="J11" s="5"/>
      <c r="K11" s="5"/>
      <c r="L11" s="5"/>
      <c r="M11" s="5"/>
      <c r="N11" s="5"/>
    </row>
    <row r="12" spans="1:17">
      <c r="A12" s="33"/>
      <c r="B12" s="33"/>
      <c r="C12" s="33"/>
      <c r="D12" s="33"/>
      <c r="E12" s="33"/>
      <c r="F12" s="33"/>
      <c r="G12" s="33"/>
      <c r="H12" s="33"/>
      <c r="I12" s="33"/>
      <c r="J12" s="5"/>
      <c r="K12" s="5"/>
      <c r="L12" s="5"/>
      <c r="M12" s="5"/>
      <c r="N12" s="5"/>
    </row>
    <row r="13" spans="1:17">
      <c r="A13" s="33"/>
      <c r="B13" s="33"/>
      <c r="C13" s="33"/>
      <c r="D13" s="33"/>
      <c r="E13" s="33"/>
      <c r="F13" s="33"/>
      <c r="G13" s="33"/>
      <c r="H13" s="33"/>
      <c r="I13" s="33"/>
      <c r="J13" s="5"/>
      <c r="K13" s="5"/>
      <c r="L13" s="5"/>
      <c r="M13" s="5"/>
      <c r="N13" s="5"/>
    </row>
    <row r="14" spans="1:17">
      <c r="A14" s="33"/>
      <c r="B14" s="33"/>
      <c r="C14" s="33"/>
      <c r="D14" s="33"/>
      <c r="E14" s="33"/>
      <c r="F14" s="33"/>
      <c r="G14" s="33"/>
      <c r="H14" s="33"/>
      <c r="I14" s="33"/>
      <c r="J14" s="5"/>
      <c r="K14" s="5"/>
      <c r="L14" s="5"/>
      <c r="M14" s="5"/>
      <c r="N14" s="5"/>
    </row>
    <row r="15" spans="1:17">
      <c r="A15" s="33"/>
      <c r="B15" s="33"/>
      <c r="C15" s="33"/>
      <c r="D15" s="33"/>
      <c r="E15" s="33"/>
      <c r="F15" s="33"/>
      <c r="G15" s="33"/>
      <c r="H15" s="33"/>
      <c r="I15" s="33"/>
    </row>
    <row r="16" spans="1:17">
      <c r="A16" s="33"/>
      <c r="B16" s="33"/>
      <c r="C16" s="33"/>
      <c r="D16" s="33"/>
      <c r="E16" s="33"/>
      <c r="F16" s="33"/>
      <c r="G16" s="33"/>
      <c r="H16" s="33"/>
      <c r="I16" s="33"/>
    </row>
  </sheetData>
  <dataValidations count="3">
    <dataValidation type="custom" allowBlank="1" showInputMessage="1" showErrorMessage="1" sqref="I2" xr:uid="{00000000-0002-0000-0600-000000000000}">
      <formula1>M1&lt;T2</formula1>
    </dataValidation>
    <dataValidation type="custom" allowBlank="1" showInputMessage="1" showErrorMessage="1" sqref="I4" xr:uid="{00000000-0002-0000-0600-000001000000}">
      <formula1>I15&lt;V25*10^6</formula1>
    </dataValidation>
    <dataValidation type="custom" allowBlank="1" showInputMessage="1" showErrorMessage="1" sqref="B3" xr:uid="{00000000-0002-0000-0600-000002000000}">
      <formula1>E3&lt;M3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9"/>
  <sheetViews>
    <sheetView zoomScale="80" zoomScaleNormal="80" workbookViewId="0">
      <selection activeCell="K13" sqref="A2:K13"/>
    </sheetView>
  </sheetViews>
  <sheetFormatPr defaultRowHeight="14.4"/>
  <cols>
    <col min="1" max="1" width="16" customWidth="1"/>
    <col min="2" max="2" width="12.6640625" customWidth="1"/>
    <col min="3" max="3" width="6.5546875" customWidth="1"/>
    <col min="4" max="4" width="8.5546875" customWidth="1"/>
    <col min="5" max="5" width="9" customWidth="1"/>
    <col min="6" max="6" width="6.6640625" customWidth="1"/>
    <col min="7" max="7" width="17.33203125" customWidth="1"/>
    <col min="8" max="8" width="10.5546875" customWidth="1"/>
    <col min="9" max="9" width="11.5546875" customWidth="1"/>
    <col min="16" max="16" width="11" customWidth="1"/>
  </cols>
  <sheetData>
    <row r="1" spans="1:15" s="168" customFormat="1" ht="53.25" customHeight="1">
      <c r="A1" s="167" t="s">
        <v>223</v>
      </c>
      <c r="B1" s="167" t="s">
        <v>263</v>
      </c>
      <c r="C1" s="167" t="s">
        <v>274</v>
      </c>
      <c r="D1" s="167" t="s">
        <v>25</v>
      </c>
      <c r="E1" s="167" t="s">
        <v>280</v>
      </c>
      <c r="F1" s="168" t="s">
        <v>279</v>
      </c>
      <c r="G1" s="168" t="s">
        <v>408</v>
      </c>
      <c r="H1" s="168" t="s">
        <v>409</v>
      </c>
      <c r="I1" s="167" t="s">
        <v>261</v>
      </c>
      <c r="J1" s="167" t="s">
        <v>300</v>
      </c>
      <c r="K1" s="167" t="s">
        <v>301</v>
      </c>
      <c r="L1" s="167" t="s">
        <v>302</v>
      </c>
      <c r="M1" s="167" t="s">
        <v>402</v>
      </c>
      <c r="N1" s="169" t="s">
        <v>296</v>
      </c>
      <c r="O1" s="168" t="s">
        <v>406</v>
      </c>
    </row>
    <row r="2" spans="1:15">
      <c r="A2" s="177"/>
      <c r="B2" s="177"/>
      <c r="C2" s="177"/>
      <c r="D2" s="177"/>
      <c r="E2" s="177"/>
      <c r="F2" s="177"/>
      <c r="G2" s="178"/>
      <c r="H2" s="179"/>
      <c r="I2" s="190"/>
      <c r="J2" s="177"/>
      <c r="K2" s="177"/>
      <c r="L2" s="181"/>
      <c r="M2" s="177"/>
      <c r="N2" s="180"/>
      <c r="O2" s="180"/>
    </row>
    <row r="3" spans="1:15">
      <c r="A3" s="177"/>
      <c r="B3" s="177"/>
      <c r="C3" s="177"/>
      <c r="D3" s="177"/>
      <c r="E3" s="177"/>
      <c r="F3" s="177"/>
      <c r="G3" s="178"/>
      <c r="H3" s="179"/>
      <c r="I3" s="190"/>
      <c r="J3" s="177"/>
      <c r="K3" s="177"/>
      <c r="L3" s="181"/>
      <c r="M3" s="177"/>
      <c r="N3" s="180"/>
      <c r="O3" s="180"/>
    </row>
    <row r="4" spans="1:15">
      <c r="A4" s="177"/>
      <c r="B4" s="177"/>
      <c r="C4" s="177"/>
      <c r="D4" s="177"/>
      <c r="E4" s="177"/>
      <c r="F4" s="177"/>
      <c r="G4" s="178"/>
      <c r="H4" s="179"/>
      <c r="I4" s="190"/>
      <c r="J4" s="177"/>
      <c r="K4" s="177"/>
      <c r="L4" s="181"/>
      <c r="M4" s="177"/>
      <c r="N4" s="180"/>
      <c r="O4" s="180"/>
    </row>
    <row r="5" spans="1:15">
      <c r="A5" s="177"/>
      <c r="B5" s="177"/>
      <c r="C5" s="177"/>
      <c r="D5" s="177"/>
      <c r="E5" s="177"/>
      <c r="F5" s="177"/>
      <c r="G5" s="178"/>
      <c r="H5" s="179"/>
      <c r="I5" s="190"/>
      <c r="J5" s="190"/>
      <c r="K5" s="190"/>
      <c r="L5" s="180"/>
      <c r="M5" s="177"/>
      <c r="N5" s="180"/>
      <c r="O5" s="180"/>
    </row>
    <row r="6" spans="1:15">
      <c r="A6" s="177"/>
      <c r="B6" s="177"/>
      <c r="C6" s="177"/>
      <c r="D6" s="177"/>
      <c r="E6" s="177"/>
      <c r="F6" s="177"/>
      <c r="G6" s="178"/>
      <c r="H6" s="179"/>
      <c r="I6" s="190"/>
      <c r="J6" s="190"/>
      <c r="K6" s="190"/>
      <c r="L6" s="180"/>
      <c r="M6" s="177"/>
      <c r="N6" s="180"/>
      <c r="O6" s="180"/>
    </row>
    <row r="7" spans="1:15">
      <c r="A7" s="177"/>
      <c r="B7" s="177"/>
      <c r="C7" s="177"/>
      <c r="D7" s="177"/>
      <c r="E7" s="177"/>
      <c r="F7" s="177"/>
      <c r="G7" s="178"/>
      <c r="H7" s="179"/>
      <c r="I7" s="190"/>
      <c r="J7" s="190"/>
      <c r="K7" s="190"/>
      <c r="L7" s="180"/>
      <c r="M7" s="177"/>
      <c r="N7" s="180"/>
      <c r="O7" s="180"/>
    </row>
    <row r="8" spans="1:15">
      <c r="A8" s="177"/>
      <c r="B8" s="177"/>
      <c r="C8" s="177"/>
      <c r="D8" s="177"/>
      <c r="E8" s="177"/>
      <c r="F8" s="177"/>
      <c r="G8" s="178"/>
      <c r="H8" s="179"/>
      <c r="I8" s="190"/>
      <c r="J8" s="190"/>
      <c r="K8" s="190"/>
      <c r="L8" s="180"/>
      <c r="M8" s="177"/>
      <c r="N8" s="180"/>
      <c r="O8" s="180"/>
    </row>
    <row r="9" spans="1:15">
      <c r="A9" s="177"/>
      <c r="B9" s="177"/>
      <c r="C9" s="177"/>
      <c r="D9" s="177"/>
      <c r="E9" s="177"/>
      <c r="F9" s="177"/>
      <c r="G9" s="178"/>
      <c r="H9" s="179"/>
      <c r="I9" s="190"/>
      <c r="J9" s="190"/>
      <c r="K9" s="190"/>
      <c r="L9" s="180"/>
      <c r="M9" s="177"/>
      <c r="N9" s="180"/>
      <c r="O9" s="180"/>
    </row>
    <row r="10" spans="1:15">
      <c r="A10" s="177"/>
      <c r="B10" s="177"/>
      <c r="C10" s="177"/>
      <c r="D10" s="177"/>
      <c r="E10" s="177"/>
      <c r="F10" s="177"/>
      <c r="G10" s="178"/>
      <c r="H10" s="179"/>
      <c r="I10" s="190"/>
      <c r="J10" s="190"/>
      <c r="K10" s="190"/>
      <c r="L10" s="180"/>
      <c r="M10" s="177"/>
      <c r="N10" s="180"/>
      <c r="O10" s="180"/>
    </row>
    <row r="11" spans="1:15">
      <c r="A11" s="165"/>
      <c r="B11" s="165"/>
      <c r="C11" s="165"/>
      <c r="D11" s="165"/>
      <c r="E11" s="165"/>
      <c r="F11" s="165"/>
      <c r="G11" s="165"/>
      <c r="H11" s="165"/>
      <c r="I11" s="165"/>
      <c r="J11" s="5"/>
      <c r="K11" s="5"/>
    </row>
    <row r="12" spans="1:15">
      <c r="A12" s="165"/>
      <c r="B12" s="165"/>
      <c r="C12" s="165"/>
      <c r="D12" s="165"/>
      <c r="E12" s="165"/>
      <c r="F12" s="165"/>
      <c r="G12" s="165"/>
      <c r="H12" s="165"/>
      <c r="I12" s="165"/>
      <c r="J12" s="5"/>
      <c r="K12" s="5"/>
    </row>
    <row r="13" spans="1:15">
      <c r="A13" s="165"/>
      <c r="B13" s="165"/>
      <c r="C13" s="165"/>
      <c r="D13" s="165"/>
      <c r="E13" s="165"/>
      <c r="F13" s="165"/>
      <c r="G13" s="165"/>
      <c r="H13" s="165"/>
      <c r="I13" s="165"/>
      <c r="J13" s="5"/>
      <c r="K13" s="5"/>
    </row>
    <row r="14" spans="1:15">
      <c r="A14" s="165"/>
      <c r="B14" s="165"/>
      <c r="C14" s="165"/>
      <c r="D14" s="165"/>
      <c r="E14" s="165"/>
      <c r="F14" s="165"/>
      <c r="G14" s="165"/>
      <c r="H14" s="165"/>
      <c r="I14" s="165"/>
    </row>
    <row r="15" spans="1:15">
      <c r="A15" s="165"/>
      <c r="B15" s="165"/>
      <c r="C15" s="165"/>
      <c r="D15" s="165"/>
      <c r="E15" s="165"/>
      <c r="F15" s="165"/>
      <c r="G15" s="165"/>
      <c r="H15" s="165"/>
      <c r="I15" s="165"/>
    </row>
    <row r="16" spans="1:15">
      <c r="A16" s="165"/>
      <c r="B16" s="165"/>
      <c r="C16" s="165"/>
      <c r="D16" s="165"/>
      <c r="E16" s="165"/>
      <c r="F16" s="165"/>
      <c r="G16" s="165"/>
      <c r="H16" s="165"/>
      <c r="I16" s="165"/>
    </row>
    <row r="17" spans="1:9">
      <c r="A17" s="165"/>
      <c r="B17" s="165"/>
      <c r="C17" s="165"/>
      <c r="D17" s="165"/>
      <c r="E17" s="165"/>
      <c r="F17" s="165"/>
      <c r="G17" s="165"/>
      <c r="H17" s="165"/>
      <c r="I17" s="165"/>
    </row>
    <row r="18" spans="1:9">
      <c r="A18" s="165"/>
      <c r="B18" s="165"/>
      <c r="C18" s="165"/>
      <c r="D18" s="165"/>
      <c r="E18" s="165"/>
      <c r="F18" s="165"/>
      <c r="G18" s="165"/>
      <c r="H18" s="165"/>
      <c r="I18" s="165"/>
    </row>
    <row r="19" spans="1:9">
      <c r="A19" s="165"/>
      <c r="B19" s="165"/>
      <c r="C19" s="165"/>
      <c r="D19" s="165"/>
      <c r="E19" s="165"/>
      <c r="F19" s="165"/>
      <c r="G19" s="165"/>
      <c r="H19" s="165"/>
      <c r="I19" s="165"/>
    </row>
    <row r="20" spans="1:9">
      <c r="A20" s="165"/>
      <c r="B20" s="165"/>
      <c r="C20" s="165"/>
      <c r="D20" s="165"/>
      <c r="E20" s="165"/>
      <c r="F20" s="165"/>
      <c r="G20" s="67"/>
      <c r="H20" s="165"/>
      <c r="I20" s="165"/>
    </row>
    <row r="21" spans="1:9">
      <c r="A21" s="165"/>
      <c r="B21" s="165"/>
      <c r="C21" s="165"/>
      <c r="D21" s="165"/>
      <c r="E21" s="165"/>
      <c r="F21" s="165"/>
      <c r="G21" s="67"/>
      <c r="H21" s="165"/>
      <c r="I21" s="165"/>
    </row>
    <row r="22" spans="1:9">
      <c r="A22" s="165"/>
      <c r="B22" s="165"/>
      <c r="C22" s="165"/>
      <c r="D22" s="165"/>
      <c r="E22" s="165"/>
      <c r="F22" s="165"/>
      <c r="G22" s="67"/>
      <c r="H22" s="165"/>
      <c r="I22" s="165"/>
    </row>
    <row r="23" spans="1:9">
      <c r="A23" s="165"/>
      <c r="B23" s="165"/>
      <c r="C23" s="165"/>
      <c r="D23" s="165"/>
      <c r="E23" s="165"/>
      <c r="F23" s="165"/>
      <c r="G23" s="67"/>
      <c r="H23" s="165"/>
      <c r="I23" s="165"/>
    </row>
    <row r="24" spans="1:9">
      <c r="A24" s="165"/>
      <c r="B24" s="165"/>
      <c r="C24" s="165"/>
      <c r="D24" s="165"/>
      <c r="E24" s="165"/>
      <c r="F24" s="165"/>
      <c r="G24" s="67"/>
      <c r="H24" s="165"/>
      <c r="I24" s="165"/>
    </row>
    <row r="25" spans="1:9">
      <c r="A25" s="165"/>
      <c r="B25" s="165"/>
      <c r="C25" s="165"/>
      <c r="D25" s="165"/>
      <c r="E25" s="165"/>
      <c r="F25" s="165"/>
      <c r="G25" s="67"/>
      <c r="H25" s="165"/>
      <c r="I25" s="165"/>
    </row>
    <row r="26" spans="1:9">
      <c r="A26" s="165"/>
      <c r="B26" s="165"/>
      <c r="C26" s="165"/>
      <c r="D26" s="165"/>
      <c r="E26" s="165"/>
      <c r="F26" s="165"/>
      <c r="G26" s="67"/>
      <c r="H26" s="165"/>
      <c r="I26" s="165"/>
    </row>
    <row r="27" spans="1:9">
      <c r="A27" s="165"/>
      <c r="B27" s="165"/>
      <c r="C27" s="165"/>
      <c r="D27" s="165"/>
      <c r="E27" s="165"/>
      <c r="F27" s="165"/>
      <c r="G27" s="67"/>
      <c r="H27" s="165"/>
      <c r="I27" s="165"/>
    </row>
    <row r="28" spans="1:9">
      <c r="A28" s="165"/>
      <c r="B28" s="165"/>
      <c r="C28" s="165"/>
      <c r="D28" s="165"/>
      <c r="E28" s="165"/>
      <c r="F28" s="165"/>
      <c r="G28" s="67"/>
      <c r="H28" s="165"/>
      <c r="I28" s="165"/>
    </row>
    <row r="29" spans="1:9">
      <c r="G29" s="5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6600"/>
  </sheetPr>
  <dimension ref="A1:C19"/>
  <sheetViews>
    <sheetView workbookViewId="0">
      <selection activeCell="C3" sqref="C3"/>
    </sheetView>
  </sheetViews>
  <sheetFormatPr defaultRowHeight="14.4"/>
  <cols>
    <col min="1" max="1" width="38" bestFit="1" customWidth="1"/>
    <col min="2" max="2" width="16.6640625" style="53" customWidth="1"/>
    <col min="3" max="3" width="17.6640625" style="53" customWidth="1"/>
  </cols>
  <sheetData>
    <row r="1" spans="1:3">
      <c r="A1" t="s">
        <v>390</v>
      </c>
      <c r="B1" s="53">
        <v>1</v>
      </c>
      <c r="C1" s="53">
        <v>2</v>
      </c>
    </row>
    <row r="2" spans="1:3">
      <c r="B2" s="53" t="s">
        <v>301</v>
      </c>
      <c r="C2" s="53" t="s">
        <v>302</v>
      </c>
    </row>
    <row r="3" spans="1:3">
      <c r="A3" t="s">
        <v>391</v>
      </c>
      <c r="B3" s="53">
        <v>0</v>
      </c>
      <c r="C3" s="53">
        <v>0</v>
      </c>
    </row>
    <row r="5" spans="1:3">
      <c r="A5" t="s">
        <v>388</v>
      </c>
    </row>
    <row r="6" spans="1:3">
      <c r="B6" s="53" t="s">
        <v>376</v>
      </c>
      <c r="C6" s="53" t="s">
        <v>377</v>
      </c>
    </row>
    <row r="7" spans="1:3">
      <c r="A7" t="s">
        <v>380</v>
      </c>
      <c r="B7" s="173">
        <v>1.3</v>
      </c>
      <c r="C7" s="174">
        <v>0.7</v>
      </c>
    </row>
    <row r="8" spans="1:3">
      <c r="B8" s="141"/>
      <c r="C8" s="142"/>
    </row>
    <row r="9" spans="1:3">
      <c r="B9" s="141" t="s">
        <v>378</v>
      </c>
      <c r="C9" s="142" t="s">
        <v>379</v>
      </c>
    </row>
    <row r="10" spans="1:3">
      <c r="A10" t="s">
        <v>389</v>
      </c>
      <c r="B10" s="150">
        <v>6000</v>
      </c>
      <c r="C10" s="150">
        <v>2</v>
      </c>
    </row>
    <row r="12" spans="1:3">
      <c r="B12" s="53" t="s">
        <v>378</v>
      </c>
    </row>
    <row r="13" spans="1:3">
      <c r="A13" t="s">
        <v>381</v>
      </c>
      <c r="B13" s="150">
        <f>B10*24</f>
        <v>144000</v>
      </c>
    </row>
    <row r="15" spans="1:3">
      <c r="B15" s="53" t="s">
        <v>383</v>
      </c>
      <c r="C15" s="53" t="s">
        <v>384</v>
      </c>
    </row>
    <row r="16" spans="1:3">
      <c r="A16" t="s">
        <v>382</v>
      </c>
      <c r="B16" s="150">
        <v>1000</v>
      </c>
      <c r="C16" s="150">
        <v>-1000</v>
      </c>
    </row>
    <row r="18" spans="1:3">
      <c r="B18" s="53" t="s">
        <v>386</v>
      </c>
      <c r="C18" s="53" t="s">
        <v>387</v>
      </c>
    </row>
    <row r="19" spans="1:3">
      <c r="A19" t="s">
        <v>385</v>
      </c>
      <c r="B19" s="152">
        <v>1</v>
      </c>
      <c r="C19" s="15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6600"/>
  </sheetPr>
  <dimension ref="A1:E110"/>
  <sheetViews>
    <sheetView tabSelected="1" zoomScale="70" zoomScaleNormal="70" workbookViewId="0">
      <selection activeCell="F2" sqref="F2:F40"/>
    </sheetView>
  </sheetViews>
  <sheetFormatPr defaultRowHeight="14.4"/>
  <cols>
    <col min="1" max="1" width="19.109375" bestFit="1" customWidth="1"/>
    <col min="2" max="2" width="18.5546875" customWidth="1"/>
    <col min="3" max="3" width="22.33203125" bestFit="1" customWidth="1"/>
    <col min="4" max="4" width="22.44140625" customWidth="1"/>
    <col min="5" max="5" width="19.5546875" style="208" customWidth="1"/>
  </cols>
  <sheetData>
    <row r="1" spans="1:5">
      <c r="A1" s="197" t="s">
        <v>396</v>
      </c>
      <c r="B1" s="197" t="s">
        <v>256</v>
      </c>
      <c r="C1" s="197" t="s">
        <v>261</v>
      </c>
      <c r="D1" s="197" t="s">
        <v>375</v>
      </c>
      <c r="E1" s="214" t="s">
        <v>255</v>
      </c>
    </row>
    <row r="2" spans="1:5">
      <c r="A2" s="188" t="s">
        <v>526</v>
      </c>
      <c r="B2" s="217">
        <v>1</v>
      </c>
      <c r="C2" s="218" t="s">
        <v>419</v>
      </c>
      <c r="D2" s="219">
        <v>1.8148236197721414E-2</v>
      </c>
      <c r="E2" s="220" t="s">
        <v>756</v>
      </c>
    </row>
    <row r="3" spans="1:5">
      <c r="A3" s="188" t="s">
        <v>527</v>
      </c>
      <c r="B3" s="217">
        <v>0.5</v>
      </c>
      <c r="C3" s="218" t="s">
        <v>428</v>
      </c>
      <c r="D3" s="219">
        <v>6.5015366642606426E-3</v>
      </c>
      <c r="E3" s="220" t="s">
        <v>757</v>
      </c>
    </row>
    <row r="4" spans="1:5">
      <c r="A4" s="188" t="s">
        <v>528</v>
      </c>
      <c r="B4" s="217">
        <v>0.33</v>
      </c>
      <c r="C4" s="218" t="s">
        <v>429</v>
      </c>
      <c r="D4" s="219">
        <v>0.17489729144771307</v>
      </c>
      <c r="E4" s="220" t="s">
        <v>758</v>
      </c>
    </row>
    <row r="5" spans="1:5">
      <c r="A5" s="188" t="s">
        <v>529</v>
      </c>
      <c r="B5" s="217">
        <v>0.5</v>
      </c>
      <c r="C5" s="218" t="s">
        <v>431</v>
      </c>
      <c r="D5" s="219">
        <v>3.2239291488590388E-3</v>
      </c>
      <c r="E5" s="220" t="s">
        <v>759</v>
      </c>
    </row>
    <row r="6" spans="1:5">
      <c r="A6" s="188" t="s">
        <v>530</v>
      </c>
      <c r="B6" s="217">
        <v>1</v>
      </c>
      <c r="C6" s="218" t="s">
        <v>433</v>
      </c>
      <c r="D6" s="219">
        <v>8.2477509409849922E-2</v>
      </c>
      <c r="E6" s="220" t="s">
        <v>760</v>
      </c>
    </row>
    <row r="7" spans="1:5">
      <c r="A7" s="188" t="s">
        <v>531</v>
      </c>
      <c r="B7" s="217">
        <v>1</v>
      </c>
      <c r="C7" s="218" t="s">
        <v>433</v>
      </c>
      <c r="D7" s="219">
        <v>1.801592278920968E-2</v>
      </c>
      <c r="E7" s="220" t="s">
        <v>761</v>
      </c>
    </row>
    <row r="8" spans="1:5">
      <c r="A8" s="188" t="s">
        <v>532</v>
      </c>
      <c r="B8" s="217">
        <v>1</v>
      </c>
      <c r="C8" s="218" t="s">
        <v>433</v>
      </c>
      <c r="D8" s="219">
        <v>3.3497452160097071E-2</v>
      </c>
      <c r="E8" s="220" t="s">
        <v>762</v>
      </c>
    </row>
    <row r="9" spans="1:5">
      <c r="A9" s="188" t="s">
        <v>533</v>
      </c>
      <c r="B9" s="217">
        <v>1</v>
      </c>
      <c r="C9" s="218" t="s">
        <v>433</v>
      </c>
      <c r="D9" s="219">
        <v>6.6653686326861453E-3</v>
      </c>
      <c r="E9" s="220" t="s">
        <v>763</v>
      </c>
    </row>
    <row r="10" spans="1:5">
      <c r="A10" s="188" t="s">
        <v>534</v>
      </c>
      <c r="B10" s="217">
        <v>1</v>
      </c>
      <c r="C10" s="218" t="s">
        <v>433</v>
      </c>
      <c r="D10" s="219">
        <v>9.6106866205326741E-3</v>
      </c>
      <c r="E10" s="220" t="s">
        <v>764</v>
      </c>
    </row>
    <row r="11" spans="1:5">
      <c r="A11" s="188" t="s">
        <v>535</v>
      </c>
      <c r="B11" s="217">
        <v>1</v>
      </c>
      <c r="C11" s="218" t="s">
        <v>433</v>
      </c>
      <c r="D11" s="219">
        <v>1.4312868500910595E-2</v>
      </c>
      <c r="E11" s="220" t="s">
        <v>765</v>
      </c>
    </row>
    <row r="12" spans="1:5">
      <c r="A12" s="188" t="s">
        <v>536</v>
      </c>
      <c r="B12" s="217">
        <v>1</v>
      </c>
      <c r="C12" s="218" t="s">
        <v>433</v>
      </c>
      <c r="D12" s="219">
        <v>2.3741113218324656E-3</v>
      </c>
      <c r="E12" s="220" t="s">
        <v>766</v>
      </c>
    </row>
    <row r="13" spans="1:5">
      <c r="A13" s="188" t="s">
        <v>537</v>
      </c>
      <c r="B13" s="217">
        <v>0.5</v>
      </c>
      <c r="C13" s="218" t="s">
        <v>434</v>
      </c>
      <c r="D13" s="219">
        <v>4.0765438446834215E-3</v>
      </c>
      <c r="E13" s="220" t="s">
        <v>767</v>
      </c>
    </row>
    <row r="14" spans="1:5">
      <c r="A14" s="188" t="s">
        <v>538</v>
      </c>
      <c r="B14" s="217">
        <v>0.33</v>
      </c>
      <c r="C14" s="218" t="s">
        <v>436</v>
      </c>
      <c r="D14" s="219">
        <v>4.4687207875121968E-3</v>
      </c>
      <c r="E14" s="220" t="s">
        <v>768</v>
      </c>
    </row>
    <row r="15" spans="1:5">
      <c r="A15" s="188" t="s">
        <v>539</v>
      </c>
      <c r="B15" s="217">
        <v>1</v>
      </c>
      <c r="C15" s="218" t="s">
        <v>436</v>
      </c>
      <c r="D15" s="219">
        <v>1.1602702635833699E-3</v>
      </c>
      <c r="E15" s="220" t="s">
        <v>769</v>
      </c>
    </row>
    <row r="16" spans="1:5">
      <c r="A16" s="188" t="s">
        <v>540</v>
      </c>
      <c r="B16" s="217">
        <v>0.33</v>
      </c>
      <c r="C16" s="218" t="s">
        <v>430</v>
      </c>
      <c r="D16" s="219">
        <v>0.17489729144771307</v>
      </c>
      <c r="E16" s="220" t="s">
        <v>758</v>
      </c>
    </row>
    <row r="17" spans="1:5">
      <c r="A17" s="188" t="s">
        <v>541</v>
      </c>
      <c r="B17" s="217">
        <v>0.5</v>
      </c>
      <c r="C17" s="218" t="s">
        <v>438</v>
      </c>
      <c r="D17" s="219">
        <v>1.0166187792528272E-2</v>
      </c>
      <c r="E17" s="220" t="s">
        <v>770</v>
      </c>
    </row>
    <row r="18" spans="1:5">
      <c r="A18" s="188" t="s">
        <v>542</v>
      </c>
      <c r="B18" s="217">
        <v>0.33</v>
      </c>
      <c r="C18" s="218" t="s">
        <v>438</v>
      </c>
      <c r="D18" s="219">
        <v>4.4687207875121968E-3</v>
      </c>
      <c r="E18" s="220" t="s">
        <v>768</v>
      </c>
    </row>
    <row r="19" spans="1:5">
      <c r="A19" s="188" t="s">
        <v>543</v>
      </c>
      <c r="B19" s="217">
        <v>0.5</v>
      </c>
      <c r="C19" s="218" t="s">
        <v>424</v>
      </c>
      <c r="D19" s="219">
        <v>6.6681655014839544E-3</v>
      </c>
      <c r="E19" s="220" t="s">
        <v>771</v>
      </c>
    </row>
    <row r="20" spans="1:5">
      <c r="A20" s="188" t="s">
        <v>544</v>
      </c>
      <c r="B20" s="217">
        <v>0.5</v>
      </c>
      <c r="C20" s="218" t="s">
        <v>439</v>
      </c>
      <c r="D20" s="219">
        <v>5.5255370257021484E-3</v>
      </c>
      <c r="E20" s="220" t="s">
        <v>772</v>
      </c>
    </row>
    <row r="21" spans="1:5">
      <c r="A21" s="188" t="s">
        <v>545</v>
      </c>
      <c r="B21" s="217">
        <v>0.33</v>
      </c>
      <c r="C21" s="218" t="s">
        <v>427</v>
      </c>
      <c r="D21" s="219">
        <v>0.17489729144771307</v>
      </c>
      <c r="E21" s="220" t="s">
        <v>758</v>
      </c>
    </row>
    <row r="22" spans="1:5">
      <c r="A22" s="188" t="s">
        <v>546</v>
      </c>
      <c r="B22" s="217">
        <v>0.5</v>
      </c>
      <c r="C22" s="218" t="s">
        <v>432</v>
      </c>
      <c r="D22" s="219">
        <v>3.2239291488590388E-3</v>
      </c>
      <c r="E22" s="220" t="s">
        <v>759</v>
      </c>
    </row>
    <row r="23" spans="1:5">
      <c r="A23" s="188" t="s">
        <v>547</v>
      </c>
      <c r="B23" s="217">
        <v>1</v>
      </c>
      <c r="C23" s="218" t="s">
        <v>420</v>
      </c>
      <c r="D23" s="219">
        <v>2.8541615794133245E-2</v>
      </c>
      <c r="E23" s="220" t="s">
        <v>773</v>
      </c>
    </row>
    <row r="24" spans="1:5">
      <c r="A24" s="188" t="s">
        <v>548</v>
      </c>
      <c r="B24" s="217">
        <v>0.33</v>
      </c>
      <c r="C24" s="218" t="s">
        <v>437</v>
      </c>
      <c r="D24" s="219">
        <v>4.4687207875121968E-3</v>
      </c>
      <c r="E24" s="220" t="s">
        <v>768</v>
      </c>
    </row>
    <row r="25" spans="1:5">
      <c r="A25" s="188" t="s">
        <v>549</v>
      </c>
      <c r="B25" s="217">
        <v>0.5</v>
      </c>
      <c r="C25" s="218" t="s">
        <v>442</v>
      </c>
      <c r="D25" s="219">
        <v>6.5015366642606426E-3</v>
      </c>
      <c r="E25" s="220" t="s">
        <v>757</v>
      </c>
    </row>
    <row r="26" spans="1:5">
      <c r="A26" s="188" t="s">
        <v>550</v>
      </c>
      <c r="B26" s="217">
        <v>1</v>
      </c>
      <c r="C26" s="218" t="s">
        <v>442</v>
      </c>
      <c r="D26" s="219">
        <v>1.2804710787630525E-2</v>
      </c>
      <c r="E26" s="220" t="s">
        <v>774</v>
      </c>
    </row>
    <row r="27" spans="1:5">
      <c r="A27" s="188" t="s">
        <v>551</v>
      </c>
      <c r="B27" s="217">
        <v>0.5</v>
      </c>
      <c r="C27" s="218" t="s">
        <v>442</v>
      </c>
      <c r="D27" s="219">
        <v>5.5255370257021484E-3</v>
      </c>
      <c r="E27" s="220" t="s">
        <v>772</v>
      </c>
    </row>
    <row r="28" spans="1:5">
      <c r="A28" s="188" t="s">
        <v>552</v>
      </c>
      <c r="B28" s="217">
        <v>1</v>
      </c>
      <c r="C28" s="218" t="s">
        <v>426</v>
      </c>
      <c r="D28" s="219">
        <v>6.7656256218999126E-3</v>
      </c>
      <c r="E28" s="220" t="s">
        <v>775</v>
      </c>
    </row>
    <row r="29" spans="1:5">
      <c r="A29" s="188" t="s">
        <v>553</v>
      </c>
      <c r="B29" s="217">
        <v>1</v>
      </c>
      <c r="C29" s="218" t="s">
        <v>440</v>
      </c>
      <c r="D29" s="219">
        <v>7.1406211845599936E-4</v>
      </c>
      <c r="E29" s="220" t="s">
        <v>776</v>
      </c>
    </row>
    <row r="30" spans="1:5">
      <c r="A30" s="188" t="s">
        <v>554</v>
      </c>
      <c r="B30" s="217">
        <v>1</v>
      </c>
      <c r="C30" s="218" t="s">
        <v>440</v>
      </c>
      <c r="D30" s="219">
        <v>3.9012016854361661E-3</v>
      </c>
      <c r="E30" s="220" t="s">
        <v>777</v>
      </c>
    </row>
    <row r="31" spans="1:5">
      <c r="A31" s="188" t="s">
        <v>555</v>
      </c>
      <c r="B31" s="217">
        <v>1</v>
      </c>
      <c r="C31" s="218" t="s">
        <v>440</v>
      </c>
      <c r="D31" s="219">
        <v>8.039276643671385E-3</v>
      </c>
      <c r="E31" s="220" t="s">
        <v>778</v>
      </c>
    </row>
    <row r="32" spans="1:5">
      <c r="A32" s="188" t="s">
        <v>556</v>
      </c>
      <c r="B32" s="217">
        <v>1</v>
      </c>
      <c r="C32" s="218" t="s">
        <v>440</v>
      </c>
      <c r="D32" s="219">
        <v>1.5920637772143403E-4</v>
      </c>
      <c r="E32" s="220" t="s">
        <v>779</v>
      </c>
    </row>
    <row r="33" spans="1:5">
      <c r="A33" s="188" t="s">
        <v>557</v>
      </c>
      <c r="B33" s="217">
        <v>0.5</v>
      </c>
      <c r="C33" s="218" t="s">
        <v>435</v>
      </c>
      <c r="D33" s="219">
        <v>4.0765438446834215E-3</v>
      </c>
      <c r="E33" s="220" t="s">
        <v>767</v>
      </c>
    </row>
    <row r="34" spans="1:5">
      <c r="A34" s="188" t="s">
        <v>558</v>
      </c>
      <c r="B34" s="217">
        <v>1</v>
      </c>
      <c r="C34" s="218" t="s">
        <v>441</v>
      </c>
      <c r="D34" s="219">
        <v>1.7861664717822832E-2</v>
      </c>
      <c r="E34" s="220" t="s">
        <v>780</v>
      </c>
    </row>
    <row r="35" spans="1:5">
      <c r="A35" s="188" t="s">
        <v>559</v>
      </c>
      <c r="B35" s="217">
        <v>0.5</v>
      </c>
      <c r="C35" s="218" t="s">
        <v>422</v>
      </c>
      <c r="D35" s="219">
        <v>6.6681655014839544E-3</v>
      </c>
      <c r="E35" s="220" t="s">
        <v>771</v>
      </c>
    </row>
    <row r="36" spans="1:5">
      <c r="A36" s="188" t="s">
        <v>560</v>
      </c>
      <c r="B36" s="217">
        <v>0.5</v>
      </c>
      <c r="C36" s="218" t="s">
        <v>422</v>
      </c>
      <c r="D36" s="219">
        <v>1.0166187792528272E-2</v>
      </c>
      <c r="E36" s="220" t="s">
        <v>770</v>
      </c>
    </row>
    <row r="37" spans="1:5">
      <c r="A37" s="188" t="s">
        <v>752</v>
      </c>
      <c r="B37" s="198">
        <v>1</v>
      </c>
      <c r="C37" s="200" t="s">
        <v>422</v>
      </c>
      <c r="D37" s="199">
        <v>6.3668351600830883E-2</v>
      </c>
      <c r="E37" s="189" t="s">
        <v>781</v>
      </c>
    </row>
    <row r="38" spans="1:5">
      <c r="A38" s="188" t="s">
        <v>753</v>
      </c>
      <c r="B38" s="198">
        <v>1</v>
      </c>
      <c r="C38" s="200" t="s">
        <v>422</v>
      </c>
      <c r="D38" s="199">
        <v>9.1791082506553819E-3</v>
      </c>
      <c r="E38" s="189" t="s">
        <v>782</v>
      </c>
    </row>
    <row r="39" spans="1:5">
      <c r="A39" s="188" t="s">
        <v>754</v>
      </c>
      <c r="B39" s="198">
        <v>1</v>
      </c>
      <c r="C39" s="200" t="s">
        <v>422</v>
      </c>
      <c r="D39" s="199">
        <v>4.3179351363097042E-3</v>
      </c>
      <c r="E39" s="189" t="s">
        <v>783</v>
      </c>
    </row>
    <row r="40" spans="1:5">
      <c r="A40" s="188" t="s">
        <v>755</v>
      </c>
      <c r="B40" s="198">
        <v>1</v>
      </c>
      <c r="C40" s="200" t="s">
        <v>422</v>
      </c>
      <c r="D40" s="199">
        <v>4.1927645004200681E-2</v>
      </c>
      <c r="E40" s="189" t="s">
        <v>784</v>
      </c>
    </row>
    <row r="41" spans="1:5">
      <c r="A41" s="188"/>
      <c r="B41" s="198"/>
      <c r="C41" s="200"/>
      <c r="D41" s="199"/>
      <c r="E41" s="189"/>
    </row>
    <row r="42" spans="1:5">
      <c r="B42" s="143"/>
      <c r="D42" s="156"/>
    </row>
    <row r="43" spans="1:5">
      <c r="B43" s="143"/>
      <c r="D43" s="156"/>
    </row>
    <row r="44" spans="1:5">
      <c r="B44" s="143"/>
      <c r="D44" s="156"/>
    </row>
    <row r="45" spans="1:5">
      <c r="B45" s="143"/>
      <c r="D45" s="156"/>
    </row>
    <row r="46" spans="1:5">
      <c r="B46" s="143"/>
      <c r="D46" s="156"/>
    </row>
    <row r="47" spans="1:5">
      <c r="B47" s="143"/>
      <c r="D47" s="156"/>
    </row>
    <row r="48" spans="1:5">
      <c r="B48" s="143"/>
      <c r="D48" s="156"/>
    </row>
    <row r="49" spans="1:5">
      <c r="B49" s="143"/>
      <c r="D49" s="156"/>
    </row>
    <row r="50" spans="1:5">
      <c r="A50" s="148"/>
      <c r="B50" s="147"/>
      <c r="D50" s="156"/>
    </row>
    <row r="51" spans="1:5">
      <c r="A51" s="148"/>
      <c r="B51" s="147"/>
      <c r="D51" s="156"/>
    </row>
    <row r="52" spans="1:5">
      <c r="A52" s="148"/>
      <c r="B52" s="147"/>
      <c r="D52" s="157"/>
    </row>
    <row r="53" spans="1:5">
      <c r="A53" s="148"/>
      <c r="B53" s="147"/>
      <c r="D53" s="144"/>
    </row>
    <row r="54" spans="1:5">
      <c r="A54" s="148"/>
      <c r="B54" s="148"/>
      <c r="C54" s="148"/>
      <c r="D54" s="148"/>
      <c r="E54" s="209"/>
    </row>
    <row r="55" spans="1:5">
      <c r="A55" s="148"/>
      <c r="B55" s="148"/>
      <c r="C55" s="148"/>
      <c r="D55" s="148"/>
      <c r="E55" s="209"/>
    </row>
    <row r="56" spans="1:5">
      <c r="A56" s="148"/>
      <c r="B56" s="148"/>
      <c r="C56" s="148"/>
      <c r="D56" s="148"/>
      <c r="E56" s="209"/>
    </row>
    <row r="57" spans="1:5">
      <c r="A57" s="148"/>
      <c r="B57" s="148"/>
      <c r="C57" s="148"/>
      <c r="D57" s="148"/>
      <c r="E57" s="209"/>
    </row>
    <row r="58" spans="1:5">
      <c r="A58" s="148"/>
      <c r="B58" s="148"/>
      <c r="C58" s="148"/>
      <c r="D58" s="148"/>
      <c r="E58" s="209"/>
    </row>
    <row r="59" spans="1:5">
      <c r="A59" s="148"/>
      <c r="B59" s="148"/>
      <c r="C59" s="148"/>
      <c r="D59" s="148"/>
      <c r="E59" s="209"/>
    </row>
    <row r="60" spans="1:5">
      <c r="A60" s="148"/>
      <c r="B60" s="148"/>
      <c r="C60" s="148"/>
      <c r="D60" s="148"/>
      <c r="E60" s="209"/>
    </row>
    <row r="61" spans="1:5">
      <c r="A61" s="148"/>
      <c r="B61" s="148"/>
      <c r="C61" s="148"/>
      <c r="D61" s="148"/>
      <c r="E61" s="209"/>
    </row>
    <row r="62" spans="1:5">
      <c r="A62" s="148"/>
      <c r="B62" s="148"/>
      <c r="C62" s="148"/>
      <c r="D62" s="148"/>
      <c r="E62" s="209"/>
    </row>
    <row r="63" spans="1:5">
      <c r="A63" s="148"/>
      <c r="B63" s="148"/>
      <c r="C63" s="148"/>
      <c r="D63" s="148"/>
      <c r="E63" s="209"/>
    </row>
    <row r="64" spans="1:5">
      <c r="A64" s="148"/>
      <c r="B64" s="148"/>
      <c r="C64" s="148"/>
      <c r="D64" s="148"/>
      <c r="E64" s="209"/>
    </row>
    <row r="65" spans="1:5">
      <c r="A65" s="148"/>
      <c r="B65" s="148"/>
      <c r="C65" s="148"/>
      <c r="D65" s="148"/>
      <c r="E65" s="209"/>
    </row>
    <row r="66" spans="1:5">
      <c r="A66" s="148"/>
      <c r="B66" s="148"/>
      <c r="C66" s="148"/>
      <c r="D66" s="148"/>
      <c r="E66" s="209"/>
    </row>
    <row r="67" spans="1:5">
      <c r="A67" s="148"/>
      <c r="B67" s="148"/>
      <c r="C67" s="148"/>
      <c r="D67" s="148"/>
      <c r="E67" s="209"/>
    </row>
    <row r="68" spans="1:5">
      <c r="A68" s="148"/>
      <c r="B68" s="148"/>
      <c r="C68" s="148"/>
      <c r="D68" s="148"/>
      <c r="E68" s="209"/>
    </row>
    <row r="69" spans="1:5">
      <c r="A69" s="148"/>
      <c r="B69" s="148"/>
      <c r="C69" s="148"/>
      <c r="D69" s="148"/>
      <c r="E69" s="209"/>
    </row>
    <row r="70" spans="1:5">
      <c r="A70" s="148"/>
      <c r="B70" s="148"/>
      <c r="C70" s="148"/>
      <c r="D70" s="148"/>
      <c r="E70" s="209"/>
    </row>
    <row r="71" spans="1:5">
      <c r="A71" s="148"/>
      <c r="B71" s="148"/>
      <c r="C71" s="148"/>
      <c r="D71" s="148"/>
      <c r="E71" s="209"/>
    </row>
    <row r="72" spans="1:5">
      <c r="A72" s="148"/>
      <c r="B72" s="148"/>
      <c r="C72" s="148"/>
      <c r="D72" s="148"/>
      <c r="E72" s="209"/>
    </row>
    <row r="73" spans="1:5">
      <c r="A73" s="148"/>
      <c r="B73" s="148"/>
      <c r="C73" s="148"/>
      <c r="D73" s="148"/>
      <c r="E73" s="209"/>
    </row>
    <row r="74" spans="1:5">
      <c r="A74" s="148"/>
      <c r="B74" s="148"/>
      <c r="C74" s="148"/>
      <c r="D74" s="148"/>
      <c r="E74" s="209"/>
    </row>
    <row r="75" spans="1:5">
      <c r="A75" s="148"/>
      <c r="B75" s="148"/>
      <c r="C75" s="148"/>
      <c r="D75" s="148"/>
      <c r="E75" s="209"/>
    </row>
    <row r="76" spans="1:5">
      <c r="A76" s="148"/>
      <c r="B76" s="148"/>
      <c r="C76" s="148"/>
      <c r="D76" s="148"/>
      <c r="E76" s="209"/>
    </row>
    <row r="77" spans="1:5">
      <c r="A77" s="148"/>
      <c r="B77" s="148"/>
      <c r="C77" s="148"/>
      <c r="D77" s="148"/>
      <c r="E77" s="209"/>
    </row>
    <row r="78" spans="1:5">
      <c r="A78" s="148"/>
      <c r="B78" s="148"/>
      <c r="C78" s="148"/>
      <c r="D78" s="148"/>
      <c r="E78" s="209"/>
    </row>
    <row r="79" spans="1:5">
      <c r="A79" s="148"/>
      <c r="B79" s="148"/>
      <c r="C79" s="148"/>
      <c r="D79" s="148"/>
      <c r="E79" s="209"/>
    </row>
    <row r="80" spans="1:5">
      <c r="A80" s="148"/>
      <c r="B80" s="148"/>
      <c r="C80" s="148"/>
      <c r="D80" s="148"/>
      <c r="E80" s="209"/>
    </row>
    <row r="81" spans="1:5">
      <c r="A81" s="148"/>
      <c r="B81" s="148"/>
      <c r="C81" s="148"/>
      <c r="D81" s="148"/>
      <c r="E81" s="209"/>
    </row>
    <row r="82" spans="1:5">
      <c r="A82" s="148"/>
      <c r="B82" s="148"/>
      <c r="C82" s="148"/>
      <c r="D82" s="148"/>
      <c r="E82" s="209"/>
    </row>
    <row r="83" spans="1:5">
      <c r="A83" s="148"/>
      <c r="B83" s="148"/>
      <c r="C83" s="148"/>
      <c r="D83" s="148"/>
      <c r="E83" s="209"/>
    </row>
    <row r="84" spans="1:5">
      <c r="A84" s="148"/>
      <c r="B84" s="148"/>
      <c r="C84" s="148"/>
      <c r="D84" s="148"/>
      <c r="E84" s="209"/>
    </row>
    <row r="85" spans="1:5">
      <c r="A85" s="148"/>
      <c r="B85" s="148"/>
      <c r="C85" s="148"/>
      <c r="D85" s="148"/>
      <c r="E85" s="209"/>
    </row>
    <row r="86" spans="1:5">
      <c r="A86" s="148"/>
      <c r="B86" s="148"/>
      <c r="C86" s="148"/>
      <c r="D86" s="148"/>
      <c r="E86" s="209"/>
    </row>
    <row r="87" spans="1:5">
      <c r="A87" s="148"/>
      <c r="B87" s="148"/>
      <c r="C87" s="148"/>
      <c r="D87" s="148"/>
      <c r="E87" s="209"/>
    </row>
    <row r="88" spans="1:5">
      <c r="A88" s="148"/>
      <c r="B88" s="148"/>
      <c r="C88" s="148"/>
      <c r="D88" s="148"/>
      <c r="E88" s="209"/>
    </row>
    <row r="89" spans="1:5">
      <c r="A89" s="148"/>
      <c r="B89" s="148"/>
      <c r="C89" s="148"/>
      <c r="D89" s="148"/>
      <c r="E89" s="209"/>
    </row>
    <row r="90" spans="1:5">
      <c r="A90" s="148"/>
      <c r="B90" s="148"/>
      <c r="C90" s="148"/>
      <c r="D90" s="148"/>
      <c r="E90" s="209"/>
    </row>
    <row r="91" spans="1:5">
      <c r="A91" s="148"/>
      <c r="B91" s="148"/>
      <c r="C91" s="148"/>
      <c r="D91" s="148"/>
      <c r="E91" s="209"/>
    </row>
    <row r="92" spans="1:5">
      <c r="A92" s="148"/>
      <c r="B92" s="148"/>
      <c r="C92" s="148"/>
      <c r="D92" s="148"/>
      <c r="E92" s="209"/>
    </row>
    <row r="93" spans="1:5">
      <c r="A93" s="148"/>
      <c r="B93" s="148"/>
      <c r="C93" s="148"/>
      <c r="D93" s="148"/>
      <c r="E93" s="209"/>
    </row>
    <row r="94" spans="1:5">
      <c r="A94" s="148"/>
      <c r="B94" s="148"/>
      <c r="C94" s="148"/>
      <c r="D94" s="148"/>
      <c r="E94" s="209"/>
    </row>
    <row r="95" spans="1:5">
      <c r="A95" s="148"/>
      <c r="B95" s="148"/>
      <c r="C95" s="148"/>
      <c r="D95" s="148"/>
      <c r="E95" s="209"/>
    </row>
    <row r="96" spans="1:5">
      <c r="A96" s="148"/>
      <c r="B96" s="148"/>
      <c r="C96" s="148"/>
      <c r="D96" s="148"/>
      <c r="E96" s="209"/>
    </row>
    <row r="97" spans="1:5">
      <c r="A97" s="148"/>
      <c r="B97" s="148"/>
      <c r="C97" s="148"/>
      <c r="D97" s="148"/>
      <c r="E97" s="209"/>
    </row>
    <row r="98" spans="1:5">
      <c r="A98" s="148"/>
      <c r="B98" s="148"/>
      <c r="C98" s="148"/>
      <c r="D98" s="148"/>
      <c r="E98" s="209"/>
    </row>
    <row r="99" spans="1:5">
      <c r="A99" s="148"/>
      <c r="B99" s="148"/>
      <c r="C99" s="148"/>
      <c r="D99" s="148"/>
      <c r="E99" s="209"/>
    </row>
    <row r="100" spans="1:5">
      <c r="A100" s="148"/>
      <c r="B100" s="148"/>
      <c r="C100" s="148"/>
      <c r="D100" s="148"/>
      <c r="E100" s="209"/>
    </row>
    <row r="101" spans="1:5">
      <c r="A101" s="148"/>
      <c r="B101" s="148"/>
      <c r="C101" s="148"/>
      <c r="D101" s="148"/>
      <c r="E101" s="209"/>
    </row>
    <row r="102" spans="1:5">
      <c r="A102" s="148"/>
      <c r="B102" s="148"/>
      <c r="C102" s="148"/>
      <c r="D102" s="148"/>
      <c r="E102" s="209"/>
    </row>
    <row r="103" spans="1:5">
      <c r="A103" s="148"/>
      <c r="B103" s="148"/>
      <c r="C103" s="148"/>
      <c r="D103" s="148"/>
      <c r="E103" s="209"/>
    </row>
    <row r="104" spans="1:5">
      <c r="A104" s="148"/>
      <c r="B104" s="148"/>
      <c r="C104" s="148"/>
      <c r="D104" s="148"/>
      <c r="E104" s="209"/>
    </row>
    <row r="105" spans="1:5">
      <c r="A105" s="148"/>
      <c r="B105" s="148"/>
      <c r="C105" s="148"/>
      <c r="D105" s="148"/>
      <c r="E105" s="209"/>
    </row>
    <row r="106" spans="1:5">
      <c r="A106" s="148"/>
      <c r="B106" s="148"/>
      <c r="C106" s="148"/>
      <c r="D106" s="148"/>
      <c r="E106" s="209"/>
    </row>
    <row r="107" spans="1:5">
      <c r="A107" s="148"/>
      <c r="B107" s="148"/>
      <c r="C107" s="148"/>
      <c r="D107" s="148"/>
      <c r="E107" s="209"/>
    </row>
    <row r="108" spans="1:5">
      <c r="A108" s="148"/>
      <c r="B108" s="148"/>
      <c r="C108" s="148"/>
      <c r="D108" s="148"/>
      <c r="E108" s="209"/>
    </row>
    <row r="109" spans="1:5">
      <c r="A109" s="148"/>
      <c r="B109" s="148"/>
      <c r="C109" s="148"/>
      <c r="D109" s="148"/>
      <c r="E109" s="209"/>
    </row>
    <row r="110" spans="1:5">
      <c r="A110" s="148"/>
      <c r="B110" s="148"/>
      <c r="C110" s="148"/>
      <c r="D110" s="148"/>
      <c r="E110" s="20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6600"/>
  </sheetPr>
  <dimension ref="A1:V37"/>
  <sheetViews>
    <sheetView topLeftCell="A23" zoomScaleNormal="100" workbookViewId="0">
      <selection activeCell="B43" sqref="B43"/>
    </sheetView>
  </sheetViews>
  <sheetFormatPr defaultColWidth="9.109375" defaultRowHeight="14.4"/>
  <cols>
    <col min="1" max="1" width="27.88671875" style="196" bestFit="1" customWidth="1"/>
    <col min="2" max="3" width="40.33203125" style="196" customWidth="1"/>
    <col min="4" max="4" width="11.88671875" style="196" customWidth="1"/>
    <col min="5" max="5" width="12.44140625" style="5" customWidth="1"/>
    <col min="6" max="6" width="15.88671875" style="196" customWidth="1"/>
    <col min="7" max="7" width="13" style="96" customWidth="1"/>
    <col min="8" max="10" width="11" style="5" customWidth="1"/>
    <col min="11" max="11" width="11" style="190" customWidth="1"/>
    <col min="12" max="12" width="33.44140625" style="165" customWidth="1"/>
    <col min="13" max="13" width="16.88671875" style="192" customWidth="1"/>
    <col min="14" max="20" width="11" style="5" customWidth="1"/>
    <col min="21" max="16384" width="9.109375" style="5"/>
  </cols>
  <sheetData>
    <row r="1" spans="1:22" s="190" customFormat="1">
      <c r="A1" s="196" t="s">
        <v>263</v>
      </c>
      <c r="B1" s="196" t="s">
        <v>265</v>
      </c>
      <c r="C1" s="196" t="s">
        <v>264</v>
      </c>
      <c r="D1" s="196" t="s">
        <v>257</v>
      </c>
      <c r="E1" s="190" t="s">
        <v>258</v>
      </c>
      <c r="F1" s="196" t="s">
        <v>222</v>
      </c>
      <c r="G1" s="193" t="s">
        <v>401</v>
      </c>
      <c r="H1" s="190" t="s">
        <v>709</v>
      </c>
      <c r="I1" s="190" t="s">
        <v>262</v>
      </c>
      <c r="J1" s="190" t="s">
        <v>395</v>
      </c>
      <c r="V1" s="213"/>
    </row>
    <row r="2" spans="1:22">
      <c r="A2" s="196" t="s">
        <v>445</v>
      </c>
      <c r="B2" s="196" t="s">
        <v>436</v>
      </c>
      <c r="C2" s="196" t="s">
        <v>422</v>
      </c>
      <c r="D2" s="196">
        <v>500</v>
      </c>
      <c r="F2" s="196">
        <v>277.7864884</v>
      </c>
      <c r="H2" s="191" cm="1">
        <f t="array" ref="H2">_xlfn.IFS($D2=138,$F2*0.5,$D2=230,$F2*0.4,$D2=345,$F2*0.3,$D2=350,$F2*0.3,$D2=360,$F2*0.3,$D2=400,$F2*0.3,$D2=500,$F2*0.3)</f>
        <v>83.335946519999993</v>
      </c>
      <c r="I2" s="191">
        <f t="shared" ref="I2:I37" si="0">H2/1000</f>
        <v>8.3335946519999995E-2</v>
      </c>
      <c r="J2" s="151"/>
      <c r="L2" s="196"/>
      <c r="O2" s="196"/>
      <c r="P2" s="196"/>
    </row>
    <row r="3" spans="1:22">
      <c r="A3" s="196" t="s">
        <v>446</v>
      </c>
      <c r="B3" s="196" t="s">
        <v>436</v>
      </c>
      <c r="C3" s="196" t="s">
        <v>422</v>
      </c>
      <c r="D3" s="196">
        <v>500</v>
      </c>
      <c r="F3" s="196">
        <v>277.64183020000002</v>
      </c>
      <c r="H3" s="191" cm="1">
        <f t="array" ref="H3">_xlfn.IFS($D3=138,$F3*0.5,$D3=230,$F3*0.4,$D3=345,$F3*0.3,$D3=350,$F3*0.3,$D3=360,$F3*0.3,$D3=400,$F3*0.3,$D3=500,$F3*0.3)</f>
        <v>83.292549059999999</v>
      </c>
      <c r="I3" s="191">
        <f t="shared" si="0"/>
        <v>8.3292549059999998E-2</v>
      </c>
      <c r="L3" s="196"/>
    </row>
    <row r="4" spans="1:22">
      <c r="A4" s="196" t="s">
        <v>447</v>
      </c>
      <c r="B4" s="196" t="s">
        <v>437</v>
      </c>
      <c r="C4" s="196" t="s">
        <v>438</v>
      </c>
      <c r="D4" s="196">
        <v>500</v>
      </c>
      <c r="F4" s="196">
        <v>138.4138265</v>
      </c>
      <c r="H4" s="191" cm="1">
        <f t="array" ref="H4">_xlfn.IFS($D4=138,$F4*0.5,$D4=230,$F4*0.4,$D4=345,$F4*0.3,$D4=350,$F4*0.3,$D4=360,$F4*0.3,$D4=400,$F4*0.3,$D4=500,$F4*0.3)</f>
        <v>41.52414795</v>
      </c>
      <c r="I4" s="191">
        <f t="shared" si="0"/>
        <v>4.152414795E-2</v>
      </c>
      <c r="L4" s="196"/>
    </row>
    <row r="5" spans="1:22">
      <c r="A5" s="196" t="s">
        <v>448</v>
      </c>
      <c r="B5" s="196" t="s">
        <v>436</v>
      </c>
      <c r="C5" s="196" t="s">
        <v>437</v>
      </c>
      <c r="D5" s="196">
        <v>500</v>
      </c>
      <c r="F5" s="196">
        <v>13.962699800000001</v>
      </c>
      <c r="H5" s="191" cm="1">
        <f t="array" ref="H5">_xlfn.IFS($D5=138,$F5*0.5,$D5=230,$F5*0.4,$D5=345,$F5*0.3,$D5=350,$F5*0.3,$D5=360,$F5*0.3,$D5=400,$F5*0.3,$D5=500,$F5*0.3)</f>
        <v>4.1888099400000005</v>
      </c>
      <c r="I5" s="191">
        <f t="shared" si="0"/>
        <v>4.1888099400000005E-3</v>
      </c>
      <c r="L5" s="196"/>
    </row>
    <row r="6" spans="1:22">
      <c r="A6" s="196" t="s">
        <v>449</v>
      </c>
      <c r="B6" s="196" t="s">
        <v>444</v>
      </c>
      <c r="C6" s="196" t="s">
        <v>437</v>
      </c>
      <c r="D6" s="196">
        <v>500</v>
      </c>
      <c r="F6" s="196">
        <v>74.920231100000009</v>
      </c>
      <c r="H6" s="191" cm="1">
        <f t="array" ref="H6">_xlfn.IFS($D6=138,$F6*0.5,$D6=230,$F6*0.4,$D6=345,$F6*0.3,$D6=350,$F6*0.3,$D6=360,$F6*0.3,$D6=400,$F6*0.3,$D6=500,$F6*0.3)</f>
        <v>22.476069330000001</v>
      </c>
      <c r="I6" s="191">
        <f t="shared" si="0"/>
        <v>2.2476069330000001E-2</v>
      </c>
      <c r="L6" s="196"/>
    </row>
    <row r="7" spans="1:22">
      <c r="A7" s="196" t="s">
        <v>450</v>
      </c>
      <c r="B7" s="196" t="s">
        <v>444</v>
      </c>
      <c r="C7" s="196" t="s">
        <v>437</v>
      </c>
      <c r="D7" s="196">
        <v>500</v>
      </c>
      <c r="F7" s="196">
        <v>74.801796600000003</v>
      </c>
      <c r="H7" s="191" cm="1">
        <f t="array" ref="H7">_xlfn.IFS($D7=138,$F7*0.5,$D7=230,$F7*0.4,$D7=345,$F7*0.3,$D7=350,$F7*0.3,$D7=360,$F7*0.3,$D7=400,$F7*0.3,$D7=500,$F7*0.3)</f>
        <v>22.440538979999999</v>
      </c>
      <c r="I7" s="191">
        <f t="shared" si="0"/>
        <v>2.2440538980000001E-2</v>
      </c>
      <c r="L7" s="196"/>
    </row>
    <row r="8" spans="1:22">
      <c r="A8" s="196" t="s">
        <v>451</v>
      </c>
      <c r="B8" s="196" t="s">
        <v>438</v>
      </c>
      <c r="C8" s="196" t="s">
        <v>422</v>
      </c>
      <c r="D8" s="196">
        <v>500</v>
      </c>
      <c r="F8" s="196">
        <v>138.7478481</v>
      </c>
      <c r="H8" s="191" cm="1">
        <f t="array" ref="H8">_xlfn.IFS($D8=138,$F8*0.5,$D8=230,$F8*0.4,$D8=345,$F8*0.3,$D8=350,$F8*0.3,$D8=360,$F8*0.3,$D8=400,$F8*0.3,$D8=500,$F8*0.3)</f>
        <v>41.624354429999997</v>
      </c>
      <c r="I8" s="191">
        <f t="shared" si="0"/>
        <v>4.1624354429999996E-2</v>
      </c>
      <c r="L8" s="196"/>
    </row>
    <row r="9" spans="1:22">
      <c r="A9" s="196" t="s">
        <v>452</v>
      </c>
      <c r="B9" s="196" t="s">
        <v>422</v>
      </c>
      <c r="C9" s="196" t="s">
        <v>424</v>
      </c>
      <c r="D9" s="196">
        <v>500</v>
      </c>
      <c r="F9" s="196">
        <v>330.0780623</v>
      </c>
      <c r="H9" s="191" cm="1">
        <f t="array" ref="H9">_xlfn.IFS($D9=138,$F9*0.5,$D9=230,$F9*0.4,$D9=345,$F9*0.3,$D9=350,$F9*0.3,$D9=360,$F9*0.3,$D9=400,$F9*0.3,$D9=500,$F9*0.3)</f>
        <v>99.02341869</v>
      </c>
      <c r="I9" s="191">
        <f t="shared" si="0"/>
        <v>9.9023418690000004E-2</v>
      </c>
      <c r="L9" s="196"/>
    </row>
    <row r="10" spans="1:22">
      <c r="A10" s="196" t="s">
        <v>453</v>
      </c>
      <c r="B10" s="196" t="s">
        <v>422</v>
      </c>
      <c r="C10" s="196" t="s">
        <v>424</v>
      </c>
      <c r="D10" s="196">
        <v>500</v>
      </c>
      <c r="F10" s="196">
        <v>330.07504729999999</v>
      </c>
      <c r="H10" s="191" cm="1">
        <f t="array" ref="H10">_xlfn.IFS($D10=138,$F10*0.5,$D10=230,$F10*0.4,$D10=345,$F10*0.3,$D10=350,$F10*0.3,$D10=360,$F10*0.3,$D10=400,$F10*0.3,$D10=500,$F10*0.3)</f>
        <v>99.022514189999995</v>
      </c>
      <c r="I10" s="191">
        <f t="shared" si="0"/>
        <v>9.9022514189999994E-2</v>
      </c>
      <c r="L10" s="196"/>
    </row>
    <row r="11" spans="1:22">
      <c r="A11" s="196" t="s">
        <v>454</v>
      </c>
      <c r="B11" s="196" t="s">
        <v>422</v>
      </c>
      <c r="C11" s="196" t="s">
        <v>424</v>
      </c>
      <c r="D11" s="196">
        <v>500</v>
      </c>
      <c r="F11" s="196">
        <v>330.13891820000003</v>
      </c>
      <c r="H11" s="191" cm="1">
        <f t="array" ref="H11">_xlfn.IFS($D11=138,$F11*0.5,$D11=230,$F11*0.4,$D11=345,$F11*0.3,$D11=350,$F11*0.3,$D11=360,$F11*0.3,$D11=400,$F11*0.3,$D11=500,$F11*0.3)</f>
        <v>99.041675460000008</v>
      </c>
      <c r="I11" s="191">
        <f t="shared" si="0"/>
        <v>9.9041675460000006E-2</v>
      </c>
      <c r="L11" s="196"/>
    </row>
    <row r="12" spans="1:22">
      <c r="A12" s="196" t="s">
        <v>455</v>
      </c>
      <c r="B12" s="196" t="s">
        <v>432</v>
      </c>
      <c r="C12" s="196" t="s">
        <v>433</v>
      </c>
      <c r="D12" s="196">
        <v>500</v>
      </c>
      <c r="F12" s="196">
        <v>68.728145699999999</v>
      </c>
      <c r="H12" s="191" cm="1">
        <f t="array" ref="H12">_xlfn.IFS($D12=138,$F12*0.5,$D12=230,$F12*0.4,$D12=345,$F12*0.3,$D12=350,$F12*0.3,$D12=360,$F12*0.3,$D12=400,$F12*0.3,$D12=500,$F12*0.3)</f>
        <v>20.618443709999998</v>
      </c>
      <c r="I12" s="191">
        <f t="shared" si="0"/>
        <v>2.0618443709999996E-2</v>
      </c>
      <c r="L12" s="196"/>
    </row>
    <row r="13" spans="1:22">
      <c r="A13" s="196" t="s">
        <v>456</v>
      </c>
      <c r="B13" s="196" t="s">
        <v>431</v>
      </c>
      <c r="C13" s="196" t="s">
        <v>432</v>
      </c>
      <c r="D13" s="196">
        <v>500</v>
      </c>
      <c r="F13" s="196">
        <v>80.143070999999992</v>
      </c>
      <c r="H13" s="191" cm="1">
        <f t="array" ref="H13">_xlfn.IFS($D13=138,$F13*0.5,$D13=230,$F13*0.4,$D13=345,$F13*0.3,$D13=350,$F13*0.3,$D13=360,$F13*0.3,$D13=400,$F13*0.3,$D13=500,$F13*0.3)</f>
        <v>24.042921299999996</v>
      </c>
      <c r="I13" s="191">
        <f t="shared" si="0"/>
        <v>2.4042921299999995E-2</v>
      </c>
      <c r="L13" s="196"/>
    </row>
    <row r="14" spans="1:22">
      <c r="A14" s="196" t="s">
        <v>457</v>
      </c>
      <c r="B14" s="196" t="s">
        <v>432</v>
      </c>
      <c r="C14" s="196" t="s">
        <v>433</v>
      </c>
      <c r="D14" s="196">
        <v>500</v>
      </c>
      <c r="F14" s="196">
        <v>68.571744699999996</v>
      </c>
      <c r="H14" s="191" cm="1">
        <f t="array" ref="H14">_xlfn.IFS($D14=138,$F14*0.5,$D14=230,$F14*0.4,$D14=345,$F14*0.3,$D14=350,$F14*0.3,$D14=360,$F14*0.3,$D14=400,$F14*0.3,$D14=500,$F14*0.3)</f>
        <v>20.571523409999998</v>
      </c>
      <c r="I14" s="191">
        <f t="shared" si="0"/>
        <v>2.0571523409999997E-2</v>
      </c>
      <c r="L14" s="196"/>
    </row>
    <row r="15" spans="1:22">
      <c r="A15" s="196" t="s">
        <v>458</v>
      </c>
      <c r="B15" s="196" t="s">
        <v>431</v>
      </c>
      <c r="C15" s="196" t="s">
        <v>432</v>
      </c>
      <c r="D15" s="196">
        <v>500</v>
      </c>
      <c r="F15" s="196">
        <v>80.363688500000009</v>
      </c>
      <c r="H15" s="191" cm="1">
        <f t="array" ref="H15">_xlfn.IFS($D15=138,$F15*0.5,$D15=230,$F15*0.4,$D15=345,$F15*0.3,$D15=350,$F15*0.3,$D15=360,$F15*0.3,$D15=400,$F15*0.3,$D15=500,$F15*0.3)</f>
        <v>24.109106550000003</v>
      </c>
      <c r="I15" s="191">
        <f t="shared" si="0"/>
        <v>2.4109106550000002E-2</v>
      </c>
      <c r="L15" s="196"/>
    </row>
    <row r="16" spans="1:22">
      <c r="A16" s="196" t="s">
        <v>459</v>
      </c>
      <c r="B16" s="196" t="s">
        <v>429</v>
      </c>
      <c r="C16" s="196" t="s">
        <v>430</v>
      </c>
      <c r="D16" s="196">
        <v>500</v>
      </c>
      <c r="F16" s="196">
        <v>49.717145100000003</v>
      </c>
      <c r="H16" s="191" cm="1">
        <f t="array" ref="H16">_xlfn.IFS($D16=138,$F16*0.5,$D16=230,$F16*0.4,$D16=345,$F16*0.3,$D16=350,$F16*0.3,$D16=360,$F16*0.3,$D16=400,$F16*0.3,$D16=500,$F16*0.3)</f>
        <v>14.91514353</v>
      </c>
      <c r="I16" s="191">
        <f t="shared" si="0"/>
        <v>1.4915143529999999E-2</v>
      </c>
      <c r="L16" s="196"/>
    </row>
    <row r="17" spans="1:12">
      <c r="A17" s="196" t="s">
        <v>460</v>
      </c>
      <c r="B17" s="196" t="s">
        <v>424</v>
      </c>
      <c r="C17" s="196" t="s">
        <v>429</v>
      </c>
      <c r="D17" s="196">
        <v>500</v>
      </c>
      <c r="F17" s="196">
        <v>271.63345630000003</v>
      </c>
      <c r="H17" s="191" cm="1">
        <f t="array" ref="H17">_xlfn.IFS($D17=138,$F17*0.5,$D17=230,$F17*0.4,$D17=345,$F17*0.3,$D17=350,$F17*0.3,$D17=360,$F17*0.3,$D17=400,$F17*0.3,$D17=500,$F17*0.3)</f>
        <v>81.490036890000013</v>
      </c>
      <c r="I17" s="191">
        <f t="shared" si="0"/>
        <v>8.149003689000002E-2</v>
      </c>
      <c r="L17" s="196"/>
    </row>
    <row r="18" spans="1:12">
      <c r="A18" s="196" t="s">
        <v>461</v>
      </c>
      <c r="B18" s="196" t="s">
        <v>424</v>
      </c>
      <c r="C18" s="196" t="s">
        <v>431</v>
      </c>
      <c r="D18" s="196">
        <v>500</v>
      </c>
      <c r="F18" s="196">
        <v>196.89305629999998</v>
      </c>
      <c r="H18" s="191" cm="1">
        <f t="array" ref="H18">_xlfn.IFS($D18=138,$F18*0.5,$D18=230,$F18*0.4,$D18=345,$F18*0.3,$D18=350,$F18*0.3,$D18=360,$F18*0.3,$D18=400,$F18*0.3,$D18=500,$F18*0.3)</f>
        <v>59.067916889999992</v>
      </c>
      <c r="I18" s="191">
        <f t="shared" si="0"/>
        <v>5.9067916889999995E-2</v>
      </c>
      <c r="L18" s="196"/>
    </row>
    <row r="19" spans="1:12">
      <c r="A19" s="196" t="s">
        <v>462</v>
      </c>
      <c r="B19" s="196" t="s">
        <v>427</v>
      </c>
      <c r="C19" s="196" t="s">
        <v>430</v>
      </c>
      <c r="D19" s="196">
        <v>500</v>
      </c>
      <c r="F19" s="196">
        <v>19.5228818</v>
      </c>
      <c r="H19" s="191" cm="1">
        <f t="array" ref="H19">_xlfn.IFS($D19=138,$F19*0.5,$D19=230,$F19*0.4,$D19=345,$F19*0.3,$D19=350,$F19*0.3,$D19=360,$F19*0.3,$D19=400,$F19*0.3,$D19=500,$F19*0.3)</f>
        <v>5.8568645400000001</v>
      </c>
      <c r="I19" s="191">
        <f t="shared" si="0"/>
        <v>5.8568645400000003E-3</v>
      </c>
      <c r="L19" s="196"/>
    </row>
    <row r="20" spans="1:12">
      <c r="A20" s="196" t="s">
        <v>463</v>
      </c>
      <c r="B20" s="196" t="s">
        <v>431</v>
      </c>
      <c r="C20" s="196" t="s">
        <v>427</v>
      </c>
      <c r="D20" s="196">
        <v>500</v>
      </c>
      <c r="F20" s="196">
        <v>66.723164699999998</v>
      </c>
      <c r="H20" s="191" cm="1">
        <f t="array" ref="H20">_xlfn.IFS($D20=138,$F20*0.5,$D20=230,$F20*0.4,$D20=345,$F20*0.3,$D20=350,$F20*0.3,$D20=360,$F20*0.3,$D20=400,$F20*0.3,$D20=500,$F20*0.3)</f>
        <v>20.016949409999999</v>
      </c>
      <c r="I20" s="191">
        <f t="shared" si="0"/>
        <v>2.0016949409999998E-2</v>
      </c>
    </row>
    <row r="21" spans="1:12">
      <c r="A21" s="196" t="s">
        <v>464</v>
      </c>
      <c r="B21" s="196" t="s">
        <v>422</v>
      </c>
      <c r="C21" s="196" t="s">
        <v>434</v>
      </c>
      <c r="D21" s="196">
        <v>500</v>
      </c>
      <c r="F21" s="196">
        <v>174.7219738</v>
      </c>
      <c r="H21" s="191" cm="1">
        <f t="array" ref="H21">_xlfn.IFS($D21=138,$F21*0.5,$D21=230,$F21*0.4,$D21=345,$F21*0.3,$D21=350,$F21*0.3,$D21=360,$F21*0.3,$D21=400,$F21*0.3,$D21=500,$F21*0.3)</f>
        <v>52.416592139999999</v>
      </c>
      <c r="I21" s="191">
        <f t="shared" si="0"/>
        <v>5.2416592139999996E-2</v>
      </c>
    </row>
    <row r="22" spans="1:12">
      <c r="A22" s="196" t="s">
        <v>465</v>
      </c>
      <c r="B22" s="196" t="s">
        <v>434</v>
      </c>
      <c r="C22" s="196" t="s">
        <v>435</v>
      </c>
      <c r="D22" s="196">
        <v>500</v>
      </c>
      <c r="F22" s="196">
        <v>130.72619209999999</v>
      </c>
      <c r="H22" s="191" cm="1">
        <f t="array" ref="H22">_xlfn.IFS($D22=138,$F22*0.5,$D22=230,$F22*0.4,$D22=345,$F22*0.3,$D22=350,$F22*0.3,$D22=360,$F22*0.3,$D22=400,$F22*0.3,$D22=500,$F22*0.3)</f>
        <v>39.217857629999997</v>
      </c>
      <c r="I22" s="191">
        <f t="shared" si="0"/>
        <v>3.9217857629999998E-2</v>
      </c>
    </row>
    <row r="23" spans="1:12">
      <c r="A23" s="196" t="s">
        <v>466</v>
      </c>
      <c r="B23" s="196" t="s">
        <v>435</v>
      </c>
      <c r="C23" s="196" t="s">
        <v>440</v>
      </c>
      <c r="D23" s="196">
        <v>500</v>
      </c>
      <c r="F23" s="196">
        <v>142.78940599999999</v>
      </c>
      <c r="H23" s="191" cm="1">
        <f t="array" ref="H23">_xlfn.IFS($D23=138,$F23*0.5,$D23=230,$F23*0.4,$D23=345,$F23*0.3,$D23=350,$F23*0.3,$D23=360,$F23*0.3,$D23=400,$F23*0.3,$D23=500,$F23*0.3)</f>
        <v>42.836821799999996</v>
      </c>
      <c r="I23" s="191">
        <f t="shared" si="0"/>
        <v>4.2836821799999994E-2</v>
      </c>
    </row>
    <row r="24" spans="1:12">
      <c r="A24" s="196" t="s">
        <v>467</v>
      </c>
      <c r="B24" s="196" t="s">
        <v>439</v>
      </c>
      <c r="C24" s="196" t="s">
        <v>420</v>
      </c>
      <c r="D24" s="196">
        <v>500</v>
      </c>
      <c r="F24" s="196">
        <v>285.30181920000001</v>
      </c>
      <c r="H24" s="191" cm="1">
        <f t="array" ref="H24">_xlfn.IFS($D24=138,$F24*0.5,$D24=230,$F24*0.4,$D24=345,$F24*0.3,$D24=350,$F24*0.3,$D24=360,$F24*0.3,$D24=400,$F24*0.3,$D24=500,$F24*0.3)</f>
        <v>85.590545759999998</v>
      </c>
      <c r="I24" s="191">
        <f t="shared" si="0"/>
        <v>8.5590545759999997E-2</v>
      </c>
    </row>
    <row r="25" spans="1:12">
      <c r="A25" s="196" t="s">
        <v>468</v>
      </c>
      <c r="B25" s="196" t="s">
        <v>439</v>
      </c>
      <c r="C25" s="196" t="s">
        <v>420</v>
      </c>
      <c r="D25" s="196">
        <v>500</v>
      </c>
      <c r="F25" s="196">
        <v>285.25542920000004</v>
      </c>
      <c r="H25" s="191" cm="1">
        <f t="array" ref="H25">_xlfn.IFS($D25=138,$F25*0.5,$D25=230,$F25*0.4,$D25=345,$F25*0.3,$D25=350,$F25*0.3,$D25=360,$F25*0.3,$D25=400,$F25*0.3,$D25=500,$F25*0.3)</f>
        <v>85.576628760000006</v>
      </c>
      <c r="I25" s="191">
        <f t="shared" si="0"/>
        <v>8.5576628760000009E-2</v>
      </c>
    </row>
    <row r="26" spans="1:12">
      <c r="A26" s="196" t="s">
        <v>469</v>
      </c>
      <c r="B26" s="196" t="s">
        <v>442</v>
      </c>
      <c r="C26" s="196" t="s">
        <v>419</v>
      </c>
      <c r="D26" s="196">
        <v>500</v>
      </c>
      <c r="F26" s="196">
        <v>83.696084400000004</v>
      </c>
      <c r="H26" s="191" cm="1">
        <f t="array" ref="H26">_xlfn.IFS($D26=138,$F26*0.5,$D26=230,$F26*0.4,$D26=345,$F26*0.3,$D26=350,$F26*0.3,$D26=360,$F26*0.3,$D26=400,$F26*0.3,$D26=500,$F26*0.3)</f>
        <v>25.108825320000001</v>
      </c>
      <c r="I26" s="191">
        <f t="shared" si="0"/>
        <v>2.510882532E-2</v>
      </c>
    </row>
    <row r="27" spans="1:12">
      <c r="A27" s="196" t="s">
        <v>470</v>
      </c>
      <c r="B27" s="196" t="s">
        <v>419</v>
      </c>
      <c r="C27" s="196" t="s">
        <v>420</v>
      </c>
      <c r="D27" s="196">
        <v>500</v>
      </c>
      <c r="F27" s="196">
        <v>117.77556269999999</v>
      </c>
      <c r="H27" s="191" cm="1">
        <f t="array" ref="H27">_xlfn.IFS($D27=138,$F27*0.5,$D27=230,$F27*0.4,$D27=345,$F27*0.3,$D27=350,$F27*0.3,$D27=360,$F27*0.3,$D27=400,$F27*0.3,$D27=500,$F27*0.3)</f>
        <v>35.332668809999994</v>
      </c>
      <c r="I27" s="191">
        <f t="shared" si="0"/>
        <v>3.5332668809999995E-2</v>
      </c>
    </row>
    <row r="28" spans="1:12">
      <c r="A28" s="196" t="s">
        <v>471</v>
      </c>
      <c r="B28" s="196" t="s">
        <v>442</v>
      </c>
      <c r="C28" s="196" t="s">
        <v>419</v>
      </c>
      <c r="D28" s="196">
        <v>500</v>
      </c>
      <c r="F28" s="196">
        <v>83.731546600000001</v>
      </c>
      <c r="H28" s="191" cm="1">
        <f t="array" ref="H28">_xlfn.IFS($D28=138,$F28*0.5,$D28=230,$F28*0.4,$D28=345,$F28*0.3,$D28=350,$F28*0.3,$D28=360,$F28*0.3,$D28=400,$F28*0.3,$D28=500,$F28*0.3)</f>
        <v>25.119463979999999</v>
      </c>
      <c r="I28" s="191">
        <f t="shared" si="0"/>
        <v>2.5119463979999999E-2</v>
      </c>
    </row>
    <row r="29" spans="1:12">
      <c r="A29" s="196" t="s">
        <v>472</v>
      </c>
      <c r="B29" s="196" t="s">
        <v>419</v>
      </c>
      <c r="C29" s="196" t="s">
        <v>420</v>
      </c>
      <c r="D29" s="196">
        <v>500</v>
      </c>
      <c r="F29" s="196">
        <v>117.73912829999999</v>
      </c>
      <c r="H29" s="191" cm="1">
        <f t="array" ref="H29">_xlfn.IFS($D29=138,$F29*0.5,$D29=230,$F29*0.4,$D29=345,$F29*0.3,$D29=350,$F29*0.3,$D29=360,$F29*0.3,$D29=400,$F29*0.3,$D29=500,$F29*0.3)</f>
        <v>35.321738489999994</v>
      </c>
      <c r="I29" s="191">
        <f t="shared" si="0"/>
        <v>3.5321738489999997E-2</v>
      </c>
    </row>
    <row r="30" spans="1:12">
      <c r="A30" s="196" t="s">
        <v>473</v>
      </c>
      <c r="B30" s="196" t="s">
        <v>420</v>
      </c>
      <c r="C30" s="196" t="s">
        <v>430</v>
      </c>
      <c r="D30" s="196">
        <v>500</v>
      </c>
      <c r="F30" s="196">
        <v>263.93434740000004</v>
      </c>
      <c r="H30" s="191" cm="1">
        <f t="array" ref="H30">_xlfn.IFS($D30=138,$F30*0.5,$D30=230,$F30*0.4,$D30=345,$F30*0.3,$D30=350,$F30*0.3,$D30=360,$F30*0.3,$D30=400,$F30*0.3,$D30=500,$F30*0.3)</f>
        <v>79.180304220000011</v>
      </c>
      <c r="I30" s="191">
        <f t="shared" si="0"/>
        <v>7.9180304220000011E-2</v>
      </c>
    </row>
    <row r="31" spans="1:12">
      <c r="A31" s="196" t="s">
        <v>474</v>
      </c>
      <c r="B31" s="196" t="s">
        <v>420</v>
      </c>
      <c r="C31" s="196" t="s">
        <v>427</v>
      </c>
      <c r="D31" s="196">
        <v>500</v>
      </c>
      <c r="F31" s="196">
        <v>248.18944490000001</v>
      </c>
      <c r="H31" s="191" cm="1">
        <f t="array" ref="H31">_xlfn.IFS($D31=138,$F31*0.5,$D31=230,$F31*0.4,$D31=345,$F31*0.3,$D31=350,$F31*0.3,$D31=360,$F31*0.3,$D31=400,$F31*0.3,$D31=500,$F31*0.3)</f>
        <v>74.456833470000007</v>
      </c>
      <c r="I31" s="191">
        <f t="shared" si="0"/>
        <v>7.4456833470000011E-2</v>
      </c>
    </row>
    <row r="32" spans="1:12">
      <c r="A32" s="196" t="s">
        <v>475</v>
      </c>
      <c r="B32" s="196" t="s">
        <v>420</v>
      </c>
      <c r="C32" s="196" t="s">
        <v>427</v>
      </c>
      <c r="D32" s="196">
        <v>500</v>
      </c>
      <c r="F32" s="196">
        <v>248.2205008</v>
      </c>
      <c r="H32" s="191" cm="1">
        <f t="array" ref="H32">_xlfn.IFS($D32=138,$F32*0.5,$D32=230,$F32*0.4,$D32=345,$F32*0.3,$D32=350,$F32*0.3,$D32=360,$F32*0.3,$D32=400,$F32*0.3,$D32=500,$F32*0.3)</f>
        <v>74.46615023999999</v>
      </c>
      <c r="I32" s="191">
        <f t="shared" si="0"/>
        <v>7.4466150239999987E-2</v>
      </c>
    </row>
    <row r="33" spans="1:9">
      <c r="A33" s="196" t="s">
        <v>476</v>
      </c>
      <c r="B33" s="196" t="s">
        <v>424</v>
      </c>
      <c r="C33" s="196" t="s">
        <v>420</v>
      </c>
      <c r="D33" s="196">
        <v>500</v>
      </c>
      <c r="F33" s="196">
        <v>145.96162479999998</v>
      </c>
      <c r="H33" s="191" cm="1">
        <f t="array" ref="H33">_xlfn.IFS($D33=138,$F33*0.5,$D33=230,$F33*0.4,$D33=345,$F33*0.3,$D33=350,$F33*0.3,$D33=360,$F33*0.3,$D33=400,$F33*0.3,$D33=500,$F33*0.3)</f>
        <v>43.78848743999999</v>
      </c>
      <c r="I33" s="191">
        <f t="shared" si="0"/>
        <v>4.3788487439999989E-2</v>
      </c>
    </row>
    <row r="34" spans="1:9">
      <c r="A34" s="196" t="s">
        <v>477</v>
      </c>
      <c r="B34" s="196" t="s">
        <v>426</v>
      </c>
      <c r="C34" s="196" t="s">
        <v>419</v>
      </c>
      <c r="D34" s="196">
        <v>500</v>
      </c>
      <c r="F34" s="196">
        <v>223.06163860000001</v>
      </c>
      <c r="H34" s="191" cm="1">
        <f t="array" ref="H34">_xlfn.IFS($D34=138,$F34*0.5,$D34=230,$F34*0.4,$D34=345,$F34*0.3,$D34=350,$F34*0.3,$D34=360,$F34*0.3,$D34=400,$F34*0.3,$D34=500,$F34*0.3)</f>
        <v>66.918491579999994</v>
      </c>
      <c r="I34" s="191">
        <f t="shared" si="0"/>
        <v>6.6918491579999989E-2</v>
      </c>
    </row>
    <row r="35" spans="1:9">
      <c r="A35" s="196" t="s">
        <v>478</v>
      </c>
      <c r="B35" s="196" t="s">
        <v>426</v>
      </c>
      <c r="C35" s="196" t="s">
        <v>428</v>
      </c>
      <c r="D35" s="196">
        <v>500</v>
      </c>
      <c r="F35" s="196">
        <v>179.85274079999999</v>
      </c>
      <c r="H35" s="191" cm="1">
        <f t="array" ref="H35">_xlfn.IFS($D35=138,$F35*0.5,$D35=230,$F35*0.4,$D35=345,$F35*0.3,$D35=350,$F35*0.3,$D35=360,$F35*0.3,$D35=400,$F35*0.3,$D35=500,$F35*0.3)</f>
        <v>53.955822239999996</v>
      </c>
      <c r="I35" s="191">
        <f t="shared" si="0"/>
        <v>5.395582224E-2</v>
      </c>
    </row>
    <row r="36" spans="1:9">
      <c r="A36" s="196" t="s">
        <v>479</v>
      </c>
      <c r="B36" s="196" t="s">
        <v>441</v>
      </c>
      <c r="C36" s="196" t="s">
        <v>426</v>
      </c>
      <c r="D36" s="196">
        <v>500</v>
      </c>
      <c r="F36" s="196">
        <v>162.87252359999999</v>
      </c>
      <c r="H36" s="191" cm="1">
        <f t="array" ref="H36">_xlfn.IFS($D36=138,$F36*0.5,$D36=230,$F36*0.4,$D36=345,$F36*0.3,$D36=350,$F36*0.3,$D36=360,$F36*0.3,$D36=400,$F36*0.3,$D36=500,$F36*0.3)</f>
        <v>48.861757079999997</v>
      </c>
      <c r="I36" s="191">
        <f t="shared" si="0"/>
        <v>4.8861757079999998E-2</v>
      </c>
    </row>
    <row r="37" spans="1:9">
      <c r="A37" s="196" t="s">
        <v>480</v>
      </c>
      <c r="B37" s="196" t="s">
        <v>420</v>
      </c>
      <c r="C37" s="196" t="s">
        <v>441</v>
      </c>
      <c r="D37" s="196">
        <v>500</v>
      </c>
      <c r="F37" s="196">
        <v>139.11077799999998</v>
      </c>
      <c r="H37" s="191" cm="1">
        <f t="array" ref="H37">_xlfn.IFS($D37=138,$F37*0.5,$D37=230,$F37*0.4,$D37=345,$F37*0.3,$D37=350,$F37*0.3,$D37=360,$F37*0.3,$D37=400,$F37*0.3,$D37=500,$F37*0.3)</f>
        <v>41.733233399999996</v>
      </c>
      <c r="I37" s="191">
        <f t="shared" si="0"/>
        <v>4.1733233399999993E-2</v>
      </c>
    </row>
  </sheetData>
  <sortState xmlns:xlrd2="http://schemas.microsoft.com/office/spreadsheetml/2017/richdata2" ref="L1:L17">
    <sortCondition ref="L1"/>
  </sortState>
  <phoneticPr fontId="23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2"/>
  <sheetViews>
    <sheetView zoomScale="90" zoomScaleNormal="90" workbookViewId="0">
      <selection activeCell="C28" sqref="C28"/>
    </sheetView>
  </sheetViews>
  <sheetFormatPr defaultRowHeight="14.4"/>
  <cols>
    <col min="1" max="1" width="12.5546875" customWidth="1"/>
    <col min="2" max="2" width="16" customWidth="1"/>
    <col min="3" max="3" width="10.109375" customWidth="1"/>
    <col min="4" max="4" width="12.6640625" bestFit="1" customWidth="1"/>
    <col min="5" max="5" width="10" customWidth="1"/>
    <col min="6" max="6" width="12.6640625" customWidth="1"/>
    <col min="7" max="8" width="12.88671875" customWidth="1"/>
    <col min="9" max="9" width="13.109375" customWidth="1"/>
    <col min="10" max="10" width="14" customWidth="1"/>
    <col min="11" max="11" width="12.109375" customWidth="1"/>
    <col min="12" max="12" width="9.109375" customWidth="1"/>
  </cols>
  <sheetData>
    <row r="1" spans="1:15" ht="18.600000000000001" thickBot="1">
      <c r="A1" s="58" t="s">
        <v>307</v>
      </c>
    </row>
    <row r="2" spans="1:15" ht="31.5" customHeight="1">
      <c r="A2" s="72"/>
      <c r="B2" s="246" t="s">
        <v>308</v>
      </c>
      <c r="C2" s="246"/>
      <c r="D2" s="246"/>
      <c r="E2" s="247" t="s">
        <v>309</v>
      </c>
      <c r="F2" s="247"/>
      <c r="G2" s="248" t="s">
        <v>319</v>
      </c>
      <c r="H2" s="248"/>
      <c r="I2" s="248"/>
      <c r="J2" s="249"/>
      <c r="K2" s="88"/>
      <c r="L2" s="87"/>
    </row>
    <row r="3" spans="1:15">
      <c r="A3" s="95" t="s">
        <v>333</v>
      </c>
      <c r="B3" s="73" t="s">
        <v>296</v>
      </c>
      <c r="C3" s="73" t="s">
        <v>295</v>
      </c>
      <c r="D3" s="73" t="s">
        <v>306</v>
      </c>
      <c r="E3" s="74" t="s">
        <v>310</v>
      </c>
      <c r="F3" s="74" t="s">
        <v>311</v>
      </c>
      <c r="G3" s="75" t="s">
        <v>292</v>
      </c>
      <c r="H3" s="75" t="s">
        <v>320</v>
      </c>
      <c r="I3" s="75" t="s">
        <v>329</v>
      </c>
      <c r="J3" s="76" t="s">
        <v>330</v>
      </c>
      <c r="K3" s="34"/>
      <c r="L3" s="53"/>
      <c r="M3" s="53"/>
      <c r="N3" s="53"/>
      <c r="O3" s="53"/>
    </row>
    <row r="4" spans="1:15" ht="15" thickBot="1">
      <c r="A4" s="77"/>
      <c r="B4" s="83" t="s">
        <v>305</v>
      </c>
      <c r="C4" s="83" t="s">
        <v>321</v>
      </c>
      <c r="D4" s="83" t="s">
        <v>321</v>
      </c>
      <c r="E4" s="84" t="s">
        <v>313</v>
      </c>
      <c r="F4" s="84" t="s">
        <v>313</v>
      </c>
      <c r="G4" s="85" t="s">
        <v>328</v>
      </c>
      <c r="H4" s="85" t="s">
        <v>328</v>
      </c>
      <c r="I4" s="85" t="s">
        <v>328</v>
      </c>
      <c r="J4" s="86" t="s">
        <v>328</v>
      </c>
      <c r="K4" s="34"/>
      <c r="L4" s="53"/>
      <c r="M4" s="53"/>
      <c r="N4" s="53"/>
      <c r="O4" s="53"/>
    </row>
    <row r="5" spans="1:15">
      <c r="A5" s="77" t="str">
        <f>'site independent'!A5</f>
        <v>coal</v>
      </c>
      <c r="B5" s="78" t="str">
        <f>ROUND(('site independent'!D5*(1/3412)), 5) &amp;"P + "&amp;'site independent'!P5</f>
        <v>0.00888P + 10000</v>
      </c>
      <c r="C5" s="34">
        <f>IF(ISBLANK('site independent'!O5), "",  'site independent'!O5)</f>
        <v>105</v>
      </c>
      <c r="D5" s="34">
        <f>IF(ISBLANK('site independent'!S5), "",  'site independent'!S5)</f>
        <v>0</v>
      </c>
      <c r="E5" s="34">
        <f>IF('site independent'!Q5&gt;0, 'site independent'!Q5, "")</f>
        <v>3</v>
      </c>
      <c r="F5" s="34">
        <f>IF('site independent'!R5&gt;0, 'site independent'!R5, "")</f>
        <v>3</v>
      </c>
      <c r="G5" s="34">
        <f>IF(ISBLANK('site independent'!L5), "", ('site independent'!L5)*60)</f>
        <v>120</v>
      </c>
      <c r="H5" s="34">
        <f>IF(ISBLANK('site independent'!L5), "", (-1)*('site independent'!L5)*60)</f>
        <v>-120</v>
      </c>
      <c r="I5" s="79">
        <f>IF(ISBLANK('site independent'!K5), "",  (1/'site independent'!K5))</f>
        <v>0.1</v>
      </c>
      <c r="J5" s="80">
        <f>IF(ISBLANK('site independent'!K5), "",  (-1)*(1/'site independent'!K5))</f>
        <v>-0.1</v>
      </c>
      <c r="K5" s="34"/>
      <c r="L5" s="53"/>
      <c r="M5" s="53"/>
      <c r="N5" s="53"/>
      <c r="O5" s="53"/>
    </row>
    <row r="6" spans="1:15">
      <c r="A6" s="77" t="str">
        <f>'site independent'!A6</f>
        <v>Natural gas</v>
      </c>
      <c r="B6" s="78" t="str">
        <f>ROUND(('site independent'!D6*(1/3412)), 5) &amp;"P + "&amp;'site independent'!P6</f>
        <v>0P + 10000</v>
      </c>
      <c r="C6" s="34" t="str">
        <f>IF(ISBLANK('site independent'!O6), "",  'site independent'!O6)</f>
        <v/>
      </c>
      <c r="D6" s="34">
        <f>IF(ISBLANK('site independent'!S6), "",  'site independent'!S6)</f>
        <v>0</v>
      </c>
      <c r="E6" s="34">
        <f>IF('site independent'!Q6&gt;0, 'site independent'!Q6, "")</f>
        <v>4</v>
      </c>
      <c r="F6" s="34">
        <f>IF('site independent'!R6&gt;0, 'site independent'!R6, "")</f>
        <v>3</v>
      </c>
      <c r="G6" s="34" t="str">
        <f>IF(ISBLANK('site independent'!L6), "", ('site independent'!L6)*60)</f>
        <v/>
      </c>
      <c r="H6" s="34" t="str">
        <f>IF(ISBLANK('site independent'!L6), "", (-1)*('site independent'!L6)*60)</f>
        <v/>
      </c>
      <c r="I6" s="79" t="str">
        <f>IF('site independent'!K6&gt;0, (1/'site independent'!K6), "")</f>
        <v/>
      </c>
      <c r="J6" s="80" t="str">
        <f>IF(ISBLANK('site independent'!K6), "",  (-1)*(1/'site independent'!K6))</f>
        <v/>
      </c>
      <c r="K6" s="34"/>
      <c r="L6" s="53"/>
      <c r="M6" s="53"/>
      <c r="N6" s="53"/>
      <c r="O6" s="53"/>
    </row>
    <row r="7" spans="1:15">
      <c r="A7" s="77" t="str">
        <f>'site independent'!A7</f>
        <v>NG_CC</v>
      </c>
      <c r="B7" s="78" t="str">
        <f>ROUND(('site independent'!D7*(1/3412)), 5) &amp;"P + "&amp;'site independent'!P7</f>
        <v>0.01439P + 10000</v>
      </c>
      <c r="C7" s="34">
        <f>IF(ISBLANK('site independent'!O7), "",  'site independent'!O7)</f>
        <v>79</v>
      </c>
      <c r="D7" s="34">
        <f>IF(ISBLANK('site independent'!S7), "",  'site independent'!S7)</f>
        <v>0</v>
      </c>
      <c r="E7" s="34">
        <f>IF('site independent'!Q7&gt;0, 'site independent'!Q7, "")</f>
        <v>4</v>
      </c>
      <c r="F7" s="34">
        <f>IF('site independent'!R7&gt;0, 'site independent'!R7, "")</f>
        <v>3</v>
      </c>
      <c r="G7" s="34">
        <f>IF(ISBLANK('site independent'!L7), "", ('site independent'!L7)*60)</f>
        <v>300</v>
      </c>
      <c r="H7" s="34">
        <f>IF(ISBLANK('site independent'!L7), "", (-1)*('site independent'!L7)*60)</f>
        <v>-300</v>
      </c>
      <c r="I7" s="79">
        <f>IF('site independent'!K7&gt;0, (1/'site independent'!K7), "")</f>
        <v>0.25</v>
      </c>
      <c r="J7" s="80">
        <f>IF(ISBLANK('site independent'!K7), "",  (-1)*(1/'site independent'!K7))</f>
        <v>-0.25</v>
      </c>
      <c r="K7" s="34"/>
      <c r="L7" s="53"/>
      <c r="M7" s="53"/>
      <c r="N7" s="53"/>
      <c r="O7" s="53"/>
    </row>
    <row r="8" spans="1:15">
      <c r="A8" s="77" t="str">
        <f>'site independent'!A8</f>
        <v>NG_CT</v>
      </c>
      <c r="B8" s="78" t="str">
        <f>ROUND(('site independent'!D8*(1/3412)), 5) &amp;"P + "&amp;'site independent'!P8</f>
        <v>0.02403P + 10000</v>
      </c>
      <c r="C8" s="34">
        <f>IF(ISBLANK('site independent'!O8), "",  'site independent'!O8)</f>
        <v>103</v>
      </c>
      <c r="D8" s="34">
        <f>IF(ISBLANK('site independent'!S8), "",  'site independent'!S8)</f>
        <v>0</v>
      </c>
      <c r="E8" s="34">
        <f>IF('site independent'!Q8&gt;0, 'site independent'!Q8, "")</f>
        <v>4</v>
      </c>
      <c r="F8" s="34">
        <f>IF('site independent'!R8&gt;0, 'site independent'!R8, "")</f>
        <v>3</v>
      </c>
      <c r="G8" s="34">
        <f>IF(ISBLANK('site independent'!L8), "", ('site independent'!L8)*60)</f>
        <v>480</v>
      </c>
      <c r="H8" s="34">
        <f>IF(ISBLANK('site independent'!L8), "", (-1)*('site independent'!L8)*60)</f>
        <v>-480</v>
      </c>
      <c r="I8" s="79">
        <f>IF('site independent'!K8&gt;0, (1/'site independent'!K8), "")</f>
        <v>2</v>
      </c>
      <c r="J8" s="80">
        <f>IF(ISBLANK('site independent'!K8), "",  (-1)*(1/'site independent'!K8))</f>
        <v>-2</v>
      </c>
      <c r="K8" s="34"/>
      <c r="L8" s="53"/>
      <c r="M8" s="53"/>
      <c r="N8" s="53"/>
      <c r="O8" s="53"/>
    </row>
    <row r="9" spans="1:15">
      <c r="A9" s="77" t="str">
        <f>'site independent'!A9</f>
        <v>NG_CG</v>
      </c>
      <c r="B9" s="78" t="str">
        <f>ROUND(('site independent'!D9*(1/3412)), 5) &amp;"P + "&amp;'site independent'!P9</f>
        <v>0.02403P + 10000</v>
      </c>
      <c r="C9" s="34">
        <f>IF(ISBLANK('site independent'!O9), "",  'site independent'!O9)</f>
        <v>103</v>
      </c>
      <c r="D9" s="34">
        <f>IF(ISBLANK('site independent'!S9), "",  'site independent'!S9)</f>
        <v>0</v>
      </c>
      <c r="E9" s="34">
        <f>IF('site independent'!Q9&gt;0, 'site independent'!Q9, "")</f>
        <v>4</v>
      </c>
      <c r="F9" s="34">
        <f>IF('site independent'!R9&gt;0, 'site independent'!R9, "")</f>
        <v>3</v>
      </c>
      <c r="G9" s="34">
        <f>IF(ISBLANK('site independent'!L9), "", ('site independent'!L9)*60)</f>
        <v>480</v>
      </c>
      <c r="H9" s="34">
        <f>IF(ISBLANK('site independent'!L9), "", (-1)*('site independent'!L9)*60)</f>
        <v>-480</v>
      </c>
      <c r="I9" s="79">
        <f>IF('site independent'!K9&gt;0, (1/'site independent'!K9), "")</f>
        <v>2</v>
      </c>
      <c r="J9" s="80">
        <f>IF(ISBLANK('site independent'!K9), "",  (-1)*(1/'site independent'!K9))</f>
        <v>-2</v>
      </c>
      <c r="K9" s="34"/>
      <c r="L9" s="53"/>
      <c r="M9" s="53"/>
      <c r="N9" s="53"/>
      <c r="O9" s="53"/>
    </row>
    <row r="10" spans="1:15">
      <c r="A10" s="77" t="str">
        <f>'site independent'!A10</f>
        <v>diesel</v>
      </c>
      <c r="B10" s="78" t="str">
        <f>ROUND(('site independent'!D10*(1/3412)), 5) &amp;"P + "&amp;'site independent'!P10</f>
        <v>0.08441P + 10000</v>
      </c>
      <c r="C10" s="34">
        <f>IF(ISBLANK('site independent'!O10), "",  'site independent'!O10)</f>
        <v>10000000</v>
      </c>
      <c r="D10" s="34">
        <f>IF(ISBLANK('site independent'!S10), "",  'site independent'!S10)</f>
        <v>0</v>
      </c>
      <c r="E10" s="34" t="str">
        <f>IF('site independent'!Q10&gt;0, 'site independent'!Q10, "")</f>
        <v/>
      </c>
      <c r="F10" s="34" t="str">
        <f>IF('site independent'!R10&gt;0, 'site independent'!R10, "")</f>
        <v/>
      </c>
      <c r="G10" s="34" t="str">
        <f>IF(ISBLANK('site independent'!L10), "", ('site independent'!L10)*60)</f>
        <v/>
      </c>
      <c r="H10" s="34" t="str">
        <f>IF(ISBLANK('site independent'!L10), "", (-1)*('site independent'!L10)*60)</f>
        <v/>
      </c>
      <c r="I10" s="79" t="str">
        <f>IF('site independent'!K10&gt;0, (1/'site independent'!K10), "")</f>
        <v/>
      </c>
      <c r="J10" s="80" t="str">
        <f>IF(ISBLANK('site independent'!K10), "",  (-1)*(1/'site independent'!K10))</f>
        <v/>
      </c>
      <c r="K10" s="34"/>
      <c r="L10" s="53"/>
      <c r="M10" s="53"/>
      <c r="N10" s="53"/>
      <c r="O10" s="53"/>
    </row>
    <row r="11" spans="1:15">
      <c r="A11" s="77" t="str">
        <f>'site independent'!A11</f>
        <v>fuel oil</v>
      </c>
      <c r="B11" s="78" t="str">
        <f>ROUND(('site independent'!D11*(1/3412)), 5) &amp;"P + "&amp;'site independent'!P11</f>
        <v>0.05064P + 10000</v>
      </c>
      <c r="C11" s="34">
        <f>IF(ISBLANK('site independent'!O11), "",  'site independent'!O11)</f>
        <v>10000000</v>
      </c>
      <c r="D11" s="34">
        <f>IF(ISBLANK('site independent'!S11), "",  'site independent'!S11)</f>
        <v>0</v>
      </c>
      <c r="E11" s="34" t="str">
        <f>IF('site independent'!Q11&gt;0, 'site independent'!Q11, "")</f>
        <v/>
      </c>
      <c r="F11" s="34" t="str">
        <f>IF('site independent'!R11&gt;0, 'site independent'!R11, "")</f>
        <v/>
      </c>
      <c r="G11" s="34" t="str">
        <f>IF(ISBLANK('site independent'!L11), "", ('site independent'!L11)*60)</f>
        <v/>
      </c>
      <c r="H11" s="34" t="str">
        <f>IF(ISBLANK('site independent'!L11), "", (-1)*('site independent'!L11)*60)</f>
        <v/>
      </c>
      <c r="I11" s="79" t="str">
        <f>IF('site independent'!K11&gt;0, (1/'site independent'!K11), "")</f>
        <v/>
      </c>
      <c r="J11" s="80" t="str">
        <f>IF(ISBLANK('site independent'!K11), "",  (-1)*(1/'site independent'!K11))</f>
        <v/>
      </c>
      <c r="K11" s="34"/>
      <c r="L11" s="53"/>
      <c r="M11" s="53"/>
      <c r="N11" s="53"/>
      <c r="O11" s="53"/>
    </row>
    <row r="12" spans="1:15">
      <c r="A12" s="77" t="str">
        <f>'site independent'!A12</f>
        <v>nuclear</v>
      </c>
      <c r="B12" s="78" t="str">
        <f>ROUND(('site independent'!D12*(1/3412)), 5) &amp;"P + "&amp;'site independent'!P12</f>
        <v>0.00346P + 10000</v>
      </c>
      <c r="C12" s="34">
        <f>IF(ISBLANK('site independent'!O12), "",  'site independent'!O12)</f>
        <v>500</v>
      </c>
      <c r="D12" s="34">
        <f>IF(ISBLANK('site independent'!S12), "",  'site independent'!S12)</f>
        <v>0</v>
      </c>
      <c r="E12" s="34">
        <f>IF('site independent'!Q12&gt;0, 'site independent'!Q12, "")</f>
        <v>10</v>
      </c>
      <c r="F12" s="34">
        <f>IF('site independent'!R12&gt;0, 'site independent'!R12, "")</f>
        <v>3</v>
      </c>
      <c r="G12" s="34">
        <f>IF('site independent'!L12&gt;0, ('site independent'!L12/100)*(1)*60, "")</f>
        <v>3</v>
      </c>
      <c r="H12" s="34"/>
      <c r="I12" s="79">
        <f>IF('site independent'!K12&gt;0, (1/'site independent'!K12), "")</f>
        <v>7.6923076923076927E-2</v>
      </c>
      <c r="J12" s="80">
        <f>IF(ISBLANK('site independent'!K12), "",  (-1)*(1/'site independent'!K12))</f>
        <v>-7.6923076923076927E-2</v>
      </c>
      <c r="K12" s="34"/>
      <c r="L12" s="53"/>
      <c r="M12" s="53"/>
      <c r="N12" s="53"/>
      <c r="O12" s="53"/>
    </row>
    <row r="13" spans="1:15">
      <c r="A13" s="77" t="str">
        <f>'site independent'!A13</f>
        <v>hydro</v>
      </c>
      <c r="B13" s="78" t="str">
        <f>ROUND(('site independent'!D13*(1/3412)), 5) &amp;"P + "&amp;'site independent'!P13</f>
        <v>0.00188P + 10000</v>
      </c>
      <c r="C13" s="34" t="str">
        <f>IF(ISBLANK('site independent'!O13), "",  'site independent'!O13)</f>
        <v/>
      </c>
      <c r="D13" s="34" t="str">
        <f>IF(ISBLANK('site independent'!S13), "",  'site independent'!S13)</f>
        <v/>
      </c>
      <c r="E13" s="34" t="str">
        <f>IF('site independent'!Q13&gt;0, 'site independent'!Q13, "")</f>
        <v/>
      </c>
      <c r="F13" s="34" t="str">
        <f>IF('site independent'!R13&gt;0, 'site independent'!R13, "")</f>
        <v/>
      </c>
      <c r="G13" s="34" t="str">
        <f>IF('site independent'!L13&gt;0, ('site independent'!L13/100)*(1)*60, "")</f>
        <v/>
      </c>
      <c r="H13" s="34"/>
      <c r="I13" s="79" t="str">
        <f>IF('site independent'!K13&gt;0, (1/'site independent'!K13), "")</f>
        <v/>
      </c>
      <c r="J13" s="80" t="str">
        <f>IF(ISBLANK('site independent'!K13), "",  (-1)*(1/'site independent'!K13))</f>
        <v/>
      </c>
      <c r="K13" s="34"/>
      <c r="L13" s="53"/>
      <c r="M13" s="53"/>
      <c r="N13" s="53"/>
      <c r="O13" s="53"/>
    </row>
    <row r="14" spans="1:15">
      <c r="A14" s="77" t="str">
        <f>'site independent'!A14</f>
        <v>hydro_hourly</v>
      </c>
      <c r="B14" s="78" t="str">
        <f>ROUND(('site independent'!D14*(1/3412)), 5) &amp;"P + "&amp;'site independent'!P14</f>
        <v>0.00188P + 10000</v>
      </c>
      <c r="C14" s="34" t="str">
        <f>IF(ISBLANK('site independent'!O14), "",  'site independent'!O14)</f>
        <v/>
      </c>
      <c r="D14" s="34" t="str">
        <f>IF(ISBLANK('site independent'!S14), "",  'site independent'!S14)</f>
        <v/>
      </c>
      <c r="E14" s="34" t="str">
        <f>IF('site independent'!Q14&gt;0, 'site independent'!Q14, "")</f>
        <v/>
      </c>
      <c r="F14" s="34" t="str">
        <f>IF('site independent'!R14&gt;0, 'site independent'!R14, "")</f>
        <v/>
      </c>
      <c r="G14" s="34"/>
      <c r="H14" s="34" t="str">
        <f>IF('site independent'!L14&gt;0, ('site independent'!L14/100)*(1)*60, "")</f>
        <v/>
      </c>
      <c r="I14" s="79" t="str">
        <f>IF('site independent'!K14&gt;0, (1/'site independent'!K14), "")</f>
        <v/>
      </c>
      <c r="J14" s="80" t="str">
        <f>IF(ISBLANK('site independent'!K14), "",  (-1)*(1/'site independent'!K14))</f>
        <v/>
      </c>
      <c r="K14" s="34"/>
      <c r="L14" s="53"/>
      <c r="M14" s="53"/>
      <c r="N14" s="53"/>
      <c r="O14" s="53"/>
    </row>
    <row r="15" spans="1:15">
      <c r="A15" s="77" t="s">
        <v>4</v>
      </c>
      <c r="B15" s="89" t="s">
        <v>297</v>
      </c>
      <c r="C15" s="34"/>
      <c r="D15" s="34"/>
      <c r="E15" s="34"/>
      <c r="F15" s="34"/>
      <c r="G15" s="34"/>
      <c r="H15" s="34"/>
      <c r="I15" s="79"/>
      <c r="J15" s="80"/>
      <c r="K15" s="34"/>
      <c r="L15" s="53"/>
      <c r="M15" s="53"/>
      <c r="N15" s="53"/>
      <c r="O15" s="53"/>
    </row>
    <row r="16" spans="1:15">
      <c r="A16" s="77" t="s">
        <v>334</v>
      </c>
      <c r="B16" s="89" t="s">
        <v>297</v>
      </c>
      <c r="C16" s="34"/>
      <c r="D16" s="34"/>
      <c r="E16" s="34"/>
      <c r="F16" s="34"/>
      <c r="G16" s="34"/>
      <c r="H16" s="34"/>
      <c r="I16" s="79"/>
      <c r="J16" s="80"/>
      <c r="K16" s="34"/>
      <c r="L16" s="53"/>
      <c r="M16" s="53"/>
      <c r="N16" s="53"/>
      <c r="O16" s="53"/>
    </row>
    <row r="17" spans="1:15">
      <c r="A17" s="77" t="s">
        <v>225</v>
      </c>
      <c r="B17" s="89" t="s">
        <v>332</v>
      </c>
      <c r="C17" s="90">
        <v>0</v>
      </c>
      <c r="D17" s="90">
        <v>0</v>
      </c>
      <c r="E17" s="34"/>
      <c r="F17" s="34"/>
      <c r="G17" s="17"/>
      <c r="H17" s="34"/>
      <c r="I17" s="79"/>
      <c r="J17" s="80"/>
      <c r="K17" s="34"/>
      <c r="L17" s="53"/>
      <c r="M17" s="53"/>
      <c r="N17" s="53"/>
      <c r="O17" s="53"/>
    </row>
    <row r="18" spans="1:15">
      <c r="A18" s="77" t="s">
        <v>226</v>
      </c>
      <c r="B18" s="89" t="s">
        <v>332</v>
      </c>
      <c r="C18" s="90">
        <v>0</v>
      </c>
      <c r="D18" s="90">
        <v>0</v>
      </c>
      <c r="E18" s="34"/>
      <c r="F18" s="34"/>
      <c r="G18" s="17"/>
      <c r="H18" s="34"/>
      <c r="I18" s="79"/>
      <c r="J18" s="80"/>
      <c r="K18" s="34"/>
      <c r="L18" s="53"/>
      <c r="M18" s="53"/>
      <c r="N18" s="53"/>
      <c r="O18" s="53"/>
    </row>
    <row r="19" spans="1:15">
      <c r="A19" s="77" t="s">
        <v>331</v>
      </c>
      <c r="B19" s="89" t="s">
        <v>332</v>
      </c>
      <c r="C19" s="90">
        <v>0</v>
      </c>
      <c r="D19" s="90">
        <v>0</v>
      </c>
      <c r="E19" s="34"/>
      <c r="F19" s="34"/>
      <c r="G19" s="34"/>
      <c r="H19" s="34"/>
      <c r="I19" s="34"/>
      <c r="J19" s="91"/>
      <c r="K19" s="53"/>
      <c r="L19" s="53"/>
      <c r="M19" s="53"/>
      <c r="N19" s="53"/>
      <c r="O19" s="53"/>
    </row>
    <row r="20" spans="1:15" ht="15" thickBot="1">
      <c r="A20" s="81" t="s">
        <v>281</v>
      </c>
      <c r="B20" s="92" t="s">
        <v>332</v>
      </c>
      <c r="C20" s="93">
        <v>0</v>
      </c>
      <c r="D20" s="93">
        <v>0</v>
      </c>
      <c r="E20" s="82"/>
      <c r="F20" s="82"/>
      <c r="G20" s="82"/>
      <c r="H20" s="82"/>
      <c r="I20" s="82"/>
      <c r="J20" s="94"/>
      <c r="K20" s="53"/>
      <c r="L20" s="53"/>
      <c r="M20" s="53"/>
      <c r="N20" s="53"/>
      <c r="O20" s="53"/>
    </row>
    <row r="21" spans="1:15"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</row>
    <row r="22" spans="1:15">
      <c r="A22" t="s">
        <v>291</v>
      </c>
      <c r="B22" s="53">
        <f t="shared" ref="B22:J22" si="0">COLUMN(B3)-2</f>
        <v>0</v>
      </c>
      <c r="C22" s="53">
        <f t="shared" si="0"/>
        <v>1</v>
      </c>
      <c r="D22" s="53">
        <f t="shared" si="0"/>
        <v>2</v>
      </c>
      <c r="E22" s="53">
        <f t="shared" si="0"/>
        <v>3</v>
      </c>
      <c r="F22" s="53">
        <f t="shared" si="0"/>
        <v>4</v>
      </c>
      <c r="G22" s="53">
        <f t="shared" si="0"/>
        <v>5</v>
      </c>
      <c r="H22" s="53">
        <f t="shared" si="0"/>
        <v>6</v>
      </c>
      <c r="I22" s="53">
        <f t="shared" si="0"/>
        <v>7</v>
      </c>
      <c r="J22" s="53">
        <f t="shared" si="0"/>
        <v>8</v>
      </c>
      <c r="K22" s="53"/>
    </row>
    <row r="24" spans="1:15">
      <c r="A24" t="s">
        <v>304</v>
      </c>
      <c r="B24" s="42" t="s">
        <v>296</v>
      </c>
      <c r="C24" s="42" t="s">
        <v>303</v>
      </c>
      <c r="D24" s="42"/>
      <c r="E24" s="42"/>
      <c r="F24" s="42"/>
    </row>
    <row r="25" spans="1:15">
      <c r="B25" s="42" t="s">
        <v>295</v>
      </c>
      <c r="C25" t="s">
        <v>294</v>
      </c>
    </row>
    <row r="26" spans="1:15">
      <c r="B26" t="s">
        <v>306</v>
      </c>
    </row>
    <row r="27" spans="1:15">
      <c r="B27" s="42" t="s">
        <v>310</v>
      </c>
      <c r="C27" t="s">
        <v>312</v>
      </c>
      <c r="E27" s="57"/>
      <c r="F27" s="57"/>
    </row>
    <row r="28" spans="1:15">
      <c r="B28" s="42" t="s">
        <v>311</v>
      </c>
      <c r="C28" t="s">
        <v>314</v>
      </c>
      <c r="E28" s="57"/>
      <c r="F28" s="57"/>
    </row>
    <row r="29" spans="1:15">
      <c r="B29" s="42" t="s">
        <v>292</v>
      </c>
      <c r="C29" s="42" t="s">
        <v>322</v>
      </c>
      <c r="D29" s="57"/>
    </row>
    <row r="30" spans="1:15">
      <c r="B30" s="42" t="s">
        <v>320</v>
      </c>
      <c r="C30" s="42" t="s">
        <v>323</v>
      </c>
      <c r="D30" s="57"/>
    </row>
    <row r="31" spans="1:15">
      <c r="B31" s="42" t="s">
        <v>293</v>
      </c>
      <c r="C31" s="42" t="s">
        <v>326</v>
      </c>
    </row>
    <row r="32" spans="1:15">
      <c r="B32" s="42" t="s">
        <v>325</v>
      </c>
      <c r="C32" s="42" t="s">
        <v>327</v>
      </c>
    </row>
  </sheetData>
  <mergeCells count="3">
    <mergeCell ref="B2:D2"/>
    <mergeCell ref="E2:F2"/>
    <mergeCell ref="G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E38"/>
  <sheetViews>
    <sheetView topLeftCell="A10" workbookViewId="0">
      <selection activeCell="C30" sqref="C30"/>
    </sheetView>
  </sheetViews>
  <sheetFormatPr defaultRowHeight="14.4"/>
  <cols>
    <col min="3" max="3" width="31.33203125" customWidth="1"/>
    <col min="4" max="4" width="15" customWidth="1"/>
    <col min="5" max="5" width="20.109375" customWidth="1"/>
  </cols>
  <sheetData>
    <row r="2" spans="2:5">
      <c r="B2" t="s">
        <v>273</v>
      </c>
    </row>
    <row r="4" spans="2:5">
      <c r="C4" t="s">
        <v>285</v>
      </c>
      <c r="E4" t="s">
        <v>286</v>
      </c>
    </row>
    <row r="5" spans="2:5">
      <c r="C5" s="35" t="s">
        <v>4</v>
      </c>
      <c r="E5" s="35" t="s">
        <v>225</v>
      </c>
    </row>
    <row r="6" spans="2:5">
      <c r="C6" s="37" t="s">
        <v>224</v>
      </c>
      <c r="E6" s="37" t="s">
        <v>226</v>
      </c>
    </row>
    <row r="7" spans="2:5">
      <c r="C7" s="36" t="s">
        <v>282</v>
      </c>
      <c r="E7" s="36" t="s">
        <v>229</v>
      </c>
    </row>
    <row r="8" spans="2:5">
      <c r="C8" s="36" t="s">
        <v>283</v>
      </c>
      <c r="E8" s="38" t="s">
        <v>275</v>
      </c>
    </row>
    <row r="9" spans="2:5">
      <c r="C9" s="36" t="s">
        <v>284</v>
      </c>
      <c r="E9" s="35" t="s">
        <v>276</v>
      </c>
    </row>
    <row r="10" spans="2:5">
      <c r="C10" s="38" t="s">
        <v>17</v>
      </c>
      <c r="E10" s="37" t="s">
        <v>277</v>
      </c>
    </row>
    <row r="11" spans="2:5">
      <c r="C11" s="35" t="s">
        <v>20</v>
      </c>
      <c r="E11" s="36" t="s">
        <v>278</v>
      </c>
    </row>
    <row r="12" spans="2:5">
      <c r="C12" s="37" t="s">
        <v>259</v>
      </c>
      <c r="E12" s="38" t="s">
        <v>232</v>
      </c>
    </row>
    <row r="13" spans="2:5">
      <c r="C13" s="37" t="s">
        <v>260</v>
      </c>
      <c r="E13" s="35" t="s">
        <v>230</v>
      </c>
    </row>
    <row r="14" spans="2:5">
      <c r="C14" s="36" t="s">
        <v>209</v>
      </c>
      <c r="E14" s="37" t="s">
        <v>234</v>
      </c>
    </row>
    <row r="15" spans="2:5">
      <c r="C15" s="38" t="s">
        <v>228</v>
      </c>
      <c r="E15" s="36" t="s">
        <v>287</v>
      </c>
    </row>
    <row r="16" spans="2:5">
      <c r="C16" s="35" t="s">
        <v>1</v>
      </c>
      <c r="E16" s="38" t="s">
        <v>288</v>
      </c>
    </row>
    <row r="17" spans="3:5">
      <c r="C17" s="37" t="s">
        <v>2</v>
      </c>
      <c r="E17" s="35" t="s">
        <v>233</v>
      </c>
    </row>
    <row r="18" spans="3:5">
      <c r="C18" s="36" t="s">
        <v>9</v>
      </c>
      <c r="E18" s="37" t="s">
        <v>231</v>
      </c>
    </row>
    <row r="19" spans="3:5">
      <c r="C19" s="38" t="s">
        <v>10</v>
      </c>
    </row>
    <row r="22" spans="3:5">
      <c r="C22" s="1" t="s">
        <v>204</v>
      </c>
      <c r="D22" s="1" t="s">
        <v>205</v>
      </c>
      <c r="E22" t="s">
        <v>290</v>
      </c>
    </row>
    <row r="23" spans="3:5">
      <c r="C23" s="1" t="s">
        <v>27</v>
      </c>
      <c r="D23" s="1">
        <v>255</v>
      </c>
    </row>
    <row r="24" spans="3:5">
      <c r="C24" s="1" t="s">
        <v>201</v>
      </c>
      <c r="D24" s="1">
        <v>1.6879999999999999</v>
      </c>
    </row>
    <row r="26" spans="3:5">
      <c r="C26" s="1" t="s">
        <v>207</v>
      </c>
      <c r="D26" s="1" t="s">
        <v>206</v>
      </c>
    </row>
    <row r="27" spans="3:5">
      <c r="C27" s="1" t="s">
        <v>27</v>
      </c>
      <c r="D27" s="1">
        <v>225</v>
      </c>
    </row>
    <row r="28" spans="3:5">
      <c r="C28" s="1" t="s">
        <v>201</v>
      </c>
      <c r="D28" s="1">
        <v>1.353</v>
      </c>
    </row>
    <row r="30" spans="3:5">
      <c r="C30" s="1" t="s">
        <v>208</v>
      </c>
      <c r="D30" s="1" t="s">
        <v>203</v>
      </c>
    </row>
    <row r="31" spans="3:5">
      <c r="C31" s="1" t="s">
        <v>27</v>
      </c>
      <c r="D31" s="1">
        <v>95</v>
      </c>
    </row>
    <row r="32" spans="3:5">
      <c r="C32" s="1" t="s">
        <v>202</v>
      </c>
      <c r="D32" s="1">
        <v>0.72</v>
      </c>
    </row>
    <row r="36" spans="3:3">
      <c r="C36" t="s">
        <v>392</v>
      </c>
    </row>
    <row r="38" spans="3:3">
      <c r="C38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"/>
  <sheetViews>
    <sheetView workbookViewId="0">
      <selection activeCell="E16" sqref="E16"/>
    </sheetView>
  </sheetViews>
  <sheetFormatPr defaultRowHeight="14.4"/>
  <cols>
    <col min="1" max="1" width="23" customWidth="1"/>
    <col min="2" max="2" width="15.44140625" customWidth="1"/>
    <col min="3" max="4" width="14" bestFit="1" customWidth="1"/>
    <col min="5" max="5" width="8.5546875" bestFit="1" customWidth="1"/>
    <col min="6" max="6" width="12.5546875" bestFit="1" customWidth="1"/>
  </cols>
  <sheetData>
    <row r="1" spans="1:6">
      <c r="A1" s="40" t="s">
        <v>369</v>
      </c>
    </row>
    <row r="3" spans="1:6">
      <c r="A3" t="s">
        <v>370</v>
      </c>
      <c r="B3" t="s">
        <v>367</v>
      </c>
      <c r="C3" t="s">
        <v>368</v>
      </c>
    </row>
    <row r="4" spans="1:6">
      <c r="B4" s="50" t="s">
        <v>266</v>
      </c>
      <c r="C4" s="139" t="s">
        <v>372</v>
      </c>
    </row>
    <row r="5" spans="1:6">
      <c r="B5" s="50" t="s">
        <v>267</v>
      </c>
      <c r="C5" s="139" t="s">
        <v>374</v>
      </c>
    </row>
    <row r="6" spans="1:6">
      <c r="C6" s="140" t="s">
        <v>373</v>
      </c>
    </row>
    <row r="8" spans="1:6">
      <c r="A8" t="s">
        <v>371</v>
      </c>
      <c r="B8" s="50" t="s">
        <v>266</v>
      </c>
      <c r="C8" s="50" t="s">
        <v>267</v>
      </c>
      <c r="D8" s="139" t="s">
        <v>372</v>
      </c>
      <c r="E8" s="139" t="s">
        <v>374</v>
      </c>
      <c r="F8" s="140" t="s">
        <v>373</v>
      </c>
    </row>
    <row r="9" spans="1:6">
      <c r="B9" s="51" t="s">
        <v>270</v>
      </c>
      <c r="C9" s="51" t="s">
        <v>270</v>
      </c>
      <c r="D9" s="52" t="s">
        <v>271</v>
      </c>
      <c r="E9" s="52" t="s">
        <v>272</v>
      </c>
      <c r="F9" s="52" t="s">
        <v>289</v>
      </c>
    </row>
    <row r="10" spans="1:6">
      <c r="D10" t="s">
        <v>397</v>
      </c>
      <c r="E10" t="s">
        <v>398</v>
      </c>
    </row>
    <row r="11" spans="1:6">
      <c r="D11" t="s">
        <v>400</v>
      </c>
      <c r="E11" t="s">
        <v>399</v>
      </c>
    </row>
    <row r="12" spans="1:6">
      <c r="A12" s="50"/>
    </row>
  </sheetData>
  <dataValidations count="4">
    <dataValidation type="custom" allowBlank="1" showInputMessage="1" showErrorMessage="1" sqref="B9:C9" xr:uid="{00000000-0002-0000-0E00-000000000000}">
      <formula1>E7&lt;M7</formula1>
    </dataValidation>
    <dataValidation type="custom" allowBlank="1" showInputMessage="1" showErrorMessage="1" sqref="D9" xr:uid="{00000000-0002-0000-0E00-000001000000}">
      <formula1>D15&lt;Q25*10^6</formula1>
    </dataValidation>
    <dataValidation type="custom" allowBlank="1" showInputMessage="1" showErrorMessage="1" sqref="F9" xr:uid="{00000000-0002-0000-0E00-000002000000}">
      <formula1>D10&lt;Q20*10^6</formula1>
    </dataValidation>
    <dataValidation type="custom" allowBlank="1" showInputMessage="1" showErrorMessage="1" sqref="E9" xr:uid="{00000000-0002-0000-0E00-000003000000}">
      <formula1>#REF!&lt;Q19*10^6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81C11BB3EEC34A827AB4238FF35275" ma:contentTypeVersion="8" ma:contentTypeDescription="Create a new document." ma:contentTypeScope="" ma:versionID="fcfb9f1e030b2dd44dc48085e5c8f37a">
  <xsd:schema xmlns:xsd="http://www.w3.org/2001/XMLSchema" xmlns:xs="http://www.w3.org/2001/XMLSchema" xmlns:p="http://schemas.microsoft.com/office/2006/metadata/properties" xmlns:ns2="3aa15336-a8c0-43ed-975c-4aa5729f9509" xmlns:ns3="0b8ebd17-7650-4b56-a8db-ea2ef2146df4" targetNamespace="http://schemas.microsoft.com/office/2006/metadata/properties" ma:root="true" ma:fieldsID="c24fa4a82dd948dc2ccf9cc03e5d4ba5" ns2:_="" ns3:_="">
    <xsd:import namespace="3aa15336-a8c0-43ed-975c-4aa5729f9509"/>
    <xsd:import namespace="0b8ebd17-7650-4b56-a8db-ea2ef2146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15336-a8c0-43ed-975c-4aa5729f9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ebd17-7650-4b56-a8db-ea2ef2146d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CC7477-AB4F-4545-95BB-BFD654938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1B48F2-FD18-4645-A423-46B978073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15336-a8c0-43ed-975c-4aa5729f9509"/>
    <ds:schemaRef ds:uri="0b8ebd17-7650-4b56-a8db-ea2ef2146d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7D922-5EE2-46FE-BC00-A17B7C0E22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site independent</vt:lpstr>
      <vt:lpstr>modeled attributes</vt:lpstr>
      <vt:lpstr>scenario analysis</vt:lpstr>
      <vt:lpstr>vre plants</vt:lpstr>
      <vt:lpstr>non-vre plants</vt:lpstr>
      <vt:lpstr>storage</vt:lpstr>
      <vt:lpstr>EV_aggregator</vt:lpstr>
      <vt:lpstr>demand response</vt:lpstr>
      <vt:lpstr>demand centres</vt:lpstr>
      <vt:lpstr>existing transmission</vt:lpstr>
      <vt:lpstr>modeled attributes _original</vt:lpstr>
      <vt:lpstr>excel input instructions</vt:lpstr>
      <vt:lpstr>lists</vt:lpstr>
      <vt:lpstr>mono_c_Si</vt:lpstr>
      <vt:lpstr>mono_tech</vt:lpstr>
      <vt:lpstr>multi_c_Si</vt:lpstr>
      <vt:lpstr>multi_tech</vt:lpstr>
      <vt:lpstr>'site independent'!Print_Area</vt:lpstr>
      <vt:lpstr>Solar</vt:lpstr>
      <vt:lpstr>thin_film</vt:lpstr>
      <vt:lpstr>thin_tech</vt:lpstr>
      <vt:lpstr>VRE</vt:lpstr>
      <vt:lpstr>Wind</vt:lpstr>
      <vt:lpstr>wind_offshore</vt:lpstr>
      <vt:lpstr>wind_onshore</vt:lpstr>
      <vt:lpstr>wind_tech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Nathalin</dc:creator>
  <cp:lastModifiedBy>Noah Leverton</cp:lastModifiedBy>
  <cp:lastPrinted>2015-06-03T16:51:47Z</cp:lastPrinted>
  <dcterms:created xsi:type="dcterms:W3CDTF">2015-05-08T16:44:21Z</dcterms:created>
  <dcterms:modified xsi:type="dcterms:W3CDTF">2022-08-11T22:08:01Z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0x0101008781C11BB3EEC34A827AB4238FF35275</vt:lpwstr>
  </property>
  <property fmtid="{D5CDD505-2E9C-101B-9397-08002B2CF9AE}" pid="3" name="Order">
    <vt:r8>475300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