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5.xml" ContentType="application/vnd.openxmlformats-officedocument.spreadsheetml.worksheet+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Override PartName="/xl/comments2.xml" ContentType="application/vnd.openxmlformats-officedocument.spreadsheetml.comments+xml"/>
  <Override PartName="/xl/comments1.xml" ContentType="application/vnd.openxmlformats-officedocument.spreadsheetml.comment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hmad\Desktop\SILVER\SILVER_UC\SILVER_Data\user_inputs\"/>
    </mc:Choice>
  </mc:AlternateContent>
  <xr:revisionPtr revIDLastSave="0" documentId="13_ncr:1_{A497CD4F-DF39-41CF-84FA-A40EA719BE62}" xr6:coauthVersionLast="47" xr6:coauthVersionMax="47" xr10:uidLastSave="{00000000-0000-0000-0000-000000000000}"/>
  <bookViews>
    <workbookView xWindow="-120" yWindow="-120" windowWidth="20730" windowHeight="11160" tabRatio="774" firstSheet="6" activeTab="9" xr2:uid="{00000000-000D-0000-FFFF-FFFF00000000}"/>
  </bookViews>
  <sheets>
    <sheet name="site independent" sheetId="1" r:id="rId1"/>
    <sheet name="modeled attributes" sheetId="43" r:id="rId2"/>
    <sheet name="modeled attributes1" sheetId="35" r:id="rId3"/>
    <sheet name="scenario analysis" sheetId="38" r:id="rId4"/>
    <sheet name="vre plants" sheetId="22" r:id="rId5"/>
    <sheet name="non-vre plants" sheetId="41" r:id="rId6"/>
    <sheet name="storage" sheetId="25" r:id="rId7"/>
    <sheet name="EV_aggregator" sheetId="26" r:id="rId8"/>
    <sheet name="demand response" sheetId="18" r:id="rId9"/>
    <sheet name="demand centres" sheetId="14" r:id="rId10"/>
    <sheet name="existing transmission" sheetId="32" r:id="rId11"/>
    <sheet name="modeled attributes _original" sheetId="36" r:id="rId12"/>
    <sheet name="lists" sheetId="39" r:id="rId13"/>
  </sheets>
  <externalReferences>
    <externalReference r:id="rId14"/>
  </externalReferences>
  <definedNames>
    <definedName name="code" localSheetId="1">#REF!</definedName>
    <definedName name="code" localSheetId="5">#REF!</definedName>
    <definedName name="code">#REF!</definedName>
    <definedName name="mono_c_Si">lists!$F$9:$F$11</definedName>
    <definedName name="mono_tech">lists!$E$9:$E$11</definedName>
    <definedName name="multi_c_Si">lists!$D$9:$D$11</definedName>
    <definedName name="multi_tech">lists!$C$9:$C$11</definedName>
    <definedName name="_xlnm.Print_Area" localSheetId="0">'site independent'!$A$1:$O$134</definedName>
    <definedName name="renumber" localSheetId="1">#REF!</definedName>
    <definedName name="renumber" localSheetId="5">#REF!</definedName>
    <definedName name="renumber">#REF!</definedName>
    <definedName name="rerank" localSheetId="5">#REF!</definedName>
    <definedName name="rerank">#REF!</definedName>
    <definedName name="Solar">lists!$C$4:$C$6</definedName>
    <definedName name="thin_film">lists!$E$9:$E$11</definedName>
    <definedName name="thin_tech">lists!$D$9:$D$11</definedName>
    <definedName name="total" localSheetId="1">#REF!</definedName>
    <definedName name="total" localSheetId="5">#REF!</definedName>
    <definedName name="total">#REF!</definedName>
    <definedName name="user" localSheetId="5">#REF!</definedName>
    <definedName name="user">#REF!</definedName>
    <definedName name="VRE" localSheetId="1">[1]lists!$B$3:$C$3</definedName>
    <definedName name="VRE">lists!$B$3:$C$3</definedName>
    <definedName name="Wind">lists!$B$4:$B$5</definedName>
    <definedName name="wind_offshore">lists!$C$9</definedName>
    <definedName name="wind_onshore">lists!$B$9:$B$11</definedName>
    <definedName name="wind_tech">lists!$B$9:$B$11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6" i="41" l="1"/>
  <c r="E17" i="41"/>
  <c r="E15" i="41"/>
  <c r="E14" i="41"/>
  <c r="I29" i="43" l="1"/>
  <c r="H29" i="43"/>
  <c r="G29" i="43"/>
  <c r="F29" i="43"/>
  <c r="E29" i="43"/>
  <c r="D29" i="43"/>
  <c r="C29" i="43"/>
  <c r="B29" i="43"/>
  <c r="B18" i="41" l="1"/>
  <c r="I3" i="32" l="1"/>
  <c r="I4" i="32"/>
  <c r="I5" i="32"/>
  <c r="I6" i="32"/>
  <c r="I7" i="32"/>
  <c r="I8" i="32"/>
  <c r="I9" i="32"/>
  <c r="I10" i="32"/>
  <c r="I11" i="32"/>
  <c r="I12" i="32"/>
  <c r="I13" i="32"/>
  <c r="I14" i="32"/>
  <c r="I15" i="32"/>
  <c r="I16" i="32"/>
  <c r="I17" i="32"/>
  <c r="I18" i="32"/>
  <c r="I19" i="32"/>
  <c r="I20" i="32"/>
  <c r="I21" i="32"/>
  <c r="I22" i="32"/>
  <c r="I23" i="32"/>
  <c r="I24" i="32"/>
  <c r="I25" i="32"/>
  <c r="I26" i="32"/>
  <c r="I27" i="32"/>
  <c r="I28" i="32"/>
  <c r="I29" i="32"/>
  <c r="I30" i="32"/>
  <c r="I31" i="32"/>
  <c r="I32" i="32"/>
  <c r="I33" i="32"/>
  <c r="I34" i="32"/>
  <c r="I35" i="32"/>
  <c r="I36" i="32"/>
  <c r="I37" i="32"/>
  <c r="I38" i="32"/>
  <c r="I39" i="32"/>
  <c r="I40" i="32"/>
  <c r="I41" i="32"/>
  <c r="I42" i="32"/>
  <c r="I43" i="32"/>
  <c r="I44" i="32"/>
  <c r="I45" i="32"/>
  <c r="I46" i="32"/>
  <c r="I47" i="32"/>
  <c r="I48" i="32"/>
  <c r="I49" i="32"/>
  <c r="I50" i="32"/>
  <c r="I51" i="32"/>
  <c r="I52" i="32"/>
  <c r="I53" i="32"/>
  <c r="I54" i="32"/>
  <c r="I55" i="32"/>
  <c r="I56" i="32"/>
  <c r="I57" i="32"/>
  <c r="I58" i="32"/>
  <c r="I59" i="32"/>
  <c r="I60" i="32"/>
  <c r="I61" i="32"/>
  <c r="I62" i="32"/>
  <c r="I63" i="32"/>
  <c r="I64" i="32"/>
  <c r="I65" i="32"/>
  <c r="I66" i="32"/>
  <c r="I67" i="32"/>
  <c r="I68" i="32"/>
  <c r="I69" i="32"/>
  <c r="I70" i="32"/>
  <c r="I71" i="32"/>
  <c r="I72" i="32"/>
  <c r="I73" i="32"/>
  <c r="I74" i="32"/>
  <c r="I75" i="32"/>
  <c r="I76" i="32"/>
  <c r="I77" i="32"/>
  <c r="I78" i="32"/>
  <c r="I79" i="32"/>
  <c r="I80" i="32"/>
  <c r="I81" i="32"/>
  <c r="I82" i="32"/>
  <c r="I83" i="32"/>
  <c r="I2" i="32"/>
  <c r="H3" i="32" l="1" a="1"/>
  <c r="H3" i="32"/>
  <c r="H4" i="32" a="1"/>
  <c r="H4" i="32" s="1"/>
  <c r="H5" i="32" a="1"/>
  <c r="H5" i="32" s="1"/>
  <c r="H6" i="32" a="1"/>
  <c r="H6" i="32" s="1"/>
  <c r="H7" i="32" a="1"/>
  <c r="H7" i="32"/>
  <c r="H8" i="32" a="1"/>
  <c r="H8" i="32" s="1"/>
  <c r="H9" i="32" a="1"/>
  <c r="H9" i="32" s="1"/>
  <c r="H10" i="32" a="1"/>
  <c r="H10" i="32" s="1"/>
  <c r="H11" i="32" a="1"/>
  <c r="H11" i="32"/>
  <c r="H12" i="32" a="1"/>
  <c r="H12" i="32" s="1"/>
  <c r="H13" i="32" a="1"/>
  <c r="H13" i="32" s="1"/>
  <c r="H14" i="32" a="1"/>
  <c r="H14" i="32" s="1"/>
  <c r="H15" i="32" a="1"/>
  <c r="H15" i="32"/>
  <c r="H16" i="32" a="1"/>
  <c r="H16" i="32" s="1"/>
  <c r="H17" i="32" a="1"/>
  <c r="H17" i="32" s="1"/>
  <c r="H18" i="32" a="1"/>
  <c r="H18" i="32" s="1"/>
  <c r="H19" i="32" a="1"/>
  <c r="H19" i="32"/>
  <c r="H20" i="32" a="1"/>
  <c r="H20" i="32" s="1"/>
  <c r="H21" i="32" a="1"/>
  <c r="H21" i="32" s="1"/>
  <c r="H22" i="32" a="1"/>
  <c r="H22" i="32" s="1"/>
  <c r="H23" i="32" a="1"/>
  <c r="H23" i="32"/>
  <c r="H24" i="32" a="1"/>
  <c r="H24" i="32" s="1"/>
  <c r="H25" i="32" a="1"/>
  <c r="H25" i="32" s="1"/>
  <c r="H26" i="32" a="1"/>
  <c r="H26" i="32" s="1"/>
  <c r="H27" i="32" a="1"/>
  <c r="H27" i="32"/>
  <c r="H28" i="32" a="1"/>
  <c r="H28" i="32" s="1"/>
  <c r="H29" i="32" a="1"/>
  <c r="H29" i="32" s="1"/>
  <c r="H30" i="32" a="1"/>
  <c r="H30" i="32" s="1"/>
  <c r="H31" i="32" a="1"/>
  <c r="H31" i="32"/>
  <c r="H32" i="32" a="1"/>
  <c r="H32" i="32" s="1"/>
  <c r="H33" i="32" a="1"/>
  <c r="H33" i="32" s="1"/>
  <c r="H34" i="32" a="1"/>
  <c r="H34" i="32" s="1"/>
  <c r="H35" i="32" a="1"/>
  <c r="H35" i="32"/>
  <c r="H36" i="32" a="1"/>
  <c r="H36" i="32" s="1"/>
  <c r="H37" i="32" a="1"/>
  <c r="H37" i="32" s="1"/>
  <c r="H38" i="32" a="1"/>
  <c r="H38" i="32" s="1"/>
  <c r="H39" i="32" a="1"/>
  <c r="H39" i="32"/>
  <c r="H40" i="32" a="1"/>
  <c r="H40" i="32" s="1"/>
  <c r="H41" i="32" a="1"/>
  <c r="H41" i="32" s="1"/>
  <c r="H42" i="32" a="1"/>
  <c r="H42" i="32" s="1"/>
  <c r="H43" i="32" a="1"/>
  <c r="H43" i="32" s="1"/>
  <c r="H44" i="32" a="1"/>
  <c r="H44" i="32" s="1"/>
  <c r="H45" i="32" a="1"/>
  <c r="H45" i="32" s="1"/>
  <c r="H46" i="32" a="1"/>
  <c r="H46" i="32" s="1"/>
  <c r="H47" i="32" a="1"/>
  <c r="H47" i="32" s="1"/>
  <c r="H48" i="32" a="1"/>
  <c r="H48" i="32" s="1"/>
  <c r="H49" i="32" a="1"/>
  <c r="H49" i="32" s="1"/>
  <c r="H50" i="32" a="1"/>
  <c r="H50" i="32" s="1"/>
  <c r="H51" i="32" a="1"/>
  <c r="H51" i="32" s="1"/>
  <c r="H52" i="32" a="1"/>
  <c r="H52" i="32" s="1"/>
  <c r="H53" i="32" a="1"/>
  <c r="H53" i="32" s="1"/>
  <c r="H54" i="32" a="1"/>
  <c r="H54" i="32" s="1"/>
  <c r="H55" i="32" a="1"/>
  <c r="H55" i="32" s="1"/>
  <c r="H56" i="32" a="1"/>
  <c r="H56" i="32" s="1"/>
  <c r="H57" i="32" a="1"/>
  <c r="H57" i="32" s="1"/>
  <c r="H58" i="32" a="1"/>
  <c r="H58" i="32" s="1"/>
  <c r="H59" i="32" a="1"/>
  <c r="H59" i="32" s="1"/>
  <c r="H60" i="32" a="1"/>
  <c r="H60" i="32" s="1"/>
  <c r="H61" i="32" a="1"/>
  <c r="H61" i="32" s="1"/>
  <c r="H62" i="32" a="1"/>
  <c r="H62" i="32" s="1"/>
  <c r="H63" i="32" a="1"/>
  <c r="H63" i="32" s="1"/>
  <c r="H64" i="32" a="1"/>
  <c r="H64" i="32" s="1"/>
  <c r="H65" i="32" a="1"/>
  <c r="H65" i="32" s="1"/>
  <c r="H66" i="32" a="1"/>
  <c r="H66" i="32" s="1"/>
  <c r="H67" i="32" a="1"/>
  <c r="H67" i="32" s="1"/>
  <c r="H68" i="32" a="1"/>
  <c r="H68" i="32" s="1"/>
  <c r="H69" i="32" a="1"/>
  <c r="H69" i="32" s="1"/>
  <c r="H70" i="32" a="1"/>
  <c r="H70" i="32" s="1"/>
  <c r="H71" i="32" a="1"/>
  <c r="H71" i="32" s="1"/>
  <c r="H72" i="32" a="1"/>
  <c r="H72" i="32" s="1"/>
  <c r="H73" i="32" a="1"/>
  <c r="H73" i="32" s="1"/>
  <c r="H74" i="32" a="1"/>
  <c r="H74" i="32" s="1"/>
  <c r="H75" i="32" a="1"/>
  <c r="H75" i="32" s="1"/>
  <c r="H76" i="32" a="1"/>
  <c r="H76" i="32" s="1"/>
  <c r="H77" i="32" a="1"/>
  <c r="H77" i="32" s="1"/>
  <c r="H78" i="32" a="1"/>
  <c r="H78" i="32" s="1"/>
  <c r="H79" i="32" a="1"/>
  <c r="H79" i="32" s="1"/>
  <c r="H80" i="32" a="1"/>
  <c r="H80" i="32" s="1"/>
  <c r="H81" i="32" a="1"/>
  <c r="H81" i="32" s="1"/>
  <c r="H82" i="32" a="1"/>
  <c r="H82" i="32" s="1"/>
  <c r="H83" i="32" a="1"/>
  <c r="H83" i="32" s="1"/>
  <c r="H2" i="32" a="1"/>
  <c r="H2" i="32" s="1"/>
  <c r="A6" i="38" l="1"/>
  <c r="A7" i="38"/>
  <c r="A8" i="38"/>
  <c r="A9" i="38"/>
  <c r="A10" i="38"/>
  <c r="A11" i="38"/>
  <c r="A12" i="38"/>
  <c r="A13" i="38"/>
  <c r="A14" i="38"/>
  <c r="A15" i="38"/>
  <c r="A16" i="38"/>
  <c r="A17" i="38"/>
  <c r="A18" i="38"/>
  <c r="A19" i="38"/>
  <c r="H19" i="35"/>
  <c r="I19" i="35" s="1"/>
  <c r="H18" i="35"/>
  <c r="I18" i="35" s="1"/>
  <c r="I7" i="35"/>
  <c r="I5" i="35"/>
  <c r="A6" i="35"/>
  <c r="A7" i="35"/>
  <c r="A8" i="35"/>
  <c r="A9" i="35"/>
  <c r="A10" i="35"/>
  <c r="A11" i="35"/>
  <c r="A12" i="35"/>
  <c r="A13" i="35"/>
  <c r="A14" i="35"/>
  <c r="A15" i="35"/>
  <c r="A16" i="35"/>
  <c r="A17" i="35"/>
  <c r="A18" i="35"/>
  <c r="A19" i="35"/>
  <c r="F130" i="1"/>
  <c r="F129" i="1"/>
  <c r="F128" i="1"/>
  <c r="F127" i="1"/>
  <c r="F126" i="1"/>
  <c r="F125" i="1"/>
  <c r="F124" i="1"/>
  <c r="F123" i="1"/>
  <c r="F101" i="1"/>
  <c r="F100" i="1"/>
  <c r="F99" i="1"/>
  <c r="F98" i="1"/>
  <c r="F97" i="1"/>
  <c r="F96" i="1"/>
  <c r="F95" i="1"/>
  <c r="F94" i="1"/>
  <c r="F93" i="1"/>
  <c r="F92" i="1"/>
  <c r="F91" i="1"/>
  <c r="F90" i="1"/>
  <c r="B81" i="1"/>
  <c r="B80" i="1"/>
  <c r="B79" i="1"/>
  <c r="B78" i="1"/>
  <c r="B77" i="1"/>
  <c r="B75" i="1" s="1"/>
  <c r="B76" i="1"/>
  <c r="B74" i="1" s="1"/>
  <c r="H66" i="1"/>
  <c r="H65" i="1"/>
  <c r="H63" i="1"/>
  <c r="H62" i="1"/>
  <c r="H61" i="1"/>
  <c r="I61" i="1" s="1"/>
  <c r="C45" i="1"/>
  <c r="B45" i="1"/>
  <c r="K41" i="1"/>
  <c r="J41" i="1"/>
  <c r="C41" i="1"/>
  <c r="B41" i="1"/>
  <c r="J40" i="1"/>
  <c r="C40" i="1"/>
  <c r="B40" i="1"/>
  <c r="C39" i="1"/>
  <c r="B39" i="1"/>
  <c r="K38" i="1"/>
  <c r="J38" i="1"/>
  <c r="C38" i="1"/>
  <c r="B38" i="1"/>
  <c r="C37" i="1"/>
  <c r="B37" i="1"/>
  <c r="C36" i="1"/>
  <c r="B36" i="1"/>
  <c r="K35" i="1"/>
  <c r="J35" i="1"/>
  <c r="C35" i="1"/>
  <c r="B35" i="1"/>
  <c r="K33" i="1"/>
  <c r="J33" i="1"/>
  <c r="C33" i="1"/>
  <c r="B33" i="1"/>
  <c r="K32" i="1"/>
  <c r="J32" i="1"/>
  <c r="C32" i="1"/>
  <c r="B32" i="1"/>
  <c r="K31" i="1"/>
  <c r="J31" i="1"/>
  <c r="C31" i="1"/>
  <c r="B31" i="1"/>
  <c r="L22" i="1"/>
  <c r="G12" i="1"/>
  <c r="G11" i="1"/>
  <c r="D11" i="1"/>
  <c r="G10" i="1"/>
  <c r="P6" i="1"/>
  <c r="P7" i="1" s="1"/>
  <c r="P8" i="1" s="1"/>
  <c r="G5" i="1"/>
  <c r="P9" i="1" l="1"/>
  <c r="P10" i="1"/>
  <c r="P11" i="1" s="1"/>
  <c r="P12" i="1" s="1"/>
  <c r="P13" i="1" s="1"/>
  <c r="J3" i="22"/>
  <c r="J2" i="22"/>
  <c r="P17" i="1" l="1"/>
  <c r="P18" i="1" s="1"/>
  <c r="P19" i="1" s="1"/>
  <c r="P14" i="1"/>
  <c r="P15" i="1" s="1"/>
  <c r="P16" i="1" s="1"/>
  <c r="H6" i="38" a="1"/>
  <c r="H6" i="38" s="1"/>
  <c r="K5" i="38" l="1" a="1"/>
  <c r="I5" i="38"/>
  <c r="B25" i="38"/>
  <c r="B23" i="38"/>
  <c r="B20" i="38"/>
  <c r="B13" i="18" l="1"/>
  <c r="B22" i="38" l="1"/>
  <c r="B21" i="38" l="1"/>
  <c r="K2" i="22" l="1"/>
  <c r="K3" i="22"/>
  <c r="C29" i="35" l="1"/>
  <c r="D29" i="35"/>
  <c r="E29" i="35"/>
  <c r="F29" i="35"/>
  <c r="G29" i="35"/>
  <c r="H29" i="35"/>
  <c r="I29" i="35"/>
  <c r="N5" i="38" l="1" a="1"/>
  <c r="N5" i="38" s="1"/>
  <c r="N6" i="38" s="1" a="1"/>
  <c r="N6" i="38" s="1"/>
  <c r="O5" i="38" l="1"/>
  <c r="Q5" i="38"/>
  <c r="L5" i="38" a="1"/>
  <c r="I6" i="38"/>
  <c r="R6" i="38"/>
  <c r="Q6" i="38"/>
  <c r="O6" i="38"/>
  <c r="P6" i="38"/>
  <c r="N7" i="38" a="1"/>
  <c r="N7" i="38" s="1"/>
  <c r="P5" i="38"/>
  <c r="R5" i="38"/>
  <c r="N8" i="38" l="1" a="1"/>
  <c r="N8" i="38" s="1"/>
  <c r="P7" i="38"/>
  <c r="R7" i="38"/>
  <c r="O7" i="38"/>
  <c r="Q7" i="38"/>
  <c r="H7" i="38" a="1"/>
  <c r="H7" i="38" s="1"/>
  <c r="L6" i="38" a="1"/>
  <c r="K6" i="38" a="1"/>
  <c r="H8" i="38" l="1" a="1"/>
  <c r="H8" i="38" s="1"/>
  <c r="I8" i="38" s="1"/>
  <c r="I7" i="38"/>
  <c r="L7" i="38" a="1"/>
  <c r="K7" i="38" a="1"/>
  <c r="N9" i="38" a="1"/>
  <c r="N9" i="38" s="1"/>
  <c r="Q8" i="38"/>
  <c r="P8" i="38"/>
  <c r="O8" i="38"/>
  <c r="R8" i="38"/>
  <c r="K8" i="38" l="1" a="1"/>
  <c r="L8" i="38" a="1"/>
  <c r="H9" i="38" a="1"/>
  <c r="H9" i="38" s="1"/>
  <c r="K9" i="38" s="1" a="1"/>
  <c r="Q9" i="38"/>
  <c r="P9" i="38"/>
  <c r="O9" i="38"/>
  <c r="R9" i="38"/>
  <c r="N10" i="38" a="1"/>
  <c r="N10" i="38" s="1"/>
  <c r="L9" i="38" l="1" a="1"/>
  <c r="H10" i="38" a="1"/>
  <c r="H10" i="38" s="1"/>
  <c r="I9" i="38"/>
  <c r="R10" i="38"/>
  <c r="Q10" i="38"/>
  <c r="P10" i="38"/>
  <c r="O10" i="38"/>
  <c r="N11" i="38" a="1"/>
  <c r="N11" i="38" s="1"/>
  <c r="K10" i="38" l="1" a="1"/>
  <c r="L10" i="38" a="1"/>
  <c r="H11" i="38" a="1"/>
  <c r="H11" i="38" s="1"/>
  <c r="I10" i="38"/>
  <c r="R11" i="38"/>
  <c r="O11" i="38"/>
  <c r="Q11" i="38"/>
  <c r="P11" i="38"/>
  <c r="N12" i="38" a="1"/>
  <c r="N12" i="38" s="1"/>
  <c r="N13" i="38" s="1" a="1"/>
  <c r="N13" i="38" s="1"/>
  <c r="I11" i="38" l="1"/>
  <c r="K11" i="38" a="1"/>
  <c r="L11" i="38" a="1"/>
  <c r="H12" i="38" a="1"/>
  <c r="H12" i="38" s="1"/>
  <c r="Q13" i="38"/>
  <c r="P13" i="38"/>
  <c r="O13" i="38"/>
  <c r="R13" i="38"/>
  <c r="Q12" i="38"/>
  <c r="P12" i="38"/>
  <c r="O12" i="38"/>
  <c r="R12" i="38"/>
  <c r="N14" i="38" a="1"/>
  <c r="N14" i="38" s="1"/>
  <c r="N20" i="38" s="1" a="1"/>
  <c r="N20" i="38" s="1"/>
  <c r="N21" i="38" s="1" a="1"/>
  <c r="N21" i="38" s="1"/>
  <c r="I12" i="38" l="1"/>
  <c r="L12" i="38" a="1"/>
  <c r="K12" i="38" a="1"/>
  <c r="H13" i="38" a="1"/>
  <c r="H13" i="38" s="1"/>
  <c r="Q21" i="38"/>
  <c r="P21" i="38"/>
  <c r="O21" i="38"/>
  <c r="R21" i="38"/>
  <c r="R14" i="38"/>
  <c r="Q14" i="38"/>
  <c r="P14" i="38"/>
  <c r="O14" i="38"/>
  <c r="R20" i="38"/>
  <c r="P20" i="38"/>
  <c r="O20" i="38"/>
  <c r="Q20" i="38"/>
  <c r="N22" i="38" a="1"/>
  <c r="N22" i="38" s="1"/>
  <c r="I13" i="38" l="1"/>
  <c r="K13" i="38" a="1"/>
  <c r="L13" i="38" a="1"/>
  <c r="H14" i="38" a="1"/>
  <c r="H14" i="38" s="1"/>
  <c r="Q22" i="38"/>
  <c r="P22" i="38"/>
  <c r="O22" i="38"/>
  <c r="R22" i="38"/>
  <c r="N23" i="38" a="1"/>
  <c r="N23" i="38" s="1"/>
  <c r="I14" i="38" l="1"/>
  <c r="L14" i="38" a="1"/>
  <c r="K14" i="38" a="1"/>
  <c r="H20" i="38" a="1"/>
  <c r="H20" i="38" s="1"/>
  <c r="R23" i="38"/>
  <c r="Q23" i="38"/>
  <c r="P23" i="38"/>
  <c r="O23" i="38"/>
  <c r="N24" i="38" a="1"/>
  <c r="N24" i="38" s="1"/>
  <c r="L20" i="38" l="1" a="1"/>
  <c r="K20" i="38" a="1"/>
  <c r="H21" i="38" a="1"/>
  <c r="H21" i="38" s="1"/>
  <c r="I20" i="38"/>
  <c r="N25" i="38" a="1"/>
  <c r="N25" i="38" s="1"/>
  <c r="R24" i="38"/>
  <c r="Q24" i="38"/>
  <c r="P24" i="38"/>
  <c r="O24" i="38"/>
  <c r="I21" i="38" l="1"/>
  <c r="L21" i="38" a="1"/>
  <c r="K21" i="38" a="1"/>
  <c r="H22" i="38" a="1"/>
  <c r="H22" i="38" s="1"/>
  <c r="N26" i="38" a="1"/>
  <c r="N26" i="38" s="1"/>
  <c r="Q25" i="38"/>
  <c r="P25" i="38"/>
  <c r="O25" i="38"/>
  <c r="R25" i="38"/>
  <c r="I22" i="38" l="1"/>
  <c r="L22" i="38" a="1"/>
  <c r="K22" i="38" a="1"/>
  <c r="H23" i="38" a="1"/>
  <c r="H23" i="38" s="1"/>
  <c r="N27" i="38" a="1"/>
  <c r="N27" i="38" s="1"/>
  <c r="Q26" i="38"/>
  <c r="P26" i="38"/>
  <c r="O26" i="38"/>
  <c r="R26" i="38"/>
  <c r="J9" i="38"/>
  <c r="J13" i="38"/>
  <c r="J5" i="38"/>
  <c r="J8" i="38"/>
  <c r="J12" i="38"/>
  <c r="J14" i="38"/>
  <c r="I23" i="38" l="1"/>
  <c r="L23" i="38" a="1"/>
  <c r="K23" i="38" a="1"/>
  <c r="J23" i="38"/>
  <c r="H24" i="38" a="1"/>
  <c r="H24" i="38" s="1"/>
  <c r="R27" i="38"/>
  <c r="Q27" i="38"/>
  <c r="P27" i="38"/>
  <c r="O27" i="38"/>
  <c r="N28" i="38" a="1"/>
  <c r="N28" i="38" s="1"/>
  <c r="J21" i="38"/>
  <c r="J11" i="38"/>
  <c r="J7" i="38"/>
  <c r="J20" i="38"/>
  <c r="J6" i="38"/>
  <c r="J22" i="38"/>
  <c r="J10" i="38"/>
  <c r="K24" i="38" l="1" a="1"/>
  <c r="L24" i="38" a="1"/>
  <c r="I24" i="38"/>
  <c r="J24" i="38"/>
  <c r="H25" i="38" a="1"/>
  <c r="H25" i="38" s="1"/>
  <c r="N29" i="38" a="1"/>
  <c r="N29" i="38" s="1"/>
  <c r="R28" i="38"/>
  <c r="O28" i="38"/>
  <c r="Q28" i="38"/>
  <c r="P28" i="38"/>
  <c r="L25" i="38" l="1" a="1"/>
  <c r="K25" i="38" a="1"/>
  <c r="H26" i="38" a="1"/>
  <c r="H26" i="38" s="1"/>
  <c r="I25" i="38"/>
  <c r="J25" i="38"/>
  <c r="N30" i="38" a="1"/>
  <c r="N30" i="38" s="1"/>
  <c r="Q29" i="38"/>
  <c r="P29" i="38"/>
  <c r="O29" i="38"/>
  <c r="R29" i="38"/>
  <c r="L26" i="38" l="1" a="1"/>
  <c r="K26" i="38" a="1"/>
  <c r="H27" i="38" a="1"/>
  <c r="H27" i="38" s="1"/>
  <c r="I26" i="38"/>
  <c r="J26" i="38"/>
  <c r="N31" i="38" a="1"/>
  <c r="N31" i="38" s="1"/>
  <c r="Q30" i="38"/>
  <c r="P30" i="38"/>
  <c r="O30" i="38"/>
  <c r="R30" i="38"/>
  <c r="L27" i="38" l="1" a="1"/>
  <c r="K27" i="38" a="1"/>
  <c r="H28" i="38" a="1"/>
  <c r="H28" i="38" s="1"/>
  <c r="J27" i="38"/>
  <c r="I27" i="38"/>
  <c r="N32" i="38" a="1"/>
  <c r="N32" i="38" s="1"/>
  <c r="R31" i="38"/>
  <c r="Q31" i="38"/>
  <c r="P31" i="38"/>
  <c r="O31" i="38"/>
  <c r="K28" i="38" l="1" a="1"/>
  <c r="L28" i="38" a="1"/>
  <c r="J28" i="38"/>
  <c r="I28" i="38"/>
  <c r="H29" i="38" a="1"/>
  <c r="H29" i="38" s="1"/>
  <c r="N33" i="38" a="1"/>
  <c r="N33" i="38" s="1"/>
  <c r="R32" i="38"/>
  <c r="O32" i="38"/>
  <c r="Q32" i="38"/>
  <c r="P32" i="38"/>
  <c r="L29" i="38" l="1" a="1"/>
  <c r="K29" i="38" a="1"/>
  <c r="H30" i="38" a="1"/>
  <c r="H30" i="38" s="1"/>
  <c r="I29" i="38"/>
  <c r="J29" i="38"/>
  <c r="N34" i="38" a="1"/>
  <c r="N34" i="38" s="1"/>
  <c r="Q33" i="38"/>
  <c r="P33" i="38"/>
  <c r="O33" i="38"/>
  <c r="R33" i="38"/>
  <c r="K30" i="38" l="1" a="1"/>
  <c r="L30" i="38" a="1"/>
  <c r="I30" i="38"/>
  <c r="J30" i="38"/>
  <c r="H31" i="38" a="1"/>
  <c r="H31" i="38" s="1"/>
  <c r="N35" i="38" a="1"/>
  <c r="N35" i="38" s="1"/>
  <c r="Q34" i="38"/>
  <c r="P34" i="38"/>
  <c r="O34" i="38"/>
  <c r="R34" i="38"/>
  <c r="L31" i="38" l="1" a="1"/>
  <c r="K31" i="38" a="1"/>
  <c r="I31" i="38"/>
  <c r="J31" i="38"/>
  <c r="H32" i="38" a="1"/>
  <c r="H32" i="38" s="1"/>
  <c r="N36" i="38" a="1"/>
  <c r="N36" i="38" s="1"/>
  <c r="R35" i="38"/>
  <c r="Q35" i="38"/>
  <c r="P35" i="38"/>
  <c r="O35" i="38"/>
  <c r="K32" i="38" l="1" a="1"/>
  <c r="L32" i="38" a="1"/>
  <c r="I32" i="38"/>
  <c r="J32" i="38"/>
  <c r="H33" i="38" a="1"/>
  <c r="H33" i="38" s="1"/>
  <c r="N37" i="38" a="1"/>
  <c r="N37" i="38" s="1"/>
  <c r="R36" i="38"/>
  <c r="P36" i="38"/>
  <c r="O36" i="38"/>
  <c r="Q36" i="38"/>
  <c r="L33" i="38" l="1" a="1"/>
  <c r="K33" i="38" a="1"/>
  <c r="H34" i="38" a="1"/>
  <c r="H34" i="38" s="1"/>
  <c r="I33" i="38"/>
  <c r="J33" i="38"/>
  <c r="N38" i="38" a="1"/>
  <c r="N38" i="38" s="1"/>
  <c r="Q37" i="38"/>
  <c r="P37" i="38"/>
  <c r="O37" i="38"/>
  <c r="R37" i="38"/>
  <c r="L34" i="38" l="1" a="1"/>
  <c r="K34" i="38" a="1"/>
  <c r="I34" i="38"/>
  <c r="J34" i="38"/>
  <c r="H35" i="38" a="1"/>
  <c r="H35" i="38" s="1"/>
  <c r="N39" i="38" a="1"/>
  <c r="N39" i="38" s="1"/>
  <c r="Q38" i="38"/>
  <c r="P38" i="38"/>
  <c r="O38" i="38"/>
  <c r="R38" i="38"/>
  <c r="H36" i="38" l="1" a="1"/>
  <c r="H36" i="38" s="1"/>
  <c r="J36" i="38" s="1"/>
  <c r="L35" i="38" a="1"/>
  <c r="K35" i="38" a="1"/>
  <c r="I35" i="38"/>
  <c r="J35" i="38"/>
  <c r="N40" i="38" a="1"/>
  <c r="N40" i="38" s="1"/>
  <c r="R39" i="38"/>
  <c r="Q39" i="38"/>
  <c r="P39" i="38"/>
  <c r="O39" i="38"/>
  <c r="E3" i="38"/>
  <c r="H37" i="38" l="1" a="1"/>
  <c r="H37" i="38" s="1"/>
  <c r="I37" i="38" s="1"/>
  <c r="I36" i="38"/>
  <c r="L36" i="38" a="1"/>
  <c r="K36" i="38" a="1"/>
  <c r="E21" i="38"/>
  <c r="F21" i="38" s="1"/>
  <c r="N41" i="38" a="1"/>
  <c r="N41" i="38" s="1"/>
  <c r="R40" i="38"/>
  <c r="Q40" i="38"/>
  <c r="P40" i="38"/>
  <c r="O40" i="38"/>
  <c r="E22" i="38"/>
  <c r="E25" i="38"/>
  <c r="E24" i="38"/>
  <c r="E23" i="38"/>
  <c r="D3" i="38"/>
  <c r="C3" i="38"/>
  <c r="B24" i="38"/>
  <c r="H38" i="38" l="1" a="1"/>
  <c r="H38" i="38" s="1"/>
  <c r="J37" i="38"/>
  <c r="L37" i="38" a="1"/>
  <c r="K37" i="38" a="1"/>
  <c r="F22" i="38"/>
  <c r="D21" i="38"/>
  <c r="C21" i="38"/>
  <c r="N42" i="38" a="1"/>
  <c r="N42" i="38" s="1"/>
  <c r="Q41" i="38"/>
  <c r="P41" i="38"/>
  <c r="O41" i="38"/>
  <c r="R41" i="38"/>
  <c r="F25" i="38"/>
  <c r="F23" i="38"/>
  <c r="F24" i="38"/>
  <c r="D25" i="38"/>
  <c r="D22" i="38"/>
  <c r="D24" i="38"/>
  <c r="D23" i="38"/>
  <c r="C25" i="38"/>
  <c r="C24" i="38"/>
  <c r="C23" i="38"/>
  <c r="C22" i="38"/>
  <c r="D27" i="38"/>
  <c r="C27" i="38"/>
  <c r="B14" i="38"/>
  <c r="B13" i="38"/>
  <c r="B12" i="38"/>
  <c r="B11" i="38"/>
  <c r="B10" i="38"/>
  <c r="B9" i="38"/>
  <c r="B8" i="38"/>
  <c r="B7" i="38"/>
  <c r="B6" i="38"/>
  <c r="A5" i="38"/>
  <c r="B5" i="38" s="1"/>
  <c r="J38" i="38" l="1"/>
  <c r="I38" i="38"/>
  <c r="H39" i="38" a="1"/>
  <c r="H39" i="38" s="1"/>
  <c r="L38" i="38" a="1"/>
  <c r="K38" i="38" a="1"/>
  <c r="E5" i="38"/>
  <c r="F5" i="38" s="1"/>
  <c r="E7" i="38"/>
  <c r="F7" i="38" s="1"/>
  <c r="E9" i="38"/>
  <c r="F9" i="38" s="1"/>
  <c r="E11" i="38"/>
  <c r="F11" i="38" s="1"/>
  <c r="E13" i="38"/>
  <c r="F13" i="38" s="1"/>
  <c r="E6" i="38"/>
  <c r="F6" i="38" s="1"/>
  <c r="E8" i="38"/>
  <c r="F8" i="38" s="1"/>
  <c r="E10" i="38"/>
  <c r="F10" i="38" s="1"/>
  <c r="E12" i="38"/>
  <c r="E14" i="38"/>
  <c r="F14" i="38" s="1"/>
  <c r="N43" i="38" a="1"/>
  <c r="N43" i="38" s="1"/>
  <c r="Q42" i="38"/>
  <c r="P42" i="38"/>
  <c r="O42" i="38"/>
  <c r="R42" i="38"/>
  <c r="D5" i="38"/>
  <c r="C5" i="38"/>
  <c r="D7" i="38"/>
  <c r="C7" i="38"/>
  <c r="D9" i="38"/>
  <c r="C9" i="38"/>
  <c r="D11" i="38"/>
  <c r="C11" i="38"/>
  <c r="D13" i="38"/>
  <c r="C13" i="38"/>
  <c r="D6" i="38"/>
  <c r="C6" i="38"/>
  <c r="D8" i="38"/>
  <c r="C8" i="38"/>
  <c r="D10" i="38"/>
  <c r="C10" i="38"/>
  <c r="D12" i="38"/>
  <c r="C12" i="38"/>
  <c r="D14" i="38"/>
  <c r="C14" i="38"/>
  <c r="K39" i="38" l="1" a="1"/>
  <c r="L39" i="38" a="1"/>
  <c r="J39" i="38"/>
  <c r="I39" i="38"/>
  <c r="H40" i="38" a="1"/>
  <c r="H40" i="38" s="1"/>
  <c r="F12" i="38"/>
  <c r="D30" i="38" a="1"/>
  <c r="D30" i="38" s="1"/>
  <c r="D32" i="38" s="1"/>
  <c r="C30" i="38" a="1"/>
  <c r="C30" i="38" s="1"/>
  <c r="C32" i="38" s="1"/>
  <c r="N44" i="38" a="1"/>
  <c r="N44" i="38" s="1"/>
  <c r="R43" i="38"/>
  <c r="Q43" i="38"/>
  <c r="P43" i="38"/>
  <c r="O43" i="38"/>
  <c r="J22" i="36"/>
  <c r="I22" i="36"/>
  <c r="H22" i="36"/>
  <c r="G22" i="36"/>
  <c r="F22" i="36"/>
  <c r="E22" i="36"/>
  <c r="D22" i="36"/>
  <c r="C22" i="36"/>
  <c r="B22" i="36"/>
  <c r="J14" i="36"/>
  <c r="I14" i="36"/>
  <c r="H14" i="36"/>
  <c r="F14" i="36"/>
  <c r="E14" i="36"/>
  <c r="D14" i="36"/>
  <c r="C14" i="36"/>
  <c r="A14" i="36"/>
  <c r="J13" i="36"/>
  <c r="I13" i="36"/>
  <c r="G13" i="36"/>
  <c r="F13" i="36"/>
  <c r="E13" i="36"/>
  <c r="D13" i="36"/>
  <c r="C13" i="36"/>
  <c r="A13" i="36"/>
  <c r="J12" i="36"/>
  <c r="I12" i="36"/>
  <c r="G12" i="36"/>
  <c r="F12" i="36"/>
  <c r="E12" i="36"/>
  <c r="D12" i="36"/>
  <c r="C12" i="36"/>
  <c r="A12" i="36"/>
  <c r="J11" i="36"/>
  <c r="I11" i="36"/>
  <c r="H11" i="36"/>
  <c r="G11" i="36"/>
  <c r="F11" i="36"/>
  <c r="E11" i="36"/>
  <c r="D11" i="36"/>
  <c r="C11" i="36"/>
  <c r="A11" i="36"/>
  <c r="J10" i="36"/>
  <c r="I10" i="36"/>
  <c r="H10" i="36"/>
  <c r="G10" i="36"/>
  <c r="F10" i="36"/>
  <c r="E10" i="36"/>
  <c r="D10" i="36"/>
  <c r="C10" i="36"/>
  <c r="A10" i="36"/>
  <c r="J9" i="36"/>
  <c r="I9" i="36"/>
  <c r="H9" i="36"/>
  <c r="G9" i="36"/>
  <c r="F9" i="36"/>
  <c r="E9" i="36"/>
  <c r="D9" i="36"/>
  <c r="C9" i="36"/>
  <c r="A9" i="36"/>
  <c r="J8" i="36"/>
  <c r="I8" i="36"/>
  <c r="H8" i="36"/>
  <c r="G8" i="36"/>
  <c r="F8" i="36"/>
  <c r="E8" i="36"/>
  <c r="D8" i="36"/>
  <c r="C8" i="36"/>
  <c r="A8" i="36"/>
  <c r="J7" i="36"/>
  <c r="I7" i="36"/>
  <c r="H7" i="36"/>
  <c r="G7" i="36"/>
  <c r="F7" i="36"/>
  <c r="E7" i="36"/>
  <c r="D7" i="36"/>
  <c r="C7" i="36"/>
  <c r="A7" i="36"/>
  <c r="J6" i="36"/>
  <c r="I6" i="36"/>
  <c r="H6" i="36"/>
  <c r="G6" i="36"/>
  <c r="F6" i="36"/>
  <c r="E6" i="36"/>
  <c r="D6" i="36"/>
  <c r="C6" i="36"/>
  <c r="A6" i="36"/>
  <c r="J5" i="36"/>
  <c r="I5" i="36"/>
  <c r="H5" i="36"/>
  <c r="G5" i="36"/>
  <c r="F5" i="36"/>
  <c r="E5" i="36"/>
  <c r="D5" i="36"/>
  <c r="C5" i="36"/>
  <c r="B5" i="36"/>
  <c r="A5" i="36"/>
  <c r="B29" i="35"/>
  <c r="A5" i="35"/>
  <c r="H41" i="38" l="1" a="1"/>
  <c r="H41" i="38" s="1"/>
  <c r="H42" i="38" s="1" a="1"/>
  <c r="H42" i="38" s="1"/>
  <c r="L40" i="38" a="1"/>
  <c r="K40" i="38" a="1"/>
  <c r="I40" i="38"/>
  <c r="J40" i="38"/>
  <c r="N45" i="38" a="1"/>
  <c r="N45" i="38" s="1"/>
  <c r="R44" i="38"/>
  <c r="O44" i="38"/>
  <c r="Q44" i="38"/>
  <c r="P44" i="38"/>
  <c r="I42" i="38" l="1"/>
  <c r="L42" i="38" a="1"/>
  <c r="K42" i="38" a="1"/>
  <c r="J42" i="38"/>
  <c r="L41" i="38" a="1"/>
  <c r="K41" i="38" a="1"/>
  <c r="J41" i="38"/>
  <c r="I41" i="38"/>
  <c r="H43" i="38" a="1"/>
  <c r="H43" i="38" s="1"/>
  <c r="N46" i="38" a="1"/>
  <c r="N46" i="38" s="1"/>
  <c r="Q45" i="38"/>
  <c r="P45" i="38"/>
  <c r="O45" i="38"/>
  <c r="R45" i="38"/>
  <c r="B7" i="36"/>
  <c r="B6" i="36"/>
  <c r="I43" i="38" l="1"/>
  <c r="L43" i="38" a="1"/>
  <c r="K43" i="38" a="1"/>
  <c r="J43" i="38"/>
  <c r="H44" i="38" a="1"/>
  <c r="H44" i="38" s="1"/>
  <c r="N47" i="38" a="1"/>
  <c r="N47" i="38" s="1"/>
  <c r="Q46" i="38"/>
  <c r="P46" i="38"/>
  <c r="O46" i="38"/>
  <c r="R46" i="38"/>
  <c r="I44" i="38" l="1"/>
  <c r="K44" i="38" a="1"/>
  <c r="L44" i="38" a="1"/>
  <c r="J44" i="38"/>
  <c r="H45" i="38" a="1"/>
  <c r="H45" i="38" s="1"/>
  <c r="B8" i="36"/>
  <c r="N48" i="38" a="1"/>
  <c r="N48" i="38" s="1"/>
  <c r="R47" i="38"/>
  <c r="Q47" i="38"/>
  <c r="P47" i="38"/>
  <c r="O47" i="38"/>
  <c r="I45" i="38" l="1"/>
  <c r="L45" i="38" a="1"/>
  <c r="K45" i="38" a="1"/>
  <c r="J45" i="38"/>
  <c r="H46" i="38" a="1"/>
  <c r="H46" i="38" s="1"/>
  <c r="N49" i="38" a="1"/>
  <c r="N49" i="38" s="1"/>
  <c r="R48" i="38"/>
  <c r="O48" i="38"/>
  <c r="Q48" i="38"/>
  <c r="P48" i="38"/>
  <c r="B9" i="36"/>
  <c r="B11" i="36"/>
  <c r="B10" i="36"/>
  <c r="I46" i="38" l="1"/>
  <c r="K46" i="38" a="1"/>
  <c r="L46" i="38" a="1"/>
  <c r="J46" i="38"/>
  <c r="H47" i="38" a="1"/>
  <c r="H47" i="38" s="1"/>
  <c r="N50" i="38" a="1"/>
  <c r="N50" i="38" s="1"/>
  <c r="Q49" i="38"/>
  <c r="P49" i="38"/>
  <c r="O49" i="38"/>
  <c r="R49" i="38"/>
  <c r="B12" i="36"/>
  <c r="I47" i="38" l="1"/>
  <c r="K47" i="38" a="1"/>
  <c r="L47" i="38" a="1"/>
  <c r="J47" i="38"/>
  <c r="H48" i="38" a="1"/>
  <c r="H48" i="38" s="1"/>
  <c r="N51" i="38" a="1"/>
  <c r="N51" i="38" s="1"/>
  <c r="Q50" i="38"/>
  <c r="P50" i="38"/>
  <c r="O50" i="38"/>
  <c r="R50" i="38"/>
  <c r="B13" i="36"/>
  <c r="B14" i="36"/>
  <c r="I48" i="38" l="1"/>
  <c r="L48" i="38" a="1"/>
  <c r="K48" i="38" a="1"/>
  <c r="J48" i="38"/>
  <c r="H49" i="38" a="1"/>
  <c r="H49" i="38" s="1"/>
  <c r="N52" i="38" a="1"/>
  <c r="N52" i="38" s="1"/>
  <c r="R51" i="38"/>
  <c r="Q51" i="38"/>
  <c r="P51" i="38"/>
  <c r="O51" i="38"/>
  <c r="I49" i="38" l="1"/>
  <c r="L49" i="38" a="1"/>
  <c r="K49" i="38" a="1"/>
  <c r="J49" i="38"/>
  <c r="H50" i="38" a="1"/>
  <c r="H50" i="38" s="1"/>
  <c r="N53" i="38" a="1"/>
  <c r="N53" i="38" s="1"/>
  <c r="R52" i="38"/>
  <c r="P52" i="38"/>
  <c r="O52" i="38"/>
  <c r="Q52" i="38"/>
  <c r="I50" i="38" l="1"/>
  <c r="K50" i="38" a="1"/>
  <c r="L50" i="38" a="1"/>
  <c r="J50" i="38"/>
  <c r="H51" i="38" a="1"/>
  <c r="H51" i="38" s="1"/>
  <c r="N54" i="38" a="1"/>
  <c r="N54" i="38" s="1"/>
  <c r="Q53" i="38"/>
  <c r="P53" i="38"/>
  <c r="O53" i="38"/>
  <c r="R53" i="38"/>
  <c r="I51" i="38" l="1"/>
  <c r="L51" i="38" a="1"/>
  <c r="K51" i="38" a="1"/>
  <c r="J51" i="38"/>
  <c r="H52" i="38" a="1"/>
  <c r="H52" i="38" s="1"/>
  <c r="N55" i="38" a="1"/>
  <c r="N55" i="38" s="1"/>
  <c r="Q54" i="38"/>
  <c r="P54" i="38"/>
  <c r="O54" i="38"/>
  <c r="R54" i="38"/>
  <c r="I52" i="38" l="1"/>
  <c r="L52" i="38" a="1"/>
  <c r="K52" i="38" a="1"/>
  <c r="J52" i="38"/>
  <c r="H53" i="38" a="1"/>
  <c r="H53" i="38" s="1"/>
  <c r="N56" i="38" a="1"/>
  <c r="N56" i="38" s="1"/>
  <c r="R55" i="38"/>
  <c r="Q55" i="38"/>
  <c r="P55" i="38"/>
  <c r="O55" i="38"/>
  <c r="I53" i="38" l="1"/>
  <c r="L53" i="38" a="1"/>
  <c r="K53" i="38" a="1"/>
  <c r="J53" i="38"/>
  <c r="H54" i="38" a="1"/>
  <c r="H54" i="38" s="1"/>
  <c r="N57" i="38" a="1"/>
  <c r="N57" i="38" s="1"/>
  <c r="R56" i="38"/>
  <c r="Q56" i="38"/>
  <c r="P56" i="38"/>
  <c r="O56" i="38"/>
  <c r="I54" i="38" l="1"/>
  <c r="L54" i="38" a="1"/>
  <c r="K54" i="38" a="1"/>
  <c r="J54" i="38"/>
  <c r="H55" i="38" a="1"/>
  <c r="H55" i="38" s="1"/>
  <c r="N58" i="38" a="1"/>
  <c r="N58" i="38" s="1"/>
  <c r="Q57" i="38"/>
  <c r="P57" i="38"/>
  <c r="O57" i="38"/>
  <c r="R57" i="38"/>
  <c r="I55" i="38" l="1"/>
  <c r="K55" i="38" a="1"/>
  <c r="L55" i="38" a="1"/>
  <c r="J55" i="38"/>
  <c r="H56" i="38" a="1"/>
  <c r="H56" i="38" s="1"/>
  <c r="N59" i="38" a="1"/>
  <c r="N59" i="38" s="1"/>
  <c r="Q58" i="38"/>
  <c r="P58" i="38"/>
  <c r="O58" i="38"/>
  <c r="R58" i="38"/>
  <c r="I56" i="38" l="1"/>
  <c r="L56" i="38" a="1"/>
  <c r="K56" i="38" a="1"/>
  <c r="J56" i="38"/>
  <c r="H57" i="38" a="1"/>
  <c r="H57" i="38" s="1"/>
  <c r="N60" i="38" a="1"/>
  <c r="N60" i="38" s="1"/>
  <c r="R59" i="38"/>
  <c r="Q59" i="38"/>
  <c r="P59" i="38"/>
  <c r="O59" i="38"/>
  <c r="I57" i="38" l="1"/>
  <c r="L57" i="38" a="1"/>
  <c r="K57" i="38" a="1"/>
  <c r="J57" i="38"/>
  <c r="H58" i="38" a="1"/>
  <c r="H58" i="38" s="1"/>
  <c r="N61" i="38" a="1"/>
  <c r="N61" i="38" s="1"/>
  <c r="R60" i="38"/>
  <c r="O60" i="38"/>
  <c r="Q60" i="38"/>
  <c r="P60" i="38"/>
  <c r="I58" i="38" l="1"/>
  <c r="L58" i="38" a="1"/>
  <c r="K58" i="38" a="1"/>
  <c r="J58" i="38"/>
  <c r="H59" i="38" a="1"/>
  <c r="H59" i="38" s="1"/>
  <c r="N62" i="38" a="1"/>
  <c r="N62" i="38" s="1"/>
  <c r="Q61" i="38"/>
  <c r="P61" i="38"/>
  <c r="O61" i="38"/>
  <c r="R61" i="38"/>
  <c r="I59" i="38" l="1"/>
  <c r="K59" i="38" a="1"/>
  <c r="L59" i="38" a="1"/>
  <c r="J59" i="38"/>
  <c r="H60" i="38" a="1"/>
  <c r="H60" i="38" s="1"/>
  <c r="N63" i="38" a="1"/>
  <c r="N63" i="38" s="1"/>
  <c r="Q62" i="38"/>
  <c r="P62" i="38"/>
  <c r="O62" i="38"/>
  <c r="R62" i="38"/>
  <c r="I60" i="38" l="1"/>
  <c r="K60" i="38" a="1"/>
  <c r="L60" i="38" a="1"/>
  <c r="J60" i="38"/>
  <c r="H61" i="38" a="1"/>
  <c r="H61" i="38" s="1"/>
  <c r="N64" i="38" a="1"/>
  <c r="N64" i="38" s="1"/>
  <c r="R63" i="38"/>
  <c r="Q63" i="38"/>
  <c r="P63" i="38"/>
  <c r="O63" i="38"/>
  <c r="I61" i="38" l="1"/>
  <c r="L61" i="38" a="1"/>
  <c r="K61" i="38" a="1"/>
  <c r="J61" i="38"/>
  <c r="H62" i="38" a="1"/>
  <c r="H62" i="38" s="1"/>
  <c r="N65" i="38" a="1"/>
  <c r="N65" i="38" s="1"/>
  <c r="R64" i="38"/>
  <c r="O64" i="38"/>
  <c r="Q64" i="38"/>
  <c r="P64" i="38"/>
  <c r="I62" i="38" l="1"/>
  <c r="L62" i="38" a="1"/>
  <c r="K62" i="38" a="1"/>
  <c r="J62" i="38"/>
  <c r="H63" i="38" a="1"/>
  <c r="H63" i="38" s="1"/>
  <c r="N66" i="38" a="1"/>
  <c r="N66" i="38" s="1"/>
  <c r="Q65" i="38"/>
  <c r="P65" i="38"/>
  <c r="O65" i="38"/>
  <c r="R65" i="38"/>
  <c r="I63" i="38" l="1"/>
  <c r="L63" i="38" a="1"/>
  <c r="K63" i="38" a="1"/>
  <c r="J63" i="38"/>
  <c r="H64" i="38" a="1"/>
  <c r="H64" i="38" s="1"/>
  <c r="N67" i="38" a="1"/>
  <c r="N67" i="38" s="1"/>
  <c r="Q66" i="38"/>
  <c r="P66" i="38"/>
  <c r="O66" i="38"/>
  <c r="R66" i="38"/>
  <c r="I64" i="38" l="1"/>
  <c r="K64" i="38" a="1"/>
  <c r="L64" i="38" a="1"/>
  <c r="J64" i="38"/>
  <c r="H65" i="38" a="1"/>
  <c r="H65" i="38" s="1"/>
  <c r="N68" i="38" a="1"/>
  <c r="N68" i="38" s="1"/>
  <c r="R67" i="38"/>
  <c r="Q67" i="38"/>
  <c r="P67" i="38"/>
  <c r="O67" i="38"/>
  <c r="I65" i="38" l="1"/>
  <c r="K65" i="38" a="1"/>
  <c r="L65" i="38" a="1"/>
  <c r="J65" i="38"/>
  <c r="H66" i="38" a="1"/>
  <c r="H66" i="38" s="1"/>
  <c r="N69" i="38" a="1"/>
  <c r="N69" i="38" s="1"/>
  <c r="R68" i="38"/>
  <c r="P68" i="38"/>
  <c r="O68" i="38"/>
  <c r="Q68" i="38"/>
  <c r="I66" i="38" l="1"/>
  <c r="K66" i="38" a="1"/>
  <c r="L66" i="38" a="1"/>
  <c r="J66" i="38"/>
  <c r="H67" i="38" a="1"/>
  <c r="H67" i="38" s="1"/>
  <c r="N70" i="38" a="1"/>
  <c r="N70" i="38" s="1"/>
  <c r="Q69" i="38"/>
  <c r="P69" i="38"/>
  <c r="O69" i="38"/>
  <c r="R69" i="38"/>
  <c r="I67" i="38" l="1"/>
  <c r="K67" i="38" a="1"/>
  <c r="L67" i="38" a="1"/>
  <c r="J67" i="38"/>
  <c r="H68" i="38" a="1"/>
  <c r="H68" i="38" s="1"/>
  <c r="N71" i="38" a="1"/>
  <c r="N71" i="38" s="1"/>
  <c r="Q70" i="38"/>
  <c r="P70" i="38"/>
  <c r="O70" i="38"/>
  <c r="R70" i="38"/>
  <c r="I68" i="38" l="1"/>
  <c r="L68" i="38" a="1"/>
  <c r="K68" i="38" a="1"/>
  <c r="J68" i="38"/>
  <c r="H69" i="38" a="1"/>
  <c r="H69" i="38" s="1"/>
  <c r="N72" i="38" a="1"/>
  <c r="N72" i="38" s="1"/>
  <c r="R71" i="38"/>
  <c r="Q71" i="38"/>
  <c r="P71" i="38"/>
  <c r="O71" i="38"/>
  <c r="I69" i="38" l="1"/>
  <c r="L69" i="38" a="1"/>
  <c r="K69" i="38" a="1"/>
  <c r="J69" i="38"/>
  <c r="H70" i="38" a="1"/>
  <c r="H70" i="38" s="1"/>
  <c r="N73" i="38" a="1"/>
  <c r="N73" i="38" s="1"/>
  <c r="R72" i="38"/>
  <c r="Q72" i="38"/>
  <c r="P72" i="38"/>
  <c r="O72" i="38"/>
  <c r="I70" i="38" l="1"/>
  <c r="K70" i="38" a="1"/>
  <c r="L70" i="38" a="1"/>
  <c r="J70" i="38"/>
  <c r="H71" i="38" a="1"/>
  <c r="H71" i="38" s="1"/>
  <c r="N74" i="38" a="1"/>
  <c r="N74" i="38" s="1"/>
  <c r="Q73" i="38"/>
  <c r="P73" i="38"/>
  <c r="O73" i="38"/>
  <c r="R73" i="38"/>
  <c r="I71" i="38" l="1"/>
  <c r="L71" i="38" a="1"/>
  <c r="K71" i="38" a="1"/>
  <c r="J71" i="38"/>
  <c r="H72" i="38" a="1"/>
  <c r="H72" i="38" s="1"/>
  <c r="N75" i="38" a="1"/>
  <c r="N75" i="38" s="1"/>
  <c r="Q74" i="38"/>
  <c r="P74" i="38"/>
  <c r="O74" i="38"/>
  <c r="R74" i="38"/>
  <c r="I72" i="38" l="1"/>
  <c r="L72" i="38" a="1"/>
  <c r="K72" i="38" a="1"/>
  <c r="J72" i="38"/>
  <c r="H73" i="38" a="1"/>
  <c r="H73" i="38" s="1"/>
  <c r="N76" i="38" a="1"/>
  <c r="N76" i="38" s="1"/>
  <c r="R75" i="38"/>
  <c r="Q75" i="38"/>
  <c r="P75" i="38"/>
  <c r="O75" i="38"/>
  <c r="I73" i="38" l="1"/>
  <c r="K73" i="38" a="1"/>
  <c r="L73" i="38" a="1"/>
  <c r="J73" i="38"/>
  <c r="H74" i="38" a="1"/>
  <c r="H74" i="38" s="1"/>
  <c r="N77" i="38" a="1"/>
  <c r="N77" i="38" s="1"/>
  <c r="R76" i="38"/>
  <c r="O76" i="38"/>
  <c r="Q76" i="38"/>
  <c r="P76" i="38"/>
  <c r="I74" i="38" l="1"/>
  <c r="L74" i="38" a="1"/>
  <c r="K74" i="38" a="1"/>
  <c r="J74" i="38"/>
  <c r="H75" i="38" a="1"/>
  <c r="H75" i="38" s="1"/>
  <c r="N78" i="38" a="1"/>
  <c r="N78" i="38" s="1"/>
  <c r="Q77" i="38"/>
  <c r="P77" i="38"/>
  <c r="O77" i="38"/>
  <c r="R77" i="38"/>
  <c r="I75" i="38" l="1"/>
  <c r="L75" i="38" a="1"/>
  <c r="J75" i="38"/>
  <c r="H76" i="38" a="1"/>
  <c r="H76" i="38" s="1"/>
  <c r="N79" i="38" a="1"/>
  <c r="N79" i="38" s="1"/>
  <c r="Q78" i="38"/>
  <c r="P78" i="38"/>
  <c r="O78" i="38"/>
  <c r="R78" i="38"/>
  <c r="I76" i="38" l="1"/>
  <c r="L76" i="38" a="1"/>
  <c r="L76" i="38" s="1"/>
  <c r="K76" i="38" a="1"/>
  <c r="K76" i="38" s="1"/>
  <c r="J76" i="38"/>
  <c r="H77" i="38" a="1"/>
  <c r="H77" i="38" s="1"/>
  <c r="R79" i="38"/>
  <c r="Q79" i="38"/>
  <c r="P79" i="38"/>
  <c r="O79" i="38"/>
  <c r="L22" i="38"/>
  <c r="K29" i="38"/>
  <c r="K49" i="38"/>
  <c r="K14" i="38"/>
  <c r="L35" i="38"/>
  <c r="K35" i="38"/>
  <c r="L59" i="38"/>
  <c r="K70" i="38"/>
  <c r="L33" i="38"/>
  <c r="L57" i="38"/>
  <c r="L51" i="38"/>
  <c r="K75" i="38"/>
  <c r="L25" i="38"/>
  <c r="L44" i="38"/>
  <c r="K6" i="38"/>
  <c r="L53" i="38"/>
  <c r="K73" i="38"/>
  <c r="L64" i="38"/>
  <c r="K68" i="38"/>
  <c r="L52" i="38"/>
  <c r="L47" i="38"/>
  <c r="L29" i="38"/>
  <c r="K56" i="38"/>
  <c r="L49" i="38"/>
  <c r="L65" i="38"/>
  <c r="K8" i="38"/>
  <c r="L26" i="38"/>
  <c r="K59" i="38"/>
  <c r="K38" i="38"/>
  <c r="L28" i="38"/>
  <c r="L42" i="38"/>
  <c r="K21" i="38"/>
  <c r="L75" i="38"/>
  <c r="K20" i="38"/>
  <c r="L69" i="38"/>
  <c r="K71" i="38"/>
  <c r="L41" i="38"/>
  <c r="L21" i="38"/>
  <c r="K28" i="38"/>
  <c r="L40" i="38"/>
  <c r="L10" i="38"/>
  <c r="K32" i="38"/>
  <c r="K13" i="38"/>
  <c r="L32" i="38"/>
  <c r="L37" i="38"/>
  <c r="L70" i="38"/>
  <c r="K26" i="38"/>
  <c r="L8" i="38"/>
  <c r="K11" i="38"/>
  <c r="L48" i="38"/>
  <c r="K60" i="38"/>
  <c r="K67" i="38"/>
  <c r="L13" i="38"/>
  <c r="L11" i="38"/>
  <c r="K58" i="38"/>
  <c r="L38" i="38"/>
  <c r="K31" i="38"/>
  <c r="K50" i="38"/>
  <c r="K63" i="38"/>
  <c r="K65" i="38"/>
  <c r="K9" i="38"/>
  <c r="K64" i="38"/>
  <c r="K30" i="38"/>
  <c r="K23" i="38"/>
  <c r="K22" i="38"/>
  <c r="K25" i="38"/>
  <c r="K46" i="38"/>
  <c r="L74" i="38"/>
  <c r="K41" i="38"/>
  <c r="K45" i="38"/>
  <c r="K62" i="38"/>
  <c r="L5" i="38"/>
  <c r="K48" i="38"/>
  <c r="L72" i="38"/>
  <c r="K74" i="38"/>
  <c r="K66" i="38"/>
  <c r="L55" i="38"/>
  <c r="K12" i="38"/>
  <c r="L36" i="38"/>
  <c r="L67" i="38"/>
  <c r="K10" i="38"/>
  <c r="L12" i="38"/>
  <c r="K37" i="38"/>
  <c r="L39" i="38"/>
  <c r="K7" i="38"/>
  <c r="K5" i="38"/>
  <c r="K24" i="38"/>
  <c r="L46" i="38"/>
  <c r="K69" i="38"/>
  <c r="L6" i="38"/>
  <c r="L63" i="38"/>
  <c r="L62" i="38"/>
  <c r="L31" i="38"/>
  <c r="L60" i="38"/>
  <c r="K54" i="38"/>
  <c r="L45" i="38"/>
  <c r="L20" i="38"/>
  <c r="L66" i="38"/>
  <c r="K61" i="38"/>
  <c r="K57" i="38"/>
  <c r="L30" i="38"/>
  <c r="K36" i="38"/>
  <c r="K39" i="38"/>
  <c r="L50" i="38"/>
  <c r="L23" i="38"/>
  <c r="K44" i="38"/>
  <c r="K72" i="38"/>
  <c r="L34" i="38"/>
  <c r="K40" i="38"/>
  <c r="K55" i="38"/>
  <c r="L27" i="38"/>
  <c r="L56" i="38"/>
  <c r="L71" i="38"/>
  <c r="K43" i="38"/>
  <c r="L14" i="38"/>
  <c r="L58" i="38"/>
  <c r="K33" i="38"/>
  <c r="L9" i="38"/>
  <c r="K47" i="38"/>
  <c r="K53" i="38"/>
  <c r="L7" i="38"/>
  <c r="L73" i="38"/>
  <c r="K27" i="38"/>
  <c r="L61" i="38"/>
  <c r="K51" i="38"/>
  <c r="L54" i="38"/>
  <c r="L68" i="38"/>
  <c r="L43" i="38"/>
  <c r="K34" i="38"/>
  <c r="K42" i="38"/>
  <c r="K52" i="38"/>
  <c r="L24" i="38"/>
  <c r="I77" i="38" l="1"/>
  <c r="L77" i="38" a="1"/>
  <c r="L77" i="38" s="1"/>
  <c r="K77" i="38" a="1"/>
  <c r="K77" i="38" s="1"/>
  <c r="J77" i="38"/>
  <c r="H78" i="38" a="1"/>
  <c r="H78" i="38" s="1"/>
  <c r="I78" i="38" l="1"/>
  <c r="K78" i="38" a="1"/>
  <c r="K78" i="38" s="1"/>
  <c r="L78" i="38" a="1"/>
  <c r="L78" i="38" s="1"/>
  <c r="J78" i="38"/>
  <c r="H79" i="38" a="1"/>
  <c r="H79" i="38" s="1"/>
  <c r="I79" i="38" l="1"/>
  <c r="L79" i="38" a="1"/>
  <c r="L79" i="38" s="1"/>
  <c r="K79" i="38" a="1"/>
  <c r="K79" i="38" s="1"/>
  <c r="J79" i="3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Madeleine</author>
  </authors>
  <commentList>
    <comment ref="V4" authorId="0" shapeId="0" xr:uid="{00000000-0006-0000-0100-000001000000}">
      <text>
        <r>
          <rPr>
            <b/>
            <sz val="9"/>
            <color indexed="81"/>
            <rFont val="Tahoma"/>
            <family val="2"/>
          </rPr>
          <t>Madeleine:</t>
        </r>
        <r>
          <rPr>
            <sz val="9"/>
            <color indexed="81"/>
            <rFont val="Tahoma"/>
            <family val="2"/>
          </rPr>
          <t xml:space="preserve">
Note: the operating reserve coefficient is a fraction of generation in Nils' paper</t>
        </r>
      </text>
    </comment>
    <comment ref="B74" authorId="0" shapeId="0" xr:uid="{00000000-0006-0000-0100-000002000000}">
      <text>
        <r>
          <rPr>
            <b/>
            <sz val="9"/>
            <color indexed="81"/>
            <rFont val="Tahoma"/>
            <family val="2"/>
          </rPr>
          <t>Madeleine:</t>
        </r>
        <r>
          <rPr>
            <sz val="9"/>
            <color indexed="81"/>
            <rFont val="Tahoma"/>
            <family val="2"/>
          </rPr>
          <t xml:space="preserve">
Need to get real values here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Madeleine</author>
  </authors>
  <commentList>
    <comment ref="L4" authorId="0" shapeId="0" xr:uid="{00000000-0006-0000-0300-000001000000}">
      <text>
        <r>
          <rPr>
            <b/>
            <sz val="9"/>
            <color indexed="81"/>
            <rFont val="Tahoma"/>
            <family val="2"/>
          </rPr>
          <t>Madeleine:</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<sst xmlns="http://schemas.openxmlformats.org/spreadsheetml/2006/main" count="1232" uniqueCount="654">
  <si>
    <t>technology assumptions</t>
  </si>
  <si>
    <t>nuclear</t>
  </si>
  <si>
    <t>hydro</t>
  </si>
  <si>
    <t>variable renewable energy sources</t>
  </si>
  <si>
    <t>wind</t>
  </si>
  <si>
    <t>balancing technologies</t>
  </si>
  <si>
    <t>efficiency</t>
  </si>
  <si>
    <t>GHG emissions</t>
  </si>
  <si>
    <t>storage</t>
  </si>
  <si>
    <t>geothermal</t>
  </si>
  <si>
    <t>biomass</t>
  </si>
  <si>
    <t>levelized capital cost</t>
  </si>
  <si>
    <t>fixed o&amp;m cost</t>
  </si>
  <si>
    <t>wind - offshore</t>
  </si>
  <si>
    <t>2012 $/MWh</t>
  </si>
  <si>
    <t>non-vre sources</t>
  </si>
  <si>
    <t>solar PV</t>
  </si>
  <si>
    <t>solar thermal</t>
  </si>
  <si>
    <t>backup generation</t>
  </si>
  <si>
    <t>curtailment</t>
  </si>
  <si>
    <t>coal</t>
  </si>
  <si>
    <t>hours</t>
  </si>
  <si>
    <t>kg CO2e/MWh</t>
  </si>
  <si>
    <t>given by power curves</t>
  </si>
  <si>
    <t>transmission</t>
  </si>
  <si>
    <t>[MW]</t>
  </si>
  <si>
    <t xml:space="preserve"> -- electric vehicles</t>
  </si>
  <si>
    <r>
      <t xml:space="preserve">"Levelized cost and levelized avoided cost of new generation resources in the Annual Energy Outlook 2014" </t>
    </r>
    <r>
      <rPr>
        <i/>
        <sz val="11"/>
        <color theme="1"/>
        <rFont val="Calibri"/>
        <family val="2"/>
        <scheme val="minor"/>
      </rPr>
      <t>US Energy Information Administration</t>
    </r>
  </si>
  <si>
    <r>
      <t xml:space="preserve">"FAQ: What is the efficiency of different types of power plants?" </t>
    </r>
    <r>
      <rPr>
        <i/>
        <sz val="11"/>
        <color theme="1"/>
        <rFont val="Calibri"/>
        <family val="2"/>
        <scheme val="minor"/>
      </rPr>
      <t>US Energy Information Administration</t>
    </r>
  </si>
  <si>
    <r>
      <t xml:space="preserve">Table 8.1. Average Operating Heat Rate for Selected Energy Sources, 2003-2013. </t>
    </r>
    <r>
      <rPr>
        <i/>
        <sz val="11"/>
        <color theme="1"/>
        <rFont val="Calibri"/>
        <family val="2"/>
        <scheme val="minor"/>
      </rPr>
      <t>US Energy Information Administration</t>
    </r>
  </si>
  <si>
    <r>
      <t xml:space="preserve">Annual Energy Review 2010. Appendix F: Alternatives for Estimating Energy Consumption. Table F1. Conversion Efficiencies of noncombustible Renewable Energy Sources. </t>
    </r>
    <r>
      <rPr>
        <i/>
        <sz val="11"/>
        <color theme="1"/>
        <rFont val="Calibri"/>
        <family val="2"/>
        <scheme val="minor"/>
      </rPr>
      <t>US Energy Information Administration.</t>
    </r>
  </si>
  <si>
    <r>
      <t xml:space="preserve">"Biomass Energy Economics" </t>
    </r>
    <r>
      <rPr>
        <i/>
        <sz val="11"/>
        <color theme="1"/>
        <rFont val="Calibri"/>
        <family val="2"/>
        <scheme val="minor"/>
      </rPr>
      <t>Pacific Energy Systems, Inc.</t>
    </r>
  </si>
  <si>
    <t>variable o&amp;m cost (inc. fuel)</t>
  </si>
  <si>
    <t>Climate Change 2014: Mitigation of Climate Change. Contribution of Working Group III to the Fifth Assessment Report of the Intergovernmental Panel on Climate Change. Annex III: Technology-specific cost and performance parameters. Table A.III.2 Emissions of selected electricity supply technologies</t>
  </si>
  <si>
    <t>references colour coded</t>
  </si>
  <si>
    <t>hot start</t>
  </si>
  <si>
    <t>warm start</t>
  </si>
  <si>
    <t>cold start</t>
  </si>
  <si>
    <t>"Technical Assessment of the Operation of Coal and Gas Fired Plants" Report to the DECC</t>
  </si>
  <si>
    <t>"the westinghouse pressurized water reactor nuclear power plant" Table 16-1 Estimated Startup Time in Hours Required by NSSS</t>
  </si>
  <si>
    <t>estimated start up times (notice to full load)</t>
  </si>
  <si>
    <t>%/min</t>
  </si>
  <si>
    <t>http://www.powerauthority.on.ca/current-electricity-contracts/sc-cc</t>
  </si>
  <si>
    <t>(max)</t>
  </si>
  <si>
    <t>spin ramp rate</t>
  </si>
  <si>
    <t xml:space="preserve"> - building new lines</t>
  </si>
  <si>
    <t xml:space="preserve"> - using existing lines</t>
  </si>
  <si>
    <t>$ / kWh</t>
  </si>
  <si>
    <t>$ / km</t>
  </si>
  <si>
    <t>AEO 2015 table 8</t>
  </si>
  <si>
    <t xml:space="preserve"> -- 230 kV single circuit</t>
  </si>
  <si>
    <t xml:space="preserve"> -- 230 kV double circuit</t>
  </si>
  <si>
    <t xml:space="preserve"> -- 500 kV single circuit</t>
  </si>
  <si>
    <t xml:space="preserve"> -- 500 kV double circuit</t>
  </si>
  <si>
    <t xml:space="preserve"> -- 500 kV HVDC Bi-pole</t>
  </si>
  <si>
    <t xml:space="preserve"> -- 600 kV HVDC Bi-pole</t>
  </si>
  <si>
    <t>assumptions: aluminum conductor steel reinforced (ACSR), Tubular (230 kV)/Lattice (345 kV - 600 kV), &gt;10 miles</t>
  </si>
  <si>
    <t>"Capital Costs for Transmission and Substations" prepared for the Western Electricity Coordinating Council</t>
  </si>
  <si>
    <t>source gives in $/mile. 1 mile = 1.60934 km</t>
  </si>
  <si>
    <t>ghg emission reductions</t>
  </si>
  <si>
    <t>petroleum displacement</t>
  </si>
  <si>
    <t>assuming 50% penetration, reduces GHG emissions by 27%</t>
  </si>
  <si>
    <t>benefits to grid</t>
  </si>
  <si>
    <t>cars can serve as distributed generators</t>
  </si>
  <si>
    <t>costs</t>
  </si>
  <si>
    <t>37% improvement in fuel economy</t>
  </si>
  <si>
    <t>88% improvement in fuel efficiency</t>
  </si>
  <si>
    <t>up to 6.5 million boe/day</t>
  </si>
  <si>
    <t>storage support - particularly for wind when generation at night corresponds with typical charge time</t>
  </si>
  <si>
    <t>assume average vehicle travels about 50 km/day - battery could easily displace fuel for such distance</t>
  </si>
  <si>
    <t>vehicle class</t>
  </si>
  <si>
    <t>compact sedan</t>
  </si>
  <si>
    <t>mid-size sedan</t>
  </si>
  <si>
    <t>mid-size SUV</t>
  </si>
  <si>
    <t>full-size SUV</t>
  </si>
  <si>
    <t>annual revenue for V2G ancillary services (grid regulation) $4000/vehicle</t>
  </si>
  <si>
    <t>HEV cost premium avg $4000</t>
  </si>
  <si>
    <t>30% ghg reduction</t>
  </si>
  <si>
    <t>O&amp;M (inc. fuel) costs 15% lower</t>
  </si>
  <si>
    <t xml:space="preserve"> -- hybrid buses</t>
  </si>
  <si>
    <t>sector integration - transportation</t>
  </si>
  <si>
    <t>"Hybrid Buses Costs and Benefits" EESI</t>
  </si>
  <si>
    <t>https://www.ttc.ca/Routes/General_Information/General_Information.jsp</t>
  </si>
  <si>
    <t>required battery size [kWh]</t>
  </si>
  <si>
    <t>"Impacts Assessment of PHEV on Electric Utilities and Regional US Power Grids Part 1: Technical Analysis" PNNL</t>
  </si>
  <si>
    <t>Sovacool, B. and Hirsh, R. "Beyond batteries: an examination of the benefits and barriers to PHEVs and a V2G transition"</t>
  </si>
  <si>
    <t>** cost savings dependent on electricity pricing - current avg 110 c/L for gas, 8.0 c/kWh off peak (CAD)</t>
  </si>
  <si>
    <t>base msrp</t>
  </si>
  <si>
    <t>est. tax credit</t>
  </si>
  <si>
    <t>body type</t>
  </si>
  <si>
    <t>seats</t>
  </si>
  <si>
    <t>charge rate</t>
  </si>
  <si>
    <t>bmw i3</t>
  </si>
  <si>
    <t>sedan</t>
  </si>
  <si>
    <t>batt size [kWh]</t>
  </si>
  <si>
    <t>charge rate [kW]</t>
  </si>
  <si>
    <t>chevrolet spark</t>
  </si>
  <si>
    <t>coupe</t>
  </si>
  <si>
    <t>fiat 500 e</t>
  </si>
  <si>
    <t>ford focus</t>
  </si>
  <si>
    <t>ford focus electric</t>
  </si>
  <si>
    <t>kia soul ev</t>
  </si>
  <si>
    <t>mercedes B-class electric</t>
  </si>
  <si>
    <t>mitsubishi i-MiEV</t>
  </si>
  <si>
    <t>nissan LEAF</t>
  </si>
  <si>
    <t>smart electric drive</t>
  </si>
  <si>
    <t>tesla model s</t>
  </si>
  <si>
    <t>volkswagen E-golf</t>
  </si>
  <si>
    <t>tesla model X</t>
  </si>
  <si>
    <t>SUV</t>
  </si>
  <si>
    <t>smart</t>
  </si>
  <si>
    <t>ghg emissions</t>
  </si>
  <si>
    <t>6.9/5.7/6.3</t>
  </si>
  <si>
    <t>130g/km</t>
  </si>
  <si>
    <t>est. tax credit (US)</t>
  </si>
  <si>
    <t>fuel consumption (city/hwy/combined) [L/100km]</t>
  </si>
  <si>
    <t>9.3/6.7/8.1</t>
  </si>
  <si>
    <t>ford explorer</t>
  </si>
  <si>
    <t>suv</t>
  </si>
  <si>
    <t>13.7/9.7</t>
  </si>
  <si>
    <t>EPA range (miles conv to km)</t>
  </si>
  <si>
    <t xml:space="preserve"> -- comparison with gas vehicles</t>
  </si>
  <si>
    <t>no tax credits</t>
  </si>
  <si>
    <t>http://www.plugincars.com/cars</t>
  </si>
  <si>
    <t>http://www.thesmart.ca/ca/en/index.html</t>
  </si>
  <si>
    <t>http://www.ford.ca/cars/focus/specifications/</t>
  </si>
  <si>
    <t>fiat 500</t>
  </si>
  <si>
    <t>8.7/6.9</t>
  </si>
  <si>
    <t>http://www.fiatcanada.com/en/2015/500/</t>
  </si>
  <si>
    <t xml:space="preserve"> --plug-in hybrid</t>
  </si>
  <si>
    <t>cadillac ELR</t>
  </si>
  <si>
    <t>epa range (elec only)</t>
  </si>
  <si>
    <t>battery size</t>
  </si>
  <si>
    <t>chevy volt</t>
  </si>
  <si>
    <t>ford c-max energi</t>
  </si>
  <si>
    <t>wagon</t>
  </si>
  <si>
    <t>ford fusion energi</t>
  </si>
  <si>
    <t>honda accord PH</t>
  </si>
  <si>
    <t>porsche panamera s e-hybrid</t>
  </si>
  <si>
    <t>porsche cayenne s e-hybrid</t>
  </si>
  <si>
    <t>toyota prius PH</t>
  </si>
  <si>
    <t>cost premium avg 200 000 (~500 000 compared to 300 000) - mostly offset by govt</t>
  </si>
  <si>
    <t>orion VII can carry average 51 passengers at peak times - vehicle displacement?</t>
  </si>
  <si>
    <t>demand response - shifting</t>
  </si>
  <si>
    <t>assume x% flexibility - user input</t>
  </si>
  <si>
    <t>assume different flexibilities during different hours</t>
  </si>
  <si>
    <t>DR capacity = load * participation rate * sheddability</t>
  </si>
  <si>
    <t>participation = min (controllability, acceptability)</t>
  </si>
  <si>
    <t>commercial</t>
  </si>
  <si>
    <t xml:space="preserve"> - cooling</t>
  </si>
  <si>
    <t xml:space="preserve"> - heating</t>
  </si>
  <si>
    <t>residential</t>
  </si>
  <si>
    <t xml:space="preserve"> - water heating</t>
  </si>
  <si>
    <t>industrial</t>
  </si>
  <si>
    <t xml:space="preserve"> - agricultural water pumping</t>
  </si>
  <si>
    <t xml:space="preserve"> - data centres</t>
  </si>
  <si>
    <t xml:space="preserve"> - regrigerated warehouses</t>
  </si>
  <si>
    <t>municipal</t>
  </si>
  <si>
    <t xml:space="preserve"> - fresh water pumping</t>
  </si>
  <si>
    <t xml:space="preserve"> - waste water pumping</t>
  </si>
  <si>
    <t>lighting and ventilation are not easily shiftable!</t>
  </si>
  <si>
    <t>41-49</t>
  </si>
  <si>
    <t>sheddability (%)</t>
  </si>
  <si>
    <t>acceptability (%)</t>
  </si>
  <si>
    <t>15-25</t>
  </si>
  <si>
    <t>3-77</t>
  </si>
  <si>
    <t>46-51</t>
  </si>
  <si>
    <t>10-25</t>
  </si>
  <si>
    <t>0-77</t>
  </si>
  <si>
    <t>20-70</t>
  </si>
  <si>
    <t>2-52</t>
  </si>
  <si>
    <t>13-39</t>
  </si>
  <si>
    <t>20-30</t>
  </si>
  <si>
    <t>2-48</t>
  </si>
  <si>
    <t>0-1.5</t>
  </si>
  <si>
    <t>25</t>
  </si>
  <si>
    <t>13-26</t>
  </si>
  <si>
    <t>participation (%)</t>
  </si>
  <si>
    <t>"Grid Integration of Aggregated Demand Response, Part 1: Load Availability Profiles and Constraints for the Western Interconnection." NREL</t>
  </si>
  <si>
    <t>divide year into heating/cooling, keep others year round</t>
  </si>
  <si>
    <t>for multiple end uses, take average of shed * participation?</t>
  </si>
  <si>
    <t>for zeros, use a small non-zero number…</t>
  </si>
  <si>
    <t>** would need demand data by sector</t>
  </si>
  <si>
    <t>controllability (%)</t>
  </si>
  <si>
    <t>average</t>
  </si>
  <si>
    <t>S*P</t>
  </si>
  <si>
    <t>for ranges, take midpoint?</t>
  </si>
  <si>
    <t>0.45*0.20=0.09</t>
  </si>
  <si>
    <t>0.45*0.26=0.117</t>
  </si>
  <si>
    <t>0.25*0.01=0.0025</t>
  </si>
  <si>
    <t>0.25*0.20=0.05</t>
  </si>
  <si>
    <t>summer = 9%</t>
  </si>
  <si>
    <t>winter = 8.6 %</t>
  </si>
  <si>
    <t>summer = 8.35%</t>
  </si>
  <si>
    <t>winter = 2.5%</t>
  </si>
  <si>
    <t>ind/mun fairly flat over day</t>
  </si>
  <si>
    <t>cooling peaks from 12-8pm</t>
  </si>
  <si>
    <t>heating peaks from 7-9 am</t>
  </si>
  <si>
    <t>peaks 7am, 6pm</t>
  </si>
  <si>
    <t>shreddability (%)</t>
  </si>
  <si>
    <t>diesel</t>
  </si>
  <si>
    <t>longitude</t>
  </si>
  <si>
    <t>latitude</t>
  </si>
  <si>
    <t>total system LCOE</t>
  </si>
  <si>
    <t>transmission investment</t>
  </si>
  <si>
    <t>*(likely conservative) estimate based on the fact that simple cycle is less efficient</t>
  </si>
  <si>
    <t>cycling costs</t>
  </si>
  <si>
    <r>
      <t xml:space="preserve">"Power Plant Cycling Costs" </t>
    </r>
    <r>
      <rPr>
        <i/>
        <sz val="11"/>
        <color theme="1"/>
        <rFont val="Calibri"/>
        <family val="2"/>
        <scheme val="minor"/>
      </rPr>
      <t>Prepared for the National Renewable Energy Laboratory</t>
    </r>
  </si>
  <si>
    <r>
      <t xml:space="preserve">"Cost and Performance Data for Power Generation Technologies" </t>
    </r>
    <r>
      <rPr>
        <i/>
        <sz val="11"/>
        <color theme="1"/>
        <rFont val="Calibri"/>
        <family val="2"/>
        <scheme val="minor"/>
      </rPr>
      <t>Prepared for the National Renewable Energy Laboratory</t>
    </r>
  </si>
  <si>
    <t>$/MW cap.</t>
  </si>
  <si>
    <t>depends on sources data</t>
  </si>
  <si>
    <t>output - last resort</t>
  </si>
  <si>
    <t>Trends in GHG Emissions in the Alberta Electricity Market</t>
  </si>
  <si>
    <t>length</t>
  </si>
  <si>
    <t>plant ID</t>
  </si>
  <si>
    <t>PHS</t>
  </si>
  <si>
    <t>CAES</t>
  </si>
  <si>
    <t>batteries</t>
  </si>
  <si>
    <t>fuel oil</t>
  </si>
  <si>
    <t>FES</t>
  </si>
  <si>
    <t>hydrogen</t>
  </si>
  <si>
    <t>thermal</t>
  </si>
  <si>
    <t>vanadium</t>
  </si>
  <si>
    <t>SMES</t>
  </si>
  <si>
    <t>flow battery</t>
  </si>
  <si>
    <t>capacitors</t>
  </si>
  <si>
    <t>supercapacitors</t>
  </si>
  <si>
    <t>capital cost power</t>
  </si>
  <si>
    <t>capital cost capacity</t>
  </si>
  <si>
    <t>annual operating costs</t>
  </si>
  <si>
    <t>$/kWyr</t>
  </si>
  <si>
    <t>(avg) $/kW</t>
  </si>
  <si>
    <t>min</t>
  </si>
  <si>
    <t>max</t>
  </si>
  <si>
    <t>applicable grid system size (MW)</t>
  </si>
  <si>
    <t>storage capacity (kWh)</t>
  </si>
  <si>
    <t>discharge rate</t>
  </si>
  <si>
    <t>kW</t>
  </si>
  <si>
    <t>"Electricity Storage and Renewables for Island Power" IRENA 2012</t>
  </si>
  <si>
    <t>Kousksou et al. "Energy storage: Applications and challenges" Solar Energy Materials &amp; Solar Cells 2014</t>
  </si>
  <si>
    <t>(avg) $/kWh</t>
  </si>
  <si>
    <t>"Energy Technology Perspectives" IEA 2014</t>
  </si>
  <si>
    <t>"Comparison of Lifecycle Greenhouse Gas Emissions of Various Electricity Generation Sources" WNA</t>
  </si>
  <si>
    <t>diesel costs: Lazard LCOE version 8.0</t>
  </si>
  <si>
    <t>assumed fuel oil costs are ~60% of diesel costs based on  http://asian-power.com/regulation/commentary/reducing-diesel-power-plant-hfo-bill</t>
  </si>
  <si>
    <t>region</t>
  </si>
  <si>
    <t>frac pop</t>
  </si>
  <si>
    <t>voltage</t>
  </si>
  <si>
    <t>circuits</t>
  </si>
  <si>
    <t>bus</t>
  </si>
  <si>
    <t>reactance</t>
  </si>
  <si>
    <t>name</t>
  </si>
  <si>
    <t>to bus</t>
  </si>
  <si>
    <t>from bus</t>
  </si>
  <si>
    <t>wind_onshore</t>
  </si>
  <si>
    <t>wind_offshore</t>
  </si>
  <si>
    <t>latitude_MERRA</t>
  </si>
  <si>
    <t>longitude_MERRA</t>
  </si>
  <si>
    <t>V_112-3.0</t>
  </si>
  <si>
    <t>TSM-PDG5-255</t>
  </si>
  <si>
    <t>FS395</t>
  </si>
  <si>
    <t>kind</t>
  </si>
  <si>
    <t>Pb-acid</t>
  </si>
  <si>
    <t>Ni-Cd</t>
  </si>
  <si>
    <t>Na-S</t>
  </si>
  <si>
    <t>Li-ion</t>
  </si>
  <si>
    <t>pumprampmax</t>
  </si>
  <si>
    <t>storagecapacitymax</t>
  </si>
  <si>
    <t>EV</t>
  </si>
  <si>
    <t>CS6V-225MM</t>
  </si>
  <si>
    <t>Col number</t>
  </si>
  <si>
    <t>ramp rate max</t>
  </si>
  <si>
    <t>start up ramp limit</t>
  </si>
  <si>
    <t>cost to commit the unit ($)</t>
  </si>
  <si>
    <t>start up cost</t>
  </si>
  <si>
    <t>cost curve equation</t>
  </si>
  <si>
    <t>0P</t>
  </si>
  <si>
    <t>spinning cost</t>
  </si>
  <si>
    <t>resevoir level</t>
  </si>
  <si>
    <t>initial power</t>
  </si>
  <si>
    <t>initial status</t>
  </si>
  <si>
    <t>hours in status</t>
  </si>
  <si>
    <t>combination of variable cost (P^1) and spinning cost (P^0)</t>
  </si>
  <si>
    <t xml:space="preserve">Notes: </t>
  </si>
  <si>
    <t>[$/ MBTU]</t>
  </si>
  <si>
    <t>shut down cost</t>
  </si>
  <si>
    <t>Non-vre  technology assumptions</t>
  </si>
  <si>
    <t xml:space="preserve">Cost - related Technology Characteristics </t>
  </si>
  <si>
    <t>Operating Characteristics</t>
  </si>
  <si>
    <t>min up time</t>
  </si>
  <si>
    <t>min down time</t>
  </si>
  <si>
    <t>minimum time for which a unit must be on (status =1) after it is committed [hours]</t>
  </si>
  <si>
    <t>[hours]</t>
  </si>
  <si>
    <t xml:space="preserve">minimum time for which a unit must be off (status = 0) after it is de-commited [hours] </t>
  </si>
  <si>
    <t>research these value and add it here</t>
  </si>
  <si>
    <t>minimum up time</t>
  </si>
  <si>
    <t>minimum down time</t>
  </si>
  <si>
    <t>[$ per hour committed]</t>
  </si>
  <si>
    <t>Ramping Characteristics</t>
  </si>
  <si>
    <t>ramp rate min</t>
  </si>
  <si>
    <t>[$ / MWcap]</t>
  </si>
  <si>
    <t>positive change in real power over 1 hour (MW/hr) for a spinning unit (with status = 1)</t>
  </si>
  <si>
    <t>negative change in real power over 1 hou (MW/hr) for a spinning unit (with status =1)</t>
  </si>
  <si>
    <t>negative change in power for spinning unit</t>
  </si>
  <si>
    <t>shut down ramp limit</t>
  </si>
  <si>
    <t>maximum positive change in real power over the first hour after startup (MW/hr)</t>
  </si>
  <si>
    <t>maximum negative change in real power over the last hor before shutdown (MW/hr)</t>
  </si>
  <si>
    <t>[MW/hr p MWcap]</t>
  </si>
  <si>
    <t>start up ramp</t>
  </si>
  <si>
    <t>shut down ramp</t>
  </si>
  <si>
    <t>battery</t>
  </si>
  <si>
    <t>0P + 0</t>
  </si>
  <si>
    <t>col.</t>
  </si>
  <si>
    <t>solar</t>
  </si>
  <si>
    <t>technology type</t>
  </si>
  <si>
    <t>unit capacity [kW]</t>
  </si>
  <si>
    <t>Nils's Paper (Submitted to Energy Economics)</t>
  </si>
  <si>
    <t>[Fraction of installed capacity]</t>
  </si>
  <si>
    <t>Scenario analysis inputs</t>
  </si>
  <si>
    <t>Installed Capacity Metric</t>
  </si>
  <si>
    <t>Flexibility Factor Metric</t>
  </si>
  <si>
    <t xml:space="preserve">Transmission network capacity metric </t>
  </si>
  <si>
    <t>Investment Cost</t>
  </si>
  <si>
    <t>[fraction on installed capacity]</t>
  </si>
  <si>
    <t>[fraction of installed capacity]</t>
  </si>
  <si>
    <t>Cost</t>
  </si>
  <si>
    <t>[$]</t>
  </si>
  <si>
    <t>bus number</t>
  </si>
  <si>
    <t>total installed capacity on bus</t>
  </si>
  <si>
    <t>total transmission capacity to/from bus</t>
  </si>
  <si>
    <t>Max capacity value</t>
  </si>
  <si>
    <t>Operating reserve coeff.</t>
  </si>
  <si>
    <t>Installed capacity by type</t>
  </si>
  <si>
    <t>fraction of load on bus</t>
  </si>
  <si>
    <t>[percentage]</t>
  </si>
  <si>
    <t xml:space="preserve"> VRE Resrouce Metric</t>
  </si>
  <si>
    <t>Proposed wind capacity</t>
  </si>
  <si>
    <t>Proposed multi c-Si solar capacity</t>
  </si>
  <si>
    <t>Proposed mono c-Si solar capacity</t>
  </si>
  <si>
    <t>Proposed thin film solar capacity</t>
  </si>
  <si>
    <t>Total overnight cost in 2014</t>
  </si>
  <si>
    <t>$/kW</t>
  </si>
  <si>
    <t xml:space="preserve">EIA AEO2015 Table 8.2" Cost and Performance characteristics of new central station electricity generating technologies </t>
  </si>
  <si>
    <t>My storage paper with Nils (YSSP report)</t>
  </si>
  <si>
    <t>[$/kW installed]</t>
  </si>
  <si>
    <t>line type</t>
  </si>
  <si>
    <t>transmission line cost</t>
  </si>
  <si>
    <t>Wind</t>
  </si>
  <si>
    <t>Solar</t>
  </si>
  <si>
    <t>USER: do not alter this sheet</t>
  </si>
  <si>
    <t>VRE generation types</t>
  </si>
  <si>
    <t>Technologies</t>
  </si>
  <si>
    <t>multi_c_Si</t>
  </si>
  <si>
    <t>mono_c_Si</t>
  </si>
  <si>
    <t>thin_film</t>
  </si>
  <si>
    <t>dr_potential</t>
  </si>
  <si>
    <t>over-production</t>
  </si>
  <si>
    <t>under-production</t>
  </si>
  <si>
    <t>maximum</t>
  </si>
  <si>
    <t>minimum</t>
  </si>
  <si>
    <t>maximum hourly dr limit (% of schedule)</t>
  </si>
  <si>
    <t>maximum daily dr (MW)</t>
  </si>
  <si>
    <t>ramping limiatations (MW)</t>
  </si>
  <si>
    <t>increasing_shed</t>
  </si>
  <si>
    <t>decreasing_shed</t>
  </si>
  <si>
    <t>minimum up/down times (hours)</t>
  </si>
  <si>
    <t>uptime</t>
  </si>
  <si>
    <t>downtime</t>
  </si>
  <si>
    <t>constraint:</t>
  </si>
  <si>
    <t>absolute hourly dr limit (MW)</t>
  </si>
  <si>
    <t>index</t>
  </si>
  <si>
    <t>initial values</t>
  </si>
  <si>
    <t xml:space="preserve"> -- 115 kV double circuit</t>
  </si>
  <si>
    <t xml:space="preserve"> -- 115 kV single circuit</t>
  </si>
  <si>
    <t>line cost</t>
  </si>
  <si>
    <t>city</t>
  </si>
  <si>
    <t>CHSM_6610P_250</t>
  </si>
  <si>
    <t>FS935</t>
  </si>
  <si>
    <t>FS4122_2</t>
  </si>
  <si>
    <t>CS6X_320P</t>
  </si>
  <si>
    <t>pmax</t>
  </si>
  <si>
    <t>storage content</t>
  </si>
  <si>
    <t>*these constraints cause OPF to not solve</t>
  </si>
  <si>
    <t>* These are all constraints that apply to UC but not OPF that are causing problems in the second OPF…</t>
  </si>
  <si>
    <t>Tried:</t>
  </si>
  <si>
    <t xml:space="preserve"> applying tighter constraints on the second OPF problem</t>
  </si>
  <si>
    <t>removing these columns (start up cost, shut down cost, ramp rate max, ramp rate min…) from second OPF generators.csv file</t>
  </si>
  <si>
    <t>The error also occurs when there are no ramp rate limitations (above), but when the nuclear assets installed capacity is reduced by a factor of 10 (i.e. Bruce goes from 5000 to 500 MW)</t>
  </si>
  <si>
    <t xml:space="preserve">Perhaps there is actually a transmission issue, where one (or all) of the nuclear plants have to be on in order for the transmission system to work… </t>
  </si>
  <si>
    <t>Note that changing the costs could solve this problem, as reducing the Halton Hills cost in the IESO calibration run, solved the OPF problem, by displacing some of the small hydro</t>
  </si>
  <si>
    <t>MW At Marginal Cost</t>
  </si>
  <si>
    <t>g</t>
  </si>
  <si>
    <t>pmin</t>
  </si>
  <si>
    <t>Imports</t>
  </si>
  <si>
    <t>unpluggedhours</t>
  </si>
  <si>
    <t>tripenergy</t>
  </si>
  <si>
    <t>Wind_1</t>
  </si>
  <si>
    <t>Wind_2</t>
  </si>
  <si>
    <t>NW_falls_g</t>
  </si>
  <si>
    <t>NG_CT</t>
  </si>
  <si>
    <t>VERMILLION</t>
  </si>
  <si>
    <t>BIRTLE SOUTH</t>
  </si>
  <si>
    <t>VIRDEN WEST</t>
  </si>
  <si>
    <t xml:space="preserve">BIRCHTREE </t>
  </si>
  <si>
    <t>RESTON</t>
  </si>
  <si>
    <t>LAVERENDRYE</t>
  </si>
  <si>
    <t>PORTAGE SOUTH</t>
  </si>
  <si>
    <t>RIDGEWAY</t>
  </si>
  <si>
    <t>LETELLIER</t>
  </si>
  <si>
    <t>MINITONAS</t>
  </si>
  <si>
    <t>RALLS ISLAND</t>
  </si>
  <si>
    <t xml:space="preserve">GRAND RAPIDS GS </t>
  </si>
  <si>
    <t>ASHERN</t>
  </si>
  <si>
    <t xml:space="preserve">GLENBORO SOUTH </t>
  </si>
  <si>
    <t>CORNWALLIS</t>
  </si>
  <si>
    <t>PONTON</t>
  </si>
  <si>
    <t>OVERFLOWING RIVER</t>
  </si>
  <si>
    <t xml:space="preserve">JENPEG GS </t>
  </si>
  <si>
    <t>KELSEY TERMINAL</t>
  </si>
  <si>
    <t>BIRCHTREE</t>
  </si>
  <si>
    <t xml:space="preserve">LETELLIER </t>
  </si>
  <si>
    <t xml:space="preserve">MINITONAS </t>
  </si>
  <si>
    <t>RICHER SOUTH</t>
  </si>
  <si>
    <t>HERBLET LAKE</t>
  </si>
  <si>
    <t>GLENBORO SOUTH</t>
  </si>
  <si>
    <t xml:space="preserve">SILVER </t>
  </si>
  <si>
    <t>STANLEY</t>
  </si>
  <si>
    <t>ROBLIN SOUTH</t>
  </si>
  <si>
    <t xml:space="preserve">WUSKWATIM GS </t>
  </si>
  <si>
    <t>Line_1</t>
  </si>
  <si>
    <t>Line_2</t>
  </si>
  <si>
    <t>Line_3</t>
  </si>
  <si>
    <t>Line_4</t>
  </si>
  <si>
    <t>Line_5</t>
  </si>
  <si>
    <t>Line_6</t>
  </si>
  <si>
    <t>Line_7</t>
  </si>
  <si>
    <t>Line_8</t>
  </si>
  <si>
    <t>Line_9</t>
  </si>
  <si>
    <t>Line_10</t>
  </si>
  <si>
    <t>Line_11</t>
  </si>
  <si>
    <t>Line_12</t>
  </si>
  <si>
    <t>Line_13</t>
  </si>
  <si>
    <t>Line_14</t>
  </si>
  <si>
    <t>Line_15</t>
  </si>
  <si>
    <t>Line_16</t>
  </si>
  <si>
    <t>Line_17</t>
  </si>
  <si>
    <t>Line_18</t>
  </si>
  <si>
    <t>Line_19</t>
  </si>
  <si>
    <t>Line_20</t>
  </si>
  <si>
    <t>Line_21</t>
  </si>
  <si>
    <t>Line_22</t>
  </si>
  <si>
    <t>Line_23</t>
  </si>
  <si>
    <t>Line_24</t>
  </si>
  <si>
    <t>Line_25</t>
  </si>
  <si>
    <t>Line_26</t>
  </si>
  <si>
    <t>Line_27</t>
  </si>
  <si>
    <t>Line_28</t>
  </si>
  <si>
    <t>Line_29</t>
  </si>
  <si>
    <t>Line_30</t>
  </si>
  <si>
    <t>Line_31</t>
  </si>
  <si>
    <t>Line_32</t>
  </si>
  <si>
    <t>Line_33</t>
  </si>
  <si>
    <t>Line_34</t>
  </si>
  <si>
    <t>Line_35</t>
  </si>
  <si>
    <t>Line_36</t>
  </si>
  <si>
    <t>Line_37</t>
  </si>
  <si>
    <t>Line_38</t>
  </si>
  <si>
    <t>Line_39</t>
  </si>
  <si>
    <t>Line_40</t>
  </si>
  <si>
    <t>Line_41</t>
  </si>
  <si>
    <t>Line_47</t>
  </si>
  <si>
    <t>Line_48</t>
  </si>
  <si>
    <t>Line_49</t>
  </si>
  <si>
    <t>Line_50</t>
  </si>
  <si>
    <t>Line_51</t>
  </si>
  <si>
    <t>Line_52</t>
  </si>
  <si>
    <t>Line_53</t>
  </si>
  <si>
    <t>Line_54</t>
  </si>
  <si>
    <t>Line_55</t>
  </si>
  <si>
    <t>Line_56</t>
  </si>
  <si>
    <t>Line_57</t>
  </si>
  <si>
    <t>Line_58</t>
  </si>
  <si>
    <t>Line_59</t>
  </si>
  <si>
    <t>Line_60</t>
  </si>
  <si>
    <t>Line_61</t>
  </si>
  <si>
    <t>Line_62</t>
  </si>
  <si>
    <t>Line_63</t>
  </si>
  <si>
    <t>Line_64</t>
  </si>
  <si>
    <t>Line_65</t>
  </si>
  <si>
    <t>Line_66</t>
  </si>
  <si>
    <t>Line_67</t>
  </si>
  <si>
    <t>Line_68</t>
  </si>
  <si>
    <t>Line_69</t>
  </si>
  <si>
    <t>Line_70</t>
  </si>
  <si>
    <t>Line_71</t>
  </si>
  <si>
    <t>Line_72</t>
  </si>
  <si>
    <t>Line_73</t>
  </si>
  <si>
    <t>Line_74</t>
  </si>
  <si>
    <t>Line_75</t>
  </si>
  <si>
    <t>Line_76</t>
  </si>
  <si>
    <t>Line_77</t>
  </si>
  <si>
    <t>Line_78</t>
  </si>
  <si>
    <t>Line_79</t>
  </si>
  <si>
    <t>Line_80</t>
  </si>
  <si>
    <t>Line_81</t>
  </si>
  <si>
    <t>Line_82</t>
  </si>
  <si>
    <t>Line_83</t>
  </si>
  <si>
    <t>Line_84</t>
  </si>
  <si>
    <t>Line_85</t>
  </si>
  <si>
    <t>Line_86</t>
  </si>
  <si>
    <t>Line_87</t>
  </si>
  <si>
    <t>NG_CT_1</t>
  </si>
  <si>
    <t>NG_CT_2</t>
  </si>
  <si>
    <t>NG_CT_3</t>
  </si>
  <si>
    <t>NG_CT_4</t>
  </si>
  <si>
    <t>RADISSON CS</t>
  </si>
  <si>
    <t>HENDAY CS</t>
  </si>
  <si>
    <t>ST JOSEPH GS</t>
  </si>
  <si>
    <t>ST LEON GS</t>
  </si>
  <si>
    <t>KEEWATINOHK CS</t>
  </si>
  <si>
    <t>LONG SPRUCE SS</t>
  </si>
  <si>
    <t>DORSEY CS</t>
  </si>
  <si>
    <t>RIEL CS</t>
  </si>
  <si>
    <t>LIMESTONE GS</t>
  </si>
  <si>
    <t>LONG SPRUCE GS</t>
  </si>
  <si>
    <t xml:space="preserve">PONTON </t>
  </si>
  <si>
    <t>Natural gas</t>
  </si>
  <si>
    <t>NG_CC</t>
  </si>
  <si>
    <t>NG_CG</t>
  </si>
  <si>
    <t>hydro_hourly</t>
  </si>
  <si>
    <t>hydro_daily</t>
  </si>
  <si>
    <t>hydro_monthly</t>
  </si>
  <si>
    <t>biogas</t>
  </si>
  <si>
    <t>hydro_daily_1</t>
  </si>
  <si>
    <t>hydro_monthly_1</t>
  </si>
  <si>
    <t>hydro_hourly_1</t>
  </si>
  <si>
    <t>hydro_hourly_2</t>
  </si>
  <si>
    <t>CLIFF LAKE</t>
  </si>
  <si>
    <t>DORSEY</t>
  </si>
  <si>
    <t>MYSTERY LAKE</t>
  </si>
  <si>
    <t>NEEPAWA</t>
  </si>
  <si>
    <t>RAVEN LAKE</t>
  </si>
  <si>
    <t>RIEL</t>
  </si>
  <si>
    <t>ROCKWOOD</t>
  </si>
  <si>
    <t>ROSSER</t>
  </si>
  <si>
    <t>ST VITAL</t>
  </si>
  <si>
    <t>Load_1</t>
  </si>
  <si>
    <t>Division No. 18</t>
  </si>
  <si>
    <t>Load_2</t>
  </si>
  <si>
    <t>Division No. 22</t>
  </si>
  <si>
    <t>Load_3</t>
  </si>
  <si>
    <t>Division No. 15</t>
  </si>
  <si>
    <t>Load_4</t>
  </si>
  <si>
    <t>Division No. 21</t>
  </si>
  <si>
    <t>Load_5</t>
  </si>
  <si>
    <t>Division No. 7</t>
  </si>
  <si>
    <t>Load_6</t>
  </si>
  <si>
    <t>Division No. 14</t>
  </si>
  <si>
    <t>Load_7</t>
  </si>
  <si>
    <t>Load_8</t>
  </si>
  <si>
    <t>Load_9</t>
  </si>
  <si>
    <t>Division No. 19</t>
  </si>
  <si>
    <t>Load_10</t>
  </si>
  <si>
    <t>Load_11</t>
  </si>
  <si>
    <t>Load_12</t>
  </si>
  <si>
    <t>Load_13</t>
  </si>
  <si>
    <t>Load_14</t>
  </si>
  <si>
    <t>Load_15</t>
  </si>
  <si>
    <t>Division No. 23</t>
  </si>
  <si>
    <t>Load_16</t>
  </si>
  <si>
    <t>Load_17</t>
  </si>
  <si>
    <t>Load_18</t>
  </si>
  <si>
    <t>Division No. 20</t>
  </si>
  <si>
    <t>Load_19</t>
  </si>
  <si>
    <t>Division No. 2</t>
  </si>
  <si>
    <t>Load_20</t>
  </si>
  <si>
    <t>Division No. 3</t>
  </si>
  <si>
    <t>Load_21</t>
  </si>
  <si>
    <t>Load_22</t>
  </si>
  <si>
    <t>Load_23</t>
  </si>
  <si>
    <t>Load_24</t>
  </si>
  <si>
    <t>Load_25</t>
  </si>
  <si>
    <t>Load_26</t>
  </si>
  <si>
    <t>Load_27</t>
  </si>
  <si>
    <t>Load_28</t>
  </si>
  <si>
    <t>Division No. 8</t>
  </si>
  <si>
    <t>Load_29</t>
  </si>
  <si>
    <t>Division No. 9</t>
  </si>
  <si>
    <t>Load_30</t>
  </si>
  <si>
    <t>Load_31</t>
  </si>
  <si>
    <t>Load_32</t>
  </si>
  <si>
    <t>Load_33</t>
  </si>
  <si>
    <t>Division No. 5</t>
  </si>
  <si>
    <t>Load_34</t>
  </si>
  <si>
    <t>Division No. 6</t>
  </si>
  <si>
    <t>Load_35</t>
  </si>
  <si>
    <t>Division No. 1</t>
  </si>
  <si>
    <t>Load_36</t>
  </si>
  <si>
    <t>Load_37</t>
  </si>
  <si>
    <t>Division No. 12</t>
  </si>
  <si>
    <t>Load_38</t>
  </si>
  <si>
    <t>Load_39</t>
  </si>
  <si>
    <t>Division No. 11</t>
  </si>
  <si>
    <t>Load_40</t>
  </si>
  <si>
    <t>Load_41</t>
  </si>
  <si>
    <t>Load_42</t>
  </si>
  <si>
    <t>Load_43</t>
  </si>
  <si>
    <t>Division No. 16</t>
  </si>
  <si>
    <t>Load_44</t>
  </si>
  <si>
    <t>Load_45</t>
  </si>
  <si>
    <t>Load_46</t>
  </si>
  <si>
    <t>Load_47</t>
  </si>
  <si>
    <t>Division No. 10</t>
  </si>
  <si>
    <t>Load_48</t>
  </si>
  <si>
    <t>Load_49</t>
  </si>
  <si>
    <t>Load_50</t>
  </si>
  <si>
    <t>Load_51</t>
  </si>
  <si>
    <t>Load_52</t>
  </si>
  <si>
    <t>Division No. 4</t>
  </si>
  <si>
    <t>Load_53</t>
  </si>
  <si>
    <t>Load_54</t>
  </si>
  <si>
    <t>Load_55</t>
  </si>
  <si>
    <t>Division No. 13</t>
  </si>
  <si>
    <t>Load_56</t>
  </si>
  <si>
    <t>Load_57</t>
  </si>
  <si>
    <t>Division No. 17</t>
  </si>
  <si>
    <t>Load_58</t>
  </si>
  <si>
    <t>Load_59</t>
  </si>
  <si>
    <t>Load_60</t>
  </si>
  <si>
    <t>hydro_daily_5</t>
  </si>
  <si>
    <t>cascade group name</t>
  </si>
  <si>
    <t>number</t>
  </si>
  <si>
    <t>min storage</t>
  </si>
  <si>
    <t>max storage</t>
  </si>
  <si>
    <t>min water discharge</t>
  </si>
  <si>
    <t>max water discharge</t>
  </si>
  <si>
    <t>h factor</t>
  </si>
  <si>
    <t>reactance-old</t>
  </si>
  <si>
    <t>GRAND RAPIDS GS</t>
  </si>
  <si>
    <t>JENPEG GS</t>
  </si>
  <si>
    <t>SILVER</t>
  </si>
  <si>
    <t>WUSKWATIM GS</t>
  </si>
  <si>
    <t>hydro_daily_2</t>
  </si>
  <si>
    <t>hydro_daily_3</t>
  </si>
  <si>
    <t>hydro_daily_4</t>
  </si>
  <si>
    <t>hydro_monthly_2</t>
  </si>
  <si>
    <t>hydro_monthly_3</t>
  </si>
  <si>
    <t>hydro_monthly_4</t>
  </si>
  <si>
    <t>hydro_monthly_5</t>
  </si>
  <si>
    <t>importexport_1</t>
  </si>
  <si>
    <t>importexport</t>
  </si>
  <si>
    <t>136.5P</t>
  </si>
  <si>
    <t>3.3P</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</si>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</sst>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0_-;\-* #,##0.00_-;_-* &quot;-&quot;??_-;_-@_-"/>
    <numFmt numFmtId="165" formatCode="0.000"/>
    <numFmt numFmtId="166" formatCode="0.0"/>
    <numFmt numFmtId="167" formatCode="_-* #,##0_-;\-* #,##0_-;_-* &quot;-&quot;??_-;_-@_-"/>
    <numFmt numFmtId="168" formatCode="#,##0.000000"/>
    <numFmt numFmtId="169" formatCode="0.0000%"/>
  </numFmts>
  <fonts count="42">
    <font>
      <sz val="11"/>
      <color theme="1"/>
      <name val="Calibri"/>
      <family val="2"/>
      <scheme val="minor"/>
    </font>
    <font>
      <b/>
      <sz val="11"/>
      <color theme="1"/>
      <name val="Calibri"/>
      <family val="2"/>
      <scheme val="minor"/>
    </font>
    <font>
      <sz val="11"/>
      <color theme="1"/>
      <name val="Liberation Sans"/>
    </font>
    <font>
      <sz val="10"/>
      <name val="Arial"/>
      <family val="2"/>
    </font>
    <font>
      <sz val="1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
      <sz val="11"/>
      <color theme="4"/>
      <name val="Calibri"/>
      <family val="2"/>
      <scheme val="minor"/>
    </font>
    <font>
      <sz val="11"/>
      <color rgb="FFFF0000"/>
      <name val="Calibri"/>
      <family val="2"/>
      <scheme val="minor"/>
    </font>
    <font>
      <sz val="8"/>
      <color theme="1"/>
      <name val="Calibri"/>
      <family val="2"/>
      <scheme val="minor"/>
    </font>
    <font>
      <b/>
      <sz val="14"/>
      <color theme="4"/>
      <name val="Calibri"/>
      <family val="2"/>
      <scheme val="minor"/>
    </font>
    <font>
      <sz val="9"/>
      <color theme="5" tint="-0.249977111117893"/>
      <name val="Calibri"/>
      <family val="2"/>
      <scheme val="minor"/>
    </font>
    <font>
      <sz val="9"/>
      <color rgb="FF9999FF"/>
      <name val="Calibri"/>
      <family val="2"/>
      <scheme val="minor"/>
    </font>
    <font>
      <sz val="9"/>
      <color rgb="FF00B050"/>
      <name val="Calibri"/>
      <family val="2"/>
      <scheme val="minor"/>
    </font>
    <font>
      <sz val="8"/>
      <color theme="5" tint="-0.249977111117893"/>
      <name val="Calibri"/>
      <family val="2"/>
      <scheme val="minor"/>
    </font>
    <font>
      <sz val="8"/>
      <color rgb="FF9999FF"/>
      <name val="Calibri"/>
      <family val="2"/>
      <scheme val="minor"/>
    </font>
    <font>
      <sz val="8"/>
      <color rgb="FF00B050"/>
      <name val="Calibri"/>
      <family val="2"/>
      <scheme val="minor"/>
    </font>
    <font>
      <sz val="11"/>
      <color rgb="FF0070C0"/>
      <name val="Calibri"/>
      <family val="2"/>
      <scheme val="minor"/>
    </font>
    <font>
      <sz val="8"/>
      <color rgb="FF0070C0"/>
      <name val="Calibri"/>
      <family val="2"/>
      <scheme val="minor"/>
    </font>
    <font>
      <sz val="9"/>
      <color indexed="81"/>
      <name val="Tahoma"/>
      <family val="2"/>
    </font>
    <font>
      <b/>
      <sz val="9"/>
      <color indexed="81"/>
      <name val="Tahoma"/>
      <family val="2"/>
    </font>
    <font>
      <sz val="9"/>
      <name val="Calibri"/>
      <family val="2"/>
      <scheme val="minor"/>
    </font>
    <font>
      <sz val="8"/>
      <name val="Calibri"/>
      <family val="2"/>
      <scheme val="minor"/>
    </font>
    <font>
      <sz val="9"/>
      <color rgb="FF0099CC"/>
      <name val="Calibri"/>
      <family val="2"/>
      <scheme val="minor"/>
    </font>
    <font>
      <sz val="8"/>
      <color rgb="FF0099CC"/>
      <name val="Calibri"/>
      <family val="2"/>
      <scheme val="minor"/>
    </font>
    <font>
      <sz val="9"/>
      <color rgb="FF7030A0"/>
      <name val="Calibri"/>
      <family val="2"/>
      <scheme val="minor"/>
    </font>
    <font>
      <sz val="8"/>
      <color rgb="FF7030A0"/>
      <name val="Calibri"/>
      <family val="2"/>
      <scheme val="minor"/>
    </font>
    <font>
      <sz val="11"/>
      <color theme="1"/>
      <name val="Calibri"/>
      <family val="2"/>
    </font>
    <font>
      <sz val="14"/>
      <name val="Calibri"/>
      <family val="2"/>
    </font>
    <font>
      <sz val="11"/>
      <color rgb="FF00B050"/>
      <name val="Calibri"/>
      <family val="2"/>
      <scheme val="minor"/>
    </font>
    <font>
      <sz val="14"/>
      <color theme="1"/>
      <name val="Calibri"/>
      <family val="2"/>
      <scheme val="minor"/>
    </font>
    <font>
      <sz val="11"/>
      <color theme="1" tint="4.9989318521683403E-2"/>
      <name val="Calibri"/>
      <family val="2"/>
      <scheme val="minor"/>
    </font>
    <font>
      <b/>
      <sz val="14"/>
      <color theme="1"/>
      <name val="Calibri"/>
      <family val="2"/>
      <scheme val="minor"/>
    </font>
    <font>
      <b/>
      <sz val="11"/>
      <name val="Calibri"/>
      <family val="2"/>
      <scheme val="minor"/>
    </font>
    <font>
      <sz val="11"/>
      <color rgb="FF7030A0"/>
      <name val="Calibri"/>
      <family val="2"/>
      <scheme val="minor"/>
    </font>
    <font>
      <b/>
      <sz val="14"/>
      <color rgb="FFFF0000"/>
      <name val="Calibri"/>
      <family val="2"/>
      <scheme val="minor"/>
    </font>
    <font>
      <b/>
      <sz val="11"/>
      <color rgb="FF00B050"/>
      <name val="Calibri"/>
      <family val="2"/>
      <scheme val="minor"/>
    </font>
    <font>
      <sz val="11"/>
      <color rgb="FF00CC66"/>
      <name val="Calibri"/>
      <family val="2"/>
      <scheme val="minor"/>
    </font>
    <font>
      <b/>
      <sz val="11"/>
      <color rgb="FF00CC66"/>
      <name val="Calibri"/>
      <family val="2"/>
      <scheme val="minor"/>
    </font>
    <font>
      <sz val="11"/>
      <color theme="5" tint="-0.249977111117893"/>
      <name val="Calibri"/>
      <family val="2"/>
      <scheme val="minor"/>
    </font>
    <font>
      <sz val="11"/>
      <color rgb="FF9999FF"/>
      <name val="Calibri"/>
      <family val="2"/>
      <scheme val="minor"/>
    </font>
  </fonts>
  <fills count="31">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rgb="FFFFCCFF"/>
        <bgColor indexed="64"/>
      </patternFill>
    </fill>
    <fill>
      <patternFill patternType="solid">
        <fgColor rgb="FFFF9999"/>
        <bgColor indexed="64"/>
      </patternFill>
    </fill>
    <fill>
      <patternFill patternType="solid">
        <fgColor rgb="FF99FFCC"/>
        <bgColor indexed="64"/>
      </patternFill>
    </fill>
    <fill>
      <patternFill patternType="solid">
        <fgColor rgb="FFCC99FF"/>
        <bgColor indexed="64"/>
      </patternFill>
    </fill>
    <fill>
      <patternFill patternType="solid">
        <fgColor rgb="FFFFFF99"/>
        <bgColor indexed="64"/>
      </patternFill>
    </fill>
    <fill>
      <patternFill patternType="solid">
        <fgColor them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66FFFF"/>
        <bgColor indexed="64"/>
      </patternFill>
    </fill>
    <fill>
      <patternFill patternType="solid">
        <fgColor rgb="FFCC9900"/>
        <bgColor indexed="64"/>
      </patternFill>
    </fill>
    <fill>
      <patternFill patternType="solid">
        <fgColor rgb="FF9999FF"/>
        <bgColor indexed="64"/>
      </patternFill>
    </fill>
    <fill>
      <patternFill patternType="solid">
        <fgColor rgb="FFFFFF66"/>
        <bgColor indexed="64"/>
      </patternFill>
    </fill>
    <fill>
      <patternFill patternType="solid">
        <fgColor rgb="FFFFFF00"/>
        <bgColor indexed="64"/>
      </patternFill>
    </fill>
    <fill>
      <patternFill patternType="solid">
        <fgColor rgb="FFFF0000"/>
        <bgColor indexed="64"/>
      </patternFill>
    </fill>
    <fill>
      <patternFill patternType="solid">
        <fgColor rgb="FF0099CC"/>
        <bgColor indexed="64"/>
      </patternFill>
    </fill>
    <fill>
      <patternFill patternType="solid">
        <fgColor rgb="FF00B050"/>
        <bgColor indexed="64"/>
      </patternFill>
    </fill>
    <fill>
      <patternFill patternType="solid">
        <fgColor rgb="FF009999"/>
        <bgColor indexed="64"/>
      </patternFill>
    </fill>
    <fill>
      <patternFill patternType="solid">
        <fgColor rgb="FF00FFFF"/>
        <bgColor indexed="64"/>
      </patternFill>
    </fill>
    <fill>
      <patternFill patternType="solid">
        <fgColor rgb="FFFF99FF"/>
        <bgColor indexed="64"/>
      </patternFill>
    </fill>
    <fill>
      <patternFill patternType="solid">
        <fgColor rgb="FFFFC000"/>
        <bgColor indexed="64"/>
      </patternFill>
    </fill>
    <fill>
      <patternFill patternType="solid">
        <fgColor rgb="FF99FF99"/>
        <bgColor indexed="64"/>
      </patternFill>
    </fill>
    <fill>
      <patternFill patternType="solid">
        <fgColor rgb="FF92D050"/>
      </patternFill>
    </fill>
    <fill>
      <patternFill patternType="gray125">
        <fgColor theme="0" tint="-0.14996795556505021"/>
        <bgColor indexed="65"/>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2" fillId="0" borderId="0"/>
    <xf numFmtId="0" fontId="3" fillId="0" borderId="0"/>
    <xf numFmtId="9" fontId="6" fillId="0" borderId="0" applyFont="0" applyFill="0" applyBorder="0" applyAlignment="0" applyProtection="0"/>
    <xf numFmtId="0" fontId="7" fillId="0" borderId="0" applyNumberFormat="0" applyFill="0" applyBorder="0" applyAlignment="0" applyProtection="0"/>
    <xf numFmtId="164" fontId="6" fillId="0" borderId="0" applyFont="0" applyFill="0" applyBorder="0" applyAlignment="0" applyProtection="0"/>
    <xf numFmtId="0" fontId="29" fillId="0" borderId="12">
      <alignment horizontal="center" vertical="center" wrapText="1"/>
    </xf>
    <xf numFmtId="3" fontId="31" fillId="0" borderId="12">
      <alignment horizontal="right" vertical="center"/>
    </xf>
    <xf numFmtId="168" fontId="31" fillId="0" borderId="12">
      <alignment horizontal="right" vertical="center"/>
    </xf>
    <xf numFmtId="4" fontId="31" fillId="0" borderId="12">
      <alignment horizontal="right" vertical="center"/>
    </xf>
    <xf numFmtId="0" fontId="33" fillId="29" borderId="0" applyNumberFormat="0" applyAlignment="0" applyProtection="0"/>
    <xf numFmtId="3" fontId="36" fillId="30" borderId="12">
      <alignment vertical="center"/>
    </xf>
  </cellStyleXfs>
  <cellXfs count="250">
    <xf numFmtId="0" fontId="0" fillId="0" borderId="0" xfId="0"/>
    <xf numFmtId="0" fontId="1" fillId="0" borderId="0" xfId="0" applyFont="1"/>
    <xf numFmtId="0" fontId="0" fillId="2" borderId="0" xfId="0" applyFill="1"/>
    <xf numFmtId="0" fontId="0" fillId="3" borderId="0" xfId="0" applyFill="1"/>
    <xf numFmtId="0" fontId="0" fillId="0" borderId="0" xfId="0" applyFill="1"/>
    <xf numFmtId="0" fontId="0" fillId="5" borderId="0" xfId="0" applyFill="1"/>
    <xf numFmtId="0" fontId="0" fillId="6" borderId="0" xfId="0" applyFill="1"/>
    <xf numFmtId="0" fontId="0" fillId="4" borderId="0" xfId="0" applyFill="1"/>
    <xf numFmtId="0" fontId="0" fillId="7" borderId="0" xfId="0" applyFill="1"/>
    <xf numFmtId="0" fontId="0" fillId="8" borderId="0" xfId="0" applyFill="1"/>
    <xf numFmtId="0" fontId="0" fillId="9" borderId="0" xfId="0" applyFill="1"/>
    <xf numFmtId="2" fontId="0" fillId="0" borderId="0" xfId="0" applyNumberFormat="1"/>
    <xf numFmtId="0" fontId="0" fillId="10" borderId="0" xfId="0" applyFill="1"/>
    <xf numFmtId="0" fontId="0" fillId="11" borderId="0" xfId="0" applyFill="1"/>
    <xf numFmtId="2" fontId="0" fillId="12" borderId="0" xfId="0" applyNumberFormat="1" applyFill="1"/>
    <xf numFmtId="0" fontId="0" fillId="12" borderId="0" xfId="0" applyFill="1"/>
    <xf numFmtId="0" fontId="0" fillId="0" borderId="0" xfId="0" applyBorder="1"/>
    <xf numFmtId="0" fontId="7" fillId="0" borderId="0" xfId="4"/>
    <xf numFmtId="166" fontId="0" fillId="0" borderId="0" xfId="0" applyNumberFormat="1"/>
    <xf numFmtId="0" fontId="0" fillId="0" borderId="0" xfId="0" applyNumberFormat="1"/>
    <xf numFmtId="49" fontId="0" fillId="0" borderId="0" xfId="0" applyNumberFormat="1"/>
    <xf numFmtId="0" fontId="0" fillId="13" borderId="0" xfId="0" applyFill="1"/>
    <xf numFmtId="49" fontId="0" fillId="13" borderId="0" xfId="0" applyNumberFormat="1" applyFill="1"/>
    <xf numFmtId="49" fontId="0" fillId="13" borderId="2" xfId="0" applyNumberFormat="1" applyFill="1" applyBorder="1"/>
    <xf numFmtId="49" fontId="0" fillId="13" borderId="0" xfId="0" applyNumberFormat="1" applyFill="1" applyBorder="1"/>
    <xf numFmtId="49" fontId="0" fillId="13" borderId="3" xfId="0" applyNumberFormat="1" applyFill="1" applyBorder="1"/>
    <xf numFmtId="0" fontId="0" fillId="13" borderId="2" xfId="0" applyFill="1" applyBorder="1" applyAlignment="1">
      <alignment horizontal="center"/>
    </xf>
    <xf numFmtId="0" fontId="0" fillId="13" borderId="0" xfId="0" applyNumberFormat="1" applyFill="1"/>
    <xf numFmtId="9" fontId="0" fillId="13" borderId="0" xfId="3" applyFont="1" applyFill="1"/>
    <xf numFmtId="9" fontId="0" fillId="13" borderId="3" xfId="0" applyNumberFormat="1" applyFill="1" applyBorder="1" applyAlignment="1">
      <alignment horizontal="center"/>
    </xf>
    <xf numFmtId="10" fontId="0" fillId="13" borderId="1" xfId="3" applyNumberFormat="1" applyFont="1" applyFill="1" applyBorder="1"/>
    <xf numFmtId="10" fontId="0" fillId="13" borderId="0" xfId="3" applyNumberFormat="1" applyFont="1" applyFill="1"/>
    <xf numFmtId="0" fontId="0" fillId="0" borderId="0" xfId="0" applyFill="1" applyBorder="1"/>
    <xf numFmtId="0" fontId="0" fillId="0" borderId="0" xfId="0" applyBorder="1" applyAlignment="1">
      <alignment horizontal="center"/>
    </xf>
    <xf numFmtId="166" fontId="0" fillId="2" borderId="0" xfId="0" applyNumberFormat="1" applyFill="1"/>
    <xf numFmtId="0" fontId="9" fillId="0" borderId="0" xfId="0" applyFont="1"/>
    <xf numFmtId="0" fontId="0" fillId="16" borderId="0" xfId="0" applyFill="1"/>
    <xf numFmtId="0" fontId="0" fillId="0" borderId="0" xfId="0" applyAlignment="1"/>
    <xf numFmtId="0" fontId="5" fillId="0" borderId="0" xfId="0" applyFont="1"/>
    <xf numFmtId="0" fontId="0" fillId="17" borderId="0" xfId="0" applyFill="1"/>
    <xf numFmtId="2" fontId="0" fillId="17" borderId="0" xfId="0" applyNumberFormat="1" applyFill="1"/>
    <xf numFmtId="0" fontId="0" fillId="18" borderId="0" xfId="0" applyFill="1"/>
    <xf numFmtId="2" fontId="0" fillId="18" borderId="0" xfId="0" applyNumberFormat="1" applyFill="1"/>
    <xf numFmtId="0" fontId="0" fillId="19" borderId="0" xfId="0" applyFill="1"/>
    <xf numFmtId="2" fontId="0" fillId="19" borderId="0" xfId="0" applyNumberFormat="1" applyFill="1"/>
    <xf numFmtId="0" fontId="0" fillId="0" borderId="0" xfId="0" applyAlignment="1">
      <alignment horizontal="left"/>
    </xf>
    <xf numFmtId="0" fontId="8" fillId="14" borderId="0" xfId="0" applyFont="1" applyFill="1" applyBorder="1" applyAlignment="1">
      <alignment horizontal="center"/>
    </xf>
    <xf numFmtId="0" fontId="8" fillId="15" borderId="0" xfId="0" applyFont="1" applyFill="1" applyBorder="1" applyAlignment="1">
      <alignment horizontal="center"/>
    </xf>
    <xf numFmtId="0" fontId="0" fillId="0" borderId="0" xfId="0"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8" fillId="0" borderId="0" xfId="0" applyFont="1" applyFill="1" applyBorder="1" applyAlignment="1">
      <alignment horizontal="center"/>
    </xf>
    <xf numFmtId="0" fontId="5" fillId="0" borderId="0" xfId="0" applyFont="1" applyAlignment="1">
      <alignment horizontal="center"/>
    </xf>
    <xf numFmtId="0" fontId="0" fillId="0" borderId="0" xfId="0" applyAlignment="1">
      <alignment wrapText="1"/>
    </xf>
    <xf numFmtId="0" fontId="11" fillId="0" borderId="0" xfId="0" applyFont="1"/>
    <xf numFmtId="0" fontId="0" fillId="2" borderId="0" xfId="0" applyFill="1" applyAlignment="1">
      <alignment horizontal="center"/>
    </xf>
    <xf numFmtId="2" fontId="0" fillId="3" borderId="0" xfId="0" applyNumberFormat="1" applyFill="1" applyAlignment="1">
      <alignment horizontal="center"/>
    </xf>
    <xf numFmtId="0" fontId="0" fillId="6" borderId="0" xfId="0" applyNumberFormat="1"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6" borderId="0" xfId="0" applyFill="1" applyAlignment="1">
      <alignment horizontal="center"/>
    </xf>
    <xf numFmtId="0" fontId="0" fillId="21" borderId="0" xfId="0" applyFill="1" applyAlignment="1">
      <alignment horizontal="center"/>
    </xf>
    <xf numFmtId="0" fontId="0" fillId="9" borderId="0" xfId="0" applyFill="1" applyAlignment="1">
      <alignment horizontal="center"/>
    </xf>
    <xf numFmtId="0" fontId="9" fillId="0" borderId="0" xfId="0" applyFont="1" applyFill="1" applyAlignment="1">
      <alignment horizontal="center"/>
    </xf>
    <xf numFmtId="0" fontId="0" fillId="11" borderId="0" xfId="0" applyFill="1" applyAlignment="1">
      <alignment horizontal="center"/>
    </xf>
    <xf numFmtId="0" fontId="0" fillId="8" borderId="0" xfId="0" applyFill="1" applyAlignment="1">
      <alignment horizontal="center"/>
    </xf>
    <xf numFmtId="2" fontId="0" fillId="5" borderId="0" xfId="0" applyNumberFormat="1" applyFill="1" applyAlignment="1">
      <alignment horizontal="center"/>
    </xf>
    <xf numFmtId="0" fontId="0" fillId="4" borderId="0" xfId="0" applyFill="1" applyAlignment="1">
      <alignment horizontal="center"/>
    </xf>
    <xf numFmtId="0" fontId="0" fillId="0" borderId="5" xfId="0" applyBorder="1"/>
    <xf numFmtId="0" fontId="12" fillId="0" borderId="0" xfId="0" applyFont="1" applyBorder="1" applyAlignment="1">
      <alignment horizontal="center"/>
    </xf>
    <xf numFmtId="0" fontId="13" fillId="0" borderId="0" xfId="0" applyFont="1" applyBorder="1" applyAlignment="1">
      <alignment horizontal="center"/>
    </xf>
    <xf numFmtId="0" fontId="14" fillId="0" borderId="0" xfId="0" applyFont="1" applyBorder="1" applyAlignment="1">
      <alignment horizontal="center"/>
    </xf>
    <xf numFmtId="0" fontId="14" fillId="0" borderId="9" xfId="0" applyFont="1" applyBorder="1" applyAlignment="1">
      <alignment horizontal="center"/>
    </xf>
    <xf numFmtId="0" fontId="0" fillId="0" borderId="8" xfId="0" applyBorder="1"/>
    <xf numFmtId="0" fontId="10" fillId="0" borderId="0" xfId="0" applyFont="1" applyBorder="1" applyAlignment="1">
      <alignment horizontal="center"/>
    </xf>
    <xf numFmtId="2" fontId="0" fillId="0" borderId="0" xfId="5" applyNumberFormat="1" applyFont="1" applyBorder="1" applyAlignment="1">
      <alignment horizontal="center"/>
    </xf>
    <xf numFmtId="2" fontId="0" fillId="0" borderId="9" xfId="5" applyNumberFormat="1" applyFont="1" applyBorder="1" applyAlignment="1">
      <alignment horizontal="center"/>
    </xf>
    <xf numFmtId="0" fontId="0" fillId="0" borderId="11" xfId="0" applyBorder="1"/>
    <xf numFmtId="0" fontId="0" fillId="0" borderId="4" xfId="0" applyBorder="1" applyAlignment="1">
      <alignment horizontal="center"/>
    </xf>
    <xf numFmtId="0" fontId="15" fillId="0" borderId="4" xfId="0" applyFont="1" applyBorder="1" applyAlignment="1">
      <alignment horizontal="center"/>
    </xf>
    <xf numFmtId="0" fontId="16" fillId="0" borderId="4" xfId="0" applyFont="1" applyBorder="1" applyAlignment="1">
      <alignment horizontal="center"/>
    </xf>
    <xf numFmtId="0" fontId="17" fillId="0" borderId="4" xfId="0" applyFont="1" applyBorder="1" applyAlignment="1">
      <alignment horizontal="center"/>
    </xf>
    <xf numFmtId="0" fontId="17" fillId="0" borderId="10" xfId="0" applyFont="1" applyBorder="1" applyAlignment="1">
      <alignment horizontal="center"/>
    </xf>
    <xf numFmtId="0" fontId="14" fillId="0" borderId="0" xfId="0" applyFont="1" applyBorder="1" applyAlignment="1"/>
    <xf numFmtId="0" fontId="14" fillId="0" borderId="0" xfId="0" applyFont="1" applyBorder="1" applyAlignment="1">
      <alignment wrapText="1"/>
    </xf>
    <xf numFmtId="0" fontId="19" fillId="0" borderId="0" xfId="0" applyFont="1" applyBorder="1" applyAlignment="1">
      <alignment horizontal="center"/>
    </xf>
    <xf numFmtId="0" fontId="18" fillId="0" borderId="0" xfId="0" applyFont="1" applyBorder="1" applyAlignment="1">
      <alignment horizontal="center"/>
    </xf>
    <xf numFmtId="0" fontId="0" fillId="0" borderId="9" xfId="0" applyBorder="1" applyAlignment="1">
      <alignment horizontal="center"/>
    </xf>
    <xf numFmtId="0" fontId="19" fillId="0" borderId="4" xfId="0" applyFont="1" applyBorder="1" applyAlignment="1">
      <alignment horizontal="center"/>
    </xf>
    <xf numFmtId="0" fontId="18" fillId="0" borderId="4" xfId="0" applyFont="1" applyBorder="1" applyAlignment="1">
      <alignment horizontal="center"/>
    </xf>
    <xf numFmtId="0" fontId="0" fillId="0" borderId="10" xfId="0" applyBorder="1" applyAlignment="1">
      <alignment horizontal="center"/>
    </xf>
    <xf numFmtId="0" fontId="0" fillId="0" borderId="8" xfId="0" applyFont="1" applyBorder="1"/>
    <xf numFmtId="166" fontId="0" fillId="0" borderId="0" xfId="0" applyNumberFormat="1" applyFill="1" applyBorder="1" applyAlignment="1">
      <alignment horizontal="center"/>
    </xf>
    <xf numFmtId="165" fontId="0" fillId="0" borderId="0" xfId="0" applyNumberFormat="1" applyFill="1" applyAlignment="1">
      <alignment horizontal="center"/>
    </xf>
    <xf numFmtId="0" fontId="0" fillId="0" borderId="0" xfId="0" applyFill="1" applyAlignment="1">
      <alignment horizontal="center"/>
    </xf>
    <xf numFmtId="0" fontId="12" fillId="0" borderId="6" xfId="0" applyFont="1" applyBorder="1" applyAlignment="1">
      <alignment horizontal="center" wrapText="1"/>
    </xf>
    <xf numFmtId="0" fontId="13" fillId="0" borderId="6" xfId="0" applyFont="1" applyBorder="1" applyAlignment="1">
      <alignment horizontal="center" wrapText="1"/>
    </xf>
    <xf numFmtId="0" fontId="0" fillId="22" borderId="0" xfId="0" applyFill="1"/>
    <xf numFmtId="0" fontId="0" fillId="22" borderId="0" xfId="0" applyFill="1" applyAlignment="1">
      <alignment horizontal="center"/>
    </xf>
    <xf numFmtId="0" fontId="0" fillId="21" borderId="0" xfId="0" applyFill="1" applyAlignment="1">
      <alignment wrapText="1"/>
    </xf>
    <xf numFmtId="0" fontId="0" fillId="22" borderId="0" xfId="0" applyFill="1" applyAlignment="1">
      <alignment wrapText="1"/>
    </xf>
    <xf numFmtId="0" fontId="1" fillId="0" borderId="0" xfId="0" applyFont="1" applyAlignment="1">
      <alignment wrapText="1"/>
    </xf>
    <xf numFmtId="0" fontId="0" fillId="0" borderId="0" xfId="0" applyFill="1" applyAlignment="1">
      <alignment wrapText="1"/>
    </xf>
    <xf numFmtId="9" fontId="0" fillId="22" borderId="0" xfId="0" applyNumberFormat="1" applyFill="1" applyAlignment="1">
      <alignment horizontal="center"/>
    </xf>
    <xf numFmtId="0" fontId="12" fillId="0" borderId="0" xfId="0" applyFont="1" applyBorder="1" applyAlignment="1">
      <alignment horizontal="center" wrapText="1"/>
    </xf>
    <xf numFmtId="0" fontId="13" fillId="0" borderId="0" xfId="0" applyFont="1" applyBorder="1" applyAlignment="1">
      <alignment horizontal="center" wrapText="1"/>
    </xf>
    <xf numFmtId="0" fontId="24" fillId="0" borderId="0" xfId="0" applyFont="1" applyBorder="1" applyAlignment="1">
      <alignment horizontal="center" wrapText="1"/>
    </xf>
    <xf numFmtId="0" fontId="14" fillId="0" borderId="0" xfId="0" applyFont="1" applyBorder="1" applyAlignment="1">
      <alignment horizontal="center" wrapText="1"/>
    </xf>
    <xf numFmtId="0" fontId="26" fillId="0" borderId="0" xfId="0" applyFont="1" applyBorder="1" applyAlignment="1">
      <alignment horizontal="center" wrapText="1"/>
    </xf>
    <xf numFmtId="0" fontId="26" fillId="0" borderId="9" xfId="0" applyFont="1" applyBorder="1" applyAlignment="1">
      <alignment horizontal="center" wrapText="1"/>
    </xf>
    <xf numFmtId="0" fontId="15" fillId="0" borderId="4" xfId="0" applyFont="1" applyBorder="1" applyAlignment="1">
      <alignment horizontal="center" wrapText="1"/>
    </xf>
    <xf numFmtId="0" fontId="16" fillId="0" borderId="4" xfId="0" applyFont="1" applyBorder="1" applyAlignment="1">
      <alignment horizontal="center" wrapText="1"/>
    </xf>
    <xf numFmtId="0" fontId="25" fillId="0" borderId="4" xfId="0" applyFont="1" applyBorder="1" applyAlignment="1">
      <alignment horizontal="center" wrapText="1"/>
    </xf>
    <xf numFmtId="0" fontId="17" fillId="0" borderId="4" xfId="0" applyFont="1" applyBorder="1" applyAlignment="1">
      <alignment horizontal="center" wrapText="1"/>
    </xf>
    <xf numFmtId="0" fontId="27" fillId="0" borderId="4" xfId="0" applyFont="1" applyBorder="1" applyAlignment="1">
      <alignment horizontal="center" wrapText="1"/>
    </xf>
    <xf numFmtId="0" fontId="27" fillId="0" borderId="10" xfId="0" applyFont="1" applyBorder="1" applyAlignment="1">
      <alignment horizontal="center" wrapText="1"/>
    </xf>
    <xf numFmtId="0" fontId="0" fillId="0" borderId="6" xfId="0" applyBorder="1"/>
    <xf numFmtId="0" fontId="22" fillId="0" borderId="0" xfId="0" applyFont="1" applyBorder="1" applyAlignment="1">
      <alignment horizontal="center" wrapText="1"/>
    </xf>
    <xf numFmtId="0" fontId="23" fillId="0" borderId="4" xfId="0" applyFont="1" applyBorder="1" applyAlignment="1">
      <alignment horizontal="center" wrapText="1"/>
    </xf>
    <xf numFmtId="0" fontId="10" fillId="0" borderId="4" xfId="0" applyFont="1" applyBorder="1" applyAlignment="1">
      <alignment horizontal="center"/>
    </xf>
    <xf numFmtId="0" fontId="0" fillId="0" borderId="8" xfId="0" applyBorder="1" applyAlignment="1">
      <alignment horizontal="left"/>
    </xf>
    <xf numFmtId="9" fontId="0" fillId="0" borderId="0" xfId="0" applyNumberFormat="1" applyFill="1"/>
    <xf numFmtId="0" fontId="0" fillId="0" borderId="0" xfId="0" applyFont="1"/>
    <xf numFmtId="9" fontId="0" fillId="0" borderId="0" xfId="0" applyNumberFormat="1"/>
    <xf numFmtId="0" fontId="24" fillId="0" borderId="8" xfId="0" applyFont="1" applyBorder="1" applyAlignment="1">
      <alignment horizontal="center" wrapText="1"/>
    </xf>
    <xf numFmtId="0" fontId="24" fillId="0" borderId="9" xfId="0" applyFont="1" applyBorder="1" applyAlignment="1">
      <alignment horizontal="center" wrapText="1"/>
    </xf>
    <xf numFmtId="0" fontId="25" fillId="0" borderId="11" xfId="0" applyFont="1" applyBorder="1" applyAlignment="1">
      <alignment horizontal="center" wrapText="1"/>
    </xf>
    <xf numFmtId="0" fontId="25" fillId="0" borderId="10" xfId="0" applyFont="1" applyBorder="1" applyAlignment="1">
      <alignment horizontal="center" wrapText="1"/>
    </xf>
    <xf numFmtId="1" fontId="0" fillId="0" borderId="0" xfId="0" applyNumberFormat="1" applyBorder="1" applyAlignment="1">
      <alignment horizontal="center"/>
    </xf>
    <xf numFmtId="1" fontId="0" fillId="0" borderId="0" xfId="5" applyNumberFormat="1" applyFont="1" applyBorder="1" applyAlignment="1">
      <alignment horizontal="center"/>
    </xf>
    <xf numFmtId="164" fontId="0" fillId="0" borderId="0" xfId="5" applyFont="1" applyFill="1"/>
    <xf numFmtId="167" fontId="0" fillId="0" borderId="0" xfId="5" applyNumberFormat="1" applyFont="1" applyFill="1" applyAlignment="1">
      <alignment horizontal="center"/>
    </xf>
    <xf numFmtId="167" fontId="4" fillId="23" borderId="0" xfId="5" applyNumberFormat="1" applyFont="1" applyFill="1" applyAlignment="1">
      <alignment horizontal="center"/>
    </xf>
    <xf numFmtId="0" fontId="0" fillId="23" borderId="0" xfId="0" applyFill="1"/>
    <xf numFmtId="164" fontId="0" fillId="17" borderId="0" xfId="5" applyFont="1" applyFill="1"/>
    <xf numFmtId="167" fontId="0" fillId="0" borderId="9" xfId="5" applyNumberFormat="1" applyFont="1" applyBorder="1" applyAlignment="1">
      <alignment horizontal="center"/>
    </xf>
    <xf numFmtId="167" fontId="0" fillId="0" borderId="0" xfId="5" applyNumberFormat="1" applyFont="1"/>
    <xf numFmtId="0" fontId="0" fillId="15" borderId="0" xfId="0" applyFill="1" applyAlignment="1">
      <alignment horizontal="left"/>
    </xf>
    <xf numFmtId="0" fontId="0" fillId="15" borderId="0" xfId="0" applyFill="1" applyBorder="1" applyAlignment="1">
      <alignment horizontal="left"/>
    </xf>
    <xf numFmtId="9" fontId="0" fillId="0" borderId="0" xfId="3" applyFont="1" applyAlignment="1">
      <alignment horizontal="center"/>
    </xf>
    <xf numFmtId="9" fontId="0" fillId="0" borderId="0" xfId="0" applyNumberFormat="1" applyAlignment="1">
      <alignment horizontal="center"/>
    </xf>
    <xf numFmtId="2" fontId="0" fillId="21" borderId="0" xfId="0" applyNumberFormat="1" applyFill="1"/>
    <xf numFmtId="0" fontId="0" fillId="0" borderId="0" xfId="0" applyBorder="1" applyAlignment="1">
      <alignment horizontal="left"/>
    </xf>
    <xf numFmtId="0" fontId="4" fillId="0" borderId="0" xfId="0" applyFont="1" applyFill="1" applyBorder="1"/>
    <xf numFmtId="0" fontId="0" fillId="21" borderId="0" xfId="0" applyFill="1"/>
    <xf numFmtId="1" fontId="0" fillId="0" borderId="0" xfId="0" applyNumberFormat="1" applyFill="1" applyBorder="1" applyAlignment="1">
      <alignment horizontal="center"/>
    </xf>
    <xf numFmtId="0" fontId="0" fillId="24" borderId="0" xfId="0" applyFill="1" applyAlignment="1">
      <alignment horizontal="center"/>
    </xf>
    <xf numFmtId="0" fontId="0" fillId="25" borderId="0" xfId="0" applyFill="1" applyAlignment="1">
      <alignment horizontal="center"/>
    </xf>
    <xf numFmtId="0" fontId="0" fillId="21" borderId="0" xfId="0" applyFill="1" applyAlignment="1">
      <alignment horizontal="left"/>
    </xf>
    <xf numFmtId="1" fontId="0" fillId="0" borderId="0" xfId="0" applyNumberFormat="1" applyFill="1" applyBorder="1"/>
    <xf numFmtId="0" fontId="4" fillId="0" borderId="0" xfId="0" applyFont="1" applyFill="1" applyBorder="1" applyAlignment="1">
      <alignment horizontal="center"/>
    </xf>
    <xf numFmtId="0" fontId="0" fillId="0" borderId="0" xfId="0" applyFill="1" applyAlignment="1">
      <alignment horizontal="left"/>
    </xf>
    <xf numFmtId="0" fontId="0" fillId="27" borderId="8" xfId="0" applyFill="1" applyBorder="1"/>
    <xf numFmtId="0" fontId="0" fillId="20" borderId="0" xfId="0" applyFill="1" applyBorder="1" applyAlignment="1">
      <alignment horizontal="center"/>
    </xf>
    <xf numFmtId="0" fontId="0" fillId="27" borderId="0" xfId="0" applyFont="1" applyFill="1" applyBorder="1" applyAlignment="1">
      <alignment horizontal="center"/>
    </xf>
    <xf numFmtId="0" fontId="0" fillId="20" borderId="0" xfId="0" applyFont="1" applyFill="1" applyBorder="1" applyAlignment="1">
      <alignment horizontal="center"/>
    </xf>
    <xf numFmtId="0" fontId="0" fillId="27" borderId="0" xfId="0" applyFill="1" applyBorder="1" applyAlignment="1">
      <alignment horizontal="center"/>
    </xf>
    <xf numFmtId="2" fontId="0" fillId="0" borderId="0" xfId="5" applyNumberFormat="1" applyFont="1" applyFill="1" applyBorder="1" applyAlignment="1">
      <alignment horizontal="center"/>
    </xf>
    <xf numFmtId="2" fontId="0" fillId="0" borderId="9" xfId="5" applyNumberFormat="1" applyFont="1" applyFill="1" applyBorder="1" applyAlignment="1">
      <alignment horizontal="center"/>
    </xf>
    <xf numFmtId="0" fontId="1" fillId="0" borderId="0" xfId="0" applyFont="1" applyFill="1" applyAlignment="1">
      <alignment horizontal="center" wrapText="1"/>
    </xf>
    <xf numFmtId="0" fontId="28" fillId="0" borderId="0" xfId="0" applyFont="1" applyFill="1" applyBorder="1" applyAlignment="1">
      <alignment horizontal="center"/>
    </xf>
    <xf numFmtId="0" fontId="0" fillId="28" borderId="0" xfId="0" applyFill="1"/>
    <xf numFmtId="0" fontId="0" fillId="28" borderId="0" xfId="0" applyFill="1" applyAlignment="1">
      <alignment horizontal="center"/>
    </xf>
    <xf numFmtId="1" fontId="4" fillId="0" borderId="0" xfId="0" applyNumberFormat="1" applyFont="1" applyFill="1" applyBorder="1" applyAlignment="1">
      <alignment horizontal="center"/>
    </xf>
    <xf numFmtId="0" fontId="0" fillId="0" borderId="0" xfId="0" applyFill="1" applyAlignment="1">
      <alignment horizontal="center" wrapText="1"/>
    </xf>
    <xf numFmtId="0" fontId="0" fillId="28" borderId="0" xfId="0" applyFill="1" applyBorder="1"/>
    <xf numFmtId="167" fontId="0" fillId="0" borderId="0" xfId="5" applyNumberFormat="1" applyFont="1" applyBorder="1" applyAlignment="1">
      <alignment horizontal="center"/>
    </xf>
    <xf numFmtId="167" fontId="4" fillId="0" borderId="4" xfId="5" applyNumberFormat="1" applyFont="1" applyBorder="1" applyAlignment="1">
      <alignment horizontal="center"/>
    </xf>
    <xf numFmtId="43" fontId="0" fillId="0" borderId="0" xfId="0" applyNumberFormat="1" applyAlignment="1"/>
    <xf numFmtId="0" fontId="9" fillId="0" borderId="0" xfId="0" applyFont="1" applyFill="1"/>
    <xf numFmtId="165" fontId="0" fillId="0" borderId="0" xfId="0" applyNumberFormat="1" applyFill="1" applyAlignment="1">
      <alignment horizontal="left"/>
    </xf>
    <xf numFmtId="165" fontId="0" fillId="0" borderId="0" xfId="0" applyNumberFormat="1" applyFill="1" applyBorder="1" applyAlignment="1">
      <alignment horizontal="center"/>
    </xf>
    <xf numFmtId="0" fontId="0" fillId="26" borderId="0" xfId="0" applyFill="1" applyBorder="1" applyAlignment="1">
      <alignment horizont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9" fontId="0" fillId="24" borderId="0" xfId="3" applyFont="1" applyFill="1" applyAlignment="1">
      <alignment horizontal="center"/>
    </xf>
    <xf numFmtId="9" fontId="0" fillId="24" borderId="0" xfId="0" applyNumberFormat="1" applyFill="1" applyAlignment="1">
      <alignment horizontal="center"/>
    </xf>
    <xf numFmtId="0" fontId="0" fillId="0" borderId="0" xfId="0" applyFont="1" applyFill="1" applyAlignment="1">
      <alignment horizontal="center" vertical="center" wrapText="1"/>
    </xf>
    <xf numFmtId="0" fontId="0" fillId="0" borderId="0" xfId="0" applyFont="1" applyAlignment="1">
      <alignment horizontal="center" vertical="center"/>
    </xf>
    <xf numFmtId="0" fontId="4" fillId="0" borderId="0" xfId="0" applyFont="1" applyFill="1" applyAlignment="1">
      <alignment horizontal="center"/>
    </xf>
    <xf numFmtId="0" fontId="4" fillId="0" borderId="0" xfId="0" quotePrefix="1" applyFont="1" applyFill="1" applyAlignment="1">
      <alignment horizontal="left"/>
    </xf>
    <xf numFmtId="166" fontId="4" fillId="0" borderId="0" xfId="0" quotePrefix="1" applyNumberFormat="1" applyFont="1" applyFill="1" applyAlignment="1">
      <alignment horizontal="center"/>
    </xf>
    <xf numFmtId="0" fontId="4" fillId="0" borderId="0" xfId="0" applyFont="1"/>
    <xf numFmtId="0" fontId="4" fillId="0" borderId="0" xfId="0" applyFont="1" applyAlignment="1">
      <alignment horizontal="center"/>
    </xf>
    <xf numFmtId="0" fontId="30" fillId="0" borderId="0" xfId="0" applyFont="1" applyFill="1" applyBorder="1" applyAlignment="1">
      <alignment horizontal="center"/>
    </xf>
    <xf numFmtId="0" fontId="30" fillId="0" borderId="0" xfId="0" applyFont="1" applyBorder="1"/>
    <xf numFmtId="0" fontId="30" fillId="0" borderId="0" xfId="0" applyFont="1" applyAlignment="1">
      <alignment horizontal="center" vertical="center"/>
    </xf>
    <xf numFmtId="0" fontId="32" fillId="0" borderId="0" xfId="0" applyFont="1" applyFill="1" applyAlignment="1">
      <alignment horizontal="center" vertical="center" wrapText="1"/>
    </xf>
    <xf numFmtId="0" fontId="32" fillId="0" borderId="0" xfId="0" applyFont="1" applyFill="1" applyAlignment="1">
      <alignment horizontal="center" vertical="center"/>
    </xf>
    <xf numFmtId="0" fontId="30" fillId="0" borderId="0" xfId="0" applyFont="1" applyFill="1" applyBorder="1"/>
    <xf numFmtId="1" fontId="30" fillId="0" borderId="0" xfId="0" applyNumberFormat="1" applyFont="1" applyFill="1" applyBorder="1"/>
    <xf numFmtId="1" fontId="30" fillId="0" borderId="0" xfId="0" applyNumberFormat="1" applyFont="1" applyFill="1" applyBorder="1" applyAlignment="1">
      <alignment horizontal="center"/>
    </xf>
    <xf numFmtId="0" fontId="30" fillId="0" borderId="0" xfId="0" applyFont="1" applyBorder="1" applyAlignment="1">
      <alignment horizontal="center" vertical="center" wrapText="1"/>
    </xf>
    <xf numFmtId="0" fontId="30" fillId="0" borderId="0" xfId="0" applyFont="1" applyBorder="1" applyAlignment="1">
      <alignment horizontal="center"/>
    </xf>
    <xf numFmtId="0" fontId="30" fillId="0" borderId="0" xfId="0" applyFont="1" applyFill="1" applyBorder="1" applyAlignment="1">
      <alignment horizontal="center" vertical="center" wrapText="1"/>
    </xf>
    <xf numFmtId="0" fontId="34" fillId="0" borderId="0" xfId="0" applyFont="1"/>
    <xf numFmtId="2" fontId="4" fillId="0" borderId="0" xfId="0" applyNumberFormat="1" applyFont="1" applyFill="1"/>
    <xf numFmtId="0" fontId="35" fillId="0" borderId="0" xfId="0" applyFont="1" applyFill="1" applyBorder="1" applyAlignment="1">
      <alignment horizontal="center" vertical="center" wrapText="1"/>
    </xf>
    <xf numFmtId="0" fontId="4" fillId="0" borderId="0" xfId="0" applyFont="1" applyAlignment="1">
      <alignment horizontal="center" vertical="center"/>
    </xf>
    <xf numFmtId="0" fontId="35" fillId="0" borderId="0" xfId="0" applyFont="1" applyAlignment="1">
      <alignment horizontal="center" vertical="center"/>
    </xf>
    <xf numFmtId="0" fontId="35" fillId="0" borderId="0" xfId="0" applyFont="1"/>
    <xf numFmtId="0" fontId="0" fillId="0" borderId="0" xfId="0" applyFont="1" applyFill="1" applyBorder="1" applyAlignment="1">
      <alignment horizontal="center"/>
    </xf>
    <xf numFmtId="0" fontId="37" fillId="0" borderId="0" xfId="0" applyFont="1"/>
    <xf numFmtId="169" fontId="30" fillId="0" borderId="0" xfId="0" applyNumberFormat="1" applyFont="1" applyAlignment="1">
      <alignment horizontal="center"/>
    </xf>
    <xf numFmtId="2" fontId="30" fillId="0" borderId="0" xfId="3" applyNumberFormat="1" applyFont="1" applyAlignment="1">
      <alignment horizontal="center" vertical="center"/>
    </xf>
    <xf numFmtId="2" fontId="30" fillId="0" borderId="0" xfId="0" applyNumberFormat="1" applyFont="1" applyAlignment="1">
      <alignment horizontal="center" vertical="center"/>
    </xf>
    <xf numFmtId="0" fontId="35" fillId="0" borderId="0" xfId="0" applyFont="1" applyFill="1" applyAlignment="1">
      <alignment horizontal="center" vertical="center"/>
    </xf>
    <xf numFmtId="0" fontId="37" fillId="0" borderId="0" xfId="0" applyFont="1" applyFill="1" applyAlignment="1">
      <alignment horizontal="center" vertical="center"/>
    </xf>
    <xf numFmtId="0" fontId="30" fillId="0" borderId="0" xfId="0" applyFont="1" applyFill="1" applyAlignment="1">
      <alignment horizontal="center" vertical="center"/>
    </xf>
    <xf numFmtId="0" fontId="4" fillId="0" borderId="0" xfId="0" applyFont="1" applyFill="1" applyBorder="1" applyAlignment="1">
      <alignment horizontal="center" vertical="center"/>
    </xf>
    <xf numFmtId="0" fontId="35" fillId="0" borderId="0" xfId="0" applyFont="1" applyFill="1" applyBorder="1" applyAlignment="1">
      <alignment horizontal="center" vertical="center" wrapText="1"/>
    </xf>
    <xf numFmtId="0" fontId="35" fillId="0" borderId="0" xfId="0" applyFont="1"/>
    <xf numFmtId="0" fontId="9" fillId="0" borderId="0" xfId="0" applyFont="1" applyAlignment="1">
      <alignment horizontal="center" vertical="center"/>
    </xf>
    <xf numFmtId="0" fontId="35" fillId="0" borderId="0" xfId="0" applyFont="1" applyFill="1" applyBorder="1" applyAlignment="1">
      <alignment vertical="center" wrapText="1"/>
    </xf>
    <xf numFmtId="0" fontId="35" fillId="20" borderId="0" xfId="0" applyFont="1" applyFill="1"/>
    <xf numFmtId="0" fontId="38" fillId="0" borderId="0" xfId="0" applyFont="1" applyAlignment="1">
      <alignment horizontal="center" vertical="center"/>
    </xf>
    <xf numFmtId="0" fontId="38" fillId="0" borderId="0" xfId="0" applyFont="1" applyAlignment="1">
      <alignment horizontal="center" vertical="center" wrapText="1"/>
    </xf>
    <xf numFmtId="0" fontId="39" fillId="0" borderId="0" xfId="0" applyFont="1" applyAlignment="1">
      <alignment horizontal="center" vertical="center" wrapText="1"/>
    </xf>
    <xf numFmtId="0" fontId="14" fillId="0" borderId="0" xfId="0" applyFont="1" applyAlignment="1">
      <alignment wrapText="1"/>
    </xf>
    <xf numFmtId="0" fontId="14" fillId="0" borderId="0" xfId="0" applyFont="1"/>
    <xf numFmtId="0" fontId="40" fillId="0" borderId="0" xfId="0" applyFont="1" applyAlignment="1">
      <alignment vertical="center"/>
    </xf>
    <xf numFmtId="0" fontId="41" fillId="0" borderId="0" xfId="0" applyFont="1" applyAlignment="1">
      <alignment vertical="center"/>
    </xf>
    <xf numFmtId="0" fontId="30" fillId="0" borderId="0" xfId="0" applyFont="1" applyAlignment="1">
      <alignment vertical="center"/>
    </xf>
    <xf numFmtId="0" fontId="30" fillId="0" borderId="9" xfId="0" applyFont="1" applyBorder="1" applyAlignment="1">
      <alignment vertical="center"/>
    </xf>
    <xf numFmtId="0" fontId="40" fillId="0" borderId="4" xfId="0" applyFont="1" applyBorder="1" applyAlignment="1">
      <alignment vertical="center"/>
    </xf>
    <xf numFmtId="0" fontId="41" fillId="0" borderId="4" xfId="0" applyFont="1" applyBorder="1" applyAlignment="1">
      <alignment vertical="center"/>
    </xf>
    <xf numFmtId="0" fontId="30" fillId="0" borderId="4" xfId="0" applyFont="1" applyBorder="1" applyAlignment="1">
      <alignment vertical="center"/>
    </xf>
    <xf numFmtId="0" fontId="30" fillId="0" borderId="10" xfId="0" applyFont="1" applyBorder="1" applyAlignment="1">
      <alignment vertical="center"/>
    </xf>
    <xf numFmtId="0" fontId="10" fillId="0" borderId="0" xfId="0" applyFont="1" applyAlignment="1">
      <alignment horizontal="left"/>
    </xf>
    <xf numFmtId="0" fontId="18" fillId="0" borderId="0" xfId="0" applyFont="1" applyAlignment="1">
      <alignment horizontal="center"/>
    </xf>
    <xf numFmtId="0" fontId="9" fillId="0" borderId="0" xfId="0" applyFont="1" applyAlignment="1">
      <alignment horizontal="center"/>
    </xf>
    <xf numFmtId="0" fontId="9" fillId="0" borderId="0" xfId="0" applyFont="1" applyAlignment="1">
      <alignment horizontal="center" wrapText="1"/>
    </xf>
    <xf numFmtId="0" fontId="4" fillId="20" borderId="0" xfId="0" applyFont="1" applyFill="1"/>
    <xf numFmtId="0" fontId="40" fillId="0" borderId="6" xfId="0" applyFont="1" applyBorder="1" applyAlignment="1">
      <alignment horizontal="center" vertical="center" wrapText="1"/>
    </xf>
    <xf numFmtId="0" fontId="41" fillId="0" borderId="6" xfId="0" applyFont="1" applyBorder="1" applyAlignment="1">
      <alignment horizontal="center" vertical="center" wrapText="1"/>
    </xf>
    <xf numFmtId="0" fontId="30" fillId="0" borderId="6" xfId="0" applyFont="1" applyBorder="1" applyAlignment="1">
      <alignment horizontal="center" vertical="center"/>
    </xf>
    <xf numFmtId="0" fontId="30" fillId="0" borderId="7" xfId="0" applyFont="1" applyBorder="1" applyAlignment="1">
      <alignment horizontal="center" vertical="center"/>
    </xf>
    <xf numFmtId="0" fontId="12" fillId="0" borderId="6" xfId="0" applyFont="1" applyBorder="1" applyAlignment="1">
      <alignment horizontal="center" wrapText="1"/>
    </xf>
    <xf numFmtId="0" fontId="13" fillId="0" borderId="6" xfId="0" applyFont="1" applyBorder="1" applyAlignment="1">
      <alignment horizontal="center" wrapText="1"/>
    </xf>
    <xf numFmtId="0" fontId="14" fillId="0" borderId="6" xfId="0" applyFont="1" applyBorder="1" applyAlignment="1">
      <alignment horizontal="center"/>
    </xf>
    <xf numFmtId="0" fontId="14" fillId="0" borderId="7" xfId="0" applyFont="1" applyBorder="1" applyAlignment="1">
      <alignment horizontal="center"/>
    </xf>
    <xf numFmtId="0" fontId="26" fillId="0" borderId="6" xfId="0" applyFont="1" applyBorder="1" applyAlignment="1">
      <alignment horizontal="center" wrapText="1"/>
    </xf>
    <xf numFmtId="0" fontId="26" fillId="0" borderId="7" xfId="0" applyFont="1" applyBorder="1" applyAlignment="1">
      <alignment horizontal="center" wrapText="1"/>
    </xf>
    <xf numFmtId="0" fontId="14" fillId="0" borderId="0" xfId="0" applyFont="1" applyBorder="1" applyAlignment="1">
      <alignment horizontal="center" wrapText="1"/>
    </xf>
    <xf numFmtId="0" fontId="24" fillId="0" borderId="5" xfId="0" applyFont="1" applyBorder="1" applyAlignment="1">
      <alignment horizontal="center"/>
    </xf>
    <xf numFmtId="0" fontId="24" fillId="0" borderId="6" xfId="0" applyFont="1" applyBorder="1" applyAlignment="1">
      <alignment horizontal="center"/>
    </xf>
    <xf numFmtId="0" fontId="24" fillId="0" borderId="7" xfId="0" applyFont="1" applyBorder="1" applyAlignment="1">
      <alignment horizontal="center"/>
    </xf>
  </cellXfs>
  <cellStyles count="12">
    <cellStyle name="Check Cell 2" xfId="10" xr:uid="{00000000-0005-0000-0000-000000000000}"/>
    <cellStyle name="Comma" xfId="5" builtinId="3"/>
    <cellStyle name="Decimal-2" xfId="9" xr:uid="{00000000-0005-0000-0000-000002000000}"/>
    <cellStyle name="Decimal-6" xfId="8" xr:uid="{00000000-0005-0000-0000-000003000000}"/>
    <cellStyle name="Estimated" xfId="11" xr:uid="{00000000-0005-0000-0000-000004000000}"/>
    <cellStyle name="Hyperlink" xfId="4" builtinId="8"/>
    <cellStyle name="Normal" xfId="0" builtinId="0"/>
    <cellStyle name="Normal 2" xfId="1" xr:uid="{00000000-0005-0000-0000-000007000000}"/>
    <cellStyle name="Normal 3" xfId="2" xr:uid="{00000000-0005-0000-0000-000008000000}"/>
    <cellStyle name="Number" xfId="7" xr:uid="{00000000-0005-0000-0000-000009000000}"/>
    <cellStyle name="Percent" xfId="3" builtinId="5"/>
    <cellStyle name="Text Centre" xfId="6" xr:uid="{00000000-0005-0000-0000-00000B000000}"/>
  </cellStyles>
  <dxfs count="0"/>
  <tableStyles count="0" defaultTableStyle="TableStyleMedium2" defaultPivotStyle="PivotStyleLight16"/>
  <colors>
    <mruColors>
      <color rgb="FF00FFFF"/>
      <color rgb="FFFF99FF"/>
      <color rgb="FFCC00CC"/>
      <color rgb="FF99FF99"/>
      <color rgb="FF800000"/>
      <color rgb="FF00CC66"/>
      <color rgb="FF006666"/>
      <color rgb="FF009999"/>
      <color rgb="FF00CC00"/>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hmad/DOCUME~1/MobaXterm/slash/RemoteFiles/1443830_3_14/model%20inputs%20-%20A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te independent"/>
      <sheetName val="modeled attributes"/>
      <sheetName val="modeled attributes _original"/>
      <sheetName val="scenario analysis"/>
      <sheetName val="vre plants"/>
      <sheetName val="non-vre plants"/>
      <sheetName val="storage"/>
      <sheetName val="EV_aggregator"/>
      <sheetName val="demand response"/>
      <sheetName val="demand centres"/>
      <sheetName val="existing transmission"/>
      <sheetName val="excel input instructions"/>
      <sheetName val="lists"/>
      <sheetName val="Sheet1"/>
    </sheetNames>
    <sheetDataSet>
      <sheetData sheetId="0">
        <row r="5">
          <cell r="A5" t="str">
            <v>coal</v>
          </cell>
        </row>
      </sheetData>
      <sheetData sheetId="1"/>
      <sheetData sheetId="2"/>
      <sheetData sheetId="3"/>
      <sheetData sheetId="4"/>
      <sheetData sheetId="5"/>
      <sheetData sheetId="6"/>
      <sheetData sheetId="7"/>
      <sheetData sheetId="8"/>
      <sheetData sheetId="9"/>
      <sheetData sheetId="10"/>
      <sheetData sheetId="11"/>
      <sheetData sheetId="12">
        <row r="3">
          <cell r="B3" t="str">
            <v>Wind</v>
          </cell>
          <cell r="C3" t="str">
            <v>Solar</v>
          </cell>
        </row>
      </sheetData>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ttc.ca/Routes/General_Information/General_Information.jsp"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Z138"/>
  <sheetViews>
    <sheetView zoomScale="70" zoomScaleNormal="70" workbookViewId="0">
      <pane xSplit="1" ySplit="4" topLeftCell="B5" activePane="bottomRight" state="frozen"/>
      <selection pane="topRight" activeCell="B1" sqref="B1"/>
      <selection pane="bottomLeft" activeCell="A5" sqref="A5"/>
      <selection pane="bottomRight" activeCell="F5" sqref="F5"/>
    </sheetView>
  </sheetViews>
  <sheetFormatPr defaultRowHeight="15"/>
  <cols>
    <col min="1" max="1" width="33.140625" bestFit="1" customWidth="1"/>
    <col min="2" max="2" width="15" customWidth="1"/>
    <col min="3" max="3" width="14.140625" customWidth="1"/>
    <col min="4" max="4" width="13.85546875" customWidth="1"/>
    <col min="5" max="5" width="15.28515625" bestFit="1" customWidth="1"/>
    <col min="6" max="6" width="15.5703125" customWidth="1"/>
    <col min="7" max="7" width="15.85546875" customWidth="1"/>
    <col min="8" max="8" width="16.140625" bestFit="1" customWidth="1"/>
    <col min="9" max="9" width="14.42578125" bestFit="1" customWidth="1"/>
    <col min="10" max="10" width="15.42578125" bestFit="1" customWidth="1"/>
    <col min="11" max="11" width="14.42578125" bestFit="1" customWidth="1"/>
    <col min="12" max="16" width="14.42578125" customWidth="1"/>
    <col min="17" max="17" width="9.140625" customWidth="1"/>
    <col min="18" max="18" width="9.7109375" customWidth="1"/>
    <col min="19" max="19" width="7.42578125" customWidth="1"/>
    <col min="20" max="20" width="14.42578125" customWidth="1"/>
    <col min="21" max="21" width="11.7109375" customWidth="1"/>
    <col min="22" max="24" width="14.42578125" customWidth="1"/>
    <col min="25" max="25" width="16.140625" bestFit="1" customWidth="1"/>
  </cols>
  <sheetData>
    <row r="1" spans="1:26">
      <c r="A1" t="s">
        <v>0</v>
      </c>
      <c r="B1" s="52">
        <v>0</v>
      </c>
      <c r="C1" s="52">
        <v>1</v>
      </c>
      <c r="D1" s="52">
        <v>2</v>
      </c>
      <c r="E1" s="52">
        <v>3</v>
      </c>
      <c r="F1" s="52">
        <v>4</v>
      </c>
      <c r="G1" s="52">
        <v>5</v>
      </c>
      <c r="H1" s="52">
        <v>6</v>
      </c>
      <c r="I1" s="52">
        <v>7</v>
      </c>
      <c r="J1" s="52">
        <v>8</v>
      </c>
      <c r="K1" s="52">
        <v>9</v>
      </c>
      <c r="L1" s="52">
        <v>10</v>
      </c>
      <c r="M1" s="52">
        <v>11</v>
      </c>
      <c r="N1" s="52">
        <v>12</v>
      </c>
      <c r="O1" s="52">
        <v>13</v>
      </c>
      <c r="Y1" t="s">
        <v>34</v>
      </c>
    </row>
    <row r="2" spans="1:26" s="53" customFormat="1" ht="15" customHeight="1">
      <c r="I2" s="53" t="s">
        <v>40</v>
      </c>
      <c r="M2" s="53" t="s">
        <v>206</v>
      </c>
      <c r="P2" s="99" t="s">
        <v>294</v>
      </c>
      <c r="Q2" s="99"/>
      <c r="R2" s="99"/>
      <c r="S2" s="99"/>
      <c r="T2" s="99"/>
      <c r="U2" s="99"/>
      <c r="V2" s="100"/>
      <c r="W2" s="102"/>
      <c r="X2" s="102"/>
    </row>
    <row r="3" spans="1:26" s="53" customFormat="1" ht="60">
      <c r="A3" s="101" t="s">
        <v>15</v>
      </c>
      <c r="B3" s="53" t="s">
        <v>11</v>
      </c>
      <c r="C3" s="53" t="s">
        <v>12</v>
      </c>
      <c r="D3" s="53" t="s">
        <v>32</v>
      </c>
      <c r="E3" s="53" t="s">
        <v>204</v>
      </c>
      <c r="F3" s="53" t="s">
        <v>203</v>
      </c>
      <c r="G3" s="53" t="s">
        <v>6</v>
      </c>
      <c r="H3" s="53" t="s">
        <v>7</v>
      </c>
      <c r="I3" s="53" t="s">
        <v>35</v>
      </c>
      <c r="J3" s="53" t="s">
        <v>36</v>
      </c>
      <c r="K3" s="53" t="s">
        <v>37</v>
      </c>
      <c r="L3" s="53" t="s">
        <v>44</v>
      </c>
      <c r="M3" s="53" t="s">
        <v>35</v>
      </c>
      <c r="N3" s="53" t="s">
        <v>36</v>
      </c>
      <c r="O3" s="53" t="s">
        <v>37</v>
      </c>
      <c r="P3" s="99" t="s">
        <v>277</v>
      </c>
      <c r="Q3" s="99" t="s">
        <v>295</v>
      </c>
      <c r="R3" s="99" t="s">
        <v>296</v>
      </c>
      <c r="S3" s="99" t="s">
        <v>285</v>
      </c>
      <c r="T3" s="99" t="s">
        <v>303</v>
      </c>
      <c r="U3" s="99" t="s">
        <v>304</v>
      </c>
      <c r="V3" s="100" t="s">
        <v>331</v>
      </c>
      <c r="W3" s="102" t="s">
        <v>330</v>
      </c>
      <c r="X3" s="102" t="s">
        <v>340</v>
      </c>
    </row>
    <row r="4" spans="1:26" ht="45">
      <c r="B4" t="s">
        <v>14</v>
      </c>
      <c r="C4" t="s">
        <v>14</v>
      </c>
      <c r="D4" t="s">
        <v>14</v>
      </c>
      <c r="E4" t="s">
        <v>14</v>
      </c>
      <c r="F4" t="s">
        <v>14</v>
      </c>
      <c r="H4" t="s">
        <v>22</v>
      </c>
      <c r="I4" t="s">
        <v>21</v>
      </c>
      <c r="L4" t="s">
        <v>41</v>
      </c>
      <c r="M4" t="s">
        <v>209</v>
      </c>
      <c r="P4" t="s">
        <v>297</v>
      </c>
      <c r="Q4" t="s">
        <v>292</v>
      </c>
      <c r="R4" t="s">
        <v>292</v>
      </c>
      <c r="V4" s="100" t="s">
        <v>317</v>
      </c>
      <c r="W4" s="102" t="s">
        <v>317</v>
      </c>
      <c r="X4" s="102" t="s">
        <v>341</v>
      </c>
    </row>
    <row r="5" spans="1:26">
      <c r="A5" t="s">
        <v>20</v>
      </c>
      <c r="B5" s="55">
        <v>60</v>
      </c>
      <c r="C5" s="55">
        <v>4.2</v>
      </c>
      <c r="D5" s="55">
        <v>30.3</v>
      </c>
      <c r="E5" s="55">
        <v>1.2</v>
      </c>
      <c r="F5" s="55">
        <v>95.6</v>
      </c>
      <c r="G5" s="56">
        <f>3412/10459</f>
        <v>0.32622621665551199</v>
      </c>
      <c r="H5" s="57">
        <v>820</v>
      </c>
      <c r="I5" s="58">
        <v>3</v>
      </c>
      <c r="J5" s="58">
        <v>6.5</v>
      </c>
      <c r="K5" s="58">
        <v>10</v>
      </c>
      <c r="L5" s="59">
        <v>2</v>
      </c>
      <c r="M5" s="60">
        <v>59</v>
      </c>
      <c r="N5" s="60">
        <v>65</v>
      </c>
      <c r="O5" s="60">
        <v>105</v>
      </c>
      <c r="P5" s="61">
        <v>10000</v>
      </c>
      <c r="Q5" s="61">
        <v>3</v>
      </c>
      <c r="R5" s="61">
        <v>3</v>
      </c>
      <c r="S5" s="61">
        <v>0</v>
      </c>
      <c r="T5" s="61"/>
      <c r="U5" s="61"/>
      <c r="V5" s="98">
        <v>0.53</v>
      </c>
      <c r="W5" s="94">
        <v>1</v>
      </c>
      <c r="X5" s="132">
        <v>2917</v>
      </c>
      <c r="Y5" s="2" t="s">
        <v>27</v>
      </c>
    </row>
    <row r="6" spans="1:26">
      <c r="A6" t="s">
        <v>526</v>
      </c>
      <c r="B6" s="49"/>
      <c r="C6" s="49"/>
      <c r="D6" s="49"/>
      <c r="E6" s="49"/>
      <c r="F6" s="49"/>
      <c r="G6" s="49"/>
      <c r="H6" s="49"/>
      <c r="I6" s="49"/>
      <c r="J6" s="49"/>
      <c r="K6" s="49"/>
      <c r="L6" s="49"/>
      <c r="M6" s="49"/>
      <c r="N6" s="49"/>
      <c r="O6" s="49"/>
      <c r="P6" s="61">
        <f>P5</f>
        <v>10000</v>
      </c>
      <c r="Q6" s="61">
        <v>4</v>
      </c>
      <c r="R6" s="61">
        <v>3</v>
      </c>
      <c r="S6" s="61">
        <v>0</v>
      </c>
      <c r="T6" s="61"/>
      <c r="U6" s="61"/>
      <c r="V6" s="98"/>
      <c r="W6" s="94">
        <v>1</v>
      </c>
      <c r="X6" s="132"/>
      <c r="Y6" s="4" t="s">
        <v>28</v>
      </c>
    </row>
    <row r="7" spans="1:26">
      <c r="A7" t="s">
        <v>527</v>
      </c>
      <c r="B7" s="55">
        <v>14.3</v>
      </c>
      <c r="C7" s="55">
        <v>1.7</v>
      </c>
      <c r="D7" s="55">
        <v>49.1</v>
      </c>
      <c r="E7" s="55">
        <v>1.2</v>
      </c>
      <c r="F7" s="55">
        <v>66.3</v>
      </c>
      <c r="G7" s="62">
        <v>0.55000000000000004</v>
      </c>
      <c r="H7" s="57">
        <v>490</v>
      </c>
      <c r="I7" s="58">
        <v>1</v>
      </c>
      <c r="J7" s="58">
        <v>2</v>
      </c>
      <c r="K7" s="58">
        <v>4</v>
      </c>
      <c r="L7" s="59">
        <v>5</v>
      </c>
      <c r="M7" s="60">
        <v>35</v>
      </c>
      <c r="N7" s="60">
        <v>55</v>
      </c>
      <c r="O7" s="60">
        <v>79</v>
      </c>
      <c r="P7" s="61">
        <f t="shared" ref="P7:P19" si="0">P6</f>
        <v>10000</v>
      </c>
      <c r="Q7" s="61">
        <v>4</v>
      </c>
      <c r="R7" s="61">
        <v>3</v>
      </c>
      <c r="S7" s="61">
        <v>0</v>
      </c>
      <c r="T7" s="61"/>
      <c r="U7" s="61"/>
      <c r="V7" s="98">
        <v>0.53</v>
      </c>
      <c r="W7" s="94">
        <v>1</v>
      </c>
      <c r="X7" s="132">
        <v>671</v>
      </c>
      <c r="Z7" s="3" t="s">
        <v>29</v>
      </c>
    </row>
    <row r="8" spans="1:26">
      <c r="A8" t="s">
        <v>399</v>
      </c>
      <c r="B8" s="55">
        <v>40.200000000000003</v>
      </c>
      <c r="C8" s="55">
        <v>2.8</v>
      </c>
      <c r="D8" s="55">
        <v>82</v>
      </c>
      <c r="E8" s="55">
        <v>3.4</v>
      </c>
      <c r="F8" s="55">
        <v>128.4</v>
      </c>
      <c r="G8" s="62">
        <v>0.35</v>
      </c>
      <c r="H8" s="63">
        <v>530</v>
      </c>
      <c r="I8" s="58">
        <v>0.5</v>
      </c>
      <c r="J8" s="58">
        <v>0.5</v>
      </c>
      <c r="K8" s="58">
        <v>0.5</v>
      </c>
      <c r="L8" s="59">
        <v>8</v>
      </c>
      <c r="M8" s="60">
        <v>32</v>
      </c>
      <c r="N8" s="60">
        <v>126</v>
      </c>
      <c r="O8" s="60">
        <v>103</v>
      </c>
      <c r="P8" s="61">
        <f t="shared" si="0"/>
        <v>10000</v>
      </c>
      <c r="Q8" s="61">
        <v>4</v>
      </c>
      <c r="R8" s="61">
        <v>3</v>
      </c>
      <c r="S8" s="61">
        <v>0</v>
      </c>
      <c r="T8" s="61"/>
      <c r="U8" s="61"/>
      <c r="V8" s="98">
        <v>1</v>
      </c>
      <c r="W8" s="94">
        <v>1</v>
      </c>
      <c r="X8" s="132">
        <v>968</v>
      </c>
      <c r="Z8" s="5" t="s">
        <v>30</v>
      </c>
    </row>
    <row r="9" spans="1:26">
      <c r="A9" t="s">
        <v>528</v>
      </c>
      <c r="B9" s="55">
        <v>40.200000000000003</v>
      </c>
      <c r="C9" s="55">
        <v>2.8</v>
      </c>
      <c r="D9" s="55">
        <v>82</v>
      </c>
      <c r="E9" s="55">
        <v>3.4</v>
      </c>
      <c r="F9" s="55">
        <v>128.4</v>
      </c>
      <c r="G9" s="62">
        <v>0.35</v>
      </c>
      <c r="H9" s="63">
        <v>530</v>
      </c>
      <c r="I9" s="58">
        <v>0.5</v>
      </c>
      <c r="J9" s="58">
        <v>0.5</v>
      </c>
      <c r="K9" s="58">
        <v>0.5</v>
      </c>
      <c r="L9" s="59">
        <v>8</v>
      </c>
      <c r="M9" s="60">
        <v>32</v>
      </c>
      <c r="N9" s="60">
        <v>126</v>
      </c>
      <c r="O9" s="60">
        <v>103</v>
      </c>
      <c r="P9" s="61">
        <f t="shared" si="0"/>
        <v>10000</v>
      </c>
      <c r="Q9" s="61">
        <v>4</v>
      </c>
      <c r="R9" s="61">
        <v>3</v>
      </c>
      <c r="S9" s="61">
        <v>0</v>
      </c>
      <c r="T9" s="61"/>
      <c r="U9" s="61"/>
      <c r="V9" s="98">
        <v>1</v>
      </c>
      <c r="W9" s="94">
        <v>1</v>
      </c>
      <c r="X9" s="132">
        <v>968</v>
      </c>
      <c r="Z9" s="5"/>
    </row>
    <row r="10" spans="1:26">
      <c r="A10" t="s">
        <v>200</v>
      </c>
      <c r="B10" s="49">
        <v>8</v>
      </c>
      <c r="C10" s="49">
        <v>2</v>
      </c>
      <c r="D10" s="49">
        <v>288</v>
      </c>
      <c r="E10" s="49"/>
      <c r="F10" s="49"/>
      <c r="G10" s="56">
        <f>3412/10713</f>
        <v>0.31849155231961168</v>
      </c>
      <c r="H10" s="64">
        <v>733</v>
      </c>
      <c r="I10" s="49"/>
      <c r="J10" s="49"/>
      <c r="K10" s="49"/>
      <c r="L10" s="49"/>
      <c r="M10" s="49"/>
      <c r="N10" s="49"/>
      <c r="O10" s="49">
        <v>10000000</v>
      </c>
      <c r="P10" s="61">
        <f>P8</f>
        <v>10000</v>
      </c>
      <c r="Q10" s="61"/>
      <c r="R10" s="61"/>
      <c r="S10" s="61">
        <v>0</v>
      </c>
      <c r="T10" s="61"/>
      <c r="U10" s="61"/>
      <c r="V10" s="98">
        <v>0.86</v>
      </c>
      <c r="W10" s="94">
        <v>1</v>
      </c>
      <c r="X10" s="132"/>
    </row>
    <row r="11" spans="1:26">
      <c r="A11" t="s">
        <v>218</v>
      </c>
      <c r="B11" s="49">
        <v>8</v>
      </c>
      <c r="C11" s="49">
        <v>2</v>
      </c>
      <c r="D11" s="49">
        <f>0.6*D10</f>
        <v>172.79999999999998</v>
      </c>
      <c r="E11" s="49"/>
      <c r="F11" s="49"/>
      <c r="G11" s="56">
        <f>3412/10713</f>
        <v>0.31849155231961168</v>
      </c>
      <c r="H11" s="64">
        <v>733</v>
      </c>
      <c r="I11" s="49"/>
      <c r="J11" s="49"/>
      <c r="K11" s="49"/>
      <c r="L11" s="49"/>
      <c r="M11" s="49"/>
      <c r="N11" s="49"/>
      <c r="O11" s="49">
        <v>10000000</v>
      </c>
      <c r="P11" s="61">
        <f t="shared" si="0"/>
        <v>10000</v>
      </c>
      <c r="Q11" s="61"/>
      <c r="R11" s="61"/>
      <c r="S11" s="61">
        <v>0</v>
      </c>
      <c r="T11" s="61"/>
      <c r="U11" s="61"/>
      <c r="V11" s="98">
        <v>0.86</v>
      </c>
      <c r="W11" s="94">
        <v>1</v>
      </c>
      <c r="X11" s="132"/>
    </row>
    <row r="12" spans="1:26">
      <c r="A12" t="s">
        <v>1</v>
      </c>
      <c r="B12" s="55">
        <v>71.400000000000006</v>
      </c>
      <c r="C12" s="55">
        <v>11.8</v>
      </c>
      <c r="D12" s="55">
        <v>11.8</v>
      </c>
      <c r="E12" s="55">
        <v>1.1000000000000001</v>
      </c>
      <c r="F12" s="55">
        <v>96.1</v>
      </c>
      <c r="G12" s="56">
        <f>3412/10449</f>
        <v>0.32653842472963918</v>
      </c>
      <c r="H12" s="57">
        <v>12</v>
      </c>
      <c r="I12" s="65">
        <v>1</v>
      </c>
      <c r="J12" s="49"/>
      <c r="K12" s="65">
        <v>13</v>
      </c>
      <c r="L12" s="59">
        <v>5</v>
      </c>
      <c r="M12" s="49"/>
      <c r="N12" s="49"/>
      <c r="O12" s="49">
        <v>500</v>
      </c>
      <c r="P12" s="61">
        <f t="shared" si="0"/>
        <v>10000</v>
      </c>
      <c r="Q12" s="61">
        <v>10</v>
      </c>
      <c r="R12" s="61">
        <v>3</v>
      </c>
      <c r="S12" s="61">
        <v>0</v>
      </c>
      <c r="T12" s="61"/>
      <c r="U12" s="61"/>
      <c r="V12" s="98">
        <v>0.2</v>
      </c>
      <c r="W12" s="94">
        <v>1</v>
      </c>
      <c r="X12" s="132">
        <v>5366</v>
      </c>
      <c r="Y12" s="7" t="s">
        <v>31</v>
      </c>
    </row>
    <row r="13" spans="1:26">
      <c r="A13" t="s">
        <v>2</v>
      </c>
      <c r="B13" s="55">
        <v>72</v>
      </c>
      <c r="C13" s="55">
        <v>4.0999999999999996</v>
      </c>
      <c r="D13" s="55">
        <v>6.4</v>
      </c>
      <c r="E13" s="55">
        <v>2</v>
      </c>
      <c r="F13" s="55">
        <v>84.5</v>
      </c>
      <c r="G13" s="66">
        <v>0.9</v>
      </c>
      <c r="H13" s="57">
        <v>24</v>
      </c>
      <c r="I13" s="49"/>
      <c r="P13" s="61">
        <f t="shared" si="0"/>
        <v>10000</v>
      </c>
      <c r="V13" s="98">
        <v>0.66</v>
      </c>
      <c r="W13" s="94">
        <v>1</v>
      </c>
      <c r="X13" s="132">
        <v>2651</v>
      </c>
      <c r="Y13" s="6" t="s">
        <v>33</v>
      </c>
    </row>
    <row r="14" spans="1:26">
      <c r="A14" t="s">
        <v>529</v>
      </c>
      <c r="B14" s="55">
        <v>72</v>
      </c>
      <c r="C14" s="55">
        <v>4.0999999999999996</v>
      </c>
      <c r="D14" s="55">
        <v>6.4</v>
      </c>
      <c r="E14" s="55">
        <v>2</v>
      </c>
      <c r="F14" s="55">
        <v>84.5</v>
      </c>
      <c r="G14" s="66">
        <v>0.9</v>
      </c>
      <c r="H14" s="57">
        <v>24</v>
      </c>
      <c r="I14" s="49"/>
      <c r="P14" s="61">
        <f t="shared" si="0"/>
        <v>10000</v>
      </c>
      <c r="V14" s="98">
        <v>0.66</v>
      </c>
      <c r="W14" s="94">
        <v>1</v>
      </c>
      <c r="X14" s="132">
        <v>2651</v>
      </c>
      <c r="Y14" s="6"/>
    </row>
    <row r="15" spans="1:26">
      <c r="A15" t="s">
        <v>530</v>
      </c>
      <c r="B15" s="55">
        <v>72</v>
      </c>
      <c r="C15" s="55">
        <v>4.0999999999999996</v>
      </c>
      <c r="D15" s="55">
        <v>6.4</v>
      </c>
      <c r="E15" s="55">
        <v>2</v>
      </c>
      <c r="F15" s="55">
        <v>84.5</v>
      </c>
      <c r="G15" s="66">
        <v>0.9</v>
      </c>
      <c r="H15" s="57">
        <v>24</v>
      </c>
      <c r="I15" s="49"/>
      <c r="P15" s="61">
        <f t="shared" si="0"/>
        <v>10000</v>
      </c>
      <c r="V15" s="98">
        <v>0.66</v>
      </c>
      <c r="W15" s="94">
        <v>1</v>
      </c>
      <c r="X15" s="132">
        <v>2651</v>
      </c>
      <c r="Y15" s="6"/>
    </row>
    <row r="16" spans="1:26">
      <c r="A16" t="s">
        <v>531</v>
      </c>
      <c r="B16" s="55">
        <v>72</v>
      </c>
      <c r="C16" s="55">
        <v>4.0999999999999996</v>
      </c>
      <c r="D16" s="55">
        <v>6.4</v>
      </c>
      <c r="E16" s="55">
        <v>2</v>
      </c>
      <c r="F16" s="55">
        <v>84.5</v>
      </c>
      <c r="G16" s="66">
        <v>0.9</v>
      </c>
      <c r="H16" s="57">
        <v>24</v>
      </c>
      <c r="I16" s="49"/>
      <c r="P16" s="61">
        <f t="shared" si="0"/>
        <v>10000</v>
      </c>
      <c r="V16" s="98">
        <v>0.66</v>
      </c>
      <c r="W16" s="94">
        <v>1</v>
      </c>
      <c r="X16" s="132">
        <v>2651</v>
      </c>
      <c r="Y16" s="6"/>
    </row>
    <row r="17" spans="1:25">
      <c r="A17" t="s">
        <v>9</v>
      </c>
      <c r="B17" s="55">
        <v>34.200000000000003</v>
      </c>
      <c r="C17" s="55">
        <v>12.2</v>
      </c>
      <c r="D17" s="55">
        <v>0</v>
      </c>
      <c r="E17" s="55">
        <v>1.4</v>
      </c>
      <c r="F17" s="55">
        <v>47.9</v>
      </c>
      <c r="G17" s="66">
        <v>0.16</v>
      </c>
      <c r="H17" s="57">
        <v>38</v>
      </c>
      <c r="I17" s="49"/>
      <c r="P17" s="61">
        <f>P13</f>
        <v>10000</v>
      </c>
      <c r="V17" s="98">
        <v>0.32</v>
      </c>
      <c r="W17" s="94">
        <v>1</v>
      </c>
      <c r="X17" s="132">
        <v>2448</v>
      </c>
      <c r="Y17" s="8" t="s">
        <v>38</v>
      </c>
    </row>
    <row r="18" spans="1:25">
      <c r="A18" t="s">
        <v>10</v>
      </c>
      <c r="B18" s="55">
        <v>47.4</v>
      </c>
      <c r="C18" s="55">
        <v>14.5</v>
      </c>
      <c r="D18" s="55">
        <v>39.5</v>
      </c>
      <c r="E18" s="55">
        <v>1.2</v>
      </c>
      <c r="F18" s="55">
        <v>102.6</v>
      </c>
      <c r="G18" s="67">
        <v>0.23</v>
      </c>
      <c r="H18" s="57">
        <v>230</v>
      </c>
      <c r="I18" s="49"/>
      <c r="P18" s="61">
        <f t="shared" si="0"/>
        <v>10000</v>
      </c>
      <c r="V18" s="98">
        <v>0.53</v>
      </c>
      <c r="W18" s="94">
        <v>1</v>
      </c>
      <c r="X18" s="132">
        <v>3659</v>
      </c>
      <c r="Y18" s="9" t="s">
        <v>39</v>
      </c>
    </row>
    <row r="19" spans="1:25" ht="15" customHeight="1">
      <c r="A19" t="s">
        <v>532</v>
      </c>
      <c r="B19" s="55">
        <v>47.4</v>
      </c>
      <c r="C19" s="55">
        <v>14.5</v>
      </c>
      <c r="D19" s="55">
        <v>39.5</v>
      </c>
      <c r="E19" s="55">
        <v>1.2</v>
      </c>
      <c r="F19" s="55">
        <v>102.6</v>
      </c>
      <c r="G19" s="67">
        <v>0.23</v>
      </c>
      <c r="H19" s="57">
        <v>230</v>
      </c>
      <c r="I19" s="49"/>
      <c r="P19" s="61">
        <f t="shared" si="0"/>
        <v>10000</v>
      </c>
      <c r="V19" s="98">
        <v>0.53</v>
      </c>
      <c r="W19" s="94">
        <v>1</v>
      </c>
      <c r="X19" s="132">
        <v>3659</v>
      </c>
      <c r="Y19" s="10" t="s">
        <v>42</v>
      </c>
    </row>
    <row r="20" spans="1:25">
      <c r="A20" s="1" t="s">
        <v>3</v>
      </c>
      <c r="B20" s="37" t="s">
        <v>11</v>
      </c>
      <c r="C20" t="s">
        <v>12</v>
      </c>
      <c r="D20" s="37" t="s">
        <v>32</v>
      </c>
      <c r="E20" s="37" t="s">
        <v>204</v>
      </c>
      <c r="F20" s="37" t="s">
        <v>203</v>
      </c>
      <c r="G20" t="s">
        <v>6</v>
      </c>
      <c r="W20" s="4"/>
      <c r="X20" s="132"/>
      <c r="Y20" s="12" t="s">
        <v>208</v>
      </c>
    </row>
    <row r="21" spans="1:25">
      <c r="B21" t="s">
        <v>14</v>
      </c>
      <c r="C21" t="s">
        <v>14</v>
      </c>
      <c r="D21" t="s">
        <v>14</v>
      </c>
      <c r="E21" t="s">
        <v>14</v>
      </c>
      <c r="F21" t="s">
        <v>14</v>
      </c>
      <c r="G21" t="s">
        <v>23</v>
      </c>
      <c r="W21" s="4"/>
      <c r="X21" s="132"/>
      <c r="Y21" s="36" t="s">
        <v>207</v>
      </c>
    </row>
    <row r="22" spans="1:25">
      <c r="A22" t="s">
        <v>4</v>
      </c>
      <c r="B22" s="2">
        <v>64.099999999999994</v>
      </c>
      <c r="C22" s="2">
        <v>13</v>
      </c>
      <c r="D22" s="2">
        <v>0</v>
      </c>
      <c r="E22" s="2">
        <v>3.2</v>
      </c>
      <c r="F22" s="2">
        <v>80.3</v>
      </c>
      <c r="L22" t="b">
        <f>ISBLANK(L6)</f>
        <v>1</v>
      </c>
      <c r="V22" s="94"/>
      <c r="W22" s="103">
        <v>0.2</v>
      </c>
      <c r="X22" s="132">
        <v>19.8</v>
      </c>
    </row>
    <row r="23" spans="1:25">
      <c r="A23" t="s">
        <v>13</v>
      </c>
      <c r="B23" s="2">
        <v>175.4</v>
      </c>
      <c r="C23" s="2">
        <v>22.8</v>
      </c>
      <c r="D23" s="2">
        <v>0</v>
      </c>
      <c r="E23" s="2">
        <v>5.8</v>
      </c>
      <c r="F23" s="2">
        <v>204.1</v>
      </c>
      <c r="V23" s="94"/>
      <c r="W23" s="98"/>
      <c r="X23" s="132">
        <v>6154</v>
      </c>
      <c r="Y23" s="35" t="s">
        <v>205</v>
      </c>
    </row>
    <row r="24" spans="1:25">
      <c r="A24" t="s">
        <v>16</v>
      </c>
      <c r="B24" s="2">
        <v>114.5</v>
      </c>
      <c r="C24" s="2">
        <v>11.4</v>
      </c>
      <c r="D24" s="2">
        <v>0</v>
      </c>
      <c r="E24" s="2">
        <v>4.0999999999999996</v>
      </c>
      <c r="F24" s="2">
        <v>130</v>
      </c>
      <c r="V24" s="94"/>
      <c r="W24" s="103">
        <v>0.6</v>
      </c>
      <c r="X24" s="132">
        <v>3279</v>
      </c>
      <c r="Y24" t="s">
        <v>212</v>
      </c>
    </row>
    <row r="25" spans="1:25">
      <c r="A25" t="s">
        <v>17</v>
      </c>
      <c r="B25" s="2">
        <v>195</v>
      </c>
      <c r="C25" s="2">
        <v>42.1</v>
      </c>
      <c r="D25" s="2">
        <v>0</v>
      </c>
      <c r="E25" s="34">
        <v>6</v>
      </c>
      <c r="F25" s="2">
        <v>243.1</v>
      </c>
      <c r="V25" s="94"/>
      <c r="W25" s="98"/>
      <c r="X25" s="132">
        <v>4052</v>
      </c>
    </row>
    <row r="26" spans="1:25">
      <c r="V26" s="49"/>
      <c r="W26" s="94"/>
      <c r="X26" s="131"/>
      <c r="Y26" t="s">
        <v>243</v>
      </c>
    </row>
    <row r="27" spans="1:25">
      <c r="A27" s="1" t="s">
        <v>5</v>
      </c>
      <c r="V27" s="49"/>
      <c r="W27" s="4"/>
      <c r="X27" s="4"/>
      <c r="Y27" t="s">
        <v>244</v>
      </c>
    </row>
    <row r="28" spans="1:25">
      <c r="V28" s="49"/>
      <c r="W28" s="4"/>
      <c r="X28" s="4"/>
      <c r="Y28" s="13" t="s">
        <v>242</v>
      </c>
    </row>
    <row r="29" spans="1:25">
      <c r="A29" s="38" t="s">
        <v>8</v>
      </c>
      <c r="B29" t="s">
        <v>227</v>
      </c>
      <c r="C29" t="s">
        <v>228</v>
      </c>
      <c r="D29" t="s">
        <v>229</v>
      </c>
      <c r="E29" t="s">
        <v>6</v>
      </c>
      <c r="F29" t="s">
        <v>234</v>
      </c>
      <c r="H29" t="s">
        <v>235</v>
      </c>
      <c r="J29" t="s">
        <v>91</v>
      </c>
      <c r="K29" t="s">
        <v>236</v>
      </c>
      <c r="V29" s="49"/>
      <c r="W29" s="4"/>
      <c r="X29" s="4"/>
    </row>
    <row r="30" spans="1:25">
      <c r="B30" t="s">
        <v>231</v>
      </c>
      <c r="C30" t="s">
        <v>240</v>
      </c>
      <c r="D30" t="s">
        <v>230</v>
      </c>
      <c r="E30" t="s">
        <v>43</v>
      </c>
      <c r="F30" t="s">
        <v>232</v>
      </c>
      <c r="G30" t="s">
        <v>233</v>
      </c>
      <c r="H30" t="s">
        <v>232</v>
      </c>
      <c r="I30" t="s">
        <v>233</v>
      </c>
      <c r="J30" t="s">
        <v>237</v>
      </c>
      <c r="K30" t="s">
        <v>237</v>
      </c>
      <c r="V30" s="49"/>
      <c r="W30" s="4"/>
      <c r="X30" s="130"/>
      <c r="Y30" s="39" t="s">
        <v>238</v>
      </c>
    </row>
    <row r="31" spans="1:25">
      <c r="A31" t="s">
        <v>215</v>
      </c>
      <c r="B31" s="39">
        <f>AVERAGE(1000, 4000)</f>
        <v>2500</v>
      </c>
      <c r="C31" s="39">
        <f>AVERAGE(100, 250)</f>
        <v>175</v>
      </c>
      <c r="D31" s="39">
        <v>5</v>
      </c>
      <c r="E31" s="40">
        <v>0.85</v>
      </c>
      <c r="F31" s="39">
        <v>200</v>
      </c>
      <c r="G31" s="41">
        <v>5000</v>
      </c>
      <c r="J31" s="39">
        <f>AVERAGE(5000, 4000000)</f>
        <v>2002500</v>
      </c>
      <c r="K31" s="39">
        <f>AVERAGE(5000, 4000000)</f>
        <v>2002500</v>
      </c>
      <c r="V31" s="98">
        <v>1</v>
      </c>
      <c r="W31" s="121">
        <v>0.5</v>
      </c>
      <c r="X31" s="134">
        <v>1000</v>
      </c>
      <c r="Y31" s="41" t="s">
        <v>239</v>
      </c>
    </row>
    <row r="32" spans="1:25">
      <c r="A32" t="s">
        <v>216</v>
      </c>
      <c r="B32" s="39">
        <f>AVERAGE(800, 1000)</f>
        <v>900</v>
      </c>
      <c r="C32" s="39">
        <f>AVERAGE(50, 150)</f>
        <v>100</v>
      </c>
      <c r="D32" s="39">
        <v>5</v>
      </c>
      <c r="E32" s="40">
        <v>0.6</v>
      </c>
      <c r="F32" s="41">
        <v>3</v>
      </c>
      <c r="G32" s="41">
        <v>400</v>
      </c>
      <c r="J32" s="39">
        <f>AVERAGE(50000, 300000)</f>
        <v>175000</v>
      </c>
      <c r="K32" s="39">
        <f>AVERAGE(100000, 500000)</f>
        <v>300000</v>
      </c>
      <c r="V32" s="98">
        <v>1</v>
      </c>
      <c r="W32" s="121">
        <v>0.5</v>
      </c>
      <c r="X32" s="134">
        <v>650</v>
      </c>
      <c r="Y32" s="43" t="s">
        <v>241</v>
      </c>
    </row>
    <row r="33" spans="1:25">
      <c r="A33" t="s">
        <v>219</v>
      </c>
      <c r="B33" s="39">
        <f>AVERAGE(2000, 4000)</f>
        <v>3000</v>
      </c>
      <c r="C33" s="39">
        <f>AVERAGE(1500, 3000)</f>
        <v>2250</v>
      </c>
      <c r="D33" s="39">
        <v>15</v>
      </c>
      <c r="E33" s="40">
        <v>0.95</v>
      </c>
      <c r="F33" s="39">
        <v>0.1</v>
      </c>
      <c r="G33" s="39">
        <v>200</v>
      </c>
      <c r="H33" s="39">
        <v>1</v>
      </c>
      <c r="I33" s="39">
        <v>25</v>
      </c>
      <c r="J33" s="39">
        <f>AVERAGE(100, 300)</f>
        <v>200</v>
      </c>
      <c r="K33" s="39">
        <f>AVERAGE(100, 300)</f>
        <v>200</v>
      </c>
      <c r="V33" s="49"/>
      <c r="W33" s="4"/>
      <c r="X33" s="134"/>
      <c r="Y33" s="97" t="s">
        <v>316</v>
      </c>
    </row>
    <row r="34" spans="1:25">
      <c r="A34" t="s">
        <v>217</v>
      </c>
      <c r="E34" s="11"/>
      <c r="V34" s="98">
        <v>1</v>
      </c>
      <c r="W34" s="121">
        <v>0.5</v>
      </c>
      <c r="X34" s="134">
        <v>1500</v>
      </c>
      <c r="Y34" s="133" t="s">
        <v>342</v>
      </c>
    </row>
    <row r="35" spans="1:25">
      <c r="A35" t="s">
        <v>262</v>
      </c>
      <c r="B35" s="39">
        <f>AVERAGE(300, 800)</f>
        <v>550</v>
      </c>
      <c r="C35" s="39">
        <f>AVERAGE(150, 500)</f>
        <v>325</v>
      </c>
      <c r="D35" s="39">
        <v>30</v>
      </c>
      <c r="E35" s="40">
        <v>0.9</v>
      </c>
      <c r="F35" s="39">
        <v>0</v>
      </c>
      <c r="G35" s="39">
        <v>10</v>
      </c>
      <c r="H35" s="39">
        <v>0.5</v>
      </c>
      <c r="I35" s="39">
        <v>10</v>
      </c>
      <c r="J35" s="39">
        <f>AVERAGE(0.1, 1.5)</f>
        <v>0.8</v>
      </c>
      <c r="K35" s="39">
        <f>AVERAGE(0.5, 2)</f>
        <v>1.25</v>
      </c>
      <c r="W35" s="4"/>
      <c r="X35" s="130"/>
      <c r="Y35" s="39" t="s">
        <v>343</v>
      </c>
    </row>
    <row r="36" spans="1:25">
      <c r="A36" t="s">
        <v>263</v>
      </c>
      <c r="B36" s="41">
        <f>AVERAGE(500, 1500)</f>
        <v>1000</v>
      </c>
      <c r="C36" s="41">
        <f>AVERAGE(800, 1500)</f>
        <v>1150</v>
      </c>
      <c r="E36" s="42">
        <v>0.65</v>
      </c>
      <c r="F36" s="41">
        <v>0</v>
      </c>
      <c r="G36" s="41">
        <v>40</v>
      </c>
    </row>
    <row r="37" spans="1:25">
      <c r="A37" t="s">
        <v>264</v>
      </c>
      <c r="B37" s="39">
        <f>AVERAGE(1000, 2000)</f>
        <v>1500</v>
      </c>
      <c r="C37" s="39">
        <f>AVERAGE(125, 250)</f>
        <v>187.5</v>
      </c>
      <c r="D37" s="39">
        <v>15</v>
      </c>
      <c r="E37" s="40">
        <v>0.9</v>
      </c>
      <c r="F37" s="41">
        <v>0.05</v>
      </c>
      <c r="G37" s="41">
        <v>8</v>
      </c>
      <c r="I37" s="4"/>
      <c r="J37" s="39">
        <v>50</v>
      </c>
      <c r="K37" s="39">
        <v>50</v>
      </c>
    </row>
    <row r="38" spans="1:25">
      <c r="A38" t="s">
        <v>265</v>
      </c>
      <c r="B38" s="39">
        <f>AVERAGE(400, 1000)</f>
        <v>700</v>
      </c>
      <c r="C38" s="39">
        <f>AVERAGE(500, 1500)</f>
        <v>1000</v>
      </c>
      <c r="D38" s="39">
        <v>25</v>
      </c>
      <c r="E38" s="40">
        <v>0.95</v>
      </c>
      <c r="F38" s="39">
        <v>0</v>
      </c>
      <c r="G38" s="39">
        <v>10</v>
      </c>
      <c r="H38" s="39">
        <v>0.5</v>
      </c>
      <c r="I38" s="39">
        <v>10</v>
      </c>
      <c r="J38" s="39">
        <f>AVERAGE(0.2, 2)</f>
        <v>1.1000000000000001</v>
      </c>
      <c r="K38" s="39">
        <f>AVERAGE(0.5, 10)</f>
        <v>5.25</v>
      </c>
    </row>
    <row r="39" spans="1:25">
      <c r="A39" t="s">
        <v>222</v>
      </c>
      <c r="B39" s="43">
        <f>AVERAGE(1000, 4000)</f>
        <v>2500</v>
      </c>
      <c r="C39" s="43">
        <f>AVERAGE(350, 800)</f>
        <v>575</v>
      </c>
      <c r="E39" s="44">
        <v>0.85</v>
      </c>
      <c r="F39">
        <v>0.05</v>
      </c>
      <c r="G39">
        <v>10</v>
      </c>
      <c r="H39">
        <v>20</v>
      </c>
      <c r="I39">
        <v>50</v>
      </c>
    </row>
    <row r="40" spans="1:25">
      <c r="A40" t="s">
        <v>220</v>
      </c>
      <c r="B40" s="41">
        <f>AVERAGE(500, 1500)</f>
        <v>1000</v>
      </c>
      <c r="C40" s="41">
        <f>AVERAGE(10, 20)</f>
        <v>15</v>
      </c>
      <c r="E40" s="42">
        <v>0.5</v>
      </c>
      <c r="F40" s="39">
        <v>0.1</v>
      </c>
      <c r="G40" s="39">
        <v>10</v>
      </c>
      <c r="J40" s="39">
        <f>AVERAGE(0.01, 5)</f>
        <v>2.5049999999999999</v>
      </c>
    </row>
    <row r="41" spans="1:25">
      <c r="A41" t="s">
        <v>224</v>
      </c>
      <c r="B41" s="39">
        <f>AVERAGE(1200, 2000)</f>
        <v>1600</v>
      </c>
      <c r="C41" s="39">
        <f>AVERAGE(350, 800)</f>
        <v>575</v>
      </c>
      <c r="D41" s="39">
        <v>30</v>
      </c>
      <c r="E41" s="40">
        <v>0.85</v>
      </c>
      <c r="F41" s="39">
        <v>2.5000000000000001E-2</v>
      </c>
      <c r="G41" s="39">
        <v>10</v>
      </c>
      <c r="H41" s="39">
        <v>20</v>
      </c>
      <c r="I41" s="39">
        <v>50</v>
      </c>
      <c r="J41" s="39">
        <f>AVERAGE(5, 20)</f>
        <v>12.5</v>
      </c>
      <c r="K41" s="39">
        <f>AVERAGE(5, 25)</f>
        <v>15</v>
      </c>
    </row>
    <row r="42" spans="1:25">
      <c r="A42" t="s">
        <v>225</v>
      </c>
      <c r="B42" s="41">
        <v>400</v>
      </c>
      <c r="C42" s="41">
        <v>1000</v>
      </c>
      <c r="E42" s="42">
        <v>0.65</v>
      </c>
      <c r="F42">
        <v>0</v>
      </c>
      <c r="G42" s="41">
        <v>0.05</v>
      </c>
    </row>
    <row r="43" spans="1:25">
      <c r="A43" t="s">
        <v>226</v>
      </c>
      <c r="B43" s="41">
        <v>300</v>
      </c>
      <c r="C43" s="41">
        <v>2000</v>
      </c>
      <c r="E43" s="42">
        <v>0.95</v>
      </c>
      <c r="F43" s="4">
        <v>0</v>
      </c>
      <c r="G43" s="41">
        <v>0.3</v>
      </c>
    </row>
    <row r="44" spans="1:25">
      <c r="A44" t="s">
        <v>223</v>
      </c>
      <c r="B44" s="41">
        <v>300</v>
      </c>
      <c r="C44" s="41">
        <v>10000</v>
      </c>
      <c r="E44" s="44">
        <v>0.95</v>
      </c>
      <c r="F44" s="41">
        <v>0.1</v>
      </c>
      <c r="G44" s="41">
        <v>10</v>
      </c>
    </row>
    <row r="45" spans="1:25">
      <c r="A45" t="s">
        <v>221</v>
      </c>
      <c r="B45" s="41">
        <f>AVERAGE(200, 300)</f>
        <v>250</v>
      </c>
      <c r="C45" s="41">
        <f>AVERAGE(3, 50)</f>
        <v>26.5</v>
      </c>
      <c r="E45" s="42">
        <v>0.6</v>
      </c>
      <c r="F45" s="41">
        <v>0</v>
      </c>
      <c r="G45" s="41">
        <v>300</v>
      </c>
    </row>
    <row r="46" spans="1:25">
      <c r="B46" s="41"/>
      <c r="C46" s="41"/>
      <c r="E46" s="42"/>
      <c r="F46" s="41"/>
      <c r="G46" s="41"/>
    </row>
    <row r="47" spans="1:25">
      <c r="A47" s="38" t="s">
        <v>80</v>
      </c>
      <c r="B47" s="41"/>
      <c r="C47" s="41"/>
      <c r="E47" s="42"/>
      <c r="F47" s="41"/>
      <c r="G47" s="41"/>
    </row>
    <row r="48" spans="1:25">
      <c r="A48" s="122" t="s">
        <v>268</v>
      </c>
      <c r="B48" s="41"/>
      <c r="C48" s="41"/>
      <c r="E48" s="42">
        <v>0.9</v>
      </c>
      <c r="F48" s="41"/>
      <c r="G48" s="41"/>
      <c r="V48">
        <v>1</v>
      </c>
      <c r="W48" s="123">
        <v>0.5</v>
      </c>
      <c r="X48" s="123"/>
    </row>
    <row r="50" spans="1:25">
      <c r="A50" s="38" t="s">
        <v>143</v>
      </c>
    </row>
    <row r="51" spans="1:25">
      <c r="F51" t="s">
        <v>199</v>
      </c>
      <c r="G51" s="21" t="s">
        <v>183</v>
      </c>
      <c r="H51" s="21" t="s">
        <v>163</v>
      </c>
      <c r="I51" s="22" t="s">
        <v>185</v>
      </c>
      <c r="J51" s="21"/>
      <c r="K51" s="21"/>
      <c r="Y51" t="s">
        <v>178</v>
      </c>
    </row>
    <row r="52" spans="1:25" ht="15.75" thickBot="1">
      <c r="A52" t="s">
        <v>144</v>
      </c>
      <c r="D52" t="s">
        <v>148</v>
      </c>
      <c r="G52" s="21"/>
      <c r="H52" s="21"/>
      <c r="I52" s="21"/>
      <c r="J52" s="21"/>
      <c r="K52" s="21"/>
    </row>
    <row r="53" spans="1:25">
      <c r="A53" t="s">
        <v>145</v>
      </c>
      <c r="D53" t="s">
        <v>149</v>
      </c>
      <c r="F53" s="20" t="s">
        <v>161</v>
      </c>
      <c r="G53" s="22" t="s">
        <v>164</v>
      </c>
      <c r="H53" s="22" t="s">
        <v>165</v>
      </c>
      <c r="I53" s="22" t="s">
        <v>187</v>
      </c>
      <c r="J53" s="23" t="s">
        <v>191</v>
      </c>
      <c r="K53" s="24" t="s">
        <v>196</v>
      </c>
    </row>
    <row r="54" spans="1:25" ht="15.75" thickBot="1">
      <c r="D54" t="s">
        <v>150</v>
      </c>
      <c r="F54" s="20" t="s">
        <v>166</v>
      </c>
      <c r="G54" s="22" t="s">
        <v>167</v>
      </c>
      <c r="H54" s="22" t="s">
        <v>168</v>
      </c>
      <c r="I54" s="22" t="s">
        <v>391</v>
      </c>
      <c r="J54" s="25" t="s">
        <v>192</v>
      </c>
      <c r="K54" s="24" t="s">
        <v>197</v>
      </c>
    </row>
    <row r="55" spans="1:25" ht="15.75" thickBot="1">
      <c r="A55" t="s">
        <v>146</v>
      </c>
      <c r="D55" t="s">
        <v>151</v>
      </c>
      <c r="F55" s="20"/>
      <c r="G55" s="22"/>
      <c r="H55" s="22"/>
      <c r="I55" s="21"/>
      <c r="J55" s="21"/>
      <c r="K55" s="21"/>
    </row>
    <row r="56" spans="1:25">
      <c r="A56" t="s">
        <v>147</v>
      </c>
      <c r="D56" t="s">
        <v>149</v>
      </c>
      <c r="F56" s="20" t="s">
        <v>169</v>
      </c>
      <c r="G56" s="22" t="s">
        <v>170</v>
      </c>
      <c r="H56" s="22" t="s">
        <v>171</v>
      </c>
      <c r="I56" s="22" t="s">
        <v>188</v>
      </c>
      <c r="J56" s="23" t="s">
        <v>193</v>
      </c>
      <c r="K56" s="21"/>
    </row>
    <row r="57" spans="1:25" ht="15.75" thickBot="1">
      <c r="D57" t="s">
        <v>150</v>
      </c>
      <c r="F57" s="20" t="s">
        <v>172</v>
      </c>
      <c r="G57" s="22" t="s">
        <v>173</v>
      </c>
      <c r="H57" s="22" t="s">
        <v>174</v>
      </c>
      <c r="I57" s="22" t="s">
        <v>189</v>
      </c>
      <c r="J57" s="25" t="s">
        <v>194</v>
      </c>
      <c r="K57" s="21"/>
    </row>
    <row r="58" spans="1:25">
      <c r="A58" t="s">
        <v>160</v>
      </c>
      <c r="D58" t="s">
        <v>152</v>
      </c>
      <c r="F58" s="20" t="s">
        <v>175</v>
      </c>
      <c r="G58" s="22" t="s">
        <v>176</v>
      </c>
      <c r="H58" s="22" t="s">
        <v>171</v>
      </c>
      <c r="I58" s="22" t="s">
        <v>190</v>
      </c>
      <c r="J58" s="21"/>
      <c r="K58" s="22" t="s">
        <v>198</v>
      </c>
    </row>
    <row r="59" spans="1:25" ht="15.75" thickBot="1">
      <c r="F59" s="20"/>
      <c r="G59" s="22"/>
      <c r="H59" s="22"/>
      <c r="I59" s="21"/>
      <c r="J59" s="21"/>
      <c r="K59" s="21"/>
    </row>
    <row r="60" spans="1:25">
      <c r="A60" t="s">
        <v>182</v>
      </c>
      <c r="D60" t="s">
        <v>153</v>
      </c>
      <c r="F60" t="s">
        <v>162</v>
      </c>
      <c r="G60" s="22" t="s">
        <v>177</v>
      </c>
      <c r="H60" s="22" t="s">
        <v>185</v>
      </c>
      <c r="I60" s="26" t="s">
        <v>184</v>
      </c>
      <c r="J60" s="21"/>
      <c r="K60" s="21" t="s">
        <v>195</v>
      </c>
    </row>
    <row r="61" spans="1:25" ht="15.75" thickBot="1">
      <c r="A61" t="s">
        <v>179</v>
      </c>
      <c r="D61" t="s">
        <v>154</v>
      </c>
      <c r="F61" s="19">
        <v>100</v>
      </c>
      <c r="G61" s="27">
        <v>10</v>
      </c>
      <c r="H61" s="28">
        <f>F61%*G61%</f>
        <v>0.1</v>
      </c>
      <c r="I61" s="29">
        <f>AVERAGE(H61:H63)</f>
        <v>0.06</v>
      </c>
      <c r="J61" s="21"/>
      <c r="K61" s="21"/>
    </row>
    <row r="62" spans="1:25">
      <c r="A62" t="s">
        <v>180</v>
      </c>
      <c r="D62" t="s">
        <v>155</v>
      </c>
      <c r="F62" s="19">
        <v>3</v>
      </c>
      <c r="G62" s="27">
        <v>100</v>
      </c>
      <c r="H62" s="28">
        <f>F62%*G62%</f>
        <v>0.03</v>
      </c>
      <c r="I62" s="21"/>
      <c r="J62" s="22"/>
      <c r="K62" s="21"/>
    </row>
    <row r="63" spans="1:25">
      <c r="A63" t="s">
        <v>181</v>
      </c>
      <c r="D63" t="s">
        <v>156</v>
      </c>
      <c r="F63" s="19">
        <v>5</v>
      </c>
      <c r="G63" s="27">
        <v>100</v>
      </c>
      <c r="H63" s="28">
        <f>F63%*G63%</f>
        <v>0.05</v>
      </c>
      <c r="I63" s="21"/>
      <c r="J63" s="21"/>
      <c r="K63" s="21"/>
    </row>
    <row r="64" spans="1:25" ht="15.75" thickBot="1">
      <c r="A64" t="s">
        <v>186</v>
      </c>
      <c r="D64" t="s">
        <v>157</v>
      </c>
      <c r="F64" s="20"/>
      <c r="G64" s="22"/>
      <c r="H64" s="28"/>
      <c r="I64" s="21"/>
      <c r="J64" s="21"/>
      <c r="K64" s="21"/>
    </row>
    <row r="65" spans="1:25" ht="15.75" thickBot="1">
      <c r="D65" t="s">
        <v>158</v>
      </c>
      <c r="F65" s="19">
        <v>5</v>
      </c>
      <c r="G65" s="27">
        <v>25</v>
      </c>
      <c r="H65" s="30">
        <f>F65%*G65%</f>
        <v>1.2500000000000001E-2</v>
      </c>
      <c r="I65" s="21"/>
      <c r="J65" s="21"/>
      <c r="K65" s="21"/>
    </row>
    <row r="66" spans="1:25">
      <c r="D66" t="s">
        <v>159</v>
      </c>
      <c r="F66" s="19">
        <v>5</v>
      </c>
      <c r="G66" s="27">
        <v>25</v>
      </c>
      <c r="H66" s="31">
        <f>F66%*G66%</f>
        <v>1.2500000000000001E-2</v>
      </c>
      <c r="I66" s="21"/>
      <c r="J66" s="21"/>
      <c r="K66" s="21"/>
    </row>
    <row r="68" spans="1:25">
      <c r="A68" s="38" t="s">
        <v>24</v>
      </c>
    </row>
    <row r="69" spans="1:25">
      <c r="B69" t="s">
        <v>47</v>
      </c>
    </row>
    <row r="70" spans="1:25">
      <c r="A70" t="s">
        <v>46</v>
      </c>
      <c r="B70" s="13">
        <v>8.9999999999999993E-3</v>
      </c>
      <c r="Y70" s="13" t="s">
        <v>49</v>
      </c>
    </row>
    <row r="72" spans="1:25">
      <c r="C72" t="s">
        <v>56</v>
      </c>
    </row>
    <row r="73" spans="1:25">
      <c r="A73" t="s">
        <v>45</v>
      </c>
      <c r="B73" t="s">
        <v>48</v>
      </c>
      <c r="C73" t="s">
        <v>58</v>
      </c>
    </row>
    <row r="74" spans="1:25">
      <c r="A74" t="s">
        <v>373</v>
      </c>
      <c r="B74" s="141">
        <f>B76</f>
        <v>596331.41536281956</v>
      </c>
      <c r="Y74" s="15" t="s">
        <v>57</v>
      </c>
    </row>
    <row r="75" spans="1:25">
      <c r="A75" t="s">
        <v>372</v>
      </c>
      <c r="B75" s="141">
        <f>B77</f>
        <v>954677.07258876308</v>
      </c>
    </row>
    <row r="76" spans="1:25">
      <c r="A76" t="s">
        <v>50</v>
      </c>
      <c r="B76" s="14">
        <f>959700/1.60934</f>
        <v>596331.41536281956</v>
      </c>
    </row>
    <row r="77" spans="1:25">
      <c r="A77" t="s">
        <v>51</v>
      </c>
      <c r="B77" s="14">
        <f>1536400/1.60934</f>
        <v>954677.07258876308</v>
      </c>
    </row>
    <row r="78" spans="1:25">
      <c r="A78" t="s">
        <v>52</v>
      </c>
      <c r="B78" s="14">
        <f>1919450/1.60934</f>
        <v>1192693.8993624717</v>
      </c>
    </row>
    <row r="79" spans="1:25">
      <c r="A79" t="s">
        <v>53</v>
      </c>
      <c r="B79" s="14">
        <f>3071750/1.60934</f>
        <v>1908701.7038040438</v>
      </c>
    </row>
    <row r="80" spans="1:25">
      <c r="A80" t="s">
        <v>54</v>
      </c>
      <c r="B80" s="14">
        <f>1536400/1.60934</f>
        <v>954677.07258876308</v>
      </c>
    </row>
    <row r="81" spans="1:25">
      <c r="A81" t="s">
        <v>55</v>
      </c>
      <c r="B81" s="14">
        <f>1613200/1.60934</f>
        <v>1002398.4987634682</v>
      </c>
    </row>
    <row r="83" spans="1:25">
      <c r="A83" s="38" t="s">
        <v>18</v>
      </c>
      <c r="B83" t="s">
        <v>210</v>
      </c>
    </row>
    <row r="85" spans="1:25">
      <c r="A85" s="38" t="s">
        <v>19</v>
      </c>
      <c r="B85" t="s">
        <v>211</v>
      </c>
    </row>
    <row r="87" spans="1:25">
      <c r="A87" s="38" t="s">
        <v>80</v>
      </c>
    </row>
    <row r="89" spans="1:25">
      <c r="A89" t="s">
        <v>26</v>
      </c>
      <c r="B89" t="s">
        <v>87</v>
      </c>
      <c r="C89" t="s">
        <v>114</v>
      </c>
      <c r="D89" t="s">
        <v>89</v>
      </c>
      <c r="E89" t="s">
        <v>90</v>
      </c>
      <c r="F89" t="s">
        <v>120</v>
      </c>
      <c r="G89" t="s">
        <v>94</v>
      </c>
      <c r="H89" t="s">
        <v>95</v>
      </c>
      <c r="Y89" t="s">
        <v>123</v>
      </c>
    </row>
    <row r="90" spans="1:25">
      <c r="A90" t="s">
        <v>92</v>
      </c>
      <c r="B90">
        <v>43300</v>
      </c>
      <c r="C90">
        <v>7500</v>
      </c>
      <c r="D90" t="s">
        <v>93</v>
      </c>
      <c r="E90">
        <v>4</v>
      </c>
      <c r="F90" s="11">
        <f>81*1.60934</f>
        <v>130.35654</v>
      </c>
      <c r="G90">
        <v>22</v>
      </c>
      <c r="H90">
        <v>6.6</v>
      </c>
    </row>
    <row r="91" spans="1:25">
      <c r="A91" t="s">
        <v>96</v>
      </c>
      <c r="B91">
        <v>26000</v>
      </c>
      <c r="C91">
        <v>7500</v>
      </c>
      <c r="D91" t="s">
        <v>97</v>
      </c>
      <c r="E91">
        <v>4</v>
      </c>
      <c r="F91" s="11">
        <f>82*1.60934</f>
        <v>131.96588</v>
      </c>
      <c r="G91">
        <v>19</v>
      </c>
      <c r="H91">
        <v>3.3</v>
      </c>
    </row>
    <row r="92" spans="1:25">
      <c r="A92" t="s">
        <v>98</v>
      </c>
      <c r="B92">
        <v>32600</v>
      </c>
      <c r="C92">
        <v>7500</v>
      </c>
      <c r="D92" t="s">
        <v>93</v>
      </c>
      <c r="E92">
        <v>4</v>
      </c>
      <c r="F92" s="11">
        <f>87*1.60934</f>
        <v>140.01257999999999</v>
      </c>
      <c r="G92">
        <v>24</v>
      </c>
      <c r="H92">
        <v>6.6</v>
      </c>
    </row>
    <row r="93" spans="1:25">
      <c r="A93" t="s">
        <v>100</v>
      </c>
      <c r="B93">
        <v>30000</v>
      </c>
      <c r="C93">
        <v>7500</v>
      </c>
      <c r="D93" t="s">
        <v>93</v>
      </c>
      <c r="E93">
        <v>5</v>
      </c>
      <c r="F93" s="11">
        <f>76*1.60934</f>
        <v>122.30983999999999</v>
      </c>
      <c r="G93">
        <v>23</v>
      </c>
      <c r="H93">
        <v>6.6</v>
      </c>
    </row>
    <row r="94" spans="1:25">
      <c r="A94" t="s">
        <v>101</v>
      </c>
      <c r="B94">
        <v>34500</v>
      </c>
      <c r="C94">
        <v>7500</v>
      </c>
      <c r="D94" t="s">
        <v>93</v>
      </c>
      <c r="E94">
        <v>5</v>
      </c>
      <c r="F94" s="11">
        <f>93*1.60934</f>
        <v>149.66862</v>
      </c>
      <c r="G94">
        <v>27</v>
      </c>
      <c r="H94">
        <v>6.6</v>
      </c>
    </row>
    <row r="95" spans="1:25">
      <c r="A95" t="s">
        <v>102</v>
      </c>
      <c r="B95">
        <v>42400</v>
      </c>
      <c r="C95">
        <v>7500</v>
      </c>
      <c r="D95" t="s">
        <v>93</v>
      </c>
      <c r="E95">
        <v>5</v>
      </c>
      <c r="F95" s="11">
        <f>85*1.60934</f>
        <v>136.79390000000001</v>
      </c>
      <c r="G95">
        <v>28</v>
      </c>
      <c r="H95" s="18">
        <v>10</v>
      </c>
    </row>
    <row r="96" spans="1:25">
      <c r="A96" t="s">
        <v>103</v>
      </c>
      <c r="B96">
        <v>23800</v>
      </c>
      <c r="C96">
        <v>7500</v>
      </c>
      <c r="D96" t="s">
        <v>93</v>
      </c>
      <c r="E96">
        <v>4</v>
      </c>
      <c r="F96" s="11">
        <f>62*1.60934</f>
        <v>99.779079999999993</v>
      </c>
      <c r="G96">
        <v>16</v>
      </c>
      <c r="H96">
        <v>3.3</v>
      </c>
    </row>
    <row r="97" spans="1:25">
      <c r="A97" t="s">
        <v>104</v>
      </c>
      <c r="B97">
        <v>29800</v>
      </c>
      <c r="C97">
        <v>7500</v>
      </c>
      <c r="D97" t="s">
        <v>93</v>
      </c>
      <c r="E97">
        <v>5</v>
      </c>
      <c r="F97" s="11">
        <f>84*1.60934</f>
        <v>135.18456</v>
      </c>
      <c r="G97">
        <v>24</v>
      </c>
      <c r="H97">
        <v>6.6</v>
      </c>
    </row>
    <row r="98" spans="1:25">
      <c r="A98" t="s">
        <v>105</v>
      </c>
      <c r="B98">
        <v>25700</v>
      </c>
      <c r="C98">
        <v>7500</v>
      </c>
      <c r="D98" t="s">
        <v>97</v>
      </c>
      <c r="E98">
        <v>2</v>
      </c>
      <c r="F98" s="11">
        <f>68*1.60934</f>
        <v>109.43512</v>
      </c>
      <c r="G98">
        <v>17</v>
      </c>
      <c r="H98">
        <v>3.3</v>
      </c>
    </row>
    <row r="99" spans="1:25">
      <c r="A99" t="s">
        <v>106</v>
      </c>
      <c r="B99">
        <v>71000</v>
      </c>
      <c r="C99">
        <v>7500</v>
      </c>
      <c r="D99" t="s">
        <v>93</v>
      </c>
      <c r="E99">
        <v>5</v>
      </c>
      <c r="F99" s="11">
        <f>265*1.60934</f>
        <v>426.4751</v>
      </c>
      <c r="G99">
        <v>85</v>
      </c>
      <c r="H99" s="18">
        <v>10</v>
      </c>
    </row>
    <row r="100" spans="1:25">
      <c r="A100" t="s">
        <v>107</v>
      </c>
      <c r="B100">
        <v>36300</v>
      </c>
      <c r="C100">
        <v>7500</v>
      </c>
      <c r="D100" t="s">
        <v>93</v>
      </c>
      <c r="E100">
        <v>5</v>
      </c>
      <c r="F100" s="11">
        <f>83*1.60934</f>
        <v>133.57522</v>
      </c>
      <c r="G100">
        <v>24</v>
      </c>
      <c r="H100">
        <v>7.2</v>
      </c>
    </row>
    <row r="101" spans="1:25">
      <c r="A101" t="s">
        <v>108</v>
      </c>
      <c r="B101">
        <v>80000</v>
      </c>
      <c r="C101">
        <v>7500</v>
      </c>
      <c r="D101" t="s">
        <v>109</v>
      </c>
      <c r="E101">
        <v>7</v>
      </c>
      <c r="F101" s="11">
        <f>230*1.60934</f>
        <v>370.14819999999997</v>
      </c>
      <c r="G101">
        <v>85</v>
      </c>
      <c r="H101" s="18">
        <v>10</v>
      </c>
    </row>
    <row r="103" spans="1:25">
      <c r="A103" t="s">
        <v>121</v>
      </c>
      <c r="B103" t="s">
        <v>87</v>
      </c>
      <c r="C103" t="s">
        <v>122</v>
      </c>
      <c r="D103" t="s">
        <v>89</v>
      </c>
      <c r="E103" t="s">
        <v>90</v>
      </c>
      <c r="F103" t="s">
        <v>115</v>
      </c>
      <c r="G103" t="s">
        <v>111</v>
      </c>
    </row>
    <row r="104" spans="1:25">
      <c r="A104" t="s">
        <v>110</v>
      </c>
      <c r="B104">
        <v>14930</v>
      </c>
      <c r="D104" t="s">
        <v>97</v>
      </c>
      <c r="E104">
        <v>2</v>
      </c>
      <c r="F104" t="s">
        <v>112</v>
      </c>
      <c r="G104" t="s">
        <v>113</v>
      </c>
      <c r="Y104" t="s">
        <v>124</v>
      </c>
    </row>
    <row r="105" spans="1:25">
      <c r="A105" t="s">
        <v>126</v>
      </c>
      <c r="B105">
        <v>16745</v>
      </c>
      <c r="D105" t="s">
        <v>93</v>
      </c>
      <c r="E105">
        <v>4</v>
      </c>
      <c r="F105" t="s">
        <v>127</v>
      </c>
      <c r="Y105" t="s">
        <v>128</v>
      </c>
    </row>
    <row r="106" spans="1:25">
      <c r="A106" t="s">
        <v>99</v>
      </c>
      <c r="B106">
        <v>17170</v>
      </c>
      <c r="D106" t="s">
        <v>93</v>
      </c>
      <c r="E106">
        <v>5</v>
      </c>
      <c r="F106" t="s">
        <v>116</v>
      </c>
      <c r="Y106" t="s">
        <v>125</v>
      </c>
    </row>
    <row r="107" spans="1:25">
      <c r="A107" t="s">
        <v>117</v>
      </c>
      <c r="B107">
        <v>30700</v>
      </c>
      <c r="D107" t="s">
        <v>118</v>
      </c>
      <c r="E107">
        <v>7</v>
      </c>
      <c r="F107" t="s">
        <v>119</v>
      </c>
      <c r="Y107" t="s">
        <v>124</v>
      </c>
    </row>
    <row r="109" spans="1:25">
      <c r="H109" t="s">
        <v>70</v>
      </c>
      <c r="I109" t="s">
        <v>83</v>
      </c>
      <c r="Y109" t="s">
        <v>84</v>
      </c>
    </row>
    <row r="110" spans="1:25">
      <c r="A110" t="s">
        <v>129</v>
      </c>
      <c r="B110" t="s">
        <v>69</v>
      </c>
      <c r="H110" t="s">
        <v>71</v>
      </c>
      <c r="I110">
        <v>8.6</v>
      </c>
    </row>
    <row r="111" spans="1:25">
      <c r="H111" t="s">
        <v>72</v>
      </c>
      <c r="I111">
        <v>9.9</v>
      </c>
    </row>
    <row r="112" spans="1:25">
      <c r="H112" t="s">
        <v>73</v>
      </c>
      <c r="I112">
        <v>12.5</v>
      </c>
    </row>
    <row r="113" spans="1:25">
      <c r="H113" t="s">
        <v>74</v>
      </c>
      <c r="I113">
        <v>15.2</v>
      </c>
    </row>
    <row r="114" spans="1:25">
      <c r="B114" t="s">
        <v>64</v>
      </c>
      <c r="D114" t="s">
        <v>76</v>
      </c>
      <c r="Y114" t="s">
        <v>85</v>
      </c>
    </row>
    <row r="115" spans="1:25">
      <c r="D115" t="s">
        <v>75</v>
      </c>
    </row>
    <row r="116" spans="1:25">
      <c r="D116" t="s">
        <v>86</v>
      </c>
    </row>
    <row r="117" spans="1:25">
      <c r="B117" t="s">
        <v>59</v>
      </c>
      <c r="D117" t="s">
        <v>61</v>
      </c>
    </row>
    <row r="118" spans="1:25">
      <c r="B118" t="s">
        <v>60</v>
      </c>
      <c r="D118" t="s">
        <v>67</v>
      </c>
    </row>
    <row r="119" spans="1:25">
      <c r="B119" t="s">
        <v>62</v>
      </c>
      <c r="D119" t="s">
        <v>63</v>
      </c>
    </row>
    <row r="120" spans="1:25">
      <c r="D120" t="s">
        <v>68</v>
      </c>
    </row>
    <row r="122" spans="1:25">
      <c r="B122" t="s">
        <v>87</v>
      </c>
      <c r="C122" t="s">
        <v>88</v>
      </c>
      <c r="D122" t="s">
        <v>89</v>
      </c>
      <c r="E122" t="s">
        <v>90</v>
      </c>
      <c r="F122" t="s">
        <v>131</v>
      </c>
      <c r="G122" t="s">
        <v>132</v>
      </c>
      <c r="H122" t="s">
        <v>91</v>
      </c>
      <c r="Y122" t="s">
        <v>123</v>
      </c>
    </row>
    <row r="123" spans="1:25">
      <c r="A123" t="s">
        <v>130</v>
      </c>
      <c r="B123">
        <v>76000</v>
      </c>
      <c r="C123">
        <v>7500</v>
      </c>
      <c r="D123" t="s">
        <v>97</v>
      </c>
      <c r="E123">
        <v>4</v>
      </c>
      <c r="F123" s="11">
        <f>37*1.60934</f>
        <v>59.545580000000001</v>
      </c>
      <c r="G123">
        <v>17</v>
      </c>
      <c r="H123">
        <v>3.3</v>
      </c>
    </row>
    <row r="124" spans="1:25">
      <c r="A124" t="s">
        <v>133</v>
      </c>
      <c r="B124">
        <v>35200</v>
      </c>
      <c r="C124">
        <v>7500</v>
      </c>
      <c r="D124" t="s">
        <v>93</v>
      </c>
      <c r="E124">
        <v>4</v>
      </c>
      <c r="F124" s="11">
        <f>38*1.60934</f>
        <v>61.154919999999997</v>
      </c>
      <c r="G124">
        <v>17</v>
      </c>
      <c r="H124">
        <v>3.3</v>
      </c>
    </row>
    <row r="125" spans="1:25">
      <c r="A125" t="s">
        <v>134</v>
      </c>
      <c r="B125">
        <v>32600</v>
      </c>
      <c r="C125">
        <v>3700</v>
      </c>
      <c r="D125" t="s">
        <v>135</v>
      </c>
      <c r="E125">
        <v>5</v>
      </c>
      <c r="F125" s="11">
        <f>20*1.60934</f>
        <v>32.186799999999998</v>
      </c>
      <c r="G125">
        <v>8</v>
      </c>
      <c r="H125">
        <v>3.3</v>
      </c>
    </row>
    <row r="126" spans="1:25">
      <c r="A126" t="s">
        <v>136</v>
      </c>
      <c r="B126">
        <v>35600</v>
      </c>
      <c r="C126">
        <v>3700</v>
      </c>
      <c r="D126" t="s">
        <v>93</v>
      </c>
      <c r="E126">
        <v>5</v>
      </c>
      <c r="F126" s="11">
        <f>20*1.60934</f>
        <v>32.186799999999998</v>
      </c>
      <c r="G126">
        <v>7</v>
      </c>
      <c r="H126">
        <v>3.3</v>
      </c>
    </row>
    <row r="127" spans="1:25">
      <c r="A127" t="s">
        <v>137</v>
      </c>
      <c r="B127">
        <v>40700</v>
      </c>
      <c r="C127">
        <v>3700</v>
      </c>
      <c r="D127" t="s">
        <v>93</v>
      </c>
      <c r="E127">
        <v>2</v>
      </c>
      <c r="F127" s="11">
        <f>13*1.60934</f>
        <v>20.921420000000001</v>
      </c>
      <c r="G127">
        <v>7</v>
      </c>
      <c r="H127">
        <v>6.6</v>
      </c>
    </row>
    <row r="128" spans="1:25">
      <c r="A128" t="s">
        <v>139</v>
      </c>
      <c r="B128">
        <v>78000</v>
      </c>
      <c r="C128">
        <v>5300</v>
      </c>
      <c r="D128" t="s">
        <v>109</v>
      </c>
      <c r="E128">
        <v>5</v>
      </c>
      <c r="F128" s="11">
        <f>14*1.60934</f>
        <v>22.530760000000001</v>
      </c>
      <c r="G128">
        <v>11</v>
      </c>
      <c r="H128">
        <v>3.6</v>
      </c>
    </row>
    <row r="129" spans="1:25">
      <c r="A129" t="s">
        <v>138</v>
      </c>
      <c r="B129">
        <v>100000</v>
      </c>
      <c r="C129">
        <v>4700</v>
      </c>
      <c r="D129" t="s">
        <v>109</v>
      </c>
      <c r="E129">
        <v>4</v>
      </c>
      <c r="F129" s="11">
        <f>15*1.60934</f>
        <v>24.1401</v>
      </c>
      <c r="G129">
        <v>9</v>
      </c>
      <c r="H129" s="18">
        <v>3</v>
      </c>
    </row>
    <row r="130" spans="1:25">
      <c r="A130" t="s">
        <v>140</v>
      </c>
      <c r="B130">
        <v>30800</v>
      </c>
      <c r="C130">
        <v>2500</v>
      </c>
      <c r="D130" t="s">
        <v>93</v>
      </c>
      <c r="E130">
        <v>5</v>
      </c>
      <c r="F130" s="11">
        <f>11*1.60934</f>
        <v>17.702739999999999</v>
      </c>
      <c r="G130">
        <v>4</v>
      </c>
      <c r="H130">
        <v>3.3</v>
      </c>
    </row>
    <row r="132" spans="1:25">
      <c r="A132" t="s">
        <v>79</v>
      </c>
      <c r="B132" t="s">
        <v>141</v>
      </c>
      <c r="Y132" t="s">
        <v>81</v>
      </c>
    </row>
    <row r="133" spans="1:25">
      <c r="B133" t="s">
        <v>77</v>
      </c>
    </row>
    <row r="134" spans="1:25">
      <c r="B134" t="s">
        <v>65</v>
      </c>
    </row>
    <row r="135" spans="1:25">
      <c r="B135" t="s">
        <v>66</v>
      </c>
    </row>
    <row r="136" spans="1:25">
      <c r="B136" t="s">
        <v>78</v>
      </c>
    </row>
    <row r="138" spans="1:25">
      <c r="B138" t="s">
        <v>142</v>
      </c>
      <c r="Y138" s="17" t="s">
        <v>82</v>
      </c>
    </row>
  </sheetData>
  <hyperlinks>
    <hyperlink ref="Y138" r:id="rId1" xr:uid="{00000000-0004-0000-0100-000000000000}"/>
  </hyperlinks>
  <pageMargins left="0.25" right="0.25" top="0.75" bottom="0.75" header="0.3" footer="0.3"/>
  <pageSetup scale="52" fitToHeight="2"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8907-3297-4430-8EDB-EC540F780E34}">
  <dimension ref="A1:O114"/>
  <sheetViews>
    <sheetView zoomScale="80" zoomScaleNormal="80" workbookViewId="0">
      <selection activeCell="I16" sqref="I16"/>
    </sheetView>
  </sheetViews>
  <sheetFormatPr defaultRowHeight="15"/>
  <cols>
    <col min="1" max="1" width="12.5703125" customWidth="1"/>
    <col min="2" max="2" width="26" customWidth="1"/>
    <col min="3" max="3" width="16.28515625" customWidth="1"/>
    <col min="4" max="4" width="12.7109375" bestFit="1" customWidth="1"/>
    <col min="5" max="5" width="17.85546875" customWidth="1"/>
    <col min="6" max="6" width="12.7109375" customWidth="1"/>
    <col min="7" max="7" width="23" customWidth="1"/>
    <col min="8" max="8" width="18.85546875" customWidth="1"/>
    <col min="9" max="9" width="20.85546875" customWidth="1"/>
    <col min="10" max="10" width="16.5703125" customWidth="1"/>
    <col min="11" max="11" width="12.140625" customWidth="1"/>
    <col min="12" max="12" width="9.140625" customWidth="1"/>
  </cols>
  <sheetData>
    <row r="1" spans="1:14" ht="19.5" thickBot="1">
      <c r="A1" s="54" t="s">
        <v>286</v>
      </c>
    </row>
    <row r="2" spans="1:14" ht="31.5" customHeight="1">
      <c r="A2" s="68"/>
      <c r="B2" s="236" t="s">
        <v>287</v>
      </c>
      <c r="C2" s="236"/>
      <c r="D2" s="237" t="s">
        <v>288</v>
      </c>
      <c r="E2" s="237"/>
      <c r="F2" s="238" t="s">
        <v>298</v>
      </c>
      <c r="G2" s="238"/>
      <c r="H2" s="238"/>
      <c r="I2" s="239"/>
      <c r="J2" s="49"/>
      <c r="K2" s="221"/>
      <c r="L2" s="222"/>
    </row>
    <row r="3" spans="1:14" ht="33" customHeight="1">
      <c r="A3" s="73" t="s">
        <v>312</v>
      </c>
      <c r="B3" s="223" t="s">
        <v>274</v>
      </c>
      <c r="C3" s="223" t="s">
        <v>285</v>
      </c>
      <c r="D3" s="224" t="s">
        <v>289</v>
      </c>
      <c r="E3" s="224" t="s">
        <v>290</v>
      </c>
      <c r="F3" s="225" t="s">
        <v>271</v>
      </c>
      <c r="G3" s="225" t="s">
        <v>299</v>
      </c>
      <c r="H3" s="225" t="s">
        <v>272</v>
      </c>
      <c r="I3" s="226" t="s">
        <v>304</v>
      </c>
      <c r="J3" s="49"/>
      <c r="K3" s="49"/>
      <c r="L3" s="49"/>
      <c r="M3" s="49"/>
      <c r="N3" s="49"/>
    </row>
    <row r="4" spans="1:14" ht="33" customHeight="1" thickBot="1">
      <c r="A4" s="73"/>
      <c r="B4" s="227" t="s">
        <v>300</v>
      </c>
      <c r="C4" s="227" t="s">
        <v>300</v>
      </c>
      <c r="D4" s="228" t="s">
        <v>292</v>
      </c>
      <c r="E4" s="228" t="s">
        <v>292</v>
      </c>
      <c r="F4" s="229" t="s">
        <v>307</v>
      </c>
      <c r="G4" s="229" t="s">
        <v>307</v>
      </c>
      <c r="H4" s="229" t="s">
        <v>307</v>
      </c>
      <c r="I4" s="230" t="s">
        <v>307</v>
      </c>
      <c r="J4" s="49"/>
      <c r="K4" s="49"/>
      <c r="L4" s="49"/>
      <c r="M4" s="49"/>
      <c r="N4" s="49"/>
    </row>
    <row r="5" spans="1:14">
      <c r="A5" s="73" t="s">
        <v>20</v>
      </c>
      <c r="B5" s="49">
        <v>54</v>
      </c>
      <c r="D5" s="49">
        <v>24</v>
      </c>
      <c r="E5" s="49">
        <v>12</v>
      </c>
      <c r="F5" s="49">
        <v>0.1</v>
      </c>
      <c r="G5" s="49">
        <v>-0.1</v>
      </c>
      <c r="H5" s="157"/>
      <c r="I5" s="158"/>
      <c r="J5" s="49"/>
      <c r="K5" s="49"/>
      <c r="L5" s="49"/>
      <c r="M5" s="49"/>
      <c r="N5" s="49"/>
    </row>
    <row r="6" spans="1:14">
      <c r="A6" s="73" t="s">
        <v>526</v>
      </c>
      <c r="B6" s="49"/>
      <c r="D6" s="49"/>
      <c r="E6" s="49"/>
      <c r="F6" s="49"/>
      <c r="G6" s="49"/>
      <c r="H6" s="157" t="s">
        <v>653</v>
      </c>
      <c r="I6" s="158"/>
      <c r="J6" s="49"/>
      <c r="K6" s="49"/>
      <c r="L6" s="49"/>
      <c r="M6" s="49"/>
      <c r="N6" s="49"/>
    </row>
    <row r="7" spans="1:14">
      <c r="A7" s="73" t="s">
        <v>527</v>
      </c>
      <c r="B7" s="49">
        <v>66</v>
      </c>
      <c r="D7" s="49">
        <v>8</v>
      </c>
      <c r="E7" s="49">
        <v>4</v>
      </c>
      <c r="F7" s="49">
        <v>0.25</v>
      </c>
      <c r="G7" s="49">
        <v>-0.25</v>
      </c>
      <c r="H7" s="157"/>
      <c r="I7" s="158"/>
      <c r="J7" s="49"/>
      <c r="K7" s="49"/>
      <c r="L7" s="49"/>
      <c r="M7" s="49"/>
      <c r="N7" s="49"/>
    </row>
    <row r="8" spans="1:14">
      <c r="A8" s="73" t="s">
        <v>399</v>
      </c>
      <c r="B8" s="49">
        <v>26</v>
      </c>
      <c r="D8" s="49">
        <v>1</v>
      </c>
      <c r="E8" s="49">
        <v>1</v>
      </c>
      <c r="F8" s="49">
        <v>1</v>
      </c>
      <c r="G8" s="49">
        <v>-1</v>
      </c>
      <c r="H8" s="157"/>
      <c r="I8" s="158"/>
      <c r="J8" s="49"/>
      <c r="K8" s="49"/>
      <c r="L8" s="49"/>
      <c r="M8" s="49"/>
      <c r="N8" s="49"/>
    </row>
    <row r="9" spans="1:14">
      <c r="A9" s="73" t="s">
        <v>528</v>
      </c>
      <c r="B9" s="49">
        <v>26</v>
      </c>
      <c r="D9" s="49">
        <v>1</v>
      </c>
      <c r="E9" s="49">
        <v>1</v>
      </c>
      <c r="F9" s="49">
        <v>1</v>
      </c>
      <c r="G9" s="49">
        <v>-1</v>
      </c>
      <c r="H9" s="157"/>
      <c r="I9" s="158"/>
      <c r="J9" s="49"/>
      <c r="K9" s="49"/>
      <c r="L9" s="49"/>
      <c r="M9" s="49"/>
      <c r="N9" s="49"/>
    </row>
    <row r="10" spans="1:14">
      <c r="A10" s="73" t="s">
        <v>200</v>
      </c>
      <c r="B10" s="49"/>
      <c r="D10" s="49">
        <v>1</v>
      </c>
      <c r="E10" s="49">
        <v>1</v>
      </c>
      <c r="F10" s="49">
        <v>0.25</v>
      </c>
      <c r="G10" s="49">
        <v>-0.25</v>
      </c>
      <c r="I10" s="158"/>
      <c r="J10" s="49"/>
      <c r="K10" s="49"/>
      <c r="L10" s="49"/>
      <c r="M10" s="49"/>
      <c r="N10" s="49"/>
    </row>
    <row r="11" spans="1:14">
      <c r="A11" s="73" t="s">
        <v>218</v>
      </c>
      <c r="B11" s="49"/>
      <c r="D11" s="49">
        <v>1</v>
      </c>
      <c r="E11" s="49">
        <v>1</v>
      </c>
      <c r="F11" s="49">
        <v>0.25</v>
      </c>
      <c r="G11" s="49">
        <v>-0.25</v>
      </c>
      <c r="H11" s="157"/>
      <c r="I11" s="158"/>
      <c r="J11" s="49"/>
      <c r="K11" s="49"/>
      <c r="L11" s="49"/>
      <c r="M11" s="49"/>
      <c r="N11" s="49"/>
    </row>
    <row r="12" spans="1:14">
      <c r="A12" s="73" t="s">
        <v>1</v>
      </c>
      <c r="B12" s="49">
        <v>55</v>
      </c>
      <c r="D12" s="49">
        <v>168</v>
      </c>
      <c r="E12" s="49">
        <v>24</v>
      </c>
      <c r="F12" s="49">
        <v>0.01</v>
      </c>
      <c r="G12" s="49">
        <v>-0.01</v>
      </c>
      <c r="H12" s="157"/>
      <c r="I12" s="158"/>
      <c r="J12" s="231"/>
      <c r="L12" s="49"/>
      <c r="M12" s="49"/>
      <c r="N12" s="49"/>
    </row>
    <row r="13" spans="1:14">
      <c r="A13" s="73" t="s">
        <v>2</v>
      </c>
      <c r="B13" s="49"/>
      <c r="C13" s="49"/>
      <c r="D13" s="49"/>
      <c r="E13" s="49"/>
      <c r="F13" s="49">
        <v>1</v>
      </c>
      <c r="G13" s="49">
        <v>-1</v>
      </c>
      <c r="H13" s="49"/>
      <c r="I13" s="49"/>
      <c r="J13" s="49"/>
      <c r="K13" s="49"/>
      <c r="L13" s="49"/>
      <c r="M13" s="49"/>
      <c r="N13" s="49"/>
    </row>
    <row r="14" spans="1:14">
      <c r="A14" s="73" t="s">
        <v>529</v>
      </c>
      <c r="B14" s="49"/>
      <c r="C14" s="49"/>
      <c r="D14" s="49"/>
      <c r="E14" s="49"/>
      <c r="F14" s="49">
        <v>1</v>
      </c>
      <c r="G14" s="49">
        <v>-1</v>
      </c>
      <c r="H14" s="49"/>
      <c r="I14" s="49"/>
      <c r="J14" s="49"/>
      <c r="K14" s="49"/>
      <c r="L14" s="49"/>
      <c r="M14" s="49"/>
      <c r="N14" s="49"/>
    </row>
    <row r="15" spans="1:14">
      <c r="A15" s="73" t="s">
        <v>530</v>
      </c>
      <c r="B15" s="49"/>
      <c r="C15" s="49"/>
      <c r="D15" s="49"/>
      <c r="E15" s="49"/>
      <c r="F15" s="49">
        <v>1</v>
      </c>
      <c r="G15" s="49">
        <v>-1</v>
      </c>
      <c r="H15" s="49"/>
      <c r="I15" s="49"/>
      <c r="J15" s="49"/>
      <c r="K15" s="49"/>
      <c r="L15" s="49"/>
      <c r="M15" s="49"/>
      <c r="N15" s="49"/>
    </row>
    <row r="16" spans="1:14">
      <c r="A16" s="73" t="s">
        <v>531</v>
      </c>
      <c r="B16" s="49"/>
      <c r="C16" s="49"/>
      <c r="D16" s="49"/>
      <c r="E16" s="49"/>
      <c r="F16" s="49">
        <v>1</v>
      </c>
      <c r="G16" s="49">
        <v>-1</v>
      </c>
      <c r="H16" s="49"/>
      <c r="I16" s="49"/>
      <c r="J16" s="49"/>
      <c r="K16" s="49"/>
      <c r="L16" s="49"/>
      <c r="M16" s="49"/>
      <c r="N16" s="49"/>
    </row>
    <row r="17" spans="1:15">
      <c r="A17" s="73" t="s">
        <v>9</v>
      </c>
      <c r="B17" s="49"/>
      <c r="C17" s="49"/>
      <c r="D17" s="49"/>
      <c r="E17" s="49"/>
      <c r="F17" s="49"/>
      <c r="G17" s="49"/>
      <c r="H17" s="157"/>
      <c r="I17" s="157"/>
      <c r="J17" s="49"/>
      <c r="K17" s="49"/>
      <c r="L17" s="49"/>
      <c r="M17" s="49"/>
      <c r="N17" s="49"/>
    </row>
    <row r="18" spans="1:15">
      <c r="A18" s="73" t="s">
        <v>10</v>
      </c>
      <c r="B18" s="49">
        <v>54</v>
      </c>
      <c r="C18" s="49"/>
      <c r="D18" s="49">
        <v>8</v>
      </c>
      <c r="E18" s="49">
        <v>6</v>
      </c>
      <c r="F18" s="49">
        <v>0.05</v>
      </c>
      <c r="G18" s="49">
        <v>-0.05</v>
      </c>
      <c r="H18" s="157"/>
      <c r="I18" s="158"/>
      <c r="J18" s="49"/>
      <c r="K18" s="49"/>
      <c r="L18" s="49"/>
      <c r="M18" s="49"/>
      <c r="N18" s="49"/>
    </row>
    <row r="19" spans="1:15">
      <c r="A19" s="73" t="s">
        <v>532</v>
      </c>
      <c r="B19" s="49">
        <v>54</v>
      </c>
      <c r="C19" s="49"/>
      <c r="D19" s="49">
        <v>8</v>
      </c>
      <c r="E19" s="49">
        <v>6</v>
      </c>
      <c r="F19" s="49">
        <v>0.05</v>
      </c>
      <c r="G19" s="49">
        <v>-0.05</v>
      </c>
      <c r="H19" s="157"/>
      <c r="I19" s="158"/>
      <c r="J19" s="49"/>
      <c r="K19" s="49"/>
      <c r="L19" s="49"/>
      <c r="M19" s="49"/>
      <c r="N19" s="49"/>
    </row>
    <row r="20" spans="1:15">
      <c r="A20" s="73" t="s">
        <v>4</v>
      </c>
      <c r="B20" s="49"/>
      <c r="C20" s="49"/>
      <c r="D20" s="49"/>
      <c r="E20" s="49"/>
      <c r="F20" s="49"/>
      <c r="G20" s="49"/>
      <c r="H20" s="157"/>
      <c r="I20" s="158"/>
      <c r="J20" s="49"/>
      <c r="K20" s="49"/>
      <c r="L20" s="49"/>
      <c r="M20" s="49"/>
      <c r="N20" s="49"/>
    </row>
    <row r="21" spans="1:15">
      <c r="A21" s="73" t="s">
        <v>313</v>
      </c>
      <c r="B21" s="49"/>
      <c r="C21" s="49"/>
      <c r="D21" s="49"/>
      <c r="E21" s="49"/>
      <c r="F21" s="49"/>
      <c r="G21" s="49"/>
      <c r="H21" s="157"/>
      <c r="I21" s="158"/>
      <c r="J21" s="49"/>
      <c r="K21" s="49"/>
      <c r="L21" s="49"/>
      <c r="M21" s="49"/>
      <c r="N21" s="49"/>
    </row>
    <row r="22" spans="1:15">
      <c r="A22" s="73" t="s">
        <v>215</v>
      </c>
      <c r="B22" s="232">
        <v>0</v>
      </c>
      <c r="C22" s="232">
        <v>0</v>
      </c>
      <c r="D22" s="49">
        <v>1</v>
      </c>
      <c r="E22" s="49">
        <v>1</v>
      </c>
      <c r="F22" s="49">
        <v>1</v>
      </c>
      <c r="G22" s="49">
        <v>-1</v>
      </c>
      <c r="H22" s="157"/>
      <c r="I22" s="158"/>
      <c r="J22" s="49"/>
      <c r="K22" s="49"/>
      <c r="L22" s="49"/>
      <c r="M22" s="49"/>
      <c r="N22" s="49"/>
    </row>
    <row r="23" spans="1:15">
      <c r="A23" s="73" t="s">
        <v>216</v>
      </c>
      <c r="B23" s="232"/>
      <c r="C23" s="232"/>
      <c r="D23" s="49"/>
      <c r="E23" s="49"/>
      <c r="F23" s="49"/>
      <c r="G23" s="49"/>
      <c r="H23" s="157"/>
      <c r="I23" s="158"/>
      <c r="J23" s="49"/>
      <c r="K23" s="49"/>
      <c r="L23" s="49"/>
      <c r="M23" s="49"/>
      <c r="N23" s="49"/>
    </row>
    <row r="24" spans="1:15">
      <c r="A24" s="73" t="s">
        <v>310</v>
      </c>
      <c r="B24" s="232"/>
      <c r="C24" s="232"/>
      <c r="D24" s="49"/>
      <c r="E24" s="49"/>
      <c r="F24" s="49"/>
      <c r="G24" s="49"/>
      <c r="H24" s="49"/>
      <c r="I24" s="87"/>
      <c r="J24" s="49"/>
      <c r="K24" s="49"/>
      <c r="L24" s="49"/>
      <c r="M24" s="49"/>
      <c r="N24" s="49"/>
    </row>
    <row r="25" spans="1:15" ht="15.75" thickBot="1">
      <c r="A25" s="77" t="s">
        <v>268</v>
      </c>
      <c r="B25" s="232"/>
      <c r="C25" s="232"/>
      <c r="D25" s="49"/>
      <c r="E25" s="49"/>
      <c r="F25" s="49"/>
      <c r="G25" s="49"/>
      <c r="H25" s="49"/>
      <c r="I25" s="87"/>
      <c r="J25" s="49"/>
      <c r="K25" s="49"/>
      <c r="L25" s="49"/>
      <c r="M25" s="49"/>
      <c r="N25" s="49"/>
    </row>
    <row r="26" spans="1:15">
      <c r="A26" s="73" t="s">
        <v>650</v>
      </c>
      <c r="B26" s="232"/>
      <c r="C26" s="232"/>
      <c r="D26" s="49"/>
      <c r="E26" s="49"/>
      <c r="F26" s="49"/>
      <c r="G26" s="49"/>
      <c r="H26" s="49"/>
      <c r="I26" s="87"/>
      <c r="J26" s="49"/>
      <c r="K26" s="49"/>
      <c r="L26" s="49"/>
      <c r="M26" s="49"/>
      <c r="N26" s="49"/>
    </row>
    <row r="27" spans="1:15" ht="15.75" thickBot="1">
      <c r="A27" s="73" t="s">
        <v>393</v>
      </c>
      <c r="B27" s="89"/>
      <c r="C27" s="89"/>
      <c r="D27" s="78"/>
      <c r="E27" s="78"/>
      <c r="F27" s="78"/>
      <c r="G27" s="78"/>
      <c r="H27" s="78"/>
      <c r="I27" s="90"/>
      <c r="J27" s="49"/>
      <c r="K27" s="49"/>
      <c r="L27" s="49"/>
      <c r="M27" s="49"/>
      <c r="N27" s="49"/>
    </row>
    <row r="28" spans="1:15">
      <c r="B28" s="49"/>
      <c r="C28" s="49"/>
      <c r="D28" s="49"/>
      <c r="E28" s="49"/>
      <c r="F28" s="49"/>
      <c r="G28" s="49"/>
      <c r="H28" s="49"/>
      <c r="I28" s="49"/>
      <c r="J28" s="49"/>
      <c r="K28" s="49"/>
      <c r="L28" s="49"/>
      <c r="M28" s="49"/>
      <c r="N28" s="49"/>
      <c r="O28" s="49"/>
    </row>
    <row r="29" spans="1:15">
      <c r="A29" t="s">
        <v>270</v>
      </c>
      <c r="B29" s="49">
        <f>COLUMN(B3)-2</f>
        <v>0</v>
      </c>
      <c r="C29" s="49">
        <f t="shared" ref="C29:I29" si="0">COLUMN(C3)-2</f>
        <v>1</v>
      </c>
      <c r="D29" s="49">
        <f t="shared" si="0"/>
        <v>2</v>
      </c>
      <c r="E29" s="49">
        <f t="shared" si="0"/>
        <v>3</v>
      </c>
      <c r="F29" s="49">
        <f t="shared" si="0"/>
        <v>4</v>
      </c>
      <c r="G29" s="49">
        <f t="shared" si="0"/>
        <v>5</v>
      </c>
      <c r="H29" s="49">
        <f t="shared" si="0"/>
        <v>6</v>
      </c>
      <c r="I29" s="49">
        <f t="shared" si="0"/>
        <v>7</v>
      </c>
      <c r="J29" s="49"/>
      <c r="K29" s="49"/>
    </row>
    <row r="31" spans="1:15">
      <c r="A31" t="s">
        <v>283</v>
      </c>
      <c r="B31" t="s">
        <v>275</v>
      </c>
      <c r="C31" t="s">
        <v>282</v>
      </c>
    </row>
    <row r="32" spans="1:15">
      <c r="B32" t="s">
        <v>274</v>
      </c>
      <c r="C32" t="s">
        <v>273</v>
      </c>
    </row>
    <row r="33" spans="2:6">
      <c r="B33" t="s">
        <v>285</v>
      </c>
    </row>
    <row r="34" spans="2:6">
      <c r="B34" t="s">
        <v>289</v>
      </c>
      <c r="C34" t="s">
        <v>291</v>
      </c>
      <c r="E34" s="53"/>
      <c r="F34" s="53"/>
    </row>
    <row r="35" spans="2:6">
      <c r="B35" t="s">
        <v>290</v>
      </c>
      <c r="C35" t="s">
        <v>293</v>
      </c>
      <c r="E35" s="53"/>
      <c r="F35" s="53"/>
    </row>
    <row r="36" spans="2:6">
      <c r="B36" t="s">
        <v>271</v>
      </c>
      <c r="C36" t="s">
        <v>301</v>
      </c>
      <c r="D36" s="53"/>
    </row>
    <row r="37" spans="2:6">
      <c r="B37" t="s">
        <v>299</v>
      </c>
      <c r="C37" t="s">
        <v>302</v>
      </c>
      <c r="D37" s="53"/>
    </row>
    <row r="38" spans="2:6">
      <c r="B38" t="s">
        <v>272</v>
      </c>
      <c r="C38" t="s">
        <v>305</v>
      </c>
    </row>
    <row r="39" spans="2:6">
      <c r="B39" t="s">
        <v>304</v>
      </c>
      <c r="C39" t="s">
        <v>306</v>
      </c>
    </row>
    <row r="114" spans="10:10">
      <c r="J114" t="s">
        <v>390</v>
      </c>
    </row>
  </sheetData>
  <mergeCells count="3">
    <mergeCell ref="B2:C2"/>
    <mergeCell ref="D2:E2"/>
    <mergeCell ref="F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14"/>
  <sheetViews>
    <sheetView zoomScale="60" zoomScaleNormal="60" workbookViewId="0">
      <selection activeCell="P24" sqref="P24"/>
    </sheetView>
  </sheetViews>
  <sheetFormatPr defaultRowHeight="15"/>
  <cols>
    <col min="1" max="1" width="12.5703125" customWidth="1"/>
    <col min="2" max="2" width="16" customWidth="1"/>
    <col min="3" max="3" width="10.140625" customWidth="1"/>
    <col min="4" max="4" width="12.7109375" bestFit="1" customWidth="1"/>
    <col min="5" max="5" width="10" customWidth="1"/>
    <col min="6" max="6" width="12.7109375" customWidth="1"/>
    <col min="7" max="8" width="12.85546875" customWidth="1"/>
    <col min="9" max="9" width="18" bestFit="1" customWidth="1"/>
    <col min="10" max="10" width="16.5703125" customWidth="1"/>
    <col min="11" max="11" width="12.140625" customWidth="1"/>
    <col min="12" max="12" width="9.140625" customWidth="1"/>
  </cols>
  <sheetData>
    <row r="1" spans="1:14" ht="19.5" thickBot="1">
      <c r="A1" s="54" t="s">
        <v>286</v>
      </c>
    </row>
    <row r="2" spans="1:14" ht="31.5" customHeight="1">
      <c r="A2" s="68"/>
      <c r="B2" s="240" t="s">
        <v>287</v>
      </c>
      <c r="C2" s="240"/>
      <c r="D2" s="241" t="s">
        <v>288</v>
      </c>
      <c r="E2" s="241"/>
      <c r="F2" s="242" t="s">
        <v>298</v>
      </c>
      <c r="G2" s="242"/>
      <c r="H2" s="242"/>
      <c r="I2" s="243"/>
      <c r="J2" s="49"/>
      <c r="K2" s="84"/>
      <c r="L2" s="83"/>
    </row>
    <row r="3" spans="1:14">
      <c r="A3" s="91" t="s">
        <v>312</v>
      </c>
      <c r="B3" s="69" t="s">
        <v>274</v>
      </c>
      <c r="C3" s="69" t="s">
        <v>285</v>
      </c>
      <c r="D3" s="70" t="s">
        <v>289</v>
      </c>
      <c r="E3" s="70" t="s">
        <v>290</v>
      </c>
      <c r="F3" s="71" t="s">
        <v>271</v>
      </c>
      <c r="G3" s="71" t="s">
        <v>299</v>
      </c>
      <c r="H3" s="71" t="s">
        <v>272</v>
      </c>
      <c r="I3" s="72" t="s">
        <v>304</v>
      </c>
      <c r="J3" s="33"/>
      <c r="K3" s="49"/>
      <c r="L3" s="49"/>
      <c r="M3" s="49"/>
      <c r="N3" s="49"/>
    </row>
    <row r="4" spans="1:14" ht="15.75" thickBot="1">
      <c r="A4" s="73"/>
      <c r="B4" s="79" t="s">
        <v>300</v>
      </c>
      <c r="C4" s="79" t="s">
        <v>300</v>
      </c>
      <c r="D4" s="80" t="s">
        <v>292</v>
      </c>
      <c r="E4" s="80" t="s">
        <v>292</v>
      </c>
      <c r="F4" s="81" t="s">
        <v>307</v>
      </c>
      <c r="G4" s="81" t="s">
        <v>307</v>
      </c>
      <c r="H4" s="81" t="s">
        <v>307</v>
      </c>
      <c r="I4" s="82" t="s">
        <v>307</v>
      </c>
      <c r="J4" s="33"/>
      <c r="K4" s="49"/>
      <c r="L4" s="49"/>
      <c r="M4" s="49"/>
      <c r="N4" s="49"/>
    </row>
    <row r="5" spans="1:14">
      <c r="A5" s="73" t="str">
        <f>'site independent'!A5</f>
        <v>coal</v>
      </c>
      <c r="B5" s="153">
        <v>54</v>
      </c>
      <c r="C5" s="33"/>
      <c r="D5" s="33"/>
      <c r="E5" s="155">
        <v>8</v>
      </c>
      <c r="F5" s="153">
        <v>1</v>
      </c>
      <c r="G5" s="153">
        <v>-1</v>
      </c>
      <c r="H5" s="75">
        <v>0.33</v>
      </c>
      <c r="I5" s="76">
        <f>H5</f>
        <v>0.33</v>
      </c>
      <c r="J5" s="33"/>
      <c r="K5" s="49"/>
      <c r="L5" s="49"/>
      <c r="M5" s="49"/>
      <c r="N5" s="49"/>
    </row>
    <row r="6" spans="1:14">
      <c r="A6" s="73" t="str">
        <f>'site independent'!A6</f>
        <v>Natural gas</v>
      </c>
      <c r="B6" s="33"/>
      <c r="C6" s="33"/>
      <c r="D6" s="33"/>
      <c r="E6" s="33"/>
      <c r="F6" s="33">
        <v>0</v>
      </c>
      <c r="G6" s="33">
        <v>0</v>
      </c>
      <c r="H6" s="75" t="s">
        <v>653</v>
      </c>
      <c r="I6" s="76"/>
      <c r="J6" s="33"/>
      <c r="K6" s="49"/>
      <c r="L6" s="49"/>
      <c r="M6" s="49"/>
      <c r="N6" s="49"/>
    </row>
    <row r="7" spans="1:14">
      <c r="A7" s="73" t="str">
        <f>'site independent'!A7</f>
        <v>NG_CC</v>
      </c>
      <c r="B7" s="153">
        <v>66</v>
      </c>
      <c r="C7" s="33"/>
      <c r="D7" s="33"/>
      <c r="E7" s="153">
        <v>2</v>
      </c>
      <c r="F7" s="153">
        <v>1</v>
      </c>
      <c r="G7" s="153">
        <v>-1</v>
      </c>
      <c r="H7" s="75">
        <v>0.28999999999999998</v>
      </c>
      <c r="I7" s="76">
        <f>H7</f>
        <v>0.28999999999999998</v>
      </c>
      <c r="J7" s="33"/>
      <c r="K7" s="49"/>
      <c r="L7" s="49"/>
      <c r="M7" s="49"/>
      <c r="N7" s="49"/>
    </row>
    <row r="8" spans="1:14">
      <c r="A8" s="73" t="str">
        <f>'site independent'!A8</f>
        <v>NG_CT</v>
      </c>
      <c r="B8" s="153">
        <v>26</v>
      </c>
      <c r="C8" s="33"/>
      <c r="D8" s="33"/>
      <c r="E8" s="33"/>
      <c r="F8" s="33"/>
      <c r="G8" s="33"/>
      <c r="H8" s="75"/>
      <c r="I8" s="76"/>
      <c r="J8" s="33"/>
      <c r="K8" s="49"/>
      <c r="L8" s="49"/>
      <c r="M8" s="49"/>
      <c r="N8" s="49"/>
    </row>
    <row r="9" spans="1:14">
      <c r="A9" s="73" t="str">
        <f>'site independent'!A9</f>
        <v>NG_CG</v>
      </c>
      <c r="B9" s="153">
        <v>26</v>
      </c>
      <c r="C9" s="33"/>
      <c r="D9" s="33"/>
      <c r="E9" s="33"/>
      <c r="F9" s="33"/>
      <c r="G9" s="33"/>
      <c r="H9" s="75"/>
      <c r="I9" s="76"/>
      <c r="J9" s="33"/>
      <c r="K9" s="49"/>
      <c r="L9" s="49"/>
      <c r="M9" s="49"/>
      <c r="N9" s="49"/>
    </row>
    <row r="10" spans="1:14">
      <c r="A10" s="73" t="str">
        <f>'site independent'!A10</f>
        <v>diesel</v>
      </c>
      <c r="B10" s="33"/>
      <c r="C10" s="33"/>
      <c r="D10" s="33"/>
      <c r="E10" s="33"/>
      <c r="F10" s="33"/>
      <c r="G10" s="33"/>
      <c r="I10" s="76"/>
      <c r="J10" s="33"/>
      <c r="K10" s="49"/>
      <c r="L10" s="49"/>
      <c r="M10" s="49"/>
      <c r="N10" s="49"/>
    </row>
    <row r="11" spans="1:14">
      <c r="A11" s="73" t="str">
        <f>'site independent'!A11</f>
        <v>fuel oil</v>
      </c>
      <c r="B11" s="204"/>
      <c r="C11" s="204"/>
      <c r="D11" s="50"/>
      <c r="E11" s="50"/>
      <c r="F11" s="50"/>
      <c r="G11" s="50"/>
      <c r="H11" s="157"/>
      <c r="I11" s="158"/>
      <c r="J11" s="148" t="s">
        <v>382</v>
      </c>
      <c r="K11" s="144"/>
      <c r="L11" s="61"/>
      <c r="M11" s="146"/>
      <c r="N11" s="146"/>
    </row>
    <row r="12" spans="1:14">
      <c r="A12" s="73" t="str">
        <f>'site independent'!A12</f>
        <v>nuclear</v>
      </c>
      <c r="B12" s="154">
        <v>55</v>
      </c>
      <c r="C12" s="154"/>
      <c r="D12" s="33"/>
      <c r="E12" s="172">
        <v>10</v>
      </c>
      <c r="F12" s="156">
        <v>1</v>
      </c>
      <c r="G12" s="156">
        <v>-1</v>
      </c>
      <c r="H12" s="157">
        <v>0.05</v>
      </c>
      <c r="I12" s="158">
        <v>0.05</v>
      </c>
      <c r="J12" s="33"/>
      <c r="K12" s="49"/>
      <c r="L12" s="49"/>
      <c r="M12" s="49"/>
      <c r="N12" s="49"/>
    </row>
    <row r="13" spans="1:14">
      <c r="A13" s="73" t="str">
        <f>'site independent'!A13</f>
        <v>hydro</v>
      </c>
      <c r="B13" s="33"/>
      <c r="C13" s="33"/>
      <c r="D13" s="33"/>
      <c r="E13" s="33"/>
      <c r="F13" s="33"/>
      <c r="G13" s="33"/>
      <c r="H13" s="33"/>
      <c r="I13" s="33"/>
      <c r="J13" s="33"/>
      <c r="K13" s="49"/>
      <c r="L13" s="49"/>
      <c r="M13" s="49"/>
      <c r="N13" s="49"/>
    </row>
    <row r="14" spans="1:14">
      <c r="A14" s="73" t="str">
        <f>'site independent'!A14</f>
        <v>hydro_hourly</v>
      </c>
      <c r="B14" s="33"/>
      <c r="C14" s="33"/>
      <c r="D14" s="33"/>
      <c r="E14" s="33"/>
      <c r="F14" s="33"/>
      <c r="G14" s="33"/>
      <c r="H14" s="33"/>
      <c r="I14" s="33"/>
      <c r="J14" s="33"/>
      <c r="K14" s="49"/>
      <c r="L14" s="49"/>
      <c r="M14" s="49"/>
      <c r="N14" s="49"/>
    </row>
    <row r="15" spans="1:14">
      <c r="A15" s="73" t="str">
        <f>'site independent'!A15</f>
        <v>hydro_daily</v>
      </c>
      <c r="B15" s="33"/>
      <c r="C15" s="33"/>
      <c r="D15" s="33"/>
      <c r="E15" s="33"/>
      <c r="F15" s="33"/>
      <c r="G15" s="33"/>
      <c r="H15" s="33"/>
      <c r="I15" s="33"/>
      <c r="J15" s="33"/>
      <c r="K15" s="49"/>
      <c r="L15" s="49"/>
      <c r="M15" s="49"/>
      <c r="N15" s="49"/>
    </row>
    <row r="16" spans="1:14">
      <c r="A16" s="73" t="str">
        <f>'site independent'!A16</f>
        <v>hydro_monthly</v>
      </c>
      <c r="B16" s="33"/>
      <c r="C16" s="33"/>
      <c r="D16" s="33"/>
      <c r="E16" s="33"/>
      <c r="F16" s="33"/>
      <c r="G16" s="33"/>
      <c r="H16" s="33"/>
      <c r="I16" s="33"/>
      <c r="J16" s="33"/>
      <c r="K16" s="49"/>
      <c r="L16" s="49"/>
      <c r="M16" s="49"/>
      <c r="N16" s="49"/>
    </row>
    <row r="17" spans="1:15">
      <c r="A17" s="73" t="str">
        <f>'site independent'!A17</f>
        <v>geothermal</v>
      </c>
      <c r="B17" s="153"/>
      <c r="C17" s="33"/>
      <c r="D17" s="33"/>
      <c r="E17" s="153"/>
      <c r="F17" s="153"/>
      <c r="G17" s="153"/>
      <c r="H17" s="75"/>
      <c r="I17" s="75"/>
      <c r="J17" s="33"/>
      <c r="K17" s="49"/>
      <c r="L17" s="49"/>
      <c r="M17" s="49"/>
      <c r="N17" s="49"/>
    </row>
    <row r="18" spans="1:15">
      <c r="A18" s="73" t="str">
        <f>'site independent'!A18</f>
        <v>biomass</v>
      </c>
      <c r="B18" s="153">
        <v>54</v>
      </c>
      <c r="C18" s="33"/>
      <c r="D18" s="33"/>
      <c r="E18" s="153">
        <v>8</v>
      </c>
      <c r="F18" s="153">
        <v>1</v>
      </c>
      <c r="G18" s="153">
        <v>-1</v>
      </c>
      <c r="H18" s="75">
        <f>H9</f>
        <v>0</v>
      </c>
      <c r="I18" s="76">
        <f>H18</f>
        <v>0</v>
      </c>
      <c r="J18" s="33"/>
      <c r="K18" s="49"/>
      <c r="L18" s="49"/>
      <c r="M18" s="49"/>
      <c r="N18" s="49"/>
    </row>
    <row r="19" spans="1:15">
      <c r="A19" s="73" t="str">
        <f>'site independent'!A19</f>
        <v>biogas</v>
      </c>
      <c r="B19" s="153">
        <v>54</v>
      </c>
      <c r="C19" s="33"/>
      <c r="D19" s="33"/>
      <c r="E19" s="153">
        <v>8</v>
      </c>
      <c r="F19" s="153">
        <v>1</v>
      </c>
      <c r="G19" s="153">
        <v>-1</v>
      </c>
      <c r="H19" s="75">
        <f>H10</f>
        <v>0</v>
      </c>
      <c r="I19" s="76">
        <f>H19</f>
        <v>0</v>
      </c>
      <c r="J19" s="33"/>
      <c r="K19" s="49"/>
      <c r="L19" s="49"/>
      <c r="M19" s="49"/>
      <c r="N19" s="49"/>
    </row>
    <row r="20" spans="1:15">
      <c r="A20" s="73" t="s">
        <v>4</v>
      </c>
      <c r="B20" s="33"/>
      <c r="C20" s="33"/>
      <c r="D20" s="33"/>
      <c r="E20" s="33"/>
      <c r="F20" s="33"/>
      <c r="G20" s="33"/>
      <c r="H20" s="75"/>
      <c r="I20" s="76"/>
      <c r="J20" s="33"/>
      <c r="K20" s="49"/>
      <c r="L20" s="49"/>
      <c r="M20" s="49"/>
      <c r="N20" s="49"/>
    </row>
    <row r="21" spans="1:15">
      <c r="A21" s="73" t="s">
        <v>313</v>
      </c>
      <c r="B21" s="33"/>
      <c r="C21" s="33"/>
      <c r="D21" s="33"/>
      <c r="E21" s="33"/>
      <c r="F21" s="33"/>
      <c r="G21" s="33"/>
      <c r="H21" s="75"/>
      <c r="I21" s="76"/>
      <c r="J21" s="33"/>
      <c r="K21" s="49"/>
      <c r="L21" s="49"/>
      <c r="M21" s="49"/>
      <c r="N21" s="49"/>
    </row>
    <row r="22" spans="1:15">
      <c r="A22" s="73" t="s">
        <v>215</v>
      </c>
      <c r="B22" s="86">
        <v>0</v>
      </c>
      <c r="C22" s="86">
        <v>0</v>
      </c>
      <c r="D22" s="33">
        <v>1</v>
      </c>
      <c r="E22" s="33">
        <v>1</v>
      </c>
      <c r="F22" s="33">
        <v>1</v>
      </c>
      <c r="G22" s="33">
        <v>-1</v>
      </c>
      <c r="H22" s="75">
        <v>1</v>
      </c>
      <c r="I22" s="76">
        <v>-1</v>
      </c>
      <c r="J22" s="33"/>
      <c r="K22" s="49"/>
      <c r="L22" s="49"/>
      <c r="M22" s="49"/>
      <c r="N22" s="49"/>
    </row>
    <row r="23" spans="1:15">
      <c r="A23" s="73" t="s">
        <v>216</v>
      </c>
      <c r="B23" s="86"/>
      <c r="C23" s="86"/>
      <c r="D23" s="33"/>
      <c r="E23" s="33"/>
      <c r="F23" s="33"/>
      <c r="G23" s="33"/>
      <c r="H23" s="75"/>
      <c r="I23" s="76"/>
      <c r="J23" s="33"/>
      <c r="K23" s="49"/>
      <c r="L23" s="49"/>
      <c r="M23" s="49"/>
      <c r="N23" s="49"/>
    </row>
    <row r="24" spans="1:15">
      <c r="A24" s="73" t="s">
        <v>310</v>
      </c>
      <c r="B24" s="86"/>
      <c r="C24" s="86"/>
      <c r="D24" s="33"/>
      <c r="E24" s="33"/>
      <c r="F24" s="33"/>
      <c r="G24" s="33"/>
      <c r="H24" s="33"/>
      <c r="I24" s="87"/>
      <c r="J24" s="49"/>
      <c r="K24" s="49"/>
      <c r="L24" s="49"/>
      <c r="M24" s="49"/>
      <c r="N24" s="49"/>
    </row>
    <row r="25" spans="1:15" ht="15.75" thickBot="1">
      <c r="A25" s="77" t="s">
        <v>268</v>
      </c>
      <c r="B25" s="86"/>
      <c r="C25" s="86"/>
      <c r="D25" s="33"/>
      <c r="E25" s="33"/>
      <c r="F25" s="33"/>
      <c r="G25" s="33"/>
      <c r="H25" s="33"/>
      <c r="I25" s="87"/>
      <c r="J25" s="49"/>
      <c r="K25" s="49"/>
      <c r="L25" s="49"/>
      <c r="M25" s="49"/>
      <c r="N25" s="49"/>
    </row>
    <row r="26" spans="1:15">
      <c r="A26" s="73" t="s">
        <v>650</v>
      </c>
      <c r="B26" s="86"/>
      <c r="C26" s="86"/>
      <c r="D26" s="33"/>
      <c r="E26" s="33"/>
      <c r="F26" s="33"/>
      <c r="G26" s="33"/>
      <c r="H26" s="33"/>
      <c r="I26" s="87"/>
      <c r="J26" s="49"/>
      <c r="K26" s="49"/>
      <c r="L26" s="49"/>
      <c r="M26" s="49"/>
      <c r="N26" s="49"/>
    </row>
    <row r="27" spans="1:15" ht="15.75" thickBot="1">
      <c r="A27" s="152" t="s">
        <v>393</v>
      </c>
      <c r="B27" s="89"/>
      <c r="C27" s="89"/>
      <c r="D27" s="78"/>
      <c r="E27" s="78"/>
      <c r="F27" s="78"/>
      <c r="G27" s="78"/>
      <c r="H27" s="78"/>
      <c r="I27" s="90"/>
      <c r="J27" s="49"/>
      <c r="K27" s="49"/>
      <c r="L27" s="49"/>
      <c r="M27" s="49"/>
      <c r="N27" s="49"/>
    </row>
    <row r="28" spans="1:15">
      <c r="B28" s="49"/>
      <c r="C28" s="49"/>
      <c r="D28" s="49"/>
      <c r="E28" s="49"/>
      <c r="F28" s="49"/>
      <c r="G28" s="49"/>
      <c r="H28" s="49"/>
      <c r="I28" s="49"/>
      <c r="J28" s="49"/>
      <c r="K28" s="49"/>
      <c r="L28" s="49"/>
      <c r="M28" s="49"/>
      <c r="N28" s="49"/>
      <c r="O28" s="49"/>
    </row>
    <row r="29" spans="1:15">
      <c r="A29" t="s">
        <v>270</v>
      </c>
      <c r="B29" s="49">
        <f>COLUMN(B3)-2</f>
        <v>0</v>
      </c>
      <c r="C29" s="49">
        <f t="shared" ref="C29:I29" si="0">COLUMN(C3)-2</f>
        <v>1</v>
      </c>
      <c r="D29" s="49">
        <f t="shared" si="0"/>
        <v>2</v>
      </c>
      <c r="E29" s="49">
        <f t="shared" si="0"/>
        <v>3</v>
      </c>
      <c r="F29" s="49">
        <f t="shared" si="0"/>
        <v>4</v>
      </c>
      <c r="G29" s="49">
        <f t="shared" si="0"/>
        <v>5</v>
      </c>
      <c r="H29" s="49">
        <f t="shared" si="0"/>
        <v>6</v>
      </c>
      <c r="I29" s="49">
        <f t="shared" si="0"/>
        <v>7</v>
      </c>
      <c r="J29" s="49"/>
      <c r="K29" s="49"/>
    </row>
    <row r="31" spans="1:15">
      <c r="A31" t="s">
        <v>283</v>
      </c>
      <c r="B31" s="37" t="s">
        <v>275</v>
      </c>
      <c r="C31" s="37" t="s">
        <v>282</v>
      </c>
      <c r="D31" s="37"/>
      <c r="E31" s="37"/>
      <c r="F31" s="37"/>
    </row>
    <row r="32" spans="1:15">
      <c r="B32" s="37" t="s">
        <v>274</v>
      </c>
      <c r="C32" t="s">
        <v>273</v>
      </c>
    </row>
    <row r="33" spans="2:8">
      <c r="B33" t="s">
        <v>285</v>
      </c>
    </row>
    <row r="34" spans="2:8">
      <c r="B34" s="37" t="s">
        <v>289</v>
      </c>
      <c r="C34" t="s">
        <v>291</v>
      </c>
      <c r="E34" s="53"/>
      <c r="F34" s="53"/>
    </row>
    <row r="35" spans="2:8">
      <c r="B35" s="37" t="s">
        <v>290</v>
      </c>
      <c r="C35" t="s">
        <v>293</v>
      </c>
      <c r="E35" s="53"/>
      <c r="F35" s="53"/>
    </row>
    <row r="36" spans="2:8">
      <c r="B36" s="37" t="s">
        <v>271</v>
      </c>
      <c r="C36" s="37" t="s">
        <v>301</v>
      </c>
      <c r="D36" s="53"/>
    </row>
    <row r="37" spans="2:8">
      <c r="B37" s="37" t="s">
        <v>299</v>
      </c>
      <c r="C37" s="37" t="s">
        <v>302</v>
      </c>
      <c r="D37" s="53"/>
    </row>
    <row r="38" spans="2:8">
      <c r="B38" s="37" t="s">
        <v>272</v>
      </c>
      <c r="C38" s="37" t="s">
        <v>305</v>
      </c>
    </row>
    <row r="39" spans="2:8">
      <c r="B39" s="37" t="s">
        <v>304</v>
      </c>
      <c r="C39" s="37" t="s">
        <v>306</v>
      </c>
    </row>
    <row r="41" spans="2:8">
      <c r="B41" s="144" t="s">
        <v>383</v>
      </c>
      <c r="C41" s="144"/>
      <c r="D41" s="144"/>
      <c r="E41" s="144"/>
      <c r="F41" s="144"/>
      <c r="G41" s="144"/>
      <c r="H41" s="144"/>
    </row>
    <row r="42" spans="2:8">
      <c r="B42" t="s">
        <v>384</v>
      </c>
      <c r="C42" t="s">
        <v>385</v>
      </c>
    </row>
    <row r="43" spans="2:8">
      <c r="C43" t="s">
        <v>386</v>
      </c>
    </row>
    <row r="44" spans="2:8">
      <c r="B44" t="s">
        <v>387</v>
      </c>
    </row>
    <row r="46" spans="2:8">
      <c r="B46" t="s">
        <v>388</v>
      </c>
    </row>
    <row r="47" spans="2:8">
      <c r="B47" t="s">
        <v>389</v>
      </c>
    </row>
    <row r="114" spans="10:10">
      <c r="J114" t="s">
        <v>390</v>
      </c>
    </row>
  </sheetData>
  <mergeCells count="3">
    <mergeCell ref="B2:C2"/>
    <mergeCell ref="D2:E2"/>
    <mergeCell ref="F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8"/>
  <sheetViews>
    <sheetView topLeftCell="A7" zoomScale="70" zoomScaleNormal="70" workbookViewId="0">
      <selection activeCell="A5" sqref="A5"/>
    </sheetView>
  </sheetViews>
  <sheetFormatPr defaultRowHeight="15"/>
  <cols>
    <col min="1" max="1" width="14" customWidth="1"/>
    <col min="2" max="2" width="40" customWidth="1"/>
    <col min="3" max="3" width="11.42578125" customWidth="1"/>
    <col min="4" max="4" width="11.28515625" customWidth="1"/>
    <col min="5" max="5" width="9.42578125" customWidth="1"/>
    <col min="6" max="6" width="18.5703125" bestFit="1" customWidth="1"/>
    <col min="7" max="7" width="2.28515625" customWidth="1"/>
    <col min="8" max="8" width="19.28515625" customWidth="1"/>
    <col min="10" max="10" width="22.85546875" bestFit="1" customWidth="1"/>
    <col min="11" max="11" width="21.42578125" customWidth="1"/>
    <col min="12" max="12" width="14.28515625" bestFit="1" customWidth="1"/>
    <col min="13" max="13" width="4.42578125" customWidth="1"/>
    <col min="14" max="14" width="25.42578125" bestFit="1" customWidth="1"/>
    <col min="16" max="16" width="13.28515625" customWidth="1"/>
  </cols>
  <sheetData>
    <row r="1" spans="1:18" ht="19.5" thickBot="1">
      <c r="A1" s="54" t="s">
        <v>318</v>
      </c>
      <c r="B1" s="54"/>
      <c r="M1" s="16"/>
      <c r="N1" s="16"/>
      <c r="O1" s="16"/>
      <c r="P1" s="16"/>
      <c r="Q1" s="16"/>
      <c r="R1" s="16"/>
    </row>
    <row r="2" spans="1:18" ht="36.75" customHeight="1">
      <c r="A2" s="68"/>
      <c r="B2" s="116"/>
      <c r="C2" s="95" t="s">
        <v>319</v>
      </c>
      <c r="D2" s="96" t="s">
        <v>320</v>
      </c>
      <c r="E2" s="244" t="s">
        <v>322</v>
      </c>
      <c r="F2" s="245"/>
      <c r="H2" s="247" t="s">
        <v>321</v>
      </c>
      <c r="I2" s="248"/>
      <c r="J2" s="248"/>
      <c r="K2" s="248"/>
      <c r="L2" s="249"/>
      <c r="M2" s="16"/>
      <c r="N2" s="246" t="s">
        <v>335</v>
      </c>
      <c r="O2" s="246"/>
      <c r="P2" s="246"/>
      <c r="Q2" s="16"/>
      <c r="R2" s="16"/>
    </row>
    <row r="3" spans="1:18" ht="48.75">
      <c r="A3" s="91" t="s">
        <v>312</v>
      </c>
      <c r="B3" s="117" t="s">
        <v>332</v>
      </c>
      <c r="C3" s="104" t="str">
        <f>'site independent'!W3</f>
        <v>Max capacity value</v>
      </c>
      <c r="D3" s="105" t="str">
        <f>'site independent'!V3</f>
        <v>Operating reserve coeff.</v>
      </c>
      <c r="E3" s="108" t="str">
        <f>'site independent'!X3</f>
        <v>Total overnight cost in 2014</v>
      </c>
      <c r="F3" s="109" t="s">
        <v>325</v>
      </c>
      <c r="H3" s="124" t="s">
        <v>327</v>
      </c>
      <c r="I3" s="106" t="s">
        <v>328</v>
      </c>
      <c r="J3" s="106" t="s">
        <v>333</v>
      </c>
      <c r="K3" s="106" t="s">
        <v>329</v>
      </c>
      <c r="L3" s="125" t="s">
        <v>346</v>
      </c>
      <c r="M3" s="16"/>
      <c r="N3" s="107" t="s">
        <v>327</v>
      </c>
      <c r="O3" s="107" t="s">
        <v>336</v>
      </c>
      <c r="P3" s="107" t="s">
        <v>337</v>
      </c>
      <c r="Q3" s="107" t="s">
        <v>338</v>
      </c>
      <c r="R3" s="107" t="s">
        <v>339</v>
      </c>
    </row>
    <row r="4" spans="1:18" ht="35.25" thickBot="1">
      <c r="A4" s="73"/>
      <c r="B4" s="118" t="s">
        <v>25</v>
      </c>
      <c r="C4" s="110" t="s">
        <v>324</v>
      </c>
      <c r="D4" s="111" t="s">
        <v>323</v>
      </c>
      <c r="E4" s="114" t="s">
        <v>344</v>
      </c>
      <c r="F4" s="115" t="s">
        <v>326</v>
      </c>
      <c r="H4" s="126"/>
      <c r="I4" s="112" t="s">
        <v>25</v>
      </c>
      <c r="J4" s="112" t="s">
        <v>334</v>
      </c>
      <c r="K4" s="112" t="s">
        <v>25</v>
      </c>
      <c r="L4" s="127"/>
      <c r="M4" s="16"/>
      <c r="N4" s="113"/>
      <c r="O4" s="113" t="s">
        <v>25</v>
      </c>
      <c r="P4" s="113" t="s">
        <v>25</v>
      </c>
      <c r="Q4" s="113" t="s">
        <v>25</v>
      </c>
      <c r="R4" s="113" t="s">
        <v>25</v>
      </c>
    </row>
    <row r="5" spans="1:18">
      <c r="A5" s="73" t="str">
        <f>'site independent'!A5</f>
        <v>coal</v>
      </c>
      <c r="B5" s="166">
        <f>SUMIF('non-vre plants'!C2:C2,A5,'non-vre plants'!F2:F2)</f>
        <v>0</v>
      </c>
      <c r="C5" s="74">
        <f>INDEX('site independent'!$A$3:$W$47, MATCH($A5, 'site independent'!$A$3:$A$47, 0), MATCH('scenario analysis'!C$3, 'site independent'!$A$3:$W$3, 0))</f>
        <v>1</v>
      </c>
      <c r="D5" s="74">
        <f>INDEX('site independent'!$A$3:$W$47, MATCH($A5, 'site independent'!$A$3:$A$47, 0), MATCH('scenario analysis'!D$3, 'site independent'!$A$3:$W$3, 0))</f>
        <v>0.53</v>
      </c>
      <c r="E5" s="74">
        <f>INDEX('site independent'!$A$3:$X$47, MATCH($A5, 'site independent'!$A$3:$A$47, 0), MATCH('scenario analysis'!E$3, 'site independent'!$A$3:$X$3, 0))</f>
        <v>2917</v>
      </c>
      <c r="F5" s="135">
        <f>E5*1000*B5</f>
        <v>0</v>
      </c>
      <c r="H5" s="120" t="s">
        <v>398</v>
      </c>
      <c r="I5" s="166">
        <f>SUMIF('non-vre plants'!J2:J2,H5,'non-vre plants'!M2:M2)</f>
        <v>0</v>
      </c>
      <c r="J5" s="33">
        <f>SUMIF('demand centres'!$C$1:$C$50,'scenario analysis'!H5,'demand centres'!$B$1:$B$50)</f>
        <v>0</v>
      </c>
      <c r="K5" s="33" t="e">
        <f t="array" ref="K5">SUMIF('existing transmission'!#REF!,H5, 'existing transmission'!$G$2:$G$52)+SUMIF('existing transmission'!#REF!,H5, 'existing transmission'!$G$2:$G$52)</f>
        <v>#REF!</v>
      </c>
      <c r="L5" s="87" t="e">
        <f t="array" ref="L5">SUMIF('existing transmission'!#REF!,H5, 'existing transmission'!$K$2:$K$52)+SUMIF('existing transmission'!#REF!,H5, 'existing transmission'!$K$2:$K$52)</f>
        <v>#REF!</v>
      </c>
      <c r="M5" s="136"/>
      <c r="N5" s="142" t="str">
        <f t="array" ref="N5">IFERROR(INDEX(#REF!, MATCH(0, COUNTIF($N$4:N4,#REF!), 0)), "")</f>
        <v/>
      </c>
      <c r="O5" s="128">
        <f>SUMIFS('vre plants'!$F$2:$F$19, 'vre plants'!$G$2:$G$19, 'scenario analysis'!N5, 'vre plants'!$C$2:$C$19, "wind_onshore") +SUMIFS('vre plants'!$F$2:$F$19, 'vre plants'!$G$2:$G$19, 'scenario analysis'!N5, 'vre plants'!$C$2:$C$19,"wind_offshore")</f>
        <v>0</v>
      </c>
      <c r="P5" s="129">
        <f>SUMIFS('vre plants'!$F$2:$F$19,'vre plants'!$G$2:$G$19,'scenario analysis'!N5,'vre plants'!$C$2:$C$19,"multi c-Si")</f>
        <v>0</v>
      </c>
      <c r="Q5" s="33">
        <f>SUMIFS('vre plants'!$F$2:$F$19, 'vre plants'!$G$2:$G$19, 'scenario analysis'!N5, 'vre plants'!$C$2:$C$19, "mono c-Si")</f>
        <v>0</v>
      </c>
      <c r="R5" s="33">
        <f>SUMIFS('vre plants'!$F$2:$F$19,'vre plants'!$G$2:$G$19,'scenario analysis'!N5,'vre plants'!$C$2:$C$19,"thin film")</f>
        <v>0</v>
      </c>
    </row>
    <row r="6" spans="1:18">
      <c r="A6" s="73" t="str">
        <f>'site independent'!A6</f>
        <v>Natural gas</v>
      </c>
      <c r="B6" s="166">
        <f>SUMIF('non-vre plants'!C2:C2,A6,'non-vre plants'!F2:F2)</f>
        <v>0</v>
      </c>
      <c r="C6" s="74">
        <f>INDEX('site independent'!$A$3:$W$47, MATCH($A6, 'site independent'!$A$3:$A$47, 0), MATCH('scenario analysis'!C$3, 'site independent'!$A$3:$W$3, 0))</f>
        <v>1</v>
      </c>
      <c r="D6" s="74">
        <f>INDEX('site independent'!$A$3:$W$47, MATCH($A6, 'site independent'!$A$3:$A$47, 0), MATCH('scenario analysis'!D$3, 'site independent'!$A$3:$W$3, 0))</f>
        <v>0</v>
      </c>
      <c r="E6" s="74">
        <f>INDEX('site independent'!$A$3:$X$47, MATCH($A6, 'site independent'!$A$3:$A$47, 0), MATCH('scenario analysis'!E$3, 'site independent'!$A$3:$X$3, 0))</f>
        <v>0</v>
      </c>
      <c r="F6" s="135">
        <f t="shared" ref="F6:F24" si="0">E6*1000*B6</f>
        <v>0</v>
      </c>
      <c r="H6" s="120" t="str">
        <f t="array" ref="H6">IFERROR(INDEX(#REF!, MATCH(0, COUNTIF($H$4:H5,#REF!), 0)), "")</f>
        <v/>
      </c>
      <c r="I6" s="166" t="e">
        <f>SUMIF('non-vre plants'!#REF!,H6,'non-vre plants'!#REF!)</f>
        <v>#REF!</v>
      </c>
      <c r="J6" s="33">
        <f>SUMIF('demand centres'!$C$1:$C$50,'scenario analysis'!H6,'demand centres'!$B$1:$B$50)</f>
        <v>0</v>
      </c>
      <c r="K6" s="33" t="e">
        <f t="array" ref="K6">SUMIF('existing transmission'!#REF!,H6, 'existing transmission'!$G$2:$G$52)+SUMIF('existing transmission'!#REF!,H6, 'existing transmission'!$G$2:$G$52)</f>
        <v>#REF!</v>
      </c>
      <c r="L6" s="87" t="e">
        <f t="array" ref="L6">SUMIF('existing transmission'!#REF!,H6, 'existing transmission'!$K$2:$K$52)+SUMIF('existing transmission'!#REF!,H6, 'existing transmission'!$K$2:$K$52)</f>
        <v>#REF!</v>
      </c>
      <c r="M6" s="136"/>
      <c r="N6" s="142" t="str">
        <f t="array" ref="N6">IFERROR(INDEX(#REF!, MATCH(0, COUNTIF($N$4:N5,#REF!), 0)), "")</f>
        <v/>
      </c>
      <c r="O6" s="128">
        <f>SUMIFS('vre plants'!$F$2:$F$19, 'vre plants'!$G$2:$G$19, 'scenario analysis'!N6, 'vre plants'!$C$2:$C$19, "wind_onshore") +SUMIFS('vre plants'!$F$2:$F$19, 'vre plants'!$G$2:$G$19, 'scenario analysis'!N6, 'vre plants'!$C$2:$C$19,"wind_offshore")</f>
        <v>0</v>
      </c>
      <c r="P6" s="129">
        <f>SUMIFS('vre plants'!$F$2:$F$19,'vre plants'!$G$2:$G$19,'scenario analysis'!N6,'vre plants'!$C$2:$C$19,"multi c-Si")</f>
        <v>0</v>
      </c>
      <c r="Q6" s="33">
        <f>SUMIFS('vre plants'!$F$2:$F$19, 'vre plants'!$G$2:$G$19, 'scenario analysis'!N6, 'vre plants'!$C$2:$C$19, "mono c-Si")</f>
        <v>0</v>
      </c>
      <c r="R6" s="33">
        <f>SUMIFS('vre plants'!$F$2:$F$19,'vre plants'!$G$2:$G$19,'scenario analysis'!N6,'vre plants'!$C$2:$C$19,"thin film")</f>
        <v>0</v>
      </c>
    </row>
    <row r="7" spans="1:18">
      <c r="A7" s="73" t="str">
        <f>'site independent'!A7</f>
        <v>NG_CC</v>
      </c>
      <c r="B7" s="166">
        <f>SUMIF('non-vre plants'!C2:C2,A7,'non-vre plants'!F2:F2)</f>
        <v>0</v>
      </c>
      <c r="C7" s="74">
        <f>INDEX('site independent'!$A$3:$W$47, MATCH($A7, 'site independent'!$A$3:$A$47, 0), MATCH('scenario analysis'!C$3, 'site independent'!$A$3:$W$3, 0))</f>
        <v>1</v>
      </c>
      <c r="D7" s="74">
        <f>INDEX('site independent'!$A$3:$W$47, MATCH($A7, 'site independent'!$A$3:$A$47, 0), MATCH('scenario analysis'!D$3, 'site independent'!$A$3:$W$3, 0))</f>
        <v>0.53</v>
      </c>
      <c r="E7" s="74">
        <f>INDEX('site independent'!$A$3:$X$47, MATCH($A7, 'site independent'!$A$3:$A$47, 0), MATCH('scenario analysis'!E$3, 'site independent'!$A$3:$X$3, 0))</f>
        <v>671</v>
      </c>
      <c r="F7" s="135">
        <f>E7*1000*B7</f>
        <v>0</v>
      </c>
      <c r="H7" s="120" t="str">
        <f t="array" ref="H7">IFERROR(INDEX(#REF!, MATCH(0, COUNTIF($H$4:H6,#REF!), 0)), "")</f>
        <v/>
      </c>
      <c r="I7" s="33">
        <f>SUMIFS('vre plants'!$F$2:$F$31,'vre plants'!$G$2:$G$31,'scenario analysis'!H7)+SUMIFS(storage!$E$2:$E$75,storage!$I$2:$I$75,'scenario analysis'!H7)+SUMIFS(EV_aggregator!$E$2:$E$75,EV_aggregator!$I$2:$I$75,'scenario analysis'!H7)+SUMIF('non-vre plants'!G2:G2,H7,'non-vre plants'!F2:F2)</f>
        <v>0</v>
      </c>
      <c r="J7" s="33">
        <f>SUMIF('demand centres'!$C$1:$C$50,'scenario analysis'!H7,'demand centres'!$B$1:$B$50)</f>
        <v>0</v>
      </c>
      <c r="K7" s="33" t="e">
        <f t="array" ref="K7">SUMIF('existing transmission'!#REF!,H7, 'existing transmission'!$G$2:$G$52)+SUMIF('existing transmission'!#REF!,H7, 'existing transmission'!$G$2:$G$52)</f>
        <v>#REF!</v>
      </c>
      <c r="L7" s="87" t="e">
        <f t="array" ref="L7">SUMIF('existing transmission'!#REF!,H7, 'existing transmission'!$K$2:$K$52)+SUMIF('existing transmission'!#REF!,H7, 'existing transmission'!$K$2:$K$52)</f>
        <v>#REF!</v>
      </c>
      <c r="M7" s="136"/>
      <c r="N7" s="142" t="str">
        <f t="array" ref="N7">IFERROR(INDEX(#REF!, MATCH(0, COUNTIF($N$4:N6,#REF!), 0)), "")</f>
        <v/>
      </c>
      <c r="O7" s="128">
        <f>SUMIFS('vre plants'!$F$2:$F$19, 'vre plants'!$G$2:$G$19, 'scenario analysis'!N7, 'vre plants'!$C$2:$C$19, "wind_onshore") +SUMIFS('vre plants'!$F$2:$F$19, 'vre plants'!$G$2:$G$19, 'scenario analysis'!N7, 'vre plants'!$C$2:$C$19,"wind_offshore")</f>
        <v>0</v>
      </c>
      <c r="P7" s="129">
        <f>SUMIFS('vre plants'!$F$2:$F$19,'vre plants'!$G$2:$G$19,'scenario analysis'!N7,'vre plants'!$C$2:$C$19,"multi c-Si")</f>
        <v>0</v>
      </c>
      <c r="Q7" s="33">
        <f>SUMIFS('vre plants'!$F$2:$F$19, 'vre plants'!$G$2:$G$19, 'scenario analysis'!N7, 'vre plants'!$C$2:$C$19, "mono c-Si")</f>
        <v>0</v>
      </c>
      <c r="R7" s="33">
        <f>SUMIFS('vre plants'!$F$2:$F$19,'vre plants'!$G$2:$G$19,'scenario analysis'!N7,'vre plants'!$C$2:$C$19,"thin film")</f>
        <v>0</v>
      </c>
    </row>
    <row r="8" spans="1:18">
      <c r="A8" s="73" t="str">
        <f>'site independent'!A8</f>
        <v>NG_CT</v>
      </c>
      <c r="B8" s="166">
        <f>SUMIF('non-vre plants'!C2:C2,A8,'non-vre plants'!F2:F2)</f>
        <v>0</v>
      </c>
      <c r="C8" s="74">
        <f>INDEX('site independent'!$A$3:$W$47, MATCH($A8, 'site independent'!$A$3:$A$47, 0), MATCH('scenario analysis'!C$3, 'site independent'!$A$3:$W$3, 0))</f>
        <v>1</v>
      </c>
      <c r="D8" s="74">
        <f>INDEX('site independent'!$A$3:$W$47, MATCH($A8, 'site independent'!$A$3:$A$47, 0), MATCH('scenario analysis'!D$3, 'site independent'!$A$3:$W$3, 0))</f>
        <v>1</v>
      </c>
      <c r="E8" s="74">
        <f>INDEX('site independent'!$A$3:$X$47, MATCH($A8, 'site independent'!$A$3:$A$47, 0), MATCH('scenario analysis'!E$3, 'site independent'!$A$3:$X$3, 0))</f>
        <v>968</v>
      </c>
      <c r="F8" s="135">
        <f t="shared" si="0"/>
        <v>0</v>
      </c>
      <c r="H8" s="120" t="str">
        <f t="array" ref="H8">IFERROR(INDEX(#REF!, MATCH(0, COUNTIF($H$4:H7,#REF!), 0)), "")</f>
        <v/>
      </c>
      <c r="I8" s="33">
        <f>SUMIFS('vre plants'!$F$2:$F$31,'vre plants'!$G$2:$G$31,'scenario analysis'!H8)+SUMIFS(storage!$E$2:$E$75,storage!$I$2:$I$75,'scenario analysis'!H8)+SUMIFS(EV_aggregator!$E$2:$E$75,EV_aggregator!$I$2:$I$75,'scenario analysis'!H8)+SUMIF('non-vre plants'!G2:G2,H8,'non-vre plants'!F2:F2)</f>
        <v>0</v>
      </c>
      <c r="J8" s="33">
        <f>SUMIF('demand centres'!$C$1:$C$50,'scenario analysis'!H8,'demand centres'!$B$1:$B$50)</f>
        <v>0</v>
      </c>
      <c r="K8" s="33" t="e">
        <f t="array" ref="K8">SUMIF('existing transmission'!#REF!,H8, 'existing transmission'!$G$2:$G$52)+SUMIF('existing transmission'!#REF!,H8, 'existing transmission'!$G$2:$G$52)</f>
        <v>#REF!</v>
      </c>
      <c r="L8" s="87" t="e">
        <f t="array" ref="L8">SUMIF('existing transmission'!#REF!,H8, 'existing transmission'!$K$2:$K$52)+SUMIF('existing transmission'!#REF!,H8, 'existing transmission'!$K$2:$K$52)</f>
        <v>#REF!</v>
      </c>
      <c r="M8" s="33"/>
      <c r="N8" s="142" t="str">
        <f t="array" ref="N8">IFERROR(INDEX(#REF!, MATCH(0, COUNTIF($N$4:N7,#REF!), 0)), "")</f>
        <v/>
      </c>
      <c r="O8" s="128">
        <f>SUMIFS('vre plants'!$F$2:$F$19, 'vre plants'!$G$2:$G$19, 'scenario analysis'!N8, 'vre plants'!$C$2:$C$19, "wind_onshore") +SUMIFS('vre plants'!$F$2:$F$19, 'vre plants'!$G$2:$G$19, 'scenario analysis'!N8, 'vre plants'!$C$2:$C$19,"wind_offshore")</f>
        <v>0</v>
      </c>
      <c r="P8" s="129">
        <f>SUMIFS('vre plants'!$F$2:$F$19,'vre plants'!$G$2:$G$19,'scenario analysis'!N8,'vre plants'!$C$2:$C$19,"multi c-Si")</f>
        <v>0</v>
      </c>
      <c r="Q8" s="33">
        <f>SUMIFS('vre plants'!$F$2:$F$19, 'vre plants'!$G$2:$G$19, 'scenario analysis'!N8, 'vre plants'!$C$2:$C$19, "mono c-Si")</f>
        <v>0</v>
      </c>
      <c r="R8" s="33">
        <f>SUMIFS('vre plants'!$F$2:$F$19,'vre plants'!$G$2:$G$19,'scenario analysis'!N8,'vre plants'!$C$2:$C$19,"thin film")</f>
        <v>0</v>
      </c>
    </row>
    <row r="9" spans="1:18">
      <c r="A9" s="73" t="str">
        <f>'site independent'!A9</f>
        <v>NG_CG</v>
      </c>
      <c r="B9" s="166">
        <f>SUMIF('non-vre plants'!C2:C2,A9,'non-vre plants'!F2:F2)</f>
        <v>0</v>
      </c>
      <c r="C9" s="74">
        <f>INDEX('site independent'!$A$3:$W$47, MATCH($A9, 'site independent'!$A$3:$A$47, 0), MATCH('scenario analysis'!C$3, 'site independent'!$A$3:$W$3, 0))</f>
        <v>1</v>
      </c>
      <c r="D9" s="74">
        <f>INDEX('site independent'!$A$3:$W$47, MATCH($A9, 'site independent'!$A$3:$A$47, 0), MATCH('scenario analysis'!D$3, 'site independent'!$A$3:$W$3, 0))</f>
        <v>1</v>
      </c>
      <c r="E9" s="74">
        <f>INDEX('site independent'!$A$3:$X$47, MATCH($A9, 'site independent'!$A$3:$A$47, 0), MATCH('scenario analysis'!E$3, 'site independent'!$A$3:$X$3, 0))</f>
        <v>968</v>
      </c>
      <c r="F9" s="135">
        <f t="shared" si="0"/>
        <v>0</v>
      </c>
      <c r="H9" s="120" t="str">
        <f t="array" ref="H9">IFERROR(INDEX(#REF!, MATCH(0, COUNTIF($H$4:H8,#REF!), 0)), "")</f>
        <v/>
      </c>
      <c r="I9" s="33">
        <f>SUMIFS('vre plants'!$F$2:$F$31,'vre plants'!$G$2:$G$31,'scenario analysis'!H9)+SUMIFS(storage!$E$2:$E$75,storage!$I$2:$I$75,'scenario analysis'!H9)+SUMIFS(EV_aggregator!$E$2:$E$75,EV_aggregator!$I$2:$I$75,'scenario analysis'!H9)+SUMIF('non-vre plants'!G2:G2,H9,'non-vre plants'!F2:F2)</f>
        <v>0</v>
      </c>
      <c r="J9" s="33">
        <f>SUMIF('demand centres'!$C$1:$C$50,'scenario analysis'!H9,'demand centres'!$B$1:$B$50)</f>
        <v>0</v>
      </c>
      <c r="K9" s="33" t="e">
        <f t="array" ref="K9">SUMIF('existing transmission'!#REF!,H9, 'existing transmission'!$G$2:$G$52)+SUMIF('existing transmission'!#REF!,H9, 'existing transmission'!$G$2:$G$52)</f>
        <v>#REF!</v>
      </c>
      <c r="L9" s="87" t="e">
        <f t="array" ref="L9">SUMIF('existing transmission'!#REF!,H9, 'existing transmission'!$K$2:$K$52)+SUMIF('existing transmission'!#REF!,H9, 'existing transmission'!$K$2:$K$52)</f>
        <v>#REF!</v>
      </c>
      <c r="M9" s="33"/>
      <c r="N9" s="142" t="str">
        <f t="array" ref="N9">IFERROR(INDEX(#REF!, MATCH(0, COUNTIF($N$4:N8,#REF!), 0)), "")</f>
        <v/>
      </c>
      <c r="O9" s="128">
        <f>SUMIFS('vre plants'!$F$2:$F$19, 'vre plants'!$G$2:$G$19, 'scenario analysis'!N9, 'vre plants'!$C$2:$C$19, "wind_onshore") +SUMIFS('vre plants'!$F$2:$F$19, 'vre plants'!$G$2:$G$19, 'scenario analysis'!N9, 'vre plants'!$C$2:$C$19,"wind_offshore")</f>
        <v>0</v>
      </c>
      <c r="P9" s="129">
        <f>SUMIFS('vre plants'!$F$2:$F$19,'vre plants'!$G$2:$G$19,'scenario analysis'!N9,'vre plants'!$C$2:$C$19,"multi c-Si")</f>
        <v>0</v>
      </c>
      <c r="Q9" s="33">
        <f>SUMIFS('vre plants'!$F$2:$F$19, 'vre plants'!$G$2:$G$19, 'scenario analysis'!N9, 'vre plants'!$C$2:$C$19, "mono c-Si")</f>
        <v>0</v>
      </c>
      <c r="R9" s="33">
        <f>SUMIFS('vre plants'!$F$2:$F$19,'vre plants'!$G$2:$G$19,'scenario analysis'!N9,'vre plants'!$C$2:$C$19,"thin film")</f>
        <v>0</v>
      </c>
    </row>
    <row r="10" spans="1:18">
      <c r="A10" s="73" t="str">
        <f>'site independent'!A10</f>
        <v>diesel</v>
      </c>
      <c r="B10" s="166">
        <f>SUMIF('non-vre plants'!C2:C2,A10,'non-vre plants'!F2:F2)</f>
        <v>0</v>
      </c>
      <c r="C10" s="74">
        <f>INDEX('site independent'!$A$3:$W$47, MATCH($A10, 'site independent'!$A$3:$A$47, 0), MATCH('scenario analysis'!C$3, 'site independent'!$A$3:$W$3, 0))</f>
        <v>1</v>
      </c>
      <c r="D10" s="74">
        <f>INDEX('site independent'!$A$3:$W$47, MATCH($A10, 'site independent'!$A$3:$A$47, 0), MATCH('scenario analysis'!D$3, 'site independent'!$A$3:$W$3, 0))</f>
        <v>0.86</v>
      </c>
      <c r="E10" s="74">
        <f>INDEX('site independent'!$A$3:$X$47, MATCH($A10, 'site independent'!$A$3:$A$47, 0), MATCH('scenario analysis'!E$3, 'site independent'!$A$3:$X$3, 0))</f>
        <v>0</v>
      </c>
      <c r="F10" s="135">
        <f t="shared" si="0"/>
        <v>0</v>
      </c>
      <c r="H10" s="120" t="str">
        <f t="array" ref="H10">IFERROR(INDEX(#REF!, MATCH(0, COUNTIF($H$4:H9,#REF!), 0)), "")</f>
        <v/>
      </c>
      <c r="I10" s="166" t="e">
        <f>SUMIF('non-vre plants'!#REF!,H10,'non-vre plants'!#REF!)</f>
        <v>#REF!</v>
      </c>
      <c r="J10" s="33">
        <f>SUMIF('demand centres'!$C$1:$C$50,'scenario analysis'!H10,'demand centres'!$B$1:$B$50)</f>
        <v>0</v>
      </c>
      <c r="K10" s="33" t="e">
        <f t="array" ref="K10">SUMIF('existing transmission'!#REF!,H10, 'existing transmission'!$G$2:$G$52)+SUMIF('existing transmission'!#REF!,H10, 'existing transmission'!$G$2:$G$52)</f>
        <v>#REF!</v>
      </c>
      <c r="L10" s="87" t="e">
        <f t="array" ref="L10">SUMIF('existing transmission'!#REF!,H10, 'existing transmission'!$K$2:$K$52)+SUMIF('existing transmission'!#REF!,H10, 'existing transmission'!$K$2:$K$52)</f>
        <v>#REF!</v>
      </c>
      <c r="M10" s="33"/>
      <c r="N10" s="142" t="str">
        <f t="array" ref="N10">IFERROR(INDEX(#REF!, MATCH(0, COUNTIF($N$4:N9,#REF!), 0)), "")</f>
        <v/>
      </c>
      <c r="O10" s="128">
        <f>SUMIFS('vre plants'!$F$2:$F$19, 'vre plants'!$G$2:$G$19, 'scenario analysis'!N10, 'vre plants'!$C$2:$C$19, "wind_onshore") +SUMIFS('vre plants'!$F$2:$F$19, 'vre plants'!$G$2:$G$19, 'scenario analysis'!N10, 'vre plants'!$C$2:$C$19,"wind_offshore")</f>
        <v>0</v>
      </c>
      <c r="P10" s="129">
        <f>SUMIFS('vre plants'!$F$2:$F$19,'vre plants'!$G$2:$G$19,'scenario analysis'!N10,'vre plants'!$C$2:$C$19,"multi c-Si")</f>
        <v>0</v>
      </c>
      <c r="Q10" s="33">
        <f>SUMIFS('vre plants'!$F$2:$F$19, 'vre plants'!$G$2:$G$19, 'scenario analysis'!N10, 'vre plants'!$C$2:$C$19, "mono c-Si")</f>
        <v>0</v>
      </c>
      <c r="R10" s="33">
        <f>SUMIFS('vre plants'!$F$2:$F$19,'vre plants'!$G$2:$G$19,'scenario analysis'!N10,'vre plants'!$C$2:$C$19,"thin film")</f>
        <v>0</v>
      </c>
    </row>
    <row r="11" spans="1:18">
      <c r="A11" s="73" t="str">
        <f>'site independent'!A11</f>
        <v>fuel oil</v>
      </c>
      <c r="B11" s="166">
        <f>SUMIF('non-vre plants'!C2:C2,A11,'non-vre plants'!F2:F2)</f>
        <v>0</v>
      </c>
      <c r="C11" s="74">
        <f>INDEX('site independent'!$A$3:$W$47, MATCH($A11, 'site independent'!$A$3:$A$47, 0), MATCH('scenario analysis'!C$3, 'site independent'!$A$3:$W$3, 0))</f>
        <v>1</v>
      </c>
      <c r="D11" s="74">
        <f>INDEX('site independent'!$A$3:$W$47, MATCH($A11, 'site independent'!$A$3:$A$47, 0), MATCH('scenario analysis'!D$3, 'site independent'!$A$3:$W$3, 0))</f>
        <v>0.86</v>
      </c>
      <c r="E11" s="74">
        <f>INDEX('site independent'!$A$3:$X$47, MATCH($A11, 'site independent'!$A$3:$A$47, 0), MATCH('scenario analysis'!E$3, 'site independent'!$A$3:$X$3, 0))</f>
        <v>0</v>
      </c>
      <c r="F11" s="135">
        <f t="shared" si="0"/>
        <v>0</v>
      </c>
      <c r="H11" s="120" t="str">
        <f t="array" ref="H11">IFERROR(INDEX(#REF!, MATCH(0, COUNTIF($H$4:H10,#REF!), 0)), "")</f>
        <v/>
      </c>
      <c r="I11" s="166" t="e">
        <f>SUMIF('non-vre plants'!#REF!,H11,'non-vre plants'!#REF!)</f>
        <v>#REF!</v>
      </c>
      <c r="J11" s="33">
        <f>SUMIF('demand centres'!$C$1:$C$50,'scenario analysis'!H11,'demand centres'!$B$1:$B$50)</f>
        <v>0</v>
      </c>
      <c r="K11" s="33" t="e">
        <f t="array" ref="K11">SUMIF('existing transmission'!#REF!,H11, 'existing transmission'!$G$2:$G$52)+SUMIF('existing transmission'!#REF!,H11, 'existing transmission'!$G$2:$G$52)</f>
        <v>#REF!</v>
      </c>
      <c r="L11" s="87" t="e">
        <f t="array" ref="L11">SUMIF('existing transmission'!#REF!,H11, 'existing transmission'!$K$2:$K$52)+SUMIF('existing transmission'!#REF!,H11, 'existing transmission'!$K$2:$K$52)</f>
        <v>#REF!</v>
      </c>
      <c r="M11" s="33"/>
      <c r="N11" s="142" t="str">
        <f t="array" ref="N11">IFERROR(INDEX(#REF!, MATCH(0, COUNTIF($N$4:N10,#REF!), 0)), "")</f>
        <v/>
      </c>
      <c r="O11" s="128">
        <f>SUMIFS('vre plants'!$F$2:$F$19, 'vre plants'!$G$2:$G$19, 'scenario analysis'!N11, 'vre plants'!$C$2:$C$19, "wind_onshore") +SUMIFS('vre plants'!$F$2:$F$19, 'vre plants'!$G$2:$G$19, 'scenario analysis'!N11, 'vre plants'!$C$2:$C$19,"wind_offshore")</f>
        <v>0</v>
      </c>
      <c r="P11" s="129">
        <f>SUMIFS('vre plants'!$F$2:$F$19,'vre plants'!$G$2:$G$19,'scenario analysis'!N11,'vre plants'!$C$2:$C$19,"multi c-Si")</f>
        <v>0</v>
      </c>
      <c r="Q11" s="33">
        <f>SUMIFS('vre plants'!$F$2:$F$19, 'vre plants'!$G$2:$G$19, 'scenario analysis'!N11, 'vre plants'!$C$2:$C$19, "mono c-Si")</f>
        <v>0</v>
      </c>
      <c r="R11" s="33">
        <f>SUMIFS('vre plants'!$F$2:$F$19,'vre plants'!$G$2:$G$19,'scenario analysis'!N11,'vre plants'!$C$2:$C$19,"thin film")</f>
        <v>0</v>
      </c>
    </row>
    <row r="12" spans="1:18">
      <c r="A12" s="73" t="str">
        <f>'site independent'!A12</f>
        <v>nuclear</v>
      </c>
      <c r="B12" s="166">
        <f>SUMIF('non-vre plants'!C2:C2,A12,'non-vre plants'!F2:F2)</f>
        <v>0</v>
      </c>
      <c r="C12" s="74">
        <f>INDEX('site independent'!$A$3:$W$47, MATCH($A12, 'site independent'!$A$3:$A$47, 0), MATCH('scenario analysis'!C$3, 'site independent'!$A$3:$W$3, 0))</f>
        <v>1</v>
      </c>
      <c r="D12" s="74">
        <f>INDEX('site independent'!$A$3:$W$47, MATCH($A12, 'site independent'!$A$3:$A$47, 0), MATCH('scenario analysis'!D$3, 'site independent'!$A$3:$W$3, 0))</f>
        <v>0.2</v>
      </c>
      <c r="E12" s="74">
        <f>INDEX('site independent'!$A$3:$X$47, MATCH($A12, 'site independent'!$A$3:$A$47, 0), MATCH('scenario analysis'!E$3, 'site independent'!$A$3:$X$3, 0))</f>
        <v>5366</v>
      </c>
      <c r="F12" s="135">
        <f t="shared" si="0"/>
        <v>0</v>
      </c>
      <c r="H12" s="120" t="str">
        <f t="array" ref="H12">IFERROR(INDEX(#REF!, MATCH(0, COUNTIF($H$4:H11,#REF!), 0)), "")</f>
        <v/>
      </c>
      <c r="I12" s="33">
        <f>SUMIFS('vre plants'!$F$2:$F$31,'vre plants'!$G$2:$G$31,'scenario analysis'!H12)+SUMIFS(storage!$E$2:$E$75,storage!$I$2:$I$75,'scenario analysis'!H12)+SUMIFS(EV_aggregator!$E$2:$E$75,EV_aggregator!$I$2:$I$75,'scenario analysis'!H12)+SUMIF('non-vre plants'!G2:G2,H12,'non-vre plants'!F2:F2)</f>
        <v>0</v>
      </c>
      <c r="J12" s="33">
        <f>SUMIF('demand centres'!$C$1:$C$50,'scenario analysis'!H12,'demand centres'!$B$1:$B$50)</f>
        <v>0</v>
      </c>
      <c r="K12" s="33" t="e">
        <f t="array" ref="K12">SUMIF('existing transmission'!#REF!,H12, 'existing transmission'!$G$2:$G$52)+SUMIF('existing transmission'!#REF!,H12, 'existing transmission'!$G$2:$G$52)</f>
        <v>#REF!</v>
      </c>
      <c r="L12" s="87" t="e">
        <f t="array" ref="L12">SUMIF('existing transmission'!#REF!,H12, 'existing transmission'!$K$2:$K$52)+SUMIF('existing transmission'!#REF!,H12, 'existing transmission'!$K$2:$K$52)</f>
        <v>#REF!</v>
      </c>
      <c r="M12" s="33"/>
      <c r="N12" s="142" t="str">
        <f t="array" ref="N12">IFERROR(INDEX(#REF!, MATCH(0, COUNTIF($N$4:N11,#REF!), 0)), "")</f>
        <v/>
      </c>
      <c r="O12" s="128">
        <f>SUMIFS('vre plants'!$F$2:$F$19, 'vre plants'!$G$2:$G$19, 'scenario analysis'!N12, 'vre plants'!$C$2:$C$19, "wind_onshore") +SUMIFS('vre plants'!$F$2:$F$19, 'vre plants'!$G$2:$G$19, 'scenario analysis'!N12, 'vre plants'!$C$2:$C$19,"wind_offshore")</f>
        <v>0</v>
      </c>
      <c r="P12" s="129">
        <f>SUMIFS('vre plants'!$F$2:$F$19,'vre plants'!$G$2:$G$19,'scenario analysis'!N12,'vre plants'!$C$2:$C$19,"multi c-Si")</f>
        <v>0</v>
      </c>
      <c r="Q12" s="33">
        <f>SUMIFS('vre plants'!$F$2:$F$19, 'vre plants'!$G$2:$G$19, 'scenario analysis'!N12, 'vre plants'!$C$2:$C$19, "mono c-Si")</f>
        <v>0</v>
      </c>
      <c r="R12" s="33">
        <f>SUMIFS('vre plants'!$F$2:$F$19,'vre plants'!$G$2:$G$19,'scenario analysis'!N12,'vre plants'!$C$2:$C$19,"thin film")</f>
        <v>0</v>
      </c>
    </row>
    <row r="13" spans="1:18">
      <c r="A13" s="73" t="str">
        <f>'site independent'!A13</f>
        <v>hydro</v>
      </c>
      <c r="B13" s="166">
        <f>SUMIF('non-vre plants'!C2:C2,A13,'non-vre plants'!F2:F2)</f>
        <v>0</v>
      </c>
      <c r="C13" s="74">
        <f>INDEX('site independent'!$A$3:$W$47, MATCH($A13, 'site independent'!$A$3:$A$47, 0), MATCH('scenario analysis'!C$3, 'site independent'!$A$3:$W$3, 0))</f>
        <v>1</v>
      </c>
      <c r="D13" s="74">
        <f>INDEX('site independent'!$A$3:$W$47, MATCH($A13, 'site independent'!$A$3:$A$47, 0), MATCH('scenario analysis'!D$3, 'site independent'!$A$3:$W$3, 0))</f>
        <v>0.66</v>
      </c>
      <c r="E13" s="74">
        <f>INDEX('site independent'!$A$3:$X$47, MATCH($A13, 'site independent'!$A$3:$A$47, 0), MATCH('scenario analysis'!E$3, 'site independent'!$A$3:$X$3, 0))</f>
        <v>2651</v>
      </c>
      <c r="F13" s="135">
        <f t="shared" si="0"/>
        <v>0</v>
      </c>
      <c r="H13" s="120" t="str">
        <f t="array" ref="H13">IFERROR(INDEX(#REF!, MATCH(0, COUNTIF($H$4:H12,#REF!), 0)), "")</f>
        <v/>
      </c>
      <c r="I13" s="33" t="e">
        <f>SUMIFS('vre plants'!$F$2:$F$31,'vre plants'!$G$2:$G$31,'scenario analysis'!H13)+SUMIFS(storage!$E$2:$E$75,storage!$I$2:$I$75,'scenario analysis'!H13)+SUMIFS(EV_aggregator!$E$2:$E$75,EV_aggregator!$I$2:$I$75,'scenario analysis'!H13)+SUMIF('non-vre plants'!#REF!,H13,'non-vre plants'!#REF!)</f>
        <v>#REF!</v>
      </c>
      <c r="J13" s="33">
        <f>SUMIF('demand centres'!$C$1:$C$50,'scenario analysis'!H13,'demand centres'!$B$1:$B$50)</f>
        <v>0</v>
      </c>
      <c r="K13" s="33" t="e">
        <f t="array" ref="K13">SUMIF('existing transmission'!#REF!,H13, 'existing transmission'!$G$2:$G$52)+SUMIF('existing transmission'!#REF!,H13, 'existing transmission'!$G$2:$G$52)</f>
        <v>#REF!</v>
      </c>
      <c r="L13" s="87" t="e">
        <f t="array" ref="L13">SUMIF('existing transmission'!#REF!,H13, 'existing transmission'!$K$2:$K$52)+SUMIF('existing transmission'!#REF!,H13, 'existing transmission'!$K$2:$K$52)</f>
        <v>#REF!</v>
      </c>
      <c r="M13" s="33"/>
      <c r="N13" s="142" t="str">
        <f t="array" ref="N13">IFERROR(INDEX(#REF!, MATCH(0, COUNTIF($N$4:N12,#REF!), 0)), "")</f>
        <v/>
      </c>
      <c r="O13" s="128">
        <f>SUMIFS('vre plants'!$F$2:$F$19, 'vre plants'!$G$2:$G$19, 'scenario analysis'!N13, 'vre plants'!$C$2:$C$19, "wind_onshore") +SUMIFS('vre plants'!$F$2:$F$19, 'vre plants'!$G$2:$G$19, 'scenario analysis'!N13, 'vre plants'!$C$2:$C$19,"wind_offshore")</f>
        <v>0</v>
      </c>
      <c r="P13" s="129">
        <f>SUMIFS('vre plants'!$F$2:$F$19,'vre plants'!$G$2:$G$19,'scenario analysis'!N13,'vre plants'!$C$2:$C$19,"multi c-Si")</f>
        <v>0</v>
      </c>
      <c r="Q13" s="33">
        <f>SUMIFS('vre plants'!$F$2:$F$19, 'vre plants'!$G$2:$G$19, 'scenario analysis'!N13, 'vre plants'!$C$2:$C$19, "mono c-Si")</f>
        <v>0</v>
      </c>
      <c r="R13" s="33">
        <f>SUMIFS('vre plants'!$F$2:$F$19,'vre plants'!$G$2:$G$19,'scenario analysis'!N13,'vre plants'!$C$2:$C$19,"thin film")</f>
        <v>0</v>
      </c>
    </row>
    <row r="14" spans="1:18">
      <c r="A14" s="73" t="str">
        <f>'site independent'!A14</f>
        <v>hydro_hourly</v>
      </c>
      <c r="B14" s="166">
        <f>SUMIF('non-vre plants'!C2:C2,A14,'non-vre plants'!F2:F2)</f>
        <v>0</v>
      </c>
      <c r="C14" s="74">
        <f>INDEX('site independent'!$A$3:$W$47, MATCH($A14, 'site independent'!$A$3:$A$47, 0), MATCH('scenario analysis'!C$3, 'site independent'!$A$3:$W$3, 0))</f>
        <v>1</v>
      </c>
      <c r="D14" s="74">
        <f>INDEX('site independent'!$A$3:$W$47, MATCH($A14, 'site independent'!$A$3:$A$47, 0), MATCH('scenario analysis'!D$3, 'site independent'!$A$3:$W$3, 0))</f>
        <v>0.66</v>
      </c>
      <c r="E14" s="74">
        <f>INDEX('site independent'!$A$3:$X$47, MATCH($A14, 'site independent'!$A$3:$A$47, 0), MATCH('scenario analysis'!E$3, 'site independent'!$A$3:$X$3, 0))</f>
        <v>2651</v>
      </c>
      <c r="F14" s="135">
        <f t="shared" si="0"/>
        <v>0</v>
      </c>
      <c r="H14" s="120" t="str">
        <f t="array" ref="H14">IFERROR(INDEX(#REF!, MATCH(0, COUNTIF($H$4:H13,#REF!), 0)), "")</f>
        <v/>
      </c>
      <c r="I14" s="33" t="e">
        <f>SUMIFS('vre plants'!$F$2:$F$31,'vre plants'!$G$2:$G$31,'scenario analysis'!H14)+SUMIFS(storage!$E$2:$E$75,storage!$I$2:$I$75,'scenario analysis'!H14)+SUMIFS(EV_aggregator!$E$2:$E$75,EV_aggregator!$I$2:$I$75,'scenario analysis'!H14)+SUMIF('non-vre plants'!#REF!,H14,'non-vre plants'!#REF!)</f>
        <v>#REF!</v>
      </c>
      <c r="J14" s="33">
        <f>SUMIF('demand centres'!$C$1:$C$50,'scenario analysis'!H14,'demand centres'!$B$1:$B$50)</f>
        <v>0</v>
      </c>
      <c r="K14" s="33" t="e">
        <f t="array" ref="K14">SUMIF('existing transmission'!#REF!,H14, 'existing transmission'!$G$2:$G$52)+SUMIF('existing transmission'!#REF!,H14, 'existing transmission'!$G$2:$G$52)</f>
        <v>#REF!</v>
      </c>
      <c r="L14" s="87" t="e">
        <f t="array" ref="L14">SUMIF('existing transmission'!#REF!,H14, 'existing transmission'!$K$2:$K$52)+SUMIF('existing transmission'!#REF!,H14, 'existing transmission'!$K$2:$K$52)</f>
        <v>#REF!</v>
      </c>
      <c r="M14" s="33"/>
      <c r="N14" s="142" t="str">
        <f t="array" ref="N14">IFERROR(INDEX(#REF!, MATCH(0, COUNTIF($N$4:N13,#REF!), 0)), "")</f>
        <v/>
      </c>
      <c r="O14" s="128">
        <f>SUMIFS('vre plants'!$F$2:$F$19, 'vre plants'!$G$2:$G$19, 'scenario analysis'!N14, 'vre plants'!$C$2:$C$19, "wind_onshore") +SUMIFS('vre plants'!$F$2:$F$19, 'vre plants'!$G$2:$G$19, 'scenario analysis'!N14, 'vre plants'!$C$2:$C$19,"wind_offshore")</f>
        <v>0</v>
      </c>
      <c r="P14" s="129">
        <f>SUMIFS('vre plants'!$F$2:$F$19,'vre plants'!$G$2:$G$19,'scenario analysis'!N14,'vre plants'!$C$2:$C$19,"multi c-Si")</f>
        <v>0</v>
      </c>
      <c r="Q14" s="33">
        <f>SUMIFS('vre plants'!$F$2:$F$19, 'vre plants'!$G$2:$G$19, 'scenario analysis'!N14, 'vre plants'!$C$2:$C$19, "mono c-Si")</f>
        <v>0</v>
      </c>
      <c r="R14" s="33">
        <f>SUMIFS('vre plants'!$F$2:$F$19,'vre plants'!$G$2:$G$19,'scenario analysis'!N14,'vre plants'!$C$2:$C$19,"thin film")</f>
        <v>0</v>
      </c>
    </row>
    <row r="15" spans="1:18">
      <c r="A15" s="73" t="str">
        <f>'site independent'!A15</f>
        <v>hydro_daily</v>
      </c>
      <c r="B15" s="166"/>
      <c r="C15" s="74"/>
      <c r="D15" s="74"/>
      <c r="E15" s="74"/>
      <c r="F15" s="166"/>
      <c r="H15" s="120"/>
      <c r="I15" s="33"/>
      <c r="J15" s="33"/>
      <c r="K15" s="33"/>
      <c r="L15" s="87"/>
      <c r="M15" s="33"/>
      <c r="N15" s="142"/>
      <c r="O15" s="128"/>
      <c r="P15" s="129"/>
      <c r="Q15" s="33"/>
      <c r="R15" s="33"/>
    </row>
    <row r="16" spans="1:18">
      <c r="A16" s="73" t="str">
        <f>'site independent'!A16</f>
        <v>hydro_monthly</v>
      </c>
      <c r="B16" s="166"/>
      <c r="C16" s="74"/>
      <c r="D16" s="74"/>
      <c r="E16" s="74"/>
      <c r="F16" s="166"/>
      <c r="H16" s="120"/>
      <c r="I16" s="33"/>
      <c r="J16" s="33"/>
      <c r="K16" s="33"/>
      <c r="L16" s="87"/>
      <c r="M16" s="33"/>
      <c r="N16" s="142"/>
      <c r="O16" s="128"/>
      <c r="P16" s="129"/>
      <c r="Q16" s="33"/>
      <c r="R16" s="33"/>
    </row>
    <row r="17" spans="1:18">
      <c r="A17" s="73" t="str">
        <f>'site independent'!A17</f>
        <v>geothermal</v>
      </c>
      <c r="B17" s="166"/>
      <c r="C17" s="74"/>
      <c r="D17" s="74"/>
      <c r="E17" s="74"/>
      <c r="F17" s="166"/>
      <c r="H17" s="120"/>
      <c r="I17" s="33"/>
      <c r="J17" s="33"/>
      <c r="K17" s="33"/>
      <c r="L17" s="87"/>
      <c r="M17" s="33"/>
      <c r="N17" s="142"/>
      <c r="O17" s="128"/>
      <c r="P17" s="129"/>
      <c r="Q17" s="33"/>
      <c r="R17" s="33"/>
    </row>
    <row r="18" spans="1:18">
      <c r="A18" s="73" t="str">
        <f>'site independent'!A18</f>
        <v>biomass</v>
      </c>
      <c r="B18" s="166"/>
      <c r="C18" s="74"/>
      <c r="D18" s="74"/>
      <c r="E18" s="74"/>
      <c r="F18" s="166"/>
      <c r="H18" s="120"/>
      <c r="I18" s="33"/>
      <c r="J18" s="33"/>
      <c r="K18" s="33"/>
      <c r="L18" s="87"/>
      <c r="M18" s="33"/>
      <c r="N18" s="142"/>
      <c r="O18" s="128"/>
      <c r="P18" s="129"/>
      <c r="Q18" s="33"/>
      <c r="R18" s="33"/>
    </row>
    <row r="19" spans="1:18">
      <c r="A19" s="73" t="str">
        <f>'site independent'!A19</f>
        <v>biogas</v>
      </c>
      <c r="B19" s="166"/>
      <c r="C19" s="74"/>
      <c r="D19" s="74"/>
      <c r="E19" s="74"/>
      <c r="F19" s="166"/>
      <c r="H19" s="120"/>
      <c r="I19" s="33"/>
      <c r="J19" s="33"/>
      <c r="K19" s="33"/>
      <c r="L19" s="87"/>
      <c r="M19" s="33"/>
      <c r="N19" s="142"/>
      <c r="O19" s="128"/>
      <c r="P19" s="129"/>
      <c r="Q19" s="33"/>
      <c r="R19" s="33"/>
    </row>
    <row r="20" spans="1:18">
      <c r="A20" t="s">
        <v>393</v>
      </c>
      <c r="B20" s="166">
        <f>SUMIF('non-vre plants'!C2:C2,A20,'non-vre plants'!F2:F2)</f>
        <v>0</v>
      </c>
      <c r="H20" s="120" t="str">
        <f t="array" ref="H20">IFERROR(INDEX(#REF!, MATCH(0, COUNTIF($H$4:H14,#REF!), 0)), "")</f>
        <v/>
      </c>
      <c r="I20" s="166" t="e">
        <f>SUMIF('non-vre plants'!#REF!,H20,'non-vre plants'!#REF!)</f>
        <v>#REF!</v>
      </c>
      <c r="J20" s="33">
        <f>SUMIF('demand centres'!$C$1:$C$50,'scenario analysis'!H20,'demand centres'!$B$1:$B$50)</f>
        <v>0</v>
      </c>
      <c r="K20" s="33" t="e">
        <f t="array" ref="K20">SUMIF('existing transmission'!#REF!,H20, 'existing transmission'!$G$2:$G$52)+SUMIF('existing transmission'!#REF!,H20, 'existing transmission'!$G$2:$G$52)</f>
        <v>#REF!</v>
      </c>
      <c r="L20" s="87" t="e">
        <f t="array" ref="L20">SUMIF('existing transmission'!#REF!,H20, 'existing transmission'!$K$2:$K$52)+SUMIF('existing transmission'!#REF!,H20, 'existing transmission'!$K$2:$K$52)</f>
        <v>#REF!</v>
      </c>
      <c r="M20" s="33"/>
      <c r="N20" s="142" t="str">
        <f t="array" ref="N20">IFERROR(INDEX(#REF!, MATCH(0, COUNTIF($N$4:N14,#REF!), 0)), "")</f>
        <v/>
      </c>
      <c r="O20" s="128">
        <f>SUMIFS('vre plants'!$F$2:$F$19, 'vre plants'!$G$2:$G$19, 'scenario analysis'!N20, 'vre plants'!$C$2:$C$19, "wind_onshore") +SUMIFS('vre plants'!$F$2:$F$19, 'vre plants'!$G$2:$G$19, 'scenario analysis'!N20, 'vre plants'!$C$2:$C$19,"wind_offshore")</f>
        <v>0</v>
      </c>
      <c r="P20" s="129">
        <f>SUMIFS('vre plants'!$F$2:$F$19,'vre plants'!$G$2:$G$19,'scenario analysis'!N20,'vre plants'!$C$2:$C$19,"multi c-Si")</f>
        <v>0</v>
      </c>
      <c r="Q20" s="33">
        <f>SUMIFS('vre plants'!$F$2:$F$19, 'vre plants'!$G$2:$G$19, 'scenario analysis'!N20, 'vre plants'!$C$2:$C$19, "mono c-Si")</f>
        <v>0</v>
      </c>
      <c r="R20" s="33">
        <f>SUMIFS('vre plants'!$F$2:$F$19,'vre plants'!$G$2:$G$19,'scenario analysis'!N20,'vre plants'!$C$2:$C$19,"thin film")</f>
        <v>0</v>
      </c>
    </row>
    <row r="21" spans="1:18">
      <c r="A21" s="120" t="s">
        <v>4</v>
      </c>
      <c r="B21" s="166">
        <f>SUMIF('vre plants'!$C$2:$C$19, "wind_onshore", 'vre plants'!$F$2:$F$19) + SUMIF('vre plants'!$C$2:$C$19, "wind_offshore", 'vre plants'!$F$2:$F$19)</f>
        <v>258</v>
      </c>
      <c r="C21" s="74">
        <f>INDEX('site independent'!$A$3:$W$47, MATCH($A21, 'site independent'!$A$3:$A$47, 0), MATCH('scenario analysis'!C$3, 'site independent'!$A$3:$W$3, 0))</f>
        <v>0.2</v>
      </c>
      <c r="D21" s="74">
        <f>INDEX('site independent'!$A$3:$W$47, MATCH($A21, 'site independent'!$A$3:$A$47, 0), MATCH('scenario analysis'!D$3, 'site independent'!$A$3:$W$3, 0))</f>
        <v>0</v>
      </c>
      <c r="E21" s="74">
        <f>INDEX('site independent'!$A$3:$X$47, MATCH($A21, 'site independent'!$A$3:$A$47, 0), MATCH('scenario analysis'!E$3, 'site independent'!$A$3:$X$3, 0))</f>
        <v>19.8</v>
      </c>
      <c r="F21" s="135">
        <f>E21*1000*B21</f>
        <v>5108400</v>
      </c>
      <c r="H21" s="120" t="str">
        <f t="array" ref="H21">IFERROR(INDEX(#REF!, MATCH(0, COUNTIF($H$4:H20,#REF!), 0)), "")</f>
        <v/>
      </c>
      <c r="I21" s="166" t="e">
        <f>SUMIF('non-vre plants'!#REF!,H21,'non-vre plants'!#REF!)</f>
        <v>#REF!</v>
      </c>
      <c r="J21" s="33">
        <f>SUMIF('demand centres'!$C$1:$C$50,'scenario analysis'!H21,'demand centres'!$B$1:$B$50)</f>
        <v>0</v>
      </c>
      <c r="K21" s="33" t="e">
        <f t="array" ref="K21">SUMIF('existing transmission'!#REF!,H21, 'existing transmission'!$G$2:$G$52)+SUMIF('existing transmission'!#REF!,H21, 'existing transmission'!$G$2:$G$52)</f>
        <v>#REF!</v>
      </c>
      <c r="L21" s="87" t="e">
        <f t="array" ref="L21">SUMIF('existing transmission'!#REF!,H21, 'existing transmission'!$K$2:$K$52)+SUMIF('existing transmission'!#REF!,H21, 'existing transmission'!$K$2:$K$52)</f>
        <v>#REF!</v>
      </c>
      <c r="M21" s="33"/>
      <c r="N21" s="142" t="str">
        <f t="array" ref="N21">IFERROR(INDEX(#REF!, MATCH(0, COUNTIF($N$4:N20,#REF!), 0)), "")</f>
        <v/>
      </c>
      <c r="O21" s="128">
        <f>SUMIFS('vre plants'!$F$2:$F$19, 'vre plants'!$G$2:$G$19, 'scenario analysis'!N21, 'vre plants'!$C$2:$C$19, "wind_onshore") +SUMIFS('vre plants'!$F$2:$F$19, 'vre plants'!$G$2:$G$19, 'scenario analysis'!N21, 'vre plants'!$C$2:$C$19,"wind_offshore")</f>
        <v>0</v>
      </c>
      <c r="P21" s="129">
        <f>SUMIFS('vre plants'!$F$2:$F$19,'vre plants'!$G$2:$G$19,'scenario analysis'!N21,'vre plants'!$C$2:$C$19,"multi c-Si")</f>
        <v>0</v>
      </c>
      <c r="Q21" s="33">
        <f>SUMIFS('vre plants'!$F$2:$F$19, 'vre plants'!$G$2:$G$19, 'scenario analysis'!N21, 'vre plants'!$C$2:$C$19, "mono c-Si")</f>
        <v>0</v>
      </c>
      <c r="R21" s="33">
        <f>SUMIFS('vre plants'!$F$2:$F$19,'vre plants'!$G$2:$G$19,'scenario analysis'!N21,'vre plants'!$C$2:$C$19,"thin film")</f>
        <v>0</v>
      </c>
    </row>
    <row r="22" spans="1:18">
      <c r="A22" s="120" t="s">
        <v>16</v>
      </c>
      <c r="B22" s="166">
        <f>SUMIF('vre plants'!$C$2:$C$19, "multi_c_Si", 'vre plants'!$F$2:$F$19) + SUMIF('vre plants'!$C$2:$C$19, "thin film", 'vre plants'!$F$2:$F$19)+ SUMIF('vre plants'!$C$2:$C$19, "mono c-Si", 'vre plants'!$F$2:$F$19)</f>
        <v>0</v>
      </c>
      <c r="C22" s="74">
        <f>INDEX('site independent'!$A$3:$W$47, MATCH($A22, 'site independent'!$A$3:$A$47, 0), MATCH('scenario analysis'!C$3, 'site independent'!$A$3:$W$3, 0))</f>
        <v>0.6</v>
      </c>
      <c r="D22" s="74">
        <f>INDEX('site independent'!$A$3:$W$47, MATCH($A22, 'site independent'!$A$3:$A$47, 0), MATCH('scenario analysis'!D$3, 'site independent'!$A$3:$W$3, 0))</f>
        <v>0</v>
      </c>
      <c r="E22" s="74">
        <f>INDEX('site independent'!$A$3:$X$47, MATCH($A22, 'site independent'!$A$3:$A$47, 0), MATCH('scenario analysis'!E$3, 'site independent'!$A$3:$X$3, 0))</f>
        <v>3279</v>
      </c>
      <c r="F22" s="135">
        <f>E22*1000*B22</f>
        <v>0</v>
      </c>
      <c r="H22" s="120" t="str">
        <f t="array" ref="H22">IFERROR(INDEX(#REF!, MATCH(0, COUNTIF($H$4:H21,#REF!), 0)), "")</f>
        <v/>
      </c>
      <c r="I22" s="166" t="e">
        <f>SUMIF('non-vre plants'!#REF!,H22,'non-vre plants'!#REF!)</f>
        <v>#REF!</v>
      </c>
      <c r="J22" s="33">
        <f>SUMIF('demand centres'!$C$1:$C$50,'scenario analysis'!H22,'demand centres'!$B$1:$B$50)</f>
        <v>0</v>
      </c>
      <c r="K22" s="33" t="e">
        <f t="array" ref="K22">SUMIF('existing transmission'!#REF!,H22, 'existing transmission'!$G$2:$G$52)+SUMIF('existing transmission'!#REF!,H22, 'existing transmission'!$G$2:$G$52)</f>
        <v>#REF!</v>
      </c>
      <c r="L22" s="87" t="e">
        <f t="array" ref="L22">SUMIF('existing transmission'!#REF!,H22, 'existing transmission'!$K$2:$K$52)+SUMIF('existing transmission'!#REF!,H22, 'existing transmission'!$K$2:$K$52)</f>
        <v>#REF!</v>
      </c>
      <c r="M22" s="33"/>
      <c r="N22" s="142" t="str">
        <f t="array" ref="N22">IFERROR(INDEX(#REF!, MATCH(0, COUNTIF($N$4:N21,#REF!), 0)), "")</f>
        <v/>
      </c>
      <c r="O22" s="128">
        <f>SUMIFS('vre plants'!$F$2:$F$19, 'vre plants'!$G$2:$G$19, 'scenario analysis'!N22, 'vre plants'!$C$2:$C$19, "wind_onshore") +SUMIFS('vre plants'!$F$2:$F$19, 'vre plants'!$G$2:$G$19, 'scenario analysis'!N22, 'vre plants'!$C$2:$C$19,"wind_offshore")</f>
        <v>0</v>
      </c>
      <c r="P22" s="129">
        <f>SUMIFS('vre plants'!$F$2:$F$19,'vre plants'!$G$2:$G$19,'scenario analysis'!N22,'vre plants'!$C$2:$C$19,"multi c-Si")</f>
        <v>0</v>
      </c>
      <c r="Q22" s="33">
        <f>SUMIFS('vre plants'!$F$2:$F$19, 'vre plants'!$G$2:$G$19, 'scenario analysis'!N22, 'vre plants'!$C$2:$C$19, "mono c-Si")</f>
        <v>0</v>
      </c>
      <c r="R22" s="33">
        <f>SUMIFS('vre plants'!$F$2:$F$19,'vre plants'!$G$2:$G$19,'scenario analysis'!N22,'vre plants'!$C$2:$C$19,"thin film")</f>
        <v>0</v>
      </c>
    </row>
    <row r="23" spans="1:18" ht="14.25" customHeight="1">
      <c r="A23" s="73" t="s">
        <v>215</v>
      </c>
      <c r="B23" s="166">
        <f>SUMIF(storage!C2:C5,A23,storage!E2:E5)</f>
        <v>0</v>
      </c>
      <c r="C23" s="74">
        <f>INDEX('site independent'!$A$3:$W$47, MATCH($A23, 'site independent'!$A$3:$A$47, 0), MATCH('scenario analysis'!C$3, 'site independent'!$A$3:$W$3, 0))</f>
        <v>0.5</v>
      </c>
      <c r="D23" s="74">
        <f>INDEX('site independent'!$A$3:$W$47, MATCH($A23, 'site independent'!$A$3:$A$47, 0), MATCH('scenario analysis'!D$3, 'site independent'!$A$3:$W$3, 0))</f>
        <v>1</v>
      </c>
      <c r="E23" s="74">
        <f>INDEX('site independent'!$A$3:$X$47, MATCH($A23, 'site independent'!$A$3:$A$47, 0), MATCH('scenario analysis'!E$3, 'site independent'!$A$3:$X$3, 0))</f>
        <v>1000</v>
      </c>
      <c r="F23" s="135">
        <f>E23*1000*B23</f>
        <v>0</v>
      </c>
      <c r="H23" s="120" t="str">
        <f t="array" ref="H23">IFERROR(INDEX(#REF!, MATCH(0, COUNTIF($H$4:H22,#REF!), 0)), "")</f>
        <v/>
      </c>
      <c r="I23" s="33">
        <f>SUMIFS('vre plants'!$F$2:$F$31,'vre plants'!$G$2:$G$31,'scenario analysis'!H23)+SUMIFS(storage!$E$2:$E$75,storage!$I$2:$I$75,'scenario analysis'!H23)+SUMIFS(EV_aggregator!$E$2:$E$75,EV_aggregator!$I$2:$I$75,'scenario analysis'!H23)+SUMIF('non-vre plants'!G2:G2,H23,'non-vre plants'!F2:F2)</f>
        <v>0</v>
      </c>
      <c r="J23" s="33">
        <f>SUMIF('demand centres'!$C$1:$C$50,'scenario analysis'!H23,'demand centres'!$B$1:$B$50)</f>
        <v>0</v>
      </c>
      <c r="K23" s="33" t="e">
        <f t="array" ref="K23">SUMIF('existing transmission'!#REF!,H23, 'existing transmission'!$G$2:$G$52)+SUMIF('existing transmission'!#REF!,H23, 'existing transmission'!$G$2:$G$52)</f>
        <v>#REF!</v>
      </c>
      <c r="L23" s="87" t="e">
        <f t="array" ref="L23">SUMIF('existing transmission'!#REF!,H23, 'existing transmission'!$K$2:$K$52)+SUMIF('existing transmission'!#REF!,H23, 'existing transmission'!$K$2:$K$52)</f>
        <v>#REF!</v>
      </c>
      <c r="M23" s="33"/>
      <c r="N23" s="142" t="str">
        <f t="array" ref="N23">IFERROR(INDEX(#REF!, MATCH(0, COUNTIF($N$4:N22,#REF!), 0)), "")</f>
        <v/>
      </c>
      <c r="O23" s="128">
        <f>SUMIFS('vre plants'!$F$2:$F$19, 'vre plants'!$G$2:$G$19, 'scenario analysis'!N23, 'vre plants'!$C$2:$C$19, "wind_onshore") +SUMIFS('vre plants'!$F$2:$F$19, 'vre plants'!$G$2:$G$19, 'scenario analysis'!N23, 'vre plants'!$C$2:$C$19,"wind_offshore")</f>
        <v>0</v>
      </c>
      <c r="P23" s="129">
        <f>SUMIFS('vre plants'!$F$2:$F$19,'vre plants'!$G$2:$G$19,'scenario analysis'!N23,'vre plants'!$C$2:$C$19,"multi c-Si")</f>
        <v>0</v>
      </c>
      <c r="Q23" s="33">
        <f>SUMIFS('vre plants'!$F$2:$F$19, 'vre plants'!$G$2:$G$19, 'scenario analysis'!N23, 'vre plants'!$C$2:$C$19, "mono c-Si")</f>
        <v>0</v>
      </c>
      <c r="R23" s="33">
        <f>SUMIFS('vre plants'!$F$2:$F$19,'vre plants'!$G$2:$G$19,'scenario analysis'!N23,'vre plants'!$C$2:$C$19,"thin film")</f>
        <v>0</v>
      </c>
    </row>
    <row r="24" spans="1:18">
      <c r="A24" s="73" t="s">
        <v>217</v>
      </c>
      <c r="B24" s="166">
        <f>SUMIF(storage!$C$2:$C$8, 'scenario analysis'!A24, storage!$E$2:$E$8)</f>
        <v>0</v>
      </c>
      <c r="C24" s="74">
        <f>INDEX('site independent'!$A$3:$W$47, MATCH($A24, 'site independent'!$A$3:$A$47, 0), MATCH('scenario analysis'!C$3, 'site independent'!$A$3:$W$3, 0))</f>
        <v>0.5</v>
      </c>
      <c r="D24" s="74">
        <f>INDEX('site independent'!$A$3:$W$47, MATCH($A24, 'site independent'!$A$3:$A$47, 0), MATCH('scenario analysis'!D$3, 'site independent'!$A$3:$W$3, 0))</f>
        <v>1</v>
      </c>
      <c r="E24" s="74">
        <f>INDEX('site independent'!$A$3:$X$47, MATCH($A24, 'site independent'!$A$3:$A$47, 0), MATCH('scenario analysis'!E$3, 'site independent'!$A$3:$X$3, 0))</f>
        <v>1500</v>
      </c>
      <c r="F24" s="135">
        <f t="shared" si="0"/>
        <v>0</v>
      </c>
      <c r="H24" s="120" t="str">
        <f t="array" ref="H24">IFERROR(INDEX(#REF!, MATCH(0, COUNTIF($H$4:H23,#REF!), 0)), "")</f>
        <v/>
      </c>
      <c r="I24" s="33">
        <f>SUMIFS('vre plants'!$F$2:$F$31,'vre plants'!$G$2:$G$31,'scenario analysis'!H24)+SUMIFS(storage!$E$2:$E$75,storage!$I$2:$I$75,'scenario analysis'!H24)+SUMIFS(EV_aggregator!$E$2:$E$75,EV_aggregator!$I$2:$I$75,'scenario analysis'!H24)+SUMIF('non-vre plants'!G2:G2,H24,'non-vre plants'!F2:F2)</f>
        <v>0</v>
      </c>
      <c r="J24" s="33">
        <f>SUMIF('demand centres'!$C$1:$C$50,'scenario analysis'!H24,'demand centres'!$B$1:$B$50)</f>
        <v>0</v>
      </c>
      <c r="K24" s="33" t="e">
        <f t="array" ref="K24">SUMIF('existing transmission'!#REF!,H24, 'existing transmission'!$G$2:$G$52)+SUMIF('existing transmission'!#REF!,H24, 'existing transmission'!$G$2:$G$52)</f>
        <v>#REF!</v>
      </c>
      <c r="L24" s="87" t="e">
        <f t="array" ref="L24">SUMIF('existing transmission'!#REF!,H24, 'existing transmission'!$K$2:$K$52)+SUMIF('existing transmission'!#REF!,H24, 'existing transmission'!$K$2:$K$52)</f>
        <v>#REF!</v>
      </c>
      <c r="M24" s="33"/>
      <c r="N24" s="142" t="str">
        <f t="array" ref="N24">IFERROR(INDEX(#REF!, MATCH(0, COUNTIF($N$4:N23,#REF!), 0)), "")</f>
        <v/>
      </c>
      <c r="O24" s="128">
        <f>SUMIFS('vre plants'!$F$2:$F$19, 'vre plants'!$G$2:$G$19, 'scenario analysis'!N24, 'vre plants'!$C$2:$C$19, "wind_onshore") +SUMIFS('vre plants'!$F$2:$F$19, 'vre plants'!$G$2:$G$19, 'scenario analysis'!N24, 'vre plants'!$C$2:$C$19,"wind_offshore")</f>
        <v>0</v>
      </c>
      <c r="P24" s="129">
        <f>SUMIFS('vre plants'!$F$2:$F$19,'vre plants'!$G$2:$G$19,'scenario analysis'!N24,'vre plants'!$C$2:$C$19,"multi c-Si")</f>
        <v>0</v>
      </c>
      <c r="Q24" s="33">
        <f>SUMIFS('vre plants'!$F$2:$F$19, 'vre plants'!$G$2:$G$19, 'scenario analysis'!N24, 'vre plants'!$C$2:$C$19, "mono c-Si")</f>
        <v>0</v>
      </c>
      <c r="R24" s="33">
        <f>SUMIFS('vre plants'!$F$2:$F$19,'vre plants'!$G$2:$G$19,'scenario analysis'!N24,'vre plants'!$C$2:$C$19,"thin film")</f>
        <v>0</v>
      </c>
    </row>
    <row r="25" spans="1:18" ht="15.75" thickBot="1">
      <c r="A25" s="77" t="s">
        <v>268</v>
      </c>
      <c r="B25" s="167">
        <f>SUMIF(EV_aggregator!C2:C10,EV_aggregator!D2:D10)</f>
        <v>0</v>
      </c>
      <c r="C25" s="119" t="e">
        <f>INDEX('site independent'!$A$3:$W$47, MATCH($A25, 'site independent'!$A$3:$A$47, 0), MATCH('scenario analysis'!C$3, 'site independent'!$A$3:$W$3, 0))</f>
        <v>#N/A</v>
      </c>
      <c r="D25" s="119" t="e">
        <f>INDEX('site independent'!$A$3:$W$47, MATCH($A25, 'site independent'!$A$3:$A$47, 0), MATCH('scenario analysis'!D$3, 'site independent'!$A$3:$W$3, 0))</f>
        <v>#N/A</v>
      </c>
      <c r="E25" s="119" t="e">
        <f>INDEX('site independent'!$A$3:$X$47, MATCH($A25, 'site independent'!$A$3:$A$47, 0), MATCH('scenario analysis'!E$3, 'site independent'!$A$3:$X$3, 0))</f>
        <v>#N/A</v>
      </c>
      <c r="F25" s="135" t="e">
        <f>E25*1000*B25</f>
        <v>#N/A</v>
      </c>
      <c r="H25" s="120" t="str">
        <f t="array" ref="H25">IFERROR(INDEX(#REF!, MATCH(0, COUNTIF($H$4:H24,#REF!), 0)), "")</f>
        <v/>
      </c>
      <c r="I25" s="33">
        <f>SUMIFS('vre plants'!$F$2:$F$31,'vre plants'!$G$2:$G$31,'scenario analysis'!H25)+SUMIFS(storage!$E$2:$E$75,storage!$I$2:$I$75,'scenario analysis'!H25)+SUMIFS(EV_aggregator!$E$2:$E$75,EV_aggregator!$I$2:$I$75,'scenario analysis'!H25)+SUMIF('non-vre plants'!G2:G2,H25,'non-vre plants'!F2:F2)</f>
        <v>0</v>
      </c>
      <c r="J25" s="33">
        <f>SUMIF('demand centres'!$C$1:$C$50,'scenario analysis'!H25,'demand centres'!$B$1:$B$50)</f>
        <v>0</v>
      </c>
      <c r="K25" s="33" t="e">
        <f t="array" ref="K25">SUMIF('existing transmission'!#REF!,H25, 'existing transmission'!$G$2:$G$52)+SUMIF('existing transmission'!#REF!,H25, 'existing transmission'!$G$2:$G$52)</f>
        <v>#REF!</v>
      </c>
      <c r="L25" s="87" t="e">
        <f t="array" ref="L25">SUMIF('existing transmission'!#REF!,H25, 'existing transmission'!$K$2:$K$52)+SUMIF('existing transmission'!#REF!,H25, 'existing transmission'!$K$2:$K$52)</f>
        <v>#REF!</v>
      </c>
      <c r="M25" s="33"/>
      <c r="N25" s="142" t="str">
        <f t="array" ref="N25">IFERROR(INDEX(#REF!, MATCH(0, COUNTIF($N$4:N24,#REF!), 0)), "")</f>
        <v/>
      </c>
      <c r="O25" s="128">
        <f>SUMIFS('vre plants'!$F$2:$F$19, 'vre plants'!$G$2:$G$19, 'scenario analysis'!N25, 'vre plants'!$C$2:$C$19, "wind_onshore") +SUMIFS('vre plants'!$F$2:$F$19, 'vre plants'!$G$2:$G$19, 'scenario analysis'!N25, 'vre plants'!$C$2:$C$19,"wind_offshore")</f>
        <v>0</v>
      </c>
      <c r="P25" s="129">
        <f>SUMIFS('vre plants'!$F$2:$F$19,'vre plants'!$G$2:$G$19,'scenario analysis'!N25,'vre plants'!$C$2:$C$19,"multi c-Si")</f>
        <v>0</v>
      </c>
      <c r="Q25" s="33">
        <f>SUMIFS('vre plants'!$F$2:$F$19, 'vre plants'!$G$2:$G$19, 'scenario analysis'!N25, 'vre plants'!$C$2:$C$19, "mono c-Si")</f>
        <v>0</v>
      </c>
      <c r="R25" s="33">
        <f>SUMIFS('vre plants'!$F$2:$F$19,'vre plants'!$G$2:$G$19,'scenario analysis'!N25,'vre plants'!$C$2:$C$19,"thin film")</f>
        <v>0</v>
      </c>
    </row>
    <row r="26" spans="1:18">
      <c r="C26" s="49"/>
      <c r="D26" s="49"/>
      <c r="E26" s="49"/>
      <c r="F26" s="49"/>
      <c r="H26" s="120" t="str">
        <f t="array" ref="H26">IFERROR(INDEX(#REF!, MATCH(0, COUNTIF($H$4:H25,#REF!), 0)), "")</f>
        <v/>
      </c>
      <c r="I26" s="33">
        <f>SUMIFS('vre plants'!$F$2:$F$31,'vre plants'!$G$2:$G$31,'scenario analysis'!H26)+SUMIFS(storage!$E$2:$E$75,storage!$I$2:$I$75,'scenario analysis'!H26)+SUMIFS(EV_aggregator!$E$2:$E$75,EV_aggregator!$I$2:$I$75,'scenario analysis'!H26)+SUMIF('non-vre plants'!G2:G2,H26,'non-vre plants'!F2:F2)</f>
        <v>0</v>
      </c>
      <c r="J26" s="33">
        <f>SUMIF('demand centres'!$C$1:$C$50,'scenario analysis'!H26,'demand centres'!$B$1:$B$50)</f>
        <v>0</v>
      </c>
      <c r="K26" s="33" t="e">
        <f t="array" ref="K26">SUMIF('existing transmission'!#REF!,H26, 'existing transmission'!$G$2:$G$52)+SUMIF('existing transmission'!#REF!,H26, 'existing transmission'!$G$2:$G$52)</f>
        <v>#REF!</v>
      </c>
      <c r="L26" s="87" t="e">
        <f t="array" ref="L26">SUMIF('existing transmission'!#REF!,H26, 'existing transmission'!$K$2:$K$52)+SUMIF('existing transmission'!#REF!,H26, 'existing transmission'!$K$2:$K$52)</f>
        <v>#REF!</v>
      </c>
      <c r="M26" s="16"/>
      <c r="N26" s="142" t="str">
        <f t="array" ref="N26">IFERROR(INDEX(#REF!, MATCH(0, COUNTIF($N$4:N25,#REF!), 0)), "")</f>
        <v/>
      </c>
      <c r="O26" s="128">
        <f>SUMIFS('vre plants'!$F$2:$F$19, 'vre plants'!$G$2:$G$19, 'scenario analysis'!N26, 'vre plants'!$C$2:$C$19, "wind_onshore") +SUMIFS('vre plants'!$F$2:$F$19, 'vre plants'!$G$2:$G$19, 'scenario analysis'!N26, 'vre plants'!$C$2:$C$19,"wind_offshore")</f>
        <v>0</v>
      </c>
      <c r="P26" s="129">
        <f>SUMIFS('vre plants'!$F$2:$F$19,'vre plants'!$G$2:$G$19,'scenario analysis'!N26,'vre plants'!$C$2:$C$19,"multi c-Si")</f>
        <v>0</v>
      </c>
      <c r="Q26" s="33">
        <f>SUMIFS('vre plants'!$F$2:$F$19, 'vre plants'!$G$2:$G$19, 'scenario analysis'!N26, 'vre plants'!$C$2:$C$19, "mono c-Si")</f>
        <v>0</v>
      </c>
      <c r="R26" s="33">
        <f>SUMIFS('vre plants'!$F$2:$F$19,'vre plants'!$G$2:$G$19,'scenario analysis'!N26,'vre plants'!$C$2:$C$19,"thin film")</f>
        <v>0</v>
      </c>
    </row>
    <row r="27" spans="1:18">
      <c r="A27" t="s">
        <v>270</v>
      </c>
      <c r="C27" s="49">
        <f>COLUMN(C3)-2</f>
        <v>1</v>
      </c>
      <c r="D27" s="49">
        <f>COLUMN(D3)-2</f>
        <v>2</v>
      </c>
      <c r="E27" s="49"/>
      <c r="F27" s="49"/>
      <c r="H27" s="120" t="str">
        <f t="array" ref="H27">IFERROR(INDEX(#REF!, MATCH(0, COUNTIF($H$4:H26,#REF!), 0)), "")</f>
        <v/>
      </c>
      <c r="I27" s="33">
        <f>SUMIFS('vre plants'!$F$2:$F$31,'vre plants'!$G$2:$G$31,'scenario analysis'!H27)+SUMIFS(storage!$E$2:$E$75,storage!$I$2:$I$75,'scenario analysis'!H27)+SUMIFS(EV_aggregator!$E$2:$E$75,EV_aggregator!$I$2:$I$75,'scenario analysis'!H27)+SUMIF('non-vre plants'!G2:G2,H27,'non-vre plants'!F2:F2)</f>
        <v>0</v>
      </c>
      <c r="J27" s="33">
        <f>SUMIF('demand centres'!$C$1:$C$50,'scenario analysis'!H27,'demand centres'!$B$1:$B$50)</f>
        <v>0</v>
      </c>
      <c r="K27" s="33" t="e">
        <f t="array" ref="K27">SUMIF('existing transmission'!#REF!,H27, 'existing transmission'!$G$2:$G$52)+SUMIF('existing transmission'!#REF!,H27, 'existing transmission'!$G$2:$G$52)</f>
        <v>#REF!</v>
      </c>
      <c r="L27" s="87" t="e">
        <f t="array" ref="L27">SUMIF('existing transmission'!#REF!,H27, 'existing transmission'!$K$2:$K$52)+SUMIF('existing transmission'!#REF!,H27, 'existing transmission'!$K$2:$K$52)</f>
        <v>#REF!</v>
      </c>
      <c r="M27" s="16"/>
      <c r="N27" s="142" t="str">
        <f t="array" ref="N27">IFERROR(INDEX(#REF!, MATCH(0, COUNTIF($N$4:N26,#REF!), 0)), "")</f>
        <v/>
      </c>
      <c r="O27" s="128">
        <f>SUMIFS('vre plants'!$F$2:$F$19, 'vre plants'!$G$2:$G$19, 'scenario analysis'!N27, 'vre plants'!$C$2:$C$19, "wind_onshore") +SUMIFS('vre plants'!$F$2:$F$19, 'vre plants'!$G$2:$G$19, 'scenario analysis'!N27, 'vre plants'!$C$2:$C$19,"wind_offshore")</f>
        <v>0</v>
      </c>
      <c r="P27" s="129">
        <f>SUMIFS('vre plants'!$F$2:$F$19,'vre plants'!$G$2:$G$19,'scenario analysis'!N27,'vre plants'!$C$2:$C$19,"multi c-Si")</f>
        <v>0</v>
      </c>
      <c r="Q27" s="33">
        <f>SUMIFS('vre plants'!$F$2:$F$19, 'vre plants'!$G$2:$G$19, 'scenario analysis'!N27, 'vre plants'!$C$2:$C$19, "mono c-Si")</f>
        <v>0</v>
      </c>
      <c r="R27" s="33">
        <f>SUMIFS('vre plants'!$F$2:$F$19,'vre plants'!$G$2:$G$19,'scenario analysis'!N27,'vre plants'!$C$2:$C$19,"thin film")</f>
        <v>0</v>
      </c>
    </row>
    <row r="28" spans="1:18">
      <c r="H28" s="120" t="str">
        <f t="array" ref="H28">IFERROR(INDEX(#REF!, MATCH(0, COUNTIF($H$4:H27,#REF!), 0)), "")</f>
        <v/>
      </c>
      <c r="I28" s="166" t="e">
        <f>SUMIF('non-vre plants'!#REF!,H28,'non-vre plants'!#REF!)</f>
        <v>#REF!</v>
      </c>
      <c r="J28" s="33">
        <f>SUMIF('demand centres'!$C$1:$C$50,'scenario analysis'!H28,'demand centres'!$B$1:$B$50)</f>
        <v>0</v>
      </c>
      <c r="K28" s="33" t="e">
        <f t="array" ref="K28">SUMIF('existing transmission'!#REF!,H28, 'existing transmission'!$G$2:$G$52)+SUMIF('existing transmission'!#REF!,H28, 'existing transmission'!$G$2:$G$52)</f>
        <v>#REF!</v>
      </c>
      <c r="L28" s="87" t="e">
        <f t="array" ref="L28">SUMIF('existing transmission'!#REF!,H28, 'existing transmission'!$K$2:$K$52)+SUMIF('existing transmission'!#REF!,H28, 'existing transmission'!$K$2:$K$52)</f>
        <v>#REF!</v>
      </c>
      <c r="M28" s="16"/>
      <c r="N28" s="142" t="str">
        <f t="array" ref="N28">IFERROR(INDEX(#REF!, MATCH(0, COUNTIF($N$4:N27,#REF!), 0)), "")</f>
        <v/>
      </c>
      <c r="O28" s="128">
        <f>SUMIFS('vre plants'!$F$2:$F$19, 'vre plants'!$G$2:$G$19, 'scenario analysis'!N28, 'vre plants'!$C$2:$C$19, "wind_onshore") +SUMIFS('vre plants'!$F$2:$F$19, 'vre plants'!$G$2:$G$19, 'scenario analysis'!N28, 'vre plants'!$C$2:$C$19,"wind_offshore")</f>
        <v>0</v>
      </c>
      <c r="P28" s="129">
        <f>SUMIFS('vre plants'!$F$2:$F$19,'vre plants'!$G$2:$G$19,'scenario analysis'!N28,'vre plants'!$C$2:$C$19,"multi c-Si")</f>
        <v>0</v>
      </c>
      <c r="Q28" s="33">
        <f>SUMIFS('vre plants'!$F$2:$F$19, 'vre plants'!$G$2:$G$19, 'scenario analysis'!N28, 'vre plants'!$C$2:$C$19, "mono c-Si")</f>
        <v>0</v>
      </c>
      <c r="R28" s="33">
        <f>SUMIFS('vre plants'!$F$2:$F$19,'vre plants'!$G$2:$G$19,'scenario analysis'!N28,'vre plants'!$C$2:$C$19,"thin film")</f>
        <v>0</v>
      </c>
    </row>
    <row r="29" spans="1:18">
      <c r="A29" t="s">
        <v>283</v>
      </c>
      <c r="C29" s="37"/>
      <c r="D29" s="37"/>
      <c r="E29" s="37"/>
      <c r="F29" s="37"/>
      <c r="H29" s="120" t="str">
        <f t="array" ref="H29">IFERROR(INDEX(#REF!, MATCH(0, COUNTIF($H$4:H28,#REF!), 0)), "")</f>
        <v/>
      </c>
      <c r="I29" s="33">
        <f>SUMIFS('vre plants'!$F$2:$F$31,'vre plants'!$G$2:$G$31,'scenario analysis'!H29)+SUMIFS(storage!$E$2:$E$75,storage!$I$2:$I$75,'scenario analysis'!H29)+SUMIFS(EV_aggregator!$E$2:$E$75,EV_aggregator!$I$2:$I$75,'scenario analysis'!H29)+SUMIF('non-vre plants'!G2:G2,H29,'non-vre plants'!F2:F2)</f>
        <v>0</v>
      </c>
      <c r="J29" s="33">
        <f>SUMIF('demand centres'!$C$1:$C$50,'scenario analysis'!H29,'demand centres'!$B$1:$B$50)</f>
        <v>0</v>
      </c>
      <c r="K29" s="33" t="e">
        <f t="array" ref="K29">SUMIF('existing transmission'!#REF!,H29, 'existing transmission'!$G$2:$G$52)+SUMIF('existing transmission'!#REF!,H29, 'existing transmission'!$G$2:$G$52)</f>
        <v>#REF!</v>
      </c>
      <c r="L29" s="87" t="e">
        <f t="array" ref="L29">SUMIF('existing transmission'!#REF!,H29, 'existing transmission'!$K$2:$K$52)+SUMIF('existing transmission'!#REF!,H29, 'existing transmission'!$K$2:$K$52)</f>
        <v>#REF!</v>
      </c>
      <c r="M29" s="16"/>
      <c r="N29" s="142" t="str">
        <f t="array" ref="N29">IFERROR(INDEX(#REF!, MATCH(0, COUNTIF($N$4:N28,#REF!), 0)), "")</f>
        <v/>
      </c>
      <c r="O29" s="128">
        <f>SUMIFS('vre plants'!$F$2:$F$19, 'vre plants'!$G$2:$G$19, 'scenario analysis'!N29, 'vre plants'!$C$2:$C$19, "wind_onshore") +SUMIFS('vre plants'!$F$2:$F$19, 'vre plants'!$G$2:$G$19, 'scenario analysis'!N29, 'vre plants'!$C$2:$C$19,"wind_offshore")</f>
        <v>0</v>
      </c>
      <c r="P29" s="129">
        <f>SUMIFS('vre plants'!$F$2:$F$19,'vre plants'!$G$2:$G$19,'scenario analysis'!N29,'vre plants'!$C$2:$C$19,"multi c-Si")</f>
        <v>0</v>
      </c>
      <c r="Q29" s="33">
        <f>SUMIFS('vre plants'!$F$2:$F$19, 'vre plants'!$G$2:$G$19, 'scenario analysis'!N29, 'vre plants'!$C$2:$C$19, "mono c-Si")</f>
        <v>0</v>
      </c>
      <c r="R29" s="33">
        <f>SUMIFS('vre plants'!$F$2:$F$19,'vre plants'!$G$2:$G$19,'scenario analysis'!N29,'vre plants'!$C$2:$C$19,"thin film")</f>
        <v>0</v>
      </c>
    </row>
    <row r="30" spans="1:18">
      <c r="C30" s="136" t="e">
        <f t="array" ref="C30">SUM(B5:B25*C5:C25)</f>
        <v>#N/A</v>
      </c>
      <c r="D30" t="e">
        <f t="array" ref="D30">SUM(B5:B25*D5:D25)</f>
        <v>#N/A</v>
      </c>
      <c r="H30" s="120" t="str">
        <f t="array" ref="H30">IFERROR(INDEX(#REF!, MATCH(0, COUNTIF($H$4:H29,#REF!), 0)), "")</f>
        <v/>
      </c>
      <c r="I30" s="33">
        <f>SUMIFS('vre plants'!$F$2:$F$31,'vre plants'!$G$2:$G$31,'scenario analysis'!H30)+SUMIFS(storage!$E$2:$E$75,storage!$I$2:$I$75,'scenario analysis'!H30)+SUMIFS(EV_aggregator!$E$2:$E$75,EV_aggregator!$I$2:$I$75,'scenario analysis'!H30)+SUMIF('non-vre plants'!G2:G2,H30,'non-vre plants'!F2:F2)</f>
        <v>0</v>
      </c>
      <c r="J30" s="33">
        <f>SUMIF('demand centres'!$C$1:$C$50,'scenario analysis'!H30,'demand centres'!$B$1:$B$50)</f>
        <v>0</v>
      </c>
      <c r="K30" s="33" t="e">
        <f t="array" ref="K30">SUMIF('existing transmission'!#REF!,H30, 'existing transmission'!$G$2:$G$52)+SUMIF('existing transmission'!#REF!,H30, 'existing transmission'!$G$2:$G$52)</f>
        <v>#REF!</v>
      </c>
      <c r="L30" s="87" t="e">
        <f t="array" ref="L30">SUMIF('existing transmission'!#REF!,H30, 'existing transmission'!$K$2:$K$52)+SUMIF('existing transmission'!#REF!,H30, 'existing transmission'!$K$2:$K$52)</f>
        <v>#REF!</v>
      </c>
      <c r="M30" s="16"/>
      <c r="N30" s="142" t="str">
        <f t="array" ref="N30">IFERROR(INDEX(#REF!, MATCH(0, COUNTIF($N$4:N29,#REF!), 0)), "")</f>
        <v/>
      </c>
      <c r="O30" s="128">
        <f>SUMIFS('vre plants'!$F$2:$F$19, 'vre plants'!$G$2:$G$19, 'scenario analysis'!N30, 'vre plants'!$C$2:$C$19, "wind_onshore") +SUMIFS('vre plants'!$F$2:$F$19, 'vre plants'!$G$2:$G$19, 'scenario analysis'!N30, 'vre plants'!$C$2:$C$19,"wind_offshore")</f>
        <v>0</v>
      </c>
      <c r="P30" s="129">
        <f>SUMIFS('vre plants'!$F$2:$F$19,'vre plants'!$G$2:$G$19,'scenario analysis'!N30,'vre plants'!$C$2:$C$19,"multi c-Si")</f>
        <v>0</v>
      </c>
      <c r="Q30" s="33">
        <f>SUMIFS('vre plants'!$F$2:$F$19, 'vre plants'!$G$2:$G$19, 'scenario analysis'!N30, 'vre plants'!$C$2:$C$19, "mono c-Si")</f>
        <v>0</v>
      </c>
      <c r="R30" s="33">
        <f>SUMIFS('vre plants'!$F$2:$F$19,'vre plants'!$G$2:$G$19,'scenario analysis'!N30,'vre plants'!$C$2:$C$19,"thin film")</f>
        <v>0</v>
      </c>
    </row>
    <row r="31" spans="1:18">
      <c r="C31">
        <v>24470</v>
      </c>
      <c r="D31">
        <v>16022.542122040073</v>
      </c>
      <c r="H31" s="120" t="str">
        <f t="array" ref="H31">IFERROR(INDEX(#REF!, MATCH(0, COUNTIF($H$4:H30,#REF!), 0)), "")</f>
        <v/>
      </c>
      <c r="I31" s="33">
        <f>SUMIFS('vre plants'!$F$2:$F$31,'vre plants'!$G$2:$G$31,'scenario analysis'!H31)+SUMIFS(storage!$E$2:$E$75,storage!$I$2:$I$75,'scenario analysis'!H31)+SUMIFS(EV_aggregator!$E$2:$E$75,EV_aggregator!$I$2:$I$75,'scenario analysis'!H31)+SUMIF('non-vre plants'!G2:G2,H31,'non-vre plants'!F2:F2)</f>
        <v>0</v>
      </c>
      <c r="J31" s="33">
        <f>SUMIF('demand centres'!$C$1:$C$50,'scenario analysis'!H31,'demand centres'!$B$1:$B$50)</f>
        <v>0</v>
      </c>
      <c r="K31" s="33" t="e">
        <f t="array" ref="K31">SUMIF('existing transmission'!#REF!,H31, 'existing transmission'!$G$2:$G$52)+SUMIF('existing transmission'!#REF!,H31, 'existing transmission'!$G$2:$G$52)</f>
        <v>#REF!</v>
      </c>
      <c r="L31" s="87" t="e">
        <f t="array" ref="L31">SUMIF('existing transmission'!#REF!,H31, 'existing transmission'!$K$2:$K$52)+SUMIF('existing transmission'!#REF!,H31, 'existing transmission'!$K$2:$K$52)</f>
        <v>#REF!</v>
      </c>
      <c r="M31" s="16"/>
      <c r="N31" s="142" t="str">
        <f t="array" ref="N31">IFERROR(INDEX(#REF!, MATCH(0, COUNTIF($N$4:N30,#REF!), 0)), "")</f>
        <v/>
      </c>
      <c r="O31" s="128">
        <f>SUMIFS('vre plants'!$F$2:$F$19, 'vre plants'!$G$2:$G$19, 'scenario analysis'!N31, 'vre plants'!$C$2:$C$19, "wind_onshore") +SUMIFS('vre plants'!$F$2:$F$19, 'vre plants'!$G$2:$G$19, 'scenario analysis'!N31, 'vre plants'!$C$2:$C$19,"wind_offshore")</f>
        <v>0</v>
      </c>
      <c r="P31" s="129">
        <f>SUMIFS('vre plants'!$F$2:$F$19,'vre plants'!$G$2:$G$19,'scenario analysis'!N31,'vre plants'!$C$2:$C$19,"multi c-Si")</f>
        <v>0</v>
      </c>
      <c r="Q31" s="33">
        <f>SUMIFS('vre plants'!$F$2:$F$19, 'vre plants'!$G$2:$G$19, 'scenario analysis'!N31, 'vre plants'!$C$2:$C$19, "mono c-Si")</f>
        <v>0</v>
      </c>
      <c r="R31" s="33">
        <f>SUMIFS('vre plants'!$F$2:$F$19,'vre plants'!$G$2:$G$19,'scenario analysis'!N31,'vre plants'!$C$2:$C$19,"thin film")</f>
        <v>0</v>
      </c>
    </row>
    <row r="32" spans="1:18">
      <c r="C32" s="168" t="e">
        <f>C30/C31</f>
        <v>#N/A</v>
      </c>
      <c r="D32" s="53" t="e">
        <f>D30/D31</f>
        <v>#N/A</v>
      </c>
      <c r="E32" s="53"/>
      <c r="F32" s="53"/>
      <c r="H32" s="120" t="str">
        <f t="array" ref="H32">IFERROR(INDEX(#REF!, MATCH(0, COUNTIF($H$4:H31,#REF!), 0)), "")</f>
        <v/>
      </c>
      <c r="I32" s="166" t="e">
        <f>SUMIF('non-vre plants'!#REF!,H32,'non-vre plants'!#REF!)</f>
        <v>#REF!</v>
      </c>
      <c r="J32" s="33">
        <f>SUMIF('demand centres'!$C$1:$C$50,'scenario analysis'!H32,'demand centres'!$B$1:$B$50)</f>
        <v>0</v>
      </c>
      <c r="K32" s="33" t="e">
        <f t="array" ref="K32">SUMIF('existing transmission'!#REF!,H32, 'existing transmission'!$G$2:$G$52)+SUMIF('existing transmission'!#REF!,H32, 'existing transmission'!$G$2:$G$52)</f>
        <v>#REF!</v>
      </c>
      <c r="L32" s="87" t="e">
        <f t="array" ref="L32">SUMIF('existing transmission'!#REF!,H32, 'existing transmission'!$K$2:$K$52)+SUMIF('existing transmission'!#REF!,H32, 'existing transmission'!$K$2:$K$52)</f>
        <v>#REF!</v>
      </c>
      <c r="M32" s="16"/>
      <c r="N32" s="142" t="str">
        <f t="array" ref="N32">IFERROR(INDEX(#REF!, MATCH(0, COUNTIF($N$4:N31,#REF!), 0)), "")</f>
        <v/>
      </c>
      <c r="O32" s="128">
        <f>SUMIFS('vre plants'!$F$2:$F$19, 'vre plants'!$G$2:$G$19, 'scenario analysis'!N32, 'vre plants'!$C$2:$C$19, "wind_onshore") +SUMIFS('vre plants'!$F$2:$F$19, 'vre plants'!$G$2:$G$19, 'scenario analysis'!N32, 'vre plants'!$C$2:$C$19,"wind_offshore")</f>
        <v>0</v>
      </c>
      <c r="P32" s="129">
        <f>SUMIFS('vre plants'!$F$2:$F$19,'vre plants'!$G$2:$G$19,'scenario analysis'!N32,'vre plants'!$C$2:$C$19,"multi c-Si")</f>
        <v>0</v>
      </c>
      <c r="Q32" s="33">
        <f>SUMIFS('vre plants'!$F$2:$F$19, 'vre plants'!$G$2:$G$19, 'scenario analysis'!N32, 'vre plants'!$C$2:$C$19, "mono c-Si")</f>
        <v>0</v>
      </c>
      <c r="R32" s="33">
        <f>SUMIFS('vre plants'!$F$2:$F$19,'vre plants'!$G$2:$G$19,'scenario analysis'!N32,'vre plants'!$C$2:$C$19,"thin film")</f>
        <v>0</v>
      </c>
    </row>
    <row r="33" spans="3:18">
      <c r="C33" s="37"/>
      <c r="D33" s="53"/>
      <c r="E33" s="53"/>
      <c r="F33" s="53"/>
      <c r="H33" s="120" t="str">
        <f t="array" ref="H33">IFERROR(INDEX(#REF!, MATCH(0, COUNTIF($H$4:H32,#REF!), 0)), "")</f>
        <v/>
      </c>
      <c r="I33" s="33">
        <f>SUMIFS('vre plants'!$F$2:$F$31,'vre plants'!$G$2:$G$31,'scenario analysis'!H33)+SUMIFS(storage!$E$2:$E$75,storage!$I$2:$I$75,'scenario analysis'!H33)+SUMIFS(EV_aggregator!$E$2:$E$75,EV_aggregator!$I$2:$I$75,'scenario analysis'!H33)+SUMIF('non-vre plants'!G2:G2,H33,'non-vre plants'!F2:F2)</f>
        <v>0</v>
      </c>
      <c r="J33" s="33">
        <f>SUMIF('demand centres'!$C$1:$C$50,'scenario analysis'!H33,'demand centres'!$B$1:$B$50)</f>
        <v>0</v>
      </c>
      <c r="K33" s="33" t="e">
        <f t="array" ref="K33">SUMIF('existing transmission'!#REF!,H33, 'existing transmission'!$G$2:$G$52)+SUMIF('existing transmission'!#REF!,H33, 'existing transmission'!$G$2:$G$52)</f>
        <v>#REF!</v>
      </c>
      <c r="L33" s="87" t="e">
        <f t="array" ref="L33">SUMIF('existing transmission'!#REF!,H33, 'existing transmission'!$K$2:$K$52)+SUMIF('existing transmission'!#REF!,H33, 'existing transmission'!$K$2:$K$52)</f>
        <v>#REF!</v>
      </c>
      <c r="N33" s="142" t="str">
        <f t="array" ref="N33">IFERROR(INDEX(#REF!, MATCH(0, COUNTIF($N$4:N32,#REF!), 0)), "")</f>
        <v/>
      </c>
      <c r="O33" s="128">
        <f>SUMIFS('vre plants'!$F$2:$F$19, 'vre plants'!$G$2:$G$19, 'scenario analysis'!N33, 'vre plants'!$C$2:$C$19, "wind_onshore") +SUMIFS('vre plants'!$F$2:$F$19, 'vre plants'!$G$2:$G$19, 'scenario analysis'!N33, 'vre plants'!$C$2:$C$19,"wind_offshore")</f>
        <v>0</v>
      </c>
      <c r="P33" s="129">
        <f>SUMIFS('vre plants'!$F$2:$F$19,'vre plants'!$G$2:$G$19,'scenario analysis'!N33,'vre plants'!$C$2:$C$19,"multi c-Si")</f>
        <v>0</v>
      </c>
      <c r="Q33" s="33">
        <f>SUMIFS('vre plants'!$F$2:$F$19, 'vre plants'!$G$2:$G$19, 'scenario analysis'!N33, 'vre plants'!$C$2:$C$19, "mono c-Si")</f>
        <v>0</v>
      </c>
      <c r="R33" s="33">
        <f>SUMIFS('vre plants'!$F$2:$F$19,'vre plants'!$G$2:$G$19,'scenario analysis'!N33,'vre plants'!$C$2:$C$19,"thin film")</f>
        <v>0</v>
      </c>
    </row>
    <row r="34" spans="3:18">
      <c r="C34" s="37"/>
      <c r="H34" s="120" t="str">
        <f t="array" ref="H34">IFERROR(INDEX(#REF!, MATCH(0, COUNTIF($H$4:H33,#REF!), 0)), "")</f>
        <v/>
      </c>
      <c r="I34" s="33">
        <f>SUMIFS('vre plants'!$F$2:$F$31,'vre plants'!$G$2:$G$31,'scenario analysis'!H34)+SUMIFS(storage!$E$2:$E$75,storage!$I$2:$I$75,'scenario analysis'!H34)+SUMIFS(EV_aggregator!$E$2:$E$75,EV_aggregator!$I$2:$I$75,'scenario analysis'!H34)+SUMIF('non-vre plants'!G2:G2,H34,'non-vre plants'!F2:F2)</f>
        <v>0</v>
      </c>
      <c r="J34" s="33">
        <f>SUMIF('demand centres'!$C$1:$C$50,'scenario analysis'!H34,'demand centres'!$B$1:$B$50)</f>
        <v>0</v>
      </c>
      <c r="K34" s="33" t="e">
        <f t="array" ref="K34">SUMIF('existing transmission'!#REF!,H34, 'existing transmission'!$G$2:$G$52)+SUMIF('existing transmission'!#REF!,H34, 'existing transmission'!$G$2:$G$52)</f>
        <v>#REF!</v>
      </c>
      <c r="L34" s="87" t="e">
        <f t="array" ref="L34">SUMIF('existing transmission'!#REF!,H34, 'existing transmission'!$K$2:$K$52)+SUMIF('existing transmission'!#REF!,H34, 'existing transmission'!$K$2:$K$52)</f>
        <v>#REF!</v>
      </c>
      <c r="N34" s="142" t="str">
        <f t="array" ref="N34">IFERROR(INDEX(#REF!, MATCH(0, COUNTIF($N$4:N33,#REF!), 0)), "")</f>
        <v/>
      </c>
      <c r="O34" s="128">
        <f>SUMIFS('vre plants'!$F$2:$F$19, 'vre plants'!$G$2:$G$19, 'scenario analysis'!N34, 'vre plants'!$C$2:$C$19, "wind_onshore") +SUMIFS('vre plants'!$F$2:$F$19, 'vre plants'!$G$2:$G$19, 'scenario analysis'!N34, 'vre plants'!$C$2:$C$19,"wind_offshore")</f>
        <v>0</v>
      </c>
      <c r="P34" s="129">
        <f>SUMIFS('vre plants'!$F$2:$F$19,'vre plants'!$G$2:$G$19,'scenario analysis'!N34,'vre plants'!$C$2:$C$19,"multi c-Si")</f>
        <v>0</v>
      </c>
      <c r="Q34" s="33">
        <f>SUMIFS('vre plants'!$F$2:$F$19, 'vre plants'!$G$2:$G$19, 'scenario analysis'!N34, 'vre plants'!$C$2:$C$19, "mono c-Si")</f>
        <v>0</v>
      </c>
      <c r="R34" s="33">
        <f>SUMIFS('vre plants'!$F$2:$F$19,'vre plants'!$G$2:$G$19,'scenario analysis'!N34,'vre plants'!$C$2:$C$19,"thin film")</f>
        <v>0</v>
      </c>
    </row>
    <row r="35" spans="3:18">
      <c r="C35" s="37"/>
      <c r="H35" s="120" t="str">
        <f t="array" ref="H35">IFERROR(INDEX(#REF!, MATCH(0, COUNTIF($H$4:H34,#REF!), 0)), "")</f>
        <v/>
      </c>
      <c r="I35" s="166" t="e">
        <f>SUMIF('non-vre plants'!#REF!,H35,'non-vre plants'!#REF!)</f>
        <v>#REF!</v>
      </c>
      <c r="J35" s="33">
        <f>SUMIF('demand centres'!$C$1:$C$50,'scenario analysis'!H35,'demand centres'!$B$1:$B$50)</f>
        <v>0</v>
      </c>
      <c r="K35" s="33" t="e">
        <f t="array" ref="K35">SUMIF('existing transmission'!#REF!,H35, 'existing transmission'!$G$2:$G$52)+SUMIF('existing transmission'!#REF!,H35, 'existing transmission'!$G$2:$G$52)</f>
        <v>#REF!</v>
      </c>
      <c r="L35" s="87" t="e">
        <f t="array" ref="L35">SUMIF('existing transmission'!#REF!,H35, 'existing transmission'!$K$2:$K$52)+SUMIF('existing transmission'!#REF!,H35, 'existing transmission'!$K$2:$K$52)</f>
        <v>#REF!</v>
      </c>
      <c r="N35" s="142" t="str">
        <f t="array" ref="N35">IFERROR(INDEX(#REF!, MATCH(0, COUNTIF($N$4:N34,#REF!), 0)), "")</f>
        <v/>
      </c>
      <c r="O35" s="128">
        <f>SUMIFS('vre plants'!$F$2:$F$19, 'vre plants'!$G$2:$G$19, 'scenario analysis'!N35, 'vre plants'!$C$2:$C$19, "wind_onshore") +SUMIFS('vre plants'!$F$2:$F$19, 'vre plants'!$G$2:$G$19, 'scenario analysis'!N35, 'vre plants'!$C$2:$C$19,"wind_offshore")</f>
        <v>0</v>
      </c>
      <c r="P35" s="129">
        <f>SUMIFS('vre plants'!$F$2:$F$19,'vre plants'!$G$2:$G$19,'scenario analysis'!N35,'vre plants'!$C$2:$C$19,"multi c-Si")</f>
        <v>0</v>
      </c>
      <c r="Q35" s="33">
        <f>SUMIFS('vre plants'!$F$2:$F$19, 'vre plants'!$G$2:$G$19, 'scenario analysis'!N35, 'vre plants'!$C$2:$C$19, "mono c-Si")</f>
        <v>0</v>
      </c>
      <c r="R35" s="33">
        <f>SUMIFS('vre plants'!$F$2:$F$19,'vre plants'!$G$2:$G$19,'scenario analysis'!N35,'vre plants'!$C$2:$C$19,"thin film")</f>
        <v>0</v>
      </c>
    </row>
    <row r="36" spans="3:18">
      <c r="C36" s="37"/>
      <c r="H36" s="120" t="str">
        <f t="array" ref="H36">IFERROR(INDEX(#REF!, MATCH(0, COUNTIF($H$4:H35,#REF!), 0)), "")</f>
        <v/>
      </c>
      <c r="I36" s="33">
        <f>SUMIFS('vre plants'!$F$2:$F$31,'vre plants'!$G$2:$G$31,'scenario analysis'!H36)+SUMIFS(storage!$E$2:$E$75,storage!$I$2:$I$75,'scenario analysis'!H36)+SUMIFS(EV_aggregator!$E$2:$E$75,EV_aggregator!$I$2:$I$75,'scenario analysis'!H36)+SUMIF('non-vre plants'!G2:G2,H36,'non-vre plants'!F2:F2)</f>
        <v>0</v>
      </c>
      <c r="J36" s="33">
        <f>SUMIF('demand centres'!$C$1:$C$50,'scenario analysis'!H36,'demand centres'!$B$1:$B$50)</f>
        <v>0</v>
      </c>
      <c r="K36" s="33" t="e">
        <f t="array" ref="K36">SUMIF('existing transmission'!#REF!,H36, 'existing transmission'!$G$2:$G$52)+SUMIF('existing transmission'!#REF!,H36, 'existing transmission'!$G$2:$G$52)</f>
        <v>#REF!</v>
      </c>
      <c r="L36" s="87" t="e">
        <f t="array" ref="L36">SUMIF('existing transmission'!#REF!,H36, 'existing transmission'!$K$2:$K$52)+SUMIF('existing transmission'!#REF!,H36, 'existing transmission'!$K$2:$K$52)</f>
        <v>#REF!</v>
      </c>
      <c r="N36" s="142" t="str">
        <f t="array" ref="N36">IFERROR(INDEX(#REF!, MATCH(0, COUNTIF($N$4:N35,#REF!), 0)), "")</f>
        <v/>
      </c>
      <c r="O36" s="128">
        <f>SUMIFS('vre plants'!$F$2:$F$19, 'vre plants'!$G$2:$G$19, 'scenario analysis'!N36, 'vre plants'!$C$2:$C$19, "wind_onshore") +SUMIFS('vre plants'!$F$2:$F$19, 'vre plants'!$G$2:$G$19, 'scenario analysis'!N36, 'vre plants'!$C$2:$C$19,"wind_offshore")</f>
        <v>0</v>
      </c>
      <c r="P36" s="129">
        <f>SUMIFS('vre plants'!$F$2:$F$19,'vre plants'!$G$2:$G$19,'scenario analysis'!N36,'vre plants'!$C$2:$C$19,"multi c-Si")</f>
        <v>0</v>
      </c>
      <c r="Q36" s="33">
        <f>SUMIFS('vre plants'!$F$2:$F$19, 'vre plants'!$G$2:$G$19, 'scenario analysis'!N36, 'vre plants'!$C$2:$C$19, "mono c-Si")</f>
        <v>0</v>
      </c>
      <c r="R36" s="33">
        <f>SUMIFS('vre plants'!$F$2:$F$19,'vre plants'!$G$2:$G$19,'scenario analysis'!N36,'vre plants'!$C$2:$C$19,"thin film")</f>
        <v>0</v>
      </c>
    </row>
    <row r="37" spans="3:18">
      <c r="C37" s="37"/>
      <c r="H37" s="120" t="str">
        <f t="array" ref="H37">IFERROR(INDEX(#REF!, MATCH(0, COUNTIF($H$4:H36,#REF!), 0)), "")</f>
        <v/>
      </c>
      <c r="I37" s="166" t="e">
        <f>SUMIF('non-vre plants'!#REF!,H37,'non-vre plants'!#REF!)</f>
        <v>#REF!</v>
      </c>
      <c r="J37" s="33">
        <f>SUMIF('demand centres'!$C$1:$C$50,'scenario analysis'!H37,'demand centres'!$B$1:$B$50)</f>
        <v>0</v>
      </c>
      <c r="K37" s="33" t="e">
        <f t="array" ref="K37">SUMIF('existing transmission'!#REF!,H37, 'existing transmission'!$G$2:$G$52)+SUMIF('existing transmission'!#REF!,H37, 'existing transmission'!$G$2:$G$52)</f>
        <v>#REF!</v>
      </c>
      <c r="L37" s="87" t="e">
        <f t="array" ref="L37">SUMIF('existing transmission'!#REF!,H37, 'existing transmission'!$K$2:$K$52)+SUMIF('existing transmission'!#REF!,H37, 'existing transmission'!$K$2:$K$52)</f>
        <v>#REF!</v>
      </c>
      <c r="N37" s="142" t="str">
        <f t="array" ref="N37">IFERROR(INDEX(#REF!, MATCH(0, COUNTIF($N$4:N36,#REF!), 0)), "")</f>
        <v/>
      </c>
      <c r="O37" s="128">
        <f>SUMIFS('vre plants'!$F$2:$F$19, 'vre plants'!$G$2:$G$19, 'scenario analysis'!N37, 'vre plants'!$C$2:$C$19, "wind_onshore") +SUMIFS('vre plants'!$F$2:$F$19, 'vre plants'!$G$2:$G$19, 'scenario analysis'!N37, 'vre plants'!$C$2:$C$19,"wind_offshore")</f>
        <v>0</v>
      </c>
      <c r="P37" s="129">
        <f>SUMIFS('vre plants'!$F$2:$F$19,'vre plants'!$G$2:$G$19,'scenario analysis'!N37,'vre plants'!$C$2:$C$19,"multi c-Si")</f>
        <v>0</v>
      </c>
      <c r="Q37" s="33">
        <f>SUMIFS('vre plants'!$F$2:$F$19, 'vre plants'!$G$2:$G$19, 'scenario analysis'!N37, 'vre plants'!$C$2:$C$19, "mono c-Si")</f>
        <v>0</v>
      </c>
      <c r="R37" s="33">
        <f>SUMIFS('vre plants'!$F$2:$F$19,'vre plants'!$G$2:$G$19,'scenario analysis'!N37,'vre plants'!$C$2:$C$19,"thin film")</f>
        <v>0</v>
      </c>
    </row>
    <row r="38" spans="3:18">
      <c r="H38" s="120" t="str">
        <f t="array" ref="H38">IFERROR(INDEX(#REF!, MATCH(0, COUNTIF($H$4:H37,#REF!), 0)), "")</f>
        <v/>
      </c>
      <c r="I38" s="166" t="e">
        <f>SUMIF('non-vre plants'!#REF!,H38,'non-vre plants'!#REF!)</f>
        <v>#REF!</v>
      </c>
      <c r="J38" s="33">
        <f>SUMIF('demand centres'!$C$1:$C$50,'scenario analysis'!H38,'demand centres'!$B$1:$B$50)</f>
        <v>0</v>
      </c>
      <c r="K38" s="33" t="e">
        <f t="array" ref="K38">SUMIF('existing transmission'!#REF!,H38, 'existing transmission'!$G$2:$G$52)+SUMIF('existing transmission'!#REF!,H38, 'existing transmission'!$G$2:$G$52)</f>
        <v>#REF!</v>
      </c>
      <c r="L38" s="87" t="e">
        <f t="array" ref="L38">SUMIF('existing transmission'!#REF!,H38, 'existing transmission'!$K$2:$K$52)+SUMIF('existing transmission'!#REF!,H38, 'existing transmission'!$K$2:$K$52)</f>
        <v>#REF!</v>
      </c>
      <c r="N38" s="142" t="str">
        <f t="array" ref="N38">IFERROR(INDEX(#REF!, MATCH(0, COUNTIF($N$4:N37,#REF!), 0)), "")</f>
        <v/>
      </c>
      <c r="O38" s="128">
        <f>SUMIFS('vre plants'!$F$2:$F$19, 'vre plants'!$G$2:$G$19, 'scenario analysis'!N38, 'vre plants'!$C$2:$C$19, "wind_onshore") +SUMIFS('vre plants'!$F$2:$F$19, 'vre plants'!$G$2:$G$19, 'scenario analysis'!N38, 'vre plants'!$C$2:$C$19,"wind_offshore")</f>
        <v>0</v>
      </c>
      <c r="P38" s="129">
        <f>SUMIFS('vre plants'!$F$2:$F$19,'vre plants'!$G$2:$G$19,'scenario analysis'!N38,'vre plants'!$C$2:$C$19,"multi c-Si")</f>
        <v>0</v>
      </c>
      <c r="Q38" s="33">
        <f>SUMIFS('vre plants'!$F$2:$F$19, 'vre plants'!$G$2:$G$19, 'scenario analysis'!N38, 'vre plants'!$C$2:$C$19, "mono c-Si")</f>
        <v>0</v>
      </c>
      <c r="R38" s="33">
        <f>SUMIFS('vre plants'!$F$2:$F$19,'vre plants'!$G$2:$G$19,'scenario analysis'!N38,'vre plants'!$C$2:$C$19,"thin film")</f>
        <v>0</v>
      </c>
    </row>
    <row r="39" spans="3:18">
      <c r="H39" s="120" t="str">
        <f t="array" ref="H39">IFERROR(INDEX(#REF!, MATCH(0, COUNTIF($H$4:H38,#REF!), 0)), "")</f>
        <v/>
      </c>
      <c r="I39" s="166" t="e">
        <f>SUMIF('non-vre plants'!#REF!,H39,'non-vre plants'!#REF!)</f>
        <v>#REF!</v>
      </c>
      <c r="J39" s="33">
        <f>SUMIF('demand centres'!$C$1:$C$50,'scenario analysis'!H39,'demand centres'!$B$1:$B$50)</f>
        <v>0</v>
      </c>
      <c r="K39" s="33" t="e">
        <f t="array" ref="K39">SUMIF('existing transmission'!#REF!,H39, 'existing transmission'!$G$2:$G$52)+SUMIF('existing transmission'!#REF!,H39, 'existing transmission'!$G$2:$G$52)</f>
        <v>#REF!</v>
      </c>
      <c r="L39" s="87" t="e">
        <f t="array" ref="L39">SUMIF('existing transmission'!#REF!,H39, 'existing transmission'!$K$2:$K$52)+SUMIF('existing transmission'!#REF!,H39, 'existing transmission'!$K$2:$K$52)</f>
        <v>#REF!</v>
      </c>
      <c r="N39" s="142" t="str">
        <f t="array" ref="N39">IFERROR(INDEX(#REF!, MATCH(0, COUNTIF($N$4:N38,#REF!), 0)), "")</f>
        <v/>
      </c>
      <c r="O39" s="128">
        <f>SUMIFS('vre plants'!$F$2:$F$19, 'vre plants'!$G$2:$G$19, 'scenario analysis'!N39, 'vre plants'!$C$2:$C$19, "wind_onshore") +SUMIFS('vre plants'!$F$2:$F$19, 'vre plants'!$G$2:$G$19, 'scenario analysis'!N39, 'vre plants'!$C$2:$C$19,"wind_offshore")</f>
        <v>0</v>
      </c>
      <c r="P39" s="129">
        <f>SUMIFS('vre plants'!$F$2:$F$19,'vre plants'!$G$2:$G$19,'scenario analysis'!N39,'vre plants'!$C$2:$C$19,"multi c-Si")</f>
        <v>0</v>
      </c>
      <c r="Q39" s="33">
        <f>SUMIFS('vre plants'!$F$2:$F$19, 'vre plants'!$G$2:$G$19, 'scenario analysis'!N39, 'vre plants'!$C$2:$C$19, "mono c-Si")</f>
        <v>0</v>
      </c>
      <c r="R39" s="33">
        <f>SUMIFS('vre plants'!$F$2:$F$19,'vre plants'!$G$2:$G$19,'scenario analysis'!N39,'vre plants'!$C$2:$C$19,"thin film")</f>
        <v>0</v>
      </c>
    </row>
    <row r="40" spans="3:18">
      <c r="H40" s="120" t="str">
        <f t="array" ref="H40">IFERROR(INDEX(#REF!, MATCH(0, COUNTIF($H$4:H39,#REF!), 0)), "")</f>
        <v/>
      </c>
      <c r="I40" s="166" t="e">
        <f>SUMIF('non-vre plants'!#REF!,H40,'non-vre plants'!#REF!)</f>
        <v>#REF!</v>
      </c>
      <c r="J40" s="33">
        <f>SUMIF('demand centres'!$C$1:$C$50,'scenario analysis'!H40,'demand centres'!$B$1:$B$50)</f>
        <v>0</v>
      </c>
      <c r="K40" s="33" t="e">
        <f t="array" ref="K40">SUMIF('existing transmission'!#REF!,H40, 'existing transmission'!$G$2:$G$52)+SUMIF('existing transmission'!#REF!,H40, 'existing transmission'!$G$2:$G$52)</f>
        <v>#REF!</v>
      </c>
      <c r="L40" s="87" t="e">
        <f t="array" ref="L40">SUMIF('existing transmission'!#REF!,H40, 'existing transmission'!$K$2:$K$52)+SUMIF('existing transmission'!#REF!,H40, 'existing transmission'!$K$2:$K$52)</f>
        <v>#REF!</v>
      </c>
      <c r="N40" s="142" t="str">
        <f t="array" ref="N40">IFERROR(INDEX(#REF!, MATCH(0, COUNTIF($N$4:N39,#REF!), 0)), "")</f>
        <v/>
      </c>
      <c r="O40" s="128">
        <f>SUMIFS('vre plants'!$F$2:$F$19, 'vre plants'!$G$2:$G$19, 'scenario analysis'!N40, 'vre plants'!$C$2:$C$19, "wind_onshore") +SUMIFS('vre plants'!$F$2:$F$19, 'vre plants'!$G$2:$G$19, 'scenario analysis'!N40, 'vre plants'!$C$2:$C$19,"wind_offshore")</f>
        <v>0</v>
      </c>
      <c r="P40" s="129">
        <f>SUMIFS('vre plants'!$F$2:$F$19,'vre plants'!$G$2:$G$19,'scenario analysis'!N40,'vre plants'!$C$2:$C$19,"multi c-Si")</f>
        <v>0</v>
      </c>
      <c r="Q40" s="33">
        <f>SUMIFS('vre plants'!$F$2:$F$19, 'vre plants'!$G$2:$G$19, 'scenario analysis'!N40, 'vre plants'!$C$2:$C$19, "mono c-Si")</f>
        <v>0</v>
      </c>
      <c r="R40" s="33">
        <f>SUMIFS('vre plants'!$F$2:$F$19,'vre plants'!$G$2:$G$19,'scenario analysis'!N40,'vre plants'!$C$2:$C$19,"thin film")</f>
        <v>0</v>
      </c>
    </row>
    <row r="41" spans="3:18">
      <c r="H41" s="120" t="str">
        <f t="array" ref="H41">IFERROR(INDEX(#REF!, MATCH(0, COUNTIF($H$4:H40,#REF!), 0)), "")</f>
        <v/>
      </c>
      <c r="I41" s="33">
        <f>SUMIFS('vre plants'!$F$2:$F$31,'vre plants'!$G$2:$G$31,'scenario analysis'!H41)+SUMIFS(storage!$E$2:$E$75,storage!$I$2:$I$75,'scenario analysis'!H41)+SUMIFS(EV_aggregator!$E$2:$E$75,EV_aggregator!$I$2:$I$75,'scenario analysis'!H41)+SUMIF('non-vre plants'!G2:G2,H41,'non-vre plants'!F2:F2)</f>
        <v>0</v>
      </c>
      <c r="J41" s="33">
        <f>SUMIF('demand centres'!$C$1:$C$50,'scenario analysis'!H41,'demand centres'!$B$1:$B$50)</f>
        <v>0</v>
      </c>
      <c r="K41" s="33" t="e">
        <f t="array" ref="K41">SUMIF('existing transmission'!#REF!,H41, 'existing transmission'!$G$2:$G$52)+SUMIF('existing transmission'!#REF!,H41, 'existing transmission'!$G$2:$G$52)</f>
        <v>#REF!</v>
      </c>
      <c r="L41" s="87" t="e">
        <f t="array" ref="L41">SUMIF('existing transmission'!#REF!,H41, 'existing transmission'!$K$2:$K$52)+SUMIF('existing transmission'!#REF!,H41, 'existing transmission'!$K$2:$K$52)</f>
        <v>#REF!</v>
      </c>
      <c r="N41" s="142" t="str">
        <f t="array" ref="N41">IFERROR(INDEX(#REF!, MATCH(0, COUNTIF($N$4:N40,#REF!), 0)), "")</f>
        <v/>
      </c>
      <c r="O41" s="128">
        <f>SUMIFS('vre plants'!$F$2:$F$19, 'vre plants'!$G$2:$G$19, 'scenario analysis'!N41, 'vre plants'!$C$2:$C$19, "wind_onshore") +SUMIFS('vre plants'!$F$2:$F$19, 'vre plants'!$G$2:$G$19, 'scenario analysis'!N41, 'vre plants'!$C$2:$C$19,"wind_offshore")</f>
        <v>0</v>
      </c>
      <c r="P41" s="129">
        <f>SUMIFS('vre plants'!$F$2:$F$19,'vre plants'!$G$2:$G$19,'scenario analysis'!N41,'vre plants'!$C$2:$C$19,"multi c-Si")</f>
        <v>0</v>
      </c>
      <c r="Q41" s="33">
        <f>SUMIFS('vre plants'!$F$2:$F$19, 'vre plants'!$G$2:$G$19, 'scenario analysis'!N41, 'vre plants'!$C$2:$C$19, "mono c-Si")</f>
        <v>0</v>
      </c>
      <c r="R41" s="33">
        <f>SUMIFS('vre plants'!$F$2:$F$19,'vre plants'!$G$2:$G$19,'scenario analysis'!N41,'vre plants'!$C$2:$C$19,"thin film")</f>
        <v>0</v>
      </c>
    </row>
    <row r="42" spans="3:18">
      <c r="H42" s="120" t="str">
        <f t="array" ref="H42">IFERROR(INDEX(#REF!, MATCH(0, COUNTIF($H$4:H41,#REF!), 0)), "")</f>
        <v/>
      </c>
      <c r="I42" s="166" t="e">
        <f>SUMIF('non-vre plants'!#REF!,H42,'non-vre plants'!#REF!)</f>
        <v>#REF!</v>
      </c>
      <c r="J42" s="33">
        <f>SUMIF('demand centres'!$C$1:$C$50,'scenario analysis'!H42,'demand centres'!$B$1:$B$50)</f>
        <v>0</v>
      </c>
      <c r="K42" s="33" t="e">
        <f t="array" ref="K42">SUMIF('existing transmission'!#REF!,H42, 'existing transmission'!$G$2:$G$52)+SUMIF('existing transmission'!#REF!,H42, 'existing transmission'!$G$2:$G$52)</f>
        <v>#REF!</v>
      </c>
      <c r="L42" s="87" t="e">
        <f t="array" ref="L42">SUMIF('existing transmission'!#REF!,H42, 'existing transmission'!$K$2:$K$52)+SUMIF('existing transmission'!#REF!,H42, 'existing transmission'!$K$2:$K$52)</f>
        <v>#REF!</v>
      </c>
      <c r="N42" s="142" t="str">
        <f t="array" ref="N42">IFERROR(INDEX(#REF!, MATCH(0, COUNTIF($N$4:N41,#REF!), 0)), "")</f>
        <v/>
      </c>
      <c r="O42" s="128">
        <f>SUMIFS('vre plants'!$F$2:$F$19, 'vre plants'!$G$2:$G$19, 'scenario analysis'!N42, 'vre plants'!$C$2:$C$19, "wind_onshore") +SUMIFS('vre plants'!$F$2:$F$19, 'vre plants'!$G$2:$G$19, 'scenario analysis'!N42, 'vre plants'!$C$2:$C$19,"wind_offshore")</f>
        <v>0</v>
      </c>
      <c r="P42" s="129">
        <f>SUMIFS('vre plants'!$F$2:$F$19,'vre plants'!$G$2:$G$19,'scenario analysis'!N42,'vre plants'!$C$2:$C$19,"multi c-Si")</f>
        <v>0</v>
      </c>
      <c r="Q42" s="33">
        <f>SUMIFS('vre plants'!$F$2:$F$19, 'vre plants'!$G$2:$G$19, 'scenario analysis'!N42, 'vre plants'!$C$2:$C$19, "mono c-Si")</f>
        <v>0</v>
      </c>
      <c r="R42" s="33">
        <f>SUMIFS('vre plants'!$F$2:$F$19,'vre plants'!$G$2:$G$19,'scenario analysis'!N42,'vre plants'!$C$2:$C$19,"thin film")</f>
        <v>0</v>
      </c>
    </row>
    <row r="43" spans="3:18">
      <c r="H43" s="120" t="str">
        <f t="array" ref="H43">IFERROR(INDEX(#REF!, MATCH(0, COUNTIF($H$4:H42,#REF!), 0)), "")</f>
        <v/>
      </c>
      <c r="I43" s="166" t="e">
        <f>SUMIF('non-vre plants'!#REF!,H43,'non-vre plants'!#REF!)</f>
        <v>#REF!</v>
      </c>
      <c r="J43" s="33">
        <f>SUMIF('demand centres'!$C$1:$C$50,'scenario analysis'!H43,'demand centres'!$B$1:$B$50)</f>
        <v>0</v>
      </c>
      <c r="K43" s="33" t="e">
        <f t="array" ref="K43">SUMIF('existing transmission'!#REF!,H43, 'existing transmission'!$G$2:$G$52)+SUMIF('existing transmission'!#REF!,H43, 'existing transmission'!$G$2:$G$52)</f>
        <v>#REF!</v>
      </c>
      <c r="L43" s="87" t="e">
        <f t="array" ref="L43">SUMIF('existing transmission'!#REF!,H43, 'existing transmission'!$K$2:$K$52)+SUMIF('existing transmission'!#REF!,H43, 'existing transmission'!$K$2:$K$52)</f>
        <v>#REF!</v>
      </c>
      <c r="N43" s="142" t="str">
        <f t="array" ref="N43">IFERROR(INDEX(#REF!, MATCH(0, COUNTIF($N$4:N42,#REF!), 0)), "")</f>
        <v/>
      </c>
      <c r="O43" s="128">
        <f>SUMIFS('vre plants'!$F$2:$F$19, 'vre plants'!$G$2:$G$19, 'scenario analysis'!N43, 'vre plants'!$C$2:$C$19, "wind_onshore") +SUMIFS('vre plants'!$F$2:$F$19, 'vre plants'!$G$2:$G$19, 'scenario analysis'!N43, 'vre plants'!$C$2:$C$19,"wind_offshore")</f>
        <v>0</v>
      </c>
      <c r="P43" s="129">
        <f>SUMIFS('vre plants'!$F$2:$F$19,'vre plants'!$G$2:$G$19,'scenario analysis'!N43,'vre plants'!$C$2:$C$19,"multi c-Si")</f>
        <v>0</v>
      </c>
      <c r="Q43" s="33">
        <f>SUMIFS('vre plants'!$F$2:$F$19, 'vre plants'!$G$2:$G$19, 'scenario analysis'!N43, 'vre plants'!$C$2:$C$19, "mono c-Si")</f>
        <v>0</v>
      </c>
      <c r="R43" s="33">
        <f>SUMIFS('vre plants'!$F$2:$F$19,'vre plants'!$G$2:$G$19,'scenario analysis'!N43,'vre plants'!$C$2:$C$19,"thin film")</f>
        <v>0</v>
      </c>
    </row>
    <row r="44" spans="3:18">
      <c r="H44" s="120" t="str">
        <f t="array" ref="H44">IFERROR(INDEX(#REF!, MATCH(0, COUNTIF($H$4:H43,#REF!), 0)), "")</f>
        <v/>
      </c>
      <c r="I44" s="166" t="e">
        <f>SUMIF('non-vre plants'!#REF!,H44,'non-vre plants'!#REF!)</f>
        <v>#REF!</v>
      </c>
      <c r="J44" s="33">
        <f>SUMIF('demand centres'!$C$1:$C$50,'scenario analysis'!H44,'demand centres'!$B$1:$B$50)</f>
        <v>0</v>
      </c>
      <c r="K44" s="33" t="e">
        <f t="array" ref="K44">SUMIF('existing transmission'!#REF!,H44, 'existing transmission'!$G$2:$G$52)+SUMIF('existing transmission'!#REF!,H44, 'existing transmission'!$G$2:$G$52)</f>
        <v>#REF!</v>
      </c>
      <c r="L44" s="87" t="e">
        <f t="array" ref="L44">SUMIF('existing transmission'!#REF!,H44, 'existing transmission'!$K$2:$K$52)+SUMIF('existing transmission'!#REF!,H44, 'existing transmission'!$K$2:$K$52)</f>
        <v>#REF!</v>
      </c>
      <c r="N44" s="142" t="str">
        <f t="array" ref="N44">IFERROR(INDEX(#REF!, MATCH(0, COUNTIF($N$4:N43,#REF!), 0)), "")</f>
        <v/>
      </c>
      <c r="O44" s="128">
        <f>SUMIFS('vre plants'!$F$2:$F$19, 'vre plants'!$G$2:$G$19, 'scenario analysis'!N44, 'vre plants'!$C$2:$C$19, "wind_onshore") +SUMIFS('vre plants'!$F$2:$F$19, 'vre plants'!$G$2:$G$19, 'scenario analysis'!N44, 'vre plants'!$C$2:$C$19,"wind_offshore")</f>
        <v>0</v>
      </c>
      <c r="P44" s="129">
        <f>SUMIFS('vre plants'!$F$2:$F$19,'vre plants'!$G$2:$G$19,'scenario analysis'!N44,'vre plants'!$C$2:$C$19,"multi c-Si")</f>
        <v>0</v>
      </c>
      <c r="Q44" s="33">
        <f>SUMIFS('vre plants'!$F$2:$F$19, 'vre plants'!$G$2:$G$19, 'scenario analysis'!N44, 'vre plants'!$C$2:$C$19, "mono c-Si")</f>
        <v>0</v>
      </c>
      <c r="R44" s="33">
        <f>SUMIFS('vre plants'!$F$2:$F$19,'vre plants'!$G$2:$G$19,'scenario analysis'!N44,'vre plants'!$C$2:$C$19,"thin film")</f>
        <v>0</v>
      </c>
    </row>
    <row r="45" spans="3:18">
      <c r="H45" s="120" t="str">
        <f t="array" ref="H45">IFERROR(INDEX(#REF!, MATCH(0, COUNTIF($H$4:H44,#REF!), 0)), "")</f>
        <v/>
      </c>
      <c r="I45" s="166" t="e">
        <f>SUMIF('non-vre plants'!#REF!,H45,'non-vre plants'!#REF!)</f>
        <v>#REF!</v>
      </c>
      <c r="J45" s="33">
        <f>SUMIF('demand centres'!$C$1:$C$50,'scenario analysis'!H45,'demand centres'!$B$1:$B$50)</f>
        <v>0</v>
      </c>
      <c r="K45" s="33" t="e">
        <f t="array" ref="K45">SUMIF('existing transmission'!#REF!,H45, 'existing transmission'!$G$2:$G$52)+SUMIF('existing transmission'!#REF!,H45, 'existing transmission'!$G$2:$G$52)</f>
        <v>#REF!</v>
      </c>
      <c r="L45" s="87" t="e">
        <f t="array" ref="L45">SUMIF('existing transmission'!#REF!,H45, 'existing transmission'!$K$2:$K$52)+SUMIF('existing transmission'!#REF!,H45, 'existing transmission'!$K$2:$K$52)</f>
        <v>#REF!</v>
      </c>
      <c r="N45" s="142" t="str">
        <f t="array" ref="N45">IFERROR(INDEX(#REF!, MATCH(0, COUNTIF($N$4:N44,#REF!), 0)), "")</f>
        <v/>
      </c>
      <c r="O45" s="128">
        <f>SUMIFS('vre plants'!$F$2:$F$19, 'vre plants'!$G$2:$G$19, 'scenario analysis'!N45, 'vre plants'!$C$2:$C$19, "wind_onshore") +SUMIFS('vre plants'!$F$2:$F$19, 'vre plants'!$G$2:$G$19, 'scenario analysis'!N45, 'vre plants'!$C$2:$C$19,"wind_offshore")</f>
        <v>0</v>
      </c>
      <c r="P45" s="129">
        <f>SUMIFS('vre plants'!$F$2:$F$19,'vre plants'!$G$2:$G$19,'scenario analysis'!N45,'vre plants'!$C$2:$C$19,"multi c-Si")</f>
        <v>0</v>
      </c>
      <c r="Q45" s="33">
        <f>SUMIFS('vre plants'!$F$2:$F$19, 'vre plants'!$G$2:$G$19, 'scenario analysis'!N45, 'vre plants'!$C$2:$C$19, "mono c-Si")</f>
        <v>0</v>
      </c>
      <c r="R45" s="33">
        <f>SUMIFS('vre plants'!$F$2:$F$19,'vre plants'!$G$2:$G$19,'scenario analysis'!N45,'vre plants'!$C$2:$C$19,"thin film")</f>
        <v>0</v>
      </c>
    </row>
    <row r="46" spans="3:18">
      <c r="H46" s="120" t="str">
        <f t="array" ref="H46">IFERROR(INDEX(#REF!, MATCH(0, COUNTIF($H$4:H45,#REF!), 0)), "")</f>
        <v/>
      </c>
      <c r="I46" s="33">
        <f>SUMIFS('vre plants'!$F$2:$F$31,'vre plants'!$G$2:$G$31,'scenario analysis'!H46)+SUMIFS(storage!$E$2:$E$75,storage!$I$2:$I$75,'scenario analysis'!H46)+SUMIFS(EV_aggregator!$E$2:$E$75,EV_aggregator!$I$2:$I$75,'scenario analysis'!H46)+SUMIF('non-vre plants'!G2:G2,H46,'non-vre plants'!F2:F2)</f>
        <v>0</v>
      </c>
      <c r="J46" s="33">
        <f>SUMIF('demand centres'!$C$1:$C$50,'scenario analysis'!H46,'demand centres'!$B$1:$B$50)</f>
        <v>0</v>
      </c>
      <c r="K46" s="33" t="e">
        <f t="array" ref="K46">SUMIF('existing transmission'!#REF!,H46, 'existing transmission'!$G$2:$G$52)+SUMIF('existing transmission'!#REF!,H46, 'existing transmission'!$G$2:$G$52)</f>
        <v>#REF!</v>
      </c>
      <c r="L46" s="87" t="e">
        <f t="array" ref="L46">SUMIF('existing transmission'!#REF!,H46, 'existing transmission'!$K$2:$K$52)+SUMIF('existing transmission'!#REF!,H46, 'existing transmission'!$K$2:$K$52)</f>
        <v>#REF!</v>
      </c>
      <c r="N46" s="142" t="str">
        <f t="array" ref="N46">IFERROR(INDEX(#REF!, MATCH(0, COUNTIF($N$4:N45,#REF!), 0)), "")</f>
        <v/>
      </c>
      <c r="O46" s="128">
        <f>SUMIFS('vre plants'!$F$2:$F$19, 'vre plants'!$G$2:$G$19, 'scenario analysis'!N46, 'vre plants'!$C$2:$C$19, "wind_onshore") +SUMIFS('vre plants'!$F$2:$F$19, 'vre plants'!$G$2:$G$19, 'scenario analysis'!N46, 'vre plants'!$C$2:$C$19,"wind_offshore")</f>
        <v>0</v>
      </c>
      <c r="P46" s="129">
        <f>SUMIFS('vre plants'!$F$2:$F$19,'vre plants'!$G$2:$G$19,'scenario analysis'!N46,'vre plants'!$C$2:$C$19,"multi c-Si")</f>
        <v>0</v>
      </c>
      <c r="Q46" s="33">
        <f>SUMIFS('vre plants'!$F$2:$F$19, 'vre plants'!$G$2:$G$19, 'scenario analysis'!N46, 'vre plants'!$C$2:$C$19, "mono c-Si")</f>
        <v>0</v>
      </c>
      <c r="R46" s="33">
        <f>SUMIFS('vre plants'!$F$2:$F$19,'vre plants'!$G$2:$G$19,'scenario analysis'!N46,'vre plants'!$C$2:$C$19,"thin film")</f>
        <v>0</v>
      </c>
    </row>
    <row r="47" spans="3:18">
      <c r="D47" s="4"/>
      <c r="H47" s="120" t="str">
        <f t="array" ref="H47">IFERROR(INDEX(#REF!, MATCH(0, COUNTIF($H$4:H46,#REF!), 0)), "")</f>
        <v/>
      </c>
      <c r="I47" s="166" t="e">
        <f>SUMIF('non-vre plants'!#REF!,H47,'non-vre plants'!#REF!)</f>
        <v>#REF!</v>
      </c>
      <c r="J47" s="33">
        <f>SUMIF('demand centres'!$C$1:$C$50,'scenario analysis'!H47,'demand centres'!$B$1:$B$50)</f>
        <v>0</v>
      </c>
      <c r="K47" s="33" t="e">
        <f t="array" ref="K47">SUMIF('existing transmission'!#REF!,H47, 'existing transmission'!$G$2:$G$52)+SUMIF('existing transmission'!#REF!,H47, 'existing transmission'!$G$2:$G$52)</f>
        <v>#REF!</v>
      </c>
      <c r="L47" s="87" t="e">
        <f t="array" ref="L47">SUMIF('existing transmission'!#REF!,H47, 'existing transmission'!$K$2:$K$52)+SUMIF('existing transmission'!#REF!,H47, 'existing transmission'!$K$2:$K$52)</f>
        <v>#REF!</v>
      </c>
      <c r="N47" s="142" t="str">
        <f t="array" ref="N47">IFERROR(INDEX(#REF!, MATCH(0, COUNTIF($N$4:N46,#REF!), 0)), "")</f>
        <v/>
      </c>
      <c r="O47" s="128">
        <f>SUMIFS('vre plants'!$F$2:$F$19, 'vre plants'!$G$2:$G$19, 'scenario analysis'!N47, 'vre plants'!$C$2:$C$19, "wind_onshore") +SUMIFS('vre plants'!$F$2:$F$19, 'vre plants'!$G$2:$G$19, 'scenario analysis'!N47, 'vre plants'!$C$2:$C$19,"wind_offshore")</f>
        <v>0</v>
      </c>
      <c r="P47" s="129">
        <f>SUMIFS('vre plants'!$F$2:$F$19,'vre plants'!$G$2:$G$19,'scenario analysis'!N47,'vre plants'!$C$2:$C$19,"multi c-Si")</f>
        <v>0</v>
      </c>
      <c r="Q47" s="33">
        <f>SUMIFS('vre plants'!$F$2:$F$19, 'vre plants'!$G$2:$G$19, 'scenario analysis'!N47, 'vre plants'!$C$2:$C$19, "mono c-Si")</f>
        <v>0</v>
      </c>
      <c r="R47" s="33">
        <f>SUMIFS('vre plants'!$F$2:$F$19,'vre plants'!$G$2:$G$19,'scenario analysis'!N47,'vre plants'!$C$2:$C$19,"thin film")</f>
        <v>0</v>
      </c>
    </row>
    <row r="48" spans="3:18">
      <c r="D48" s="94"/>
      <c r="H48" s="120" t="str">
        <f t="array" ref="H48">IFERROR(INDEX(#REF!, MATCH(0, COUNTIF($H$4:H47,#REF!), 0)), "")</f>
        <v/>
      </c>
      <c r="I48" s="33">
        <f>SUMIFS('vre plants'!$F$2:$F$31,'vre plants'!$G$2:$G$31,'scenario analysis'!H48)+SUMIFS(storage!$E$2:$E$75,storage!$I$2:$I$75,'scenario analysis'!H48)+SUMIFS(EV_aggregator!$E$2:$E$75,EV_aggregator!$I$2:$I$75,'scenario analysis'!H48)+SUMIF('non-vre plants'!G2:G2,H48,'non-vre plants'!F2:F2)</f>
        <v>0</v>
      </c>
      <c r="J48" s="33">
        <f>SUMIF('demand centres'!$C$1:$C$50,'scenario analysis'!H48,'demand centres'!$B$1:$B$50)</f>
        <v>0</v>
      </c>
      <c r="K48" s="33" t="e">
        <f t="array" ref="K48">SUMIF('existing transmission'!#REF!,H48, 'existing transmission'!$G$2:$G$52)+SUMIF('existing transmission'!#REF!,H48, 'existing transmission'!$G$2:$G$52)</f>
        <v>#REF!</v>
      </c>
      <c r="L48" s="87" t="e">
        <f t="array" ref="L48">SUMIF('existing transmission'!#REF!,H48, 'existing transmission'!$K$2:$K$52)+SUMIF('existing transmission'!#REF!,H48, 'existing transmission'!$K$2:$K$52)</f>
        <v>#REF!</v>
      </c>
      <c r="N48" s="142" t="str">
        <f t="array" ref="N48">IFERROR(INDEX(#REF!, MATCH(0, COUNTIF($N$4:N47,#REF!), 0)), "")</f>
        <v/>
      </c>
      <c r="O48" s="128">
        <f>SUMIFS('vre plants'!$F$2:$F$19, 'vre plants'!$G$2:$G$19, 'scenario analysis'!N48, 'vre plants'!$C$2:$C$19, "wind_onshore") +SUMIFS('vre plants'!$F$2:$F$19, 'vre plants'!$G$2:$G$19, 'scenario analysis'!N48, 'vre plants'!$C$2:$C$19,"wind_offshore")</f>
        <v>0</v>
      </c>
      <c r="P48" s="129">
        <f>SUMIFS('vre plants'!$F$2:$F$19,'vre plants'!$G$2:$G$19,'scenario analysis'!N48,'vre plants'!$C$2:$C$19,"multi c-Si")</f>
        <v>0</v>
      </c>
      <c r="Q48" s="33">
        <f>SUMIFS('vre plants'!$F$2:$F$19, 'vre plants'!$G$2:$G$19, 'scenario analysis'!N48, 'vre plants'!$C$2:$C$19, "mono c-Si")</f>
        <v>0</v>
      </c>
      <c r="R48" s="33">
        <f>SUMIFS('vre plants'!$F$2:$F$19,'vre plants'!$G$2:$G$19,'scenario analysis'!N48,'vre plants'!$C$2:$C$19,"thin film")</f>
        <v>0</v>
      </c>
    </row>
    <row r="49" spans="4:18">
      <c r="D49" s="94"/>
      <c r="H49" s="120" t="str">
        <f t="array" ref="H49">IFERROR(INDEX(#REF!, MATCH(0, COUNTIF($H$4:H48,#REF!), 0)), "")</f>
        <v/>
      </c>
      <c r="I49" s="33">
        <f>SUMIFS('vre plants'!$F$2:$F$31,'vre plants'!$G$2:$G$31,'scenario analysis'!H49)+SUMIFS(storage!$E$2:$E$75,storage!$I$2:$I$75,'scenario analysis'!H49)+SUMIFS(EV_aggregator!$E$2:$E$75,EV_aggregator!$I$2:$I$75,'scenario analysis'!H49)+SUMIF('non-vre plants'!G2:G2,H49,'non-vre plants'!F2:F2)</f>
        <v>0</v>
      </c>
      <c r="J49" s="33">
        <f>SUMIF('demand centres'!$C$1:$C$50,'scenario analysis'!H49,'demand centres'!$B$1:$B$50)</f>
        <v>0</v>
      </c>
      <c r="K49" s="33" t="e">
        <f t="array" ref="K49">SUMIF('existing transmission'!#REF!,H49, 'existing transmission'!$G$2:$G$52)+SUMIF('existing transmission'!#REF!,H49, 'existing transmission'!$G$2:$G$52)</f>
        <v>#REF!</v>
      </c>
      <c r="L49" s="87" t="e">
        <f t="array" ref="L49">SUMIF('existing transmission'!#REF!,H49, 'existing transmission'!$K$2:$K$52)+SUMIF('existing transmission'!#REF!,H49, 'existing transmission'!$K$2:$K$52)</f>
        <v>#REF!</v>
      </c>
      <c r="N49" s="142" t="str">
        <f t="array" ref="N49">IFERROR(INDEX(#REF!, MATCH(0, COUNTIF($N$4:N48,#REF!), 0)), "")</f>
        <v/>
      </c>
      <c r="O49" s="128">
        <f>SUMIFS('vre plants'!$F$2:$F$19, 'vre plants'!$G$2:$G$19, 'scenario analysis'!N49, 'vre plants'!$C$2:$C$19, "wind_onshore") +SUMIFS('vre plants'!$F$2:$F$19, 'vre plants'!$G$2:$G$19, 'scenario analysis'!N49, 'vre plants'!$C$2:$C$19,"wind_offshore")</f>
        <v>0</v>
      </c>
      <c r="P49" s="129">
        <f>SUMIFS('vre plants'!$F$2:$F$19,'vre plants'!$G$2:$G$19,'scenario analysis'!N49,'vre plants'!$C$2:$C$19,"multi c-Si")</f>
        <v>0</v>
      </c>
      <c r="Q49" s="33">
        <f>SUMIFS('vre plants'!$F$2:$F$19, 'vre plants'!$G$2:$G$19, 'scenario analysis'!N49, 'vre plants'!$C$2:$C$19, "mono c-Si")</f>
        <v>0</v>
      </c>
      <c r="R49" s="33">
        <f>SUMIFS('vre plants'!$F$2:$F$19,'vre plants'!$G$2:$G$19,'scenario analysis'!N49,'vre plants'!$C$2:$C$19,"thin film")</f>
        <v>0</v>
      </c>
    </row>
    <row r="50" spans="4:18">
      <c r="D50" s="94"/>
      <c r="H50" s="120" t="str">
        <f t="array" ref="H50">IFERROR(INDEX(#REF!, MATCH(0, COUNTIF($H$4:H49,#REF!), 0)), "")</f>
        <v/>
      </c>
      <c r="I50" s="166" t="e">
        <f>SUMIF('non-vre plants'!#REF!,H50,'non-vre plants'!#REF!)</f>
        <v>#REF!</v>
      </c>
      <c r="J50" s="33">
        <f>SUMIF('demand centres'!$C$1:$C$50,'scenario analysis'!H50,'demand centres'!$B$1:$B$50)</f>
        <v>0</v>
      </c>
      <c r="K50" s="33" t="e">
        <f t="array" ref="K50">SUMIF('existing transmission'!#REF!,H50, 'existing transmission'!$G$2:$G$52)+SUMIF('existing transmission'!#REF!,H50, 'existing transmission'!$G$2:$G$52)</f>
        <v>#REF!</v>
      </c>
      <c r="L50" s="87" t="e">
        <f t="array" ref="L50">SUMIF('existing transmission'!#REF!,H50, 'existing transmission'!$K$2:$K$52)+SUMIF('existing transmission'!#REF!,H50, 'existing transmission'!$K$2:$K$52)</f>
        <v>#REF!</v>
      </c>
      <c r="N50" s="142" t="str">
        <f t="array" ref="N50">IFERROR(INDEX(#REF!, MATCH(0, COUNTIF($N$4:N49,#REF!), 0)), "")</f>
        <v/>
      </c>
      <c r="O50" s="128">
        <f>SUMIFS('vre plants'!$F$2:$F$19, 'vre plants'!$G$2:$G$19, 'scenario analysis'!N50, 'vre plants'!$C$2:$C$19, "wind_onshore") +SUMIFS('vre plants'!$F$2:$F$19, 'vre plants'!$G$2:$G$19, 'scenario analysis'!N50, 'vre plants'!$C$2:$C$19,"wind_offshore")</f>
        <v>0</v>
      </c>
      <c r="P50" s="129">
        <f>SUMIFS('vre plants'!$F$2:$F$19,'vre plants'!$G$2:$G$19,'scenario analysis'!N50,'vre plants'!$C$2:$C$19,"multi c-Si")</f>
        <v>0</v>
      </c>
      <c r="Q50" s="33">
        <f>SUMIFS('vre plants'!$F$2:$F$19, 'vre plants'!$G$2:$G$19, 'scenario analysis'!N50, 'vre plants'!$C$2:$C$19, "mono c-Si")</f>
        <v>0</v>
      </c>
      <c r="R50" s="33">
        <f>SUMIFS('vre plants'!$F$2:$F$19,'vre plants'!$G$2:$G$19,'scenario analysis'!N50,'vre plants'!$C$2:$C$19,"thin film")</f>
        <v>0</v>
      </c>
    </row>
    <row r="51" spans="4:18">
      <c r="D51" s="94"/>
      <c r="H51" s="120" t="str">
        <f t="array" ref="H51">IFERROR(INDEX(#REF!, MATCH(0, COUNTIF($H$4:H50,#REF!), 0)), "")</f>
        <v/>
      </c>
      <c r="I51" s="166" t="e">
        <f>SUMIF('non-vre plants'!#REF!,H51,'non-vre plants'!#REF!)</f>
        <v>#REF!</v>
      </c>
      <c r="J51" s="33">
        <f>SUMIF('demand centres'!$C$1:$C$50,'scenario analysis'!H51,'demand centres'!$B$1:$B$50)</f>
        <v>0</v>
      </c>
      <c r="K51" s="33" t="e">
        <f t="array" ref="K51">SUMIF('existing transmission'!#REF!,H51, 'existing transmission'!$G$2:$G$52)+SUMIF('existing transmission'!#REF!,H51, 'existing transmission'!$G$2:$G$52)</f>
        <v>#REF!</v>
      </c>
      <c r="L51" s="87" t="e">
        <f t="array" ref="L51">SUMIF('existing transmission'!#REF!,H51, 'existing transmission'!$K$2:$K$52)+SUMIF('existing transmission'!#REF!,H51, 'existing transmission'!$K$2:$K$52)</f>
        <v>#REF!</v>
      </c>
      <c r="N51" s="142" t="str">
        <f t="array" ref="N51">IFERROR(INDEX(#REF!, MATCH(0, COUNTIF($N$4:N50,#REF!), 0)), "")</f>
        <v/>
      </c>
      <c r="O51" s="128">
        <f>SUMIFS('vre plants'!$F$2:$F$19, 'vre plants'!$G$2:$G$19, 'scenario analysis'!N51, 'vre plants'!$C$2:$C$19, "wind_onshore") +SUMIFS('vre plants'!$F$2:$F$19, 'vre plants'!$G$2:$G$19, 'scenario analysis'!N51, 'vre plants'!$C$2:$C$19,"wind_offshore")</f>
        <v>0</v>
      </c>
      <c r="P51" s="129">
        <f>SUMIFS('vre plants'!$F$2:$F$19,'vre plants'!$G$2:$G$19,'scenario analysis'!N51,'vre plants'!$C$2:$C$19,"multi c-Si")</f>
        <v>0</v>
      </c>
      <c r="Q51" s="33">
        <f>SUMIFS('vre plants'!$F$2:$F$19, 'vre plants'!$G$2:$G$19, 'scenario analysis'!N51, 'vre plants'!$C$2:$C$19, "mono c-Si")</f>
        <v>0</v>
      </c>
      <c r="R51" s="33">
        <f>SUMIFS('vre plants'!$F$2:$F$19,'vre plants'!$G$2:$G$19,'scenario analysis'!N51,'vre plants'!$C$2:$C$19,"thin film")</f>
        <v>0</v>
      </c>
    </row>
    <row r="52" spans="4:18">
      <c r="D52" s="94"/>
      <c r="H52" s="120" t="str">
        <f t="array" ref="H52">IFERROR(INDEX(#REF!, MATCH(0, COUNTIF($H$4:H51,#REF!), 0)), "")</f>
        <v/>
      </c>
      <c r="I52" s="33">
        <f>SUMIFS('vre plants'!$F$2:$F$31,'vre plants'!$G$2:$G$31,'scenario analysis'!H52)+SUMIFS(storage!$E$2:$E$75,storage!$I$2:$I$75,'scenario analysis'!H52)+SUMIFS(EV_aggregator!$E$2:$E$75,EV_aggregator!$I$2:$I$75,'scenario analysis'!H52)+SUMIF('non-vre plants'!G2:G2,H52,'non-vre plants'!F2:F2)</f>
        <v>0</v>
      </c>
      <c r="J52" s="33">
        <f>SUMIF('demand centres'!$C$1:$C$50,'scenario analysis'!H52,'demand centres'!$B$1:$B$50)</f>
        <v>0</v>
      </c>
      <c r="K52" s="33" t="e">
        <f t="array" ref="K52">SUMIF('existing transmission'!#REF!,H52, 'existing transmission'!$G$2:$G$52)+SUMIF('existing transmission'!#REF!,H52, 'existing transmission'!$G$2:$G$52)</f>
        <v>#REF!</v>
      </c>
      <c r="L52" s="87" t="e">
        <f t="array" ref="L52">SUMIF('existing transmission'!#REF!,H52, 'existing transmission'!$K$2:$K$52)+SUMIF('existing transmission'!#REF!,H52, 'existing transmission'!$K$2:$K$52)</f>
        <v>#REF!</v>
      </c>
      <c r="N52" s="142" t="str">
        <f t="array" ref="N52">IFERROR(INDEX(#REF!, MATCH(0, COUNTIF($N$4:N51,#REF!), 0)), "")</f>
        <v/>
      </c>
      <c r="O52" s="128">
        <f>SUMIFS('vre plants'!$F$2:$F$19, 'vre plants'!$G$2:$G$19, 'scenario analysis'!N52, 'vre plants'!$C$2:$C$19, "wind_onshore") +SUMIFS('vre plants'!$F$2:$F$19, 'vre plants'!$G$2:$G$19, 'scenario analysis'!N52, 'vre plants'!$C$2:$C$19,"wind_offshore")</f>
        <v>0</v>
      </c>
      <c r="P52" s="129">
        <f>SUMIFS('vre plants'!$F$2:$F$19,'vre plants'!$G$2:$G$19,'scenario analysis'!N52,'vre plants'!$C$2:$C$19,"multi c-Si")</f>
        <v>0</v>
      </c>
      <c r="Q52" s="33">
        <f>SUMIFS('vre plants'!$F$2:$F$19, 'vre plants'!$G$2:$G$19, 'scenario analysis'!N52, 'vre plants'!$C$2:$C$19, "mono c-Si")</f>
        <v>0</v>
      </c>
      <c r="R52" s="33">
        <f>SUMIFS('vre plants'!$F$2:$F$19,'vre plants'!$G$2:$G$19,'scenario analysis'!N52,'vre plants'!$C$2:$C$19,"thin film")</f>
        <v>0</v>
      </c>
    </row>
    <row r="53" spans="4:18">
      <c r="D53" s="94"/>
      <c r="H53" s="120" t="str">
        <f t="array" ref="H53">IFERROR(INDEX(#REF!, MATCH(0, COUNTIF($H$4:H52,#REF!), 0)), "")</f>
        <v/>
      </c>
      <c r="I53" s="166" t="e">
        <f>SUMIF('non-vre plants'!#REF!,H53,'non-vre plants'!#REF!)</f>
        <v>#REF!</v>
      </c>
      <c r="J53" s="33">
        <f>SUMIF('demand centres'!$C$1:$C$50,'scenario analysis'!H53,'demand centres'!$B$1:$B$50)</f>
        <v>0</v>
      </c>
      <c r="K53" s="33" t="e">
        <f t="array" ref="K53">SUMIF('existing transmission'!#REF!,H53, 'existing transmission'!$G$2:$G$52)+SUMIF('existing transmission'!#REF!,H53, 'existing transmission'!$G$2:$G$52)</f>
        <v>#REF!</v>
      </c>
      <c r="L53" s="87" t="e">
        <f t="array" ref="L53">SUMIF('existing transmission'!#REF!,H53, 'existing transmission'!$K$2:$K$52)+SUMIF('existing transmission'!#REF!,H53, 'existing transmission'!$K$2:$K$52)</f>
        <v>#REF!</v>
      </c>
      <c r="N53" s="142" t="str">
        <f t="array" ref="N53">IFERROR(INDEX(#REF!, MATCH(0, COUNTIF($N$4:N52,#REF!), 0)), "")</f>
        <v/>
      </c>
      <c r="O53" s="128">
        <f>SUMIFS('vre plants'!$F$2:$F$19, 'vre plants'!$G$2:$G$19, 'scenario analysis'!N53, 'vre plants'!$C$2:$C$19, "wind_onshore") +SUMIFS('vre plants'!$F$2:$F$19, 'vre plants'!$G$2:$G$19, 'scenario analysis'!N53, 'vre plants'!$C$2:$C$19,"wind_offshore")</f>
        <v>0</v>
      </c>
      <c r="P53" s="129">
        <f>SUMIFS('vre plants'!$F$2:$F$19,'vre plants'!$G$2:$G$19,'scenario analysis'!N53,'vre plants'!$C$2:$C$19,"multi c-Si")</f>
        <v>0</v>
      </c>
      <c r="Q53" s="33">
        <f>SUMIFS('vre plants'!$F$2:$F$19, 'vre plants'!$G$2:$G$19, 'scenario analysis'!N53, 'vre plants'!$C$2:$C$19, "mono c-Si")</f>
        <v>0</v>
      </c>
      <c r="R53" s="33">
        <f>SUMIFS('vre plants'!$F$2:$F$19,'vre plants'!$G$2:$G$19,'scenario analysis'!N53,'vre plants'!$C$2:$C$19,"thin film")</f>
        <v>0</v>
      </c>
    </row>
    <row r="54" spans="4:18">
      <c r="D54" s="94"/>
      <c r="H54" s="120" t="str">
        <f t="array" ref="H54">IFERROR(INDEX(#REF!, MATCH(0, COUNTIF($H$4:H53,#REF!), 0)), "")</f>
        <v/>
      </c>
      <c r="I54" s="33">
        <f>SUMIFS('vre plants'!$F$2:$F$31,'vre plants'!$G$2:$G$31,'scenario analysis'!H54)+SUMIFS(storage!$E$2:$E$75,storage!$I$2:$I$75,'scenario analysis'!H54)+SUMIFS(EV_aggregator!$E$2:$E$75,EV_aggregator!$I$2:$I$75,'scenario analysis'!H54)+SUMIF('non-vre plants'!G2:G2,H54,'non-vre plants'!F2:F2)</f>
        <v>0</v>
      </c>
      <c r="J54" s="33">
        <f>SUMIF('demand centres'!$C$1:$C$50,'scenario analysis'!H54,'demand centres'!$B$1:$B$50)</f>
        <v>0</v>
      </c>
      <c r="K54" s="33" t="e">
        <f t="array" ref="K54">SUMIF('existing transmission'!#REF!,H54, 'existing transmission'!$G$2:$G$52)+SUMIF('existing transmission'!#REF!,H54, 'existing transmission'!$G$2:$G$52)</f>
        <v>#REF!</v>
      </c>
      <c r="L54" s="87" t="e">
        <f t="array" ref="L54">SUMIF('existing transmission'!#REF!,H54, 'existing transmission'!$K$2:$K$52)+SUMIF('existing transmission'!#REF!,H54, 'existing transmission'!$K$2:$K$52)</f>
        <v>#REF!</v>
      </c>
      <c r="N54" s="142" t="str">
        <f t="array" ref="N54">IFERROR(INDEX(#REF!, MATCH(0, COUNTIF($N$4:N53,#REF!), 0)), "")</f>
        <v/>
      </c>
      <c r="O54" s="128">
        <f>SUMIFS('vre plants'!$F$2:$F$19, 'vre plants'!$G$2:$G$19, 'scenario analysis'!N54, 'vre plants'!$C$2:$C$19, "wind_onshore") +SUMIFS('vre plants'!$F$2:$F$19, 'vre plants'!$G$2:$G$19, 'scenario analysis'!N54, 'vre plants'!$C$2:$C$19,"wind_offshore")</f>
        <v>0</v>
      </c>
      <c r="P54" s="129">
        <f>SUMIFS('vre plants'!$F$2:$F$19,'vre plants'!$G$2:$G$19,'scenario analysis'!N54,'vre plants'!$C$2:$C$19,"multi c-Si")</f>
        <v>0</v>
      </c>
      <c r="Q54" s="33">
        <f>SUMIFS('vre plants'!$F$2:$F$19, 'vre plants'!$G$2:$G$19, 'scenario analysis'!N54, 'vre plants'!$C$2:$C$19, "mono c-Si")</f>
        <v>0</v>
      </c>
      <c r="R54" s="33">
        <f>SUMIFS('vre plants'!$F$2:$F$19,'vre plants'!$G$2:$G$19,'scenario analysis'!N54,'vre plants'!$C$2:$C$19,"thin film")</f>
        <v>0</v>
      </c>
    </row>
    <row r="55" spans="4:18">
      <c r="D55" s="94"/>
      <c r="H55" s="120" t="str">
        <f t="array" ref="H55">IFERROR(INDEX(#REF!, MATCH(0, COUNTIF($H$4:H54,#REF!), 0)), "")</f>
        <v/>
      </c>
      <c r="I55" s="166" t="e">
        <f>SUMIF('non-vre plants'!#REF!,H55,'non-vre plants'!#REF!)</f>
        <v>#REF!</v>
      </c>
      <c r="J55" s="33">
        <f>SUMIF('demand centres'!$C$1:$C$50,'scenario analysis'!H55,'demand centres'!$B$1:$B$50)</f>
        <v>0</v>
      </c>
      <c r="K55" s="33" t="e">
        <f t="array" ref="K55">SUMIF('existing transmission'!#REF!,H55, 'existing transmission'!$G$2:$G$52)+SUMIF('existing transmission'!#REF!,H55, 'existing transmission'!$G$2:$G$52)</f>
        <v>#REF!</v>
      </c>
      <c r="L55" s="87" t="e">
        <f t="array" ref="L55">SUMIF('existing transmission'!#REF!,H55, 'existing transmission'!$K$2:$K$52)+SUMIF('existing transmission'!#REF!,H55, 'existing transmission'!$K$2:$K$52)</f>
        <v>#REF!</v>
      </c>
      <c r="N55" s="142" t="str">
        <f t="array" ref="N55">IFERROR(INDEX(#REF!, MATCH(0, COUNTIF($N$4:N54,#REF!), 0)), "")</f>
        <v/>
      </c>
      <c r="O55" s="128">
        <f>SUMIFS('vre plants'!$F$2:$F$19, 'vre plants'!$G$2:$G$19, 'scenario analysis'!N55, 'vre plants'!$C$2:$C$19, "wind_onshore") +SUMIFS('vre plants'!$F$2:$F$19, 'vre plants'!$G$2:$G$19, 'scenario analysis'!N55, 'vre plants'!$C$2:$C$19,"wind_offshore")</f>
        <v>0</v>
      </c>
      <c r="P55" s="129">
        <f>SUMIFS('vre plants'!$F$2:$F$19,'vre plants'!$G$2:$G$19,'scenario analysis'!N55,'vre plants'!$C$2:$C$19,"multi c-Si")</f>
        <v>0</v>
      </c>
      <c r="Q55" s="33">
        <f>SUMIFS('vre plants'!$F$2:$F$19, 'vre plants'!$G$2:$G$19, 'scenario analysis'!N55, 'vre plants'!$C$2:$C$19, "mono c-Si")</f>
        <v>0</v>
      </c>
      <c r="R55" s="33">
        <f>SUMIFS('vre plants'!$F$2:$F$19,'vre plants'!$G$2:$G$19,'scenario analysis'!N55,'vre plants'!$C$2:$C$19,"thin film")</f>
        <v>0</v>
      </c>
    </row>
    <row r="56" spans="4:18">
      <c r="D56" s="94"/>
      <c r="H56" s="120" t="str">
        <f t="array" ref="H56">IFERROR(INDEX(#REF!, MATCH(0, COUNTIF($H$4:H55,#REF!), 0)), "")</f>
        <v/>
      </c>
      <c r="I56" s="33">
        <f>SUMIFS('vre plants'!$F$2:$F$31,'vre plants'!$G$2:$G$31,'scenario analysis'!H56)+SUMIFS(storage!$E$2:$E$75,storage!$I$2:$I$75,'scenario analysis'!H56)+SUMIFS(EV_aggregator!$E$2:$E$75,EV_aggregator!$I$2:$I$75,'scenario analysis'!H56)+SUMIF('non-vre plants'!G2:G2,H56,'non-vre plants'!F2:F2)</f>
        <v>0</v>
      </c>
      <c r="J56" s="33">
        <f>SUMIF('demand centres'!$C$1:$C$50,'scenario analysis'!H56,'demand centres'!$B$1:$B$50)</f>
        <v>0</v>
      </c>
      <c r="K56" s="33" t="e">
        <f t="array" ref="K56">SUMIF('existing transmission'!#REF!,H56, 'existing transmission'!$G$2:$G$52)+SUMIF('existing transmission'!#REF!,H56, 'existing transmission'!$G$2:$G$52)</f>
        <v>#REF!</v>
      </c>
      <c r="L56" s="87" t="e">
        <f t="array" ref="L56">SUMIF('existing transmission'!#REF!,H56, 'existing transmission'!$K$2:$K$52)+SUMIF('existing transmission'!#REF!,H56, 'existing transmission'!$K$2:$K$52)</f>
        <v>#REF!</v>
      </c>
      <c r="N56" s="142" t="str">
        <f t="array" ref="N56">IFERROR(INDEX(#REF!, MATCH(0, COUNTIF($N$4:N55,#REF!), 0)), "")</f>
        <v/>
      </c>
      <c r="O56" s="128">
        <f>SUMIFS('vre plants'!$F$2:$F$19, 'vre plants'!$G$2:$G$19, 'scenario analysis'!N56, 'vre plants'!$C$2:$C$19, "wind_onshore") +SUMIFS('vre plants'!$F$2:$F$19, 'vre plants'!$G$2:$G$19, 'scenario analysis'!N56, 'vre plants'!$C$2:$C$19,"wind_offshore")</f>
        <v>0</v>
      </c>
      <c r="P56" s="129">
        <f>SUMIFS('vre plants'!$F$2:$F$19,'vre plants'!$G$2:$G$19,'scenario analysis'!N56,'vre plants'!$C$2:$C$19,"multi c-Si")</f>
        <v>0</v>
      </c>
      <c r="Q56" s="33">
        <f>SUMIFS('vre plants'!$F$2:$F$19, 'vre plants'!$G$2:$G$19, 'scenario analysis'!N56, 'vre plants'!$C$2:$C$19, "mono c-Si")</f>
        <v>0</v>
      </c>
      <c r="R56" s="33">
        <f>SUMIFS('vre plants'!$F$2:$F$19,'vre plants'!$G$2:$G$19,'scenario analysis'!N56,'vre plants'!$C$2:$C$19,"thin film")</f>
        <v>0</v>
      </c>
    </row>
    <row r="57" spans="4:18">
      <c r="D57" s="94"/>
      <c r="H57" s="120" t="str">
        <f t="array" ref="H57">IFERROR(INDEX(#REF!, MATCH(0, COUNTIF($H$4:H56,#REF!), 0)), "")</f>
        <v/>
      </c>
      <c r="I57" s="33">
        <f>SUMIFS('vre plants'!$F$2:$F$31,'vre plants'!$G$2:$G$31,'scenario analysis'!H57)+SUMIFS(storage!$E$2:$E$75,storage!$I$2:$I$75,'scenario analysis'!H57)+SUMIFS(EV_aggregator!$E$2:$E$75,EV_aggregator!$I$2:$I$75,'scenario analysis'!H57)+SUMIF('non-vre plants'!G2:G2,H57,'non-vre plants'!F2:F2)</f>
        <v>0</v>
      </c>
      <c r="J57" s="33">
        <f>SUMIF('demand centres'!$C$1:$C$50,'scenario analysis'!H57,'demand centres'!$B$1:$B$50)</f>
        <v>0</v>
      </c>
      <c r="K57" s="33" t="e">
        <f t="array" ref="K57">SUMIF('existing transmission'!#REF!,H57, 'existing transmission'!$G$2:$G$52)+SUMIF('existing transmission'!#REF!,H57, 'existing transmission'!$G$2:$G$52)</f>
        <v>#REF!</v>
      </c>
      <c r="L57" s="87" t="e">
        <f t="array" ref="L57">SUMIF('existing transmission'!#REF!,H57, 'existing transmission'!$K$2:$K$52)+SUMIF('existing transmission'!#REF!,H57, 'existing transmission'!$K$2:$K$52)</f>
        <v>#REF!</v>
      </c>
      <c r="N57" s="142" t="str">
        <f t="array" ref="N57">IFERROR(INDEX(#REF!, MATCH(0, COUNTIF($N$4:N56,#REF!), 0)), "")</f>
        <v/>
      </c>
      <c r="O57" s="128">
        <f>SUMIFS('vre plants'!$F$2:$F$19, 'vre plants'!$G$2:$G$19, 'scenario analysis'!N57, 'vre plants'!$C$2:$C$19, "wind_onshore") +SUMIFS('vre plants'!$F$2:$F$19, 'vre plants'!$G$2:$G$19, 'scenario analysis'!N57, 'vre plants'!$C$2:$C$19,"wind_offshore")</f>
        <v>0</v>
      </c>
      <c r="P57" s="129">
        <f>SUMIFS('vre plants'!$F$2:$F$19,'vre plants'!$G$2:$G$19,'scenario analysis'!N57,'vre plants'!$C$2:$C$19,"multi c-Si")</f>
        <v>0</v>
      </c>
      <c r="Q57" s="33">
        <f>SUMIFS('vre plants'!$F$2:$F$19, 'vre plants'!$G$2:$G$19, 'scenario analysis'!N57, 'vre plants'!$C$2:$C$19, "mono c-Si")</f>
        <v>0</v>
      </c>
      <c r="R57" s="33">
        <f>SUMIFS('vre plants'!$F$2:$F$19,'vre plants'!$G$2:$G$19,'scenario analysis'!N57,'vre plants'!$C$2:$C$19,"thin film")</f>
        <v>0</v>
      </c>
    </row>
    <row r="58" spans="4:18">
      <c r="D58" s="94"/>
      <c r="H58" s="120" t="str">
        <f t="array" ref="H58">IFERROR(INDEX(#REF!, MATCH(0, COUNTIF($H$4:H57,#REF!), 0)), "")</f>
        <v/>
      </c>
      <c r="I58" s="166" t="e">
        <f>SUMIF('non-vre plants'!#REF!,H58,'non-vre plants'!#REF!)</f>
        <v>#REF!</v>
      </c>
      <c r="J58" s="33">
        <f>SUMIF('demand centres'!$C$1:$C$50,'scenario analysis'!H58,'demand centres'!$B$1:$B$50)</f>
        <v>0</v>
      </c>
      <c r="K58" s="33" t="e">
        <f t="array" ref="K58">SUMIF('existing transmission'!#REF!,H58, 'existing transmission'!$G$2:$G$52)+SUMIF('existing transmission'!#REF!,H58, 'existing transmission'!$G$2:$G$52)</f>
        <v>#REF!</v>
      </c>
      <c r="L58" s="87" t="e">
        <f t="array" ref="L58">SUMIF('existing transmission'!#REF!,H58, 'existing transmission'!$K$2:$K$52)+SUMIF('existing transmission'!#REF!,H58, 'existing transmission'!$K$2:$K$52)</f>
        <v>#REF!</v>
      </c>
      <c r="N58" s="142" t="str">
        <f t="array" ref="N58">IFERROR(INDEX(#REF!, MATCH(0, COUNTIF($N$4:N57,#REF!), 0)), "")</f>
        <v/>
      </c>
      <c r="O58" s="128">
        <f>SUMIFS('vre plants'!$F$2:$F$19, 'vre plants'!$G$2:$G$19, 'scenario analysis'!N58, 'vre plants'!$C$2:$C$19, "wind_onshore") +SUMIFS('vre plants'!$F$2:$F$19, 'vre plants'!$G$2:$G$19, 'scenario analysis'!N58, 'vre plants'!$C$2:$C$19,"wind_offshore")</f>
        <v>0</v>
      </c>
      <c r="P58" s="129">
        <f>SUMIFS('vre plants'!$F$2:$F$19,'vre plants'!$G$2:$G$19,'scenario analysis'!N58,'vre plants'!$C$2:$C$19,"multi c-Si")</f>
        <v>0</v>
      </c>
      <c r="Q58" s="33">
        <f>SUMIFS('vre plants'!$F$2:$F$19, 'vre plants'!$G$2:$G$19, 'scenario analysis'!N58, 'vre plants'!$C$2:$C$19, "mono c-Si")</f>
        <v>0</v>
      </c>
      <c r="R58" s="33">
        <f>SUMIFS('vre plants'!$F$2:$F$19,'vre plants'!$G$2:$G$19,'scenario analysis'!N58,'vre plants'!$C$2:$C$19,"thin film")</f>
        <v>0</v>
      </c>
    </row>
    <row r="59" spans="4:18">
      <c r="D59" s="94"/>
      <c r="H59" s="120" t="str">
        <f t="array" ref="H59">IFERROR(INDEX(#REF!, MATCH(0, COUNTIF($H$4:H58,#REF!), 0)), "")</f>
        <v/>
      </c>
      <c r="I59" s="33">
        <f>SUMIFS('vre plants'!$F$2:$F$31,'vre plants'!$G$2:$G$31,'scenario analysis'!H59)+SUMIFS(storage!$E$2:$E$75,storage!$I$2:$I$75,'scenario analysis'!H59)+SUMIFS(EV_aggregator!$E$2:$E$75,EV_aggregator!$I$2:$I$75,'scenario analysis'!H59)+SUMIF('non-vre plants'!G2:G2,H59,'non-vre plants'!F2:F2)</f>
        <v>0</v>
      </c>
      <c r="J59" s="33">
        <f>SUMIF('demand centres'!$C$1:$C$50,'scenario analysis'!H59,'demand centres'!$B$1:$B$50)</f>
        <v>0</v>
      </c>
      <c r="K59" s="33" t="e">
        <f t="array" ref="K59">SUMIF('existing transmission'!#REF!,H59, 'existing transmission'!$G$2:$G$52)+SUMIF('existing transmission'!#REF!,H59, 'existing transmission'!$G$2:$G$52)</f>
        <v>#REF!</v>
      </c>
      <c r="L59" s="87" t="e">
        <f t="array" ref="L59">SUMIF('existing transmission'!#REF!,H59, 'existing transmission'!$K$2:$K$52)+SUMIF('existing transmission'!#REF!,H59, 'existing transmission'!$K$2:$K$52)</f>
        <v>#REF!</v>
      </c>
      <c r="N59" s="142" t="str">
        <f t="array" ref="N59">IFERROR(INDEX(#REF!, MATCH(0, COUNTIF($N$4:N58,#REF!), 0)), "")</f>
        <v/>
      </c>
      <c r="O59" s="128">
        <f>SUMIFS('vre plants'!$F$2:$F$19, 'vre plants'!$G$2:$G$19, 'scenario analysis'!N59, 'vre plants'!$C$2:$C$19, "wind_onshore") +SUMIFS('vre plants'!$F$2:$F$19, 'vre plants'!$G$2:$G$19, 'scenario analysis'!N59, 'vre plants'!$C$2:$C$19,"wind_offshore")</f>
        <v>0</v>
      </c>
      <c r="P59" s="129">
        <f>SUMIFS('vre plants'!$F$2:$F$19,'vre plants'!$G$2:$G$19,'scenario analysis'!N59,'vre plants'!$C$2:$C$19,"multi c-Si")</f>
        <v>0</v>
      </c>
      <c r="Q59" s="33">
        <f>SUMIFS('vre plants'!$F$2:$F$19, 'vre plants'!$G$2:$G$19, 'scenario analysis'!N59, 'vre plants'!$C$2:$C$19, "mono c-Si")</f>
        <v>0</v>
      </c>
      <c r="R59" s="33">
        <f>SUMIFS('vre plants'!$F$2:$F$19,'vre plants'!$G$2:$G$19,'scenario analysis'!N59,'vre plants'!$C$2:$C$19,"thin film")</f>
        <v>0</v>
      </c>
    </row>
    <row r="60" spans="4:18">
      <c r="D60" s="94"/>
      <c r="H60" s="120" t="str">
        <f t="array" ref="H60">IFERROR(INDEX(#REF!, MATCH(0, COUNTIF($H$4:H59,#REF!), 0)), "")</f>
        <v/>
      </c>
      <c r="I60" s="166" t="e">
        <f>SUMIF('non-vre plants'!#REF!,H60,'non-vre plants'!#REF!)</f>
        <v>#REF!</v>
      </c>
      <c r="J60" s="33">
        <f>SUMIF('demand centres'!$C$1:$C$50,'scenario analysis'!H60,'demand centres'!$B$1:$B$50)</f>
        <v>0</v>
      </c>
      <c r="K60" s="33" t="e">
        <f t="array" ref="K60">SUMIF('existing transmission'!#REF!,H60, 'existing transmission'!$G$2:$G$52)+SUMIF('existing transmission'!#REF!,H60, 'existing transmission'!$G$2:$G$52)</f>
        <v>#REF!</v>
      </c>
      <c r="L60" s="87" t="e">
        <f t="array" ref="L60">SUMIF('existing transmission'!#REF!,H60, 'existing transmission'!$K$2:$K$52)+SUMIF('existing transmission'!#REF!,H60, 'existing transmission'!$K$2:$K$52)</f>
        <v>#REF!</v>
      </c>
      <c r="N60" s="142" t="str">
        <f t="array" ref="N60">IFERROR(INDEX(#REF!, MATCH(0, COUNTIF($N$4:N59,#REF!), 0)), "")</f>
        <v/>
      </c>
      <c r="O60" s="128">
        <f>SUMIFS('vre plants'!$F$2:$F$19, 'vre plants'!$G$2:$G$19, 'scenario analysis'!N60, 'vre plants'!$C$2:$C$19, "wind_onshore") +SUMIFS('vre plants'!$F$2:$F$19, 'vre plants'!$G$2:$G$19, 'scenario analysis'!N60, 'vre plants'!$C$2:$C$19,"wind_offshore")</f>
        <v>0</v>
      </c>
      <c r="P60" s="129">
        <f>SUMIFS('vre plants'!$F$2:$F$19,'vre plants'!$G$2:$G$19,'scenario analysis'!N60,'vre plants'!$C$2:$C$19,"multi c-Si")</f>
        <v>0</v>
      </c>
      <c r="Q60" s="33">
        <f>SUMIFS('vre plants'!$F$2:$F$19, 'vre plants'!$G$2:$G$19, 'scenario analysis'!N60, 'vre plants'!$C$2:$C$19, "mono c-Si")</f>
        <v>0</v>
      </c>
      <c r="R60" s="33">
        <f>SUMIFS('vre plants'!$F$2:$F$19,'vre plants'!$G$2:$G$19,'scenario analysis'!N60,'vre plants'!$C$2:$C$19,"thin film")</f>
        <v>0</v>
      </c>
    </row>
    <row r="61" spans="4:18">
      <c r="D61" s="94"/>
      <c r="H61" s="120" t="str">
        <f t="array" ref="H61">IFERROR(INDEX(#REF!, MATCH(0, COUNTIF($H$4:H60,#REF!), 0)), "")</f>
        <v/>
      </c>
      <c r="I61" s="166" t="e">
        <f>SUMIF('non-vre plants'!#REF!,H61,'non-vre plants'!#REF!)</f>
        <v>#REF!</v>
      </c>
      <c r="J61" s="33">
        <f>SUMIF('demand centres'!$C$1:$C$50,'scenario analysis'!H61,'demand centres'!$B$1:$B$50)</f>
        <v>0</v>
      </c>
      <c r="K61" s="33" t="e">
        <f t="array" ref="K61">SUMIF('existing transmission'!#REF!,H61, 'existing transmission'!$G$2:$G$52)+SUMIF('existing transmission'!#REF!,H61, 'existing transmission'!$G$2:$G$52)</f>
        <v>#REF!</v>
      </c>
      <c r="L61" s="87" t="e">
        <f t="array" ref="L61">SUMIF('existing transmission'!#REF!,H61, 'existing transmission'!$K$2:$K$52)+SUMIF('existing transmission'!#REF!,H61, 'existing transmission'!$K$2:$K$52)</f>
        <v>#REF!</v>
      </c>
      <c r="N61" s="142" t="str">
        <f t="array" ref="N61">IFERROR(INDEX(#REF!, MATCH(0, COUNTIF($N$4:N60,#REF!), 0)), "")</f>
        <v/>
      </c>
      <c r="O61" s="128">
        <f>SUMIFS('vre plants'!$F$2:$F$19, 'vre plants'!$G$2:$G$19, 'scenario analysis'!N61, 'vre plants'!$C$2:$C$19, "wind_onshore") +SUMIFS('vre plants'!$F$2:$F$19, 'vre plants'!$G$2:$G$19, 'scenario analysis'!N61, 'vre plants'!$C$2:$C$19,"wind_offshore")</f>
        <v>0</v>
      </c>
      <c r="P61" s="129">
        <f>SUMIFS('vre plants'!$F$2:$F$19,'vre plants'!$G$2:$G$19,'scenario analysis'!N61,'vre plants'!$C$2:$C$19,"multi c-Si")</f>
        <v>0</v>
      </c>
      <c r="Q61" s="33">
        <f>SUMIFS('vre plants'!$F$2:$F$19, 'vre plants'!$G$2:$G$19, 'scenario analysis'!N61, 'vre plants'!$C$2:$C$19, "mono c-Si")</f>
        <v>0</v>
      </c>
      <c r="R61" s="33">
        <f>SUMIFS('vre plants'!$F$2:$F$19,'vre plants'!$G$2:$G$19,'scenario analysis'!N61,'vre plants'!$C$2:$C$19,"thin film")</f>
        <v>0</v>
      </c>
    </row>
    <row r="62" spans="4:18">
      <c r="D62" s="94"/>
      <c r="H62" s="120" t="str">
        <f t="array" ref="H62">IFERROR(INDEX(#REF!, MATCH(0, COUNTIF($H$4:H61,#REF!), 0)), "")</f>
        <v/>
      </c>
      <c r="I62" s="166" t="e">
        <f>SUMIF('non-vre plants'!#REF!,H62,'non-vre plants'!#REF!)</f>
        <v>#REF!</v>
      </c>
      <c r="J62" s="33">
        <f>SUMIF('demand centres'!$C$1:$C$50,'scenario analysis'!H62,'demand centres'!$B$1:$B$50)</f>
        <v>0</v>
      </c>
      <c r="K62" s="33" t="e">
        <f t="array" ref="K62">SUMIF('existing transmission'!#REF!,H62, 'existing transmission'!$G$2:$G$52)+SUMIF('existing transmission'!#REF!,H62, 'existing transmission'!$G$2:$G$52)</f>
        <v>#REF!</v>
      </c>
      <c r="L62" s="87" t="e">
        <f t="array" ref="L62">SUMIF('existing transmission'!#REF!,H62, 'existing transmission'!$K$2:$K$52)+SUMIF('existing transmission'!#REF!,H62, 'existing transmission'!$K$2:$K$52)</f>
        <v>#REF!</v>
      </c>
      <c r="N62" s="142" t="str">
        <f t="array" ref="N62">IFERROR(INDEX(#REF!, MATCH(0, COUNTIF($N$4:N61,#REF!), 0)), "")</f>
        <v/>
      </c>
      <c r="O62" s="128">
        <f>SUMIFS('vre plants'!$F$2:$F$19, 'vre plants'!$G$2:$G$19, 'scenario analysis'!N62, 'vre plants'!$C$2:$C$19, "wind_onshore") +SUMIFS('vre plants'!$F$2:$F$19, 'vre plants'!$G$2:$G$19, 'scenario analysis'!N62, 'vre plants'!$C$2:$C$19,"wind_offshore")</f>
        <v>0</v>
      </c>
      <c r="P62" s="129">
        <f>SUMIFS('vre plants'!$F$2:$F$19,'vre plants'!$G$2:$G$19,'scenario analysis'!N62,'vre plants'!$C$2:$C$19,"multi c-Si")</f>
        <v>0</v>
      </c>
      <c r="Q62" s="33">
        <f>SUMIFS('vre plants'!$F$2:$F$19, 'vre plants'!$G$2:$G$19, 'scenario analysis'!N62, 'vre plants'!$C$2:$C$19, "mono c-Si")</f>
        <v>0</v>
      </c>
      <c r="R62" s="33">
        <f>SUMIFS('vre plants'!$F$2:$F$19,'vre plants'!$G$2:$G$19,'scenario analysis'!N62,'vre plants'!$C$2:$C$19,"thin film")</f>
        <v>0</v>
      </c>
    </row>
    <row r="63" spans="4:18">
      <c r="D63" s="94"/>
      <c r="H63" s="120" t="str">
        <f t="array" ref="H63">IFERROR(INDEX(#REF!, MATCH(0, COUNTIF($H$4:H62,#REF!), 0)), "")</f>
        <v/>
      </c>
      <c r="I63" s="166" t="e">
        <f>SUMIF('non-vre plants'!#REF!,H63,'non-vre plants'!#REF!)</f>
        <v>#REF!</v>
      </c>
      <c r="J63" s="33">
        <f>SUMIF('demand centres'!$C$1:$C$50,'scenario analysis'!H63,'demand centres'!$B$1:$B$50)</f>
        <v>0</v>
      </c>
      <c r="K63" s="33" t="e">
        <f t="array" ref="K63">SUMIF('existing transmission'!#REF!,H63, 'existing transmission'!$G$2:$G$52)+SUMIF('existing transmission'!#REF!,H63, 'existing transmission'!$G$2:$G$52)</f>
        <v>#REF!</v>
      </c>
      <c r="L63" s="87" t="e">
        <f t="array" ref="L63">SUMIF('existing transmission'!#REF!,H63, 'existing transmission'!$K$2:$K$52)+SUMIF('existing transmission'!#REF!,H63, 'existing transmission'!$K$2:$K$52)</f>
        <v>#REF!</v>
      </c>
      <c r="N63" s="142" t="str">
        <f t="array" ref="N63">IFERROR(INDEX(#REF!, MATCH(0, COUNTIF($N$4:N62,#REF!), 0)), "")</f>
        <v/>
      </c>
      <c r="O63" s="128">
        <f>SUMIFS('vre plants'!$F$2:$F$19, 'vre plants'!$G$2:$G$19, 'scenario analysis'!N63, 'vre plants'!$C$2:$C$19, "wind_onshore") +SUMIFS('vre plants'!$F$2:$F$19, 'vre plants'!$G$2:$G$19, 'scenario analysis'!N63, 'vre plants'!$C$2:$C$19,"wind_offshore")</f>
        <v>0</v>
      </c>
      <c r="P63" s="129">
        <f>SUMIFS('vre plants'!$F$2:$F$19,'vre plants'!$G$2:$G$19,'scenario analysis'!N63,'vre plants'!$C$2:$C$19,"multi c-Si")</f>
        <v>0</v>
      </c>
      <c r="Q63" s="33">
        <f>SUMIFS('vre plants'!$F$2:$F$19, 'vre plants'!$G$2:$G$19, 'scenario analysis'!N63, 'vre plants'!$C$2:$C$19, "mono c-Si")</f>
        <v>0</v>
      </c>
      <c r="R63" s="33">
        <f>SUMIFS('vre plants'!$F$2:$F$19,'vre plants'!$G$2:$G$19,'scenario analysis'!N63,'vre plants'!$C$2:$C$19,"thin film")</f>
        <v>0</v>
      </c>
    </row>
    <row r="64" spans="4:18">
      <c r="H64" s="120" t="str">
        <f t="array" ref="H64">IFERROR(INDEX(#REF!, MATCH(0, COUNTIF($H$4:H63,#REF!), 0)), "")</f>
        <v/>
      </c>
      <c r="I64" s="166" t="e">
        <f>SUMIF('non-vre plants'!#REF!,H64,'non-vre plants'!#REF!)</f>
        <v>#REF!</v>
      </c>
      <c r="J64" s="33">
        <f>SUMIF('demand centres'!$C$1:$C$50,'scenario analysis'!H64,'demand centres'!$B$1:$B$50)</f>
        <v>0</v>
      </c>
      <c r="K64" s="33" t="e">
        <f t="array" ref="K64">SUMIF('existing transmission'!#REF!,H64, 'existing transmission'!$G$2:$G$52)+SUMIF('existing transmission'!#REF!,H64, 'existing transmission'!$G$2:$G$52)</f>
        <v>#REF!</v>
      </c>
      <c r="L64" s="87" t="e">
        <f t="array" ref="L64">SUMIF('existing transmission'!#REF!,H64, 'existing transmission'!$K$2:$K$52)+SUMIF('existing transmission'!#REF!,H64, 'existing transmission'!$K$2:$K$52)</f>
        <v>#REF!</v>
      </c>
      <c r="N64" s="142" t="str">
        <f t="array" ref="N64">IFERROR(INDEX(#REF!, MATCH(0, COUNTIF($N$4:N63,#REF!), 0)), "")</f>
        <v/>
      </c>
      <c r="O64" s="128">
        <f>SUMIFS('vre plants'!$F$2:$F$19, 'vre plants'!$G$2:$G$19, 'scenario analysis'!N64, 'vre plants'!$C$2:$C$19, "wind_onshore") +SUMIFS('vre plants'!$F$2:$F$19, 'vre plants'!$G$2:$G$19, 'scenario analysis'!N64, 'vre plants'!$C$2:$C$19,"wind_offshore")</f>
        <v>0</v>
      </c>
      <c r="P64" s="129">
        <f>SUMIFS('vre plants'!$F$2:$F$19,'vre plants'!$G$2:$G$19,'scenario analysis'!N64,'vre plants'!$C$2:$C$19,"multi c-Si")</f>
        <v>0</v>
      </c>
      <c r="Q64" s="33">
        <f>SUMIFS('vre plants'!$F$2:$F$19, 'vre plants'!$G$2:$G$19, 'scenario analysis'!N64, 'vre plants'!$C$2:$C$19, "mono c-Si")</f>
        <v>0</v>
      </c>
      <c r="R64" s="33">
        <f>SUMIFS('vre plants'!$F$2:$F$19,'vre plants'!$G$2:$G$19,'scenario analysis'!N64,'vre plants'!$C$2:$C$19,"thin film")</f>
        <v>0</v>
      </c>
    </row>
    <row r="65" spans="8:18">
      <c r="H65" s="120" t="str">
        <f t="array" ref="H65">IFERROR(INDEX(#REF!, MATCH(0, COUNTIF($H$4:H64,#REF!), 0)), "")</f>
        <v/>
      </c>
      <c r="I65" s="33">
        <f>SUMIFS('vre plants'!$F$2:$F$31,'vre plants'!$G$2:$G$31,'scenario analysis'!H65)+SUMIFS(storage!$E$2:$E$75,storage!$I$2:$I$75,'scenario analysis'!H65)+SUMIFS(EV_aggregator!$E$2:$E$75,EV_aggregator!$I$2:$I$75,'scenario analysis'!H65)+SUMIF('non-vre plants'!G2:G2,H65,'non-vre plants'!F2:F2)</f>
        <v>0</v>
      </c>
      <c r="J65" s="33">
        <f>SUMIF('demand centres'!$C$1:$C$50,'scenario analysis'!H65,'demand centres'!$B$1:$B$50)</f>
        <v>0</v>
      </c>
      <c r="K65" s="33" t="e">
        <f t="array" ref="K65">SUMIF('existing transmission'!#REF!,H65, 'existing transmission'!$G$2:$G$52)+SUMIF('existing transmission'!#REF!,H65, 'existing transmission'!$G$2:$G$52)</f>
        <v>#REF!</v>
      </c>
      <c r="L65" s="87" t="e">
        <f t="array" ref="L65">SUMIF('existing transmission'!#REF!,H65, 'existing transmission'!$K$2:$K$52)+SUMIF('existing transmission'!#REF!,H65, 'existing transmission'!$K$2:$K$52)</f>
        <v>#REF!</v>
      </c>
      <c r="N65" s="142" t="str">
        <f t="array" ref="N65">IFERROR(INDEX(#REF!, MATCH(0, COUNTIF($N$4:N64,#REF!), 0)), "")</f>
        <v/>
      </c>
      <c r="O65" s="128">
        <f>SUMIFS('vre plants'!$F$2:$F$19, 'vre plants'!$G$2:$G$19, 'scenario analysis'!N65, 'vre plants'!$C$2:$C$19, "wind_onshore") +SUMIFS('vre plants'!$F$2:$F$19, 'vre plants'!$G$2:$G$19, 'scenario analysis'!N65, 'vre plants'!$C$2:$C$19,"wind_offshore")</f>
        <v>0</v>
      </c>
      <c r="P65" s="129">
        <f>SUMIFS('vre plants'!$F$2:$F$19,'vre plants'!$G$2:$G$19,'scenario analysis'!N65,'vre plants'!$C$2:$C$19,"multi c-Si")</f>
        <v>0</v>
      </c>
      <c r="Q65" s="33">
        <f>SUMIFS('vre plants'!$F$2:$F$19, 'vre plants'!$G$2:$G$19, 'scenario analysis'!N65, 'vre plants'!$C$2:$C$19, "mono c-Si")</f>
        <v>0</v>
      </c>
      <c r="R65" s="33">
        <f>SUMIFS('vre plants'!$F$2:$F$19,'vre plants'!$G$2:$G$19,'scenario analysis'!N65,'vre plants'!$C$2:$C$19,"thin film")</f>
        <v>0</v>
      </c>
    </row>
    <row r="66" spans="8:18">
      <c r="H66" s="120" t="str">
        <f t="array" ref="H66">IFERROR(INDEX(#REF!, MATCH(0, COUNTIF($H$4:H65,#REF!), 0)), "")</f>
        <v/>
      </c>
      <c r="I66" s="166" t="e">
        <f>SUMIF('non-vre plants'!#REF!,H66,'non-vre plants'!#REF!)</f>
        <v>#REF!</v>
      </c>
      <c r="J66" s="33">
        <f>SUMIF('demand centres'!$C$1:$C$50,'scenario analysis'!H66,'demand centres'!$B$1:$B$50)</f>
        <v>0</v>
      </c>
      <c r="K66" s="33" t="e">
        <f t="array" ref="K66">SUMIF('existing transmission'!#REF!,H66, 'existing transmission'!$G$2:$G$52)+SUMIF('existing transmission'!#REF!,H66, 'existing transmission'!$G$2:$G$52)</f>
        <v>#REF!</v>
      </c>
      <c r="L66" s="87" t="e">
        <f t="array" ref="L66">SUMIF('existing transmission'!#REF!,H66, 'existing transmission'!$K$2:$K$52)+SUMIF('existing transmission'!#REF!,H66, 'existing transmission'!$K$2:$K$52)</f>
        <v>#REF!</v>
      </c>
      <c r="N66" s="142" t="str">
        <f t="array" ref="N66">IFERROR(INDEX(#REF!, MATCH(0, COUNTIF($N$4:N65,#REF!), 0)), "")</f>
        <v/>
      </c>
      <c r="O66" s="128">
        <f>SUMIFS('vre plants'!$F$2:$F$19, 'vre plants'!$G$2:$G$19, 'scenario analysis'!N66, 'vre plants'!$C$2:$C$19, "wind_onshore") +SUMIFS('vre plants'!$F$2:$F$19, 'vre plants'!$G$2:$G$19, 'scenario analysis'!N66, 'vre plants'!$C$2:$C$19,"wind_offshore")</f>
        <v>0</v>
      </c>
      <c r="P66" s="129">
        <f>SUMIFS('vre plants'!$F$2:$F$19,'vre plants'!$G$2:$G$19,'scenario analysis'!N66,'vre plants'!$C$2:$C$19,"multi c-Si")</f>
        <v>0</v>
      </c>
      <c r="Q66" s="33">
        <f>SUMIFS('vre plants'!$F$2:$F$19, 'vre plants'!$G$2:$G$19, 'scenario analysis'!N66, 'vre plants'!$C$2:$C$19, "mono c-Si")</f>
        <v>0</v>
      </c>
      <c r="R66" s="33">
        <f>SUMIFS('vre plants'!$F$2:$F$19,'vre plants'!$G$2:$G$19,'scenario analysis'!N66,'vre plants'!$C$2:$C$19,"thin film")</f>
        <v>0</v>
      </c>
    </row>
    <row r="67" spans="8:18">
      <c r="H67" s="120" t="str">
        <f t="array" ref="H67">IFERROR(INDEX(#REF!, MATCH(0, COUNTIF($H$4:H66,#REF!), 0)), "")</f>
        <v/>
      </c>
      <c r="I67" s="33">
        <f>SUMIFS('vre plants'!$F$2:$F$31,'vre plants'!$G$2:$G$31,'scenario analysis'!H67)+SUMIFS(storage!$E$2:$E$75,storage!$I$2:$I$75,'scenario analysis'!H67)+SUMIFS(EV_aggregator!$E$2:$E$75,EV_aggregator!$I$2:$I$75,'scenario analysis'!H67)+SUMIF('non-vre plants'!G2:G2,H67,'non-vre plants'!F2:F2)</f>
        <v>0</v>
      </c>
      <c r="J67" s="33">
        <f>SUMIF('demand centres'!$C$1:$C$50,'scenario analysis'!H67,'demand centres'!$B$1:$B$50)</f>
        <v>0</v>
      </c>
      <c r="K67" s="33" t="e">
        <f t="array" ref="K67">SUMIF('existing transmission'!#REF!,H67, 'existing transmission'!$G$2:$G$52)+SUMIF('existing transmission'!#REF!,H67, 'existing transmission'!$G$2:$G$52)</f>
        <v>#REF!</v>
      </c>
      <c r="L67" s="87" t="e">
        <f t="array" ref="L67">SUMIF('existing transmission'!#REF!,H67, 'existing transmission'!$K$2:$K$52)+SUMIF('existing transmission'!#REF!,H67, 'existing transmission'!$K$2:$K$52)</f>
        <v>#REF!</v>
      </c>
      <c r="N67" s="142" t="str">
        <f t="array" ref="N67">IFERROR(INDEX(#REF!, MATCH(0, COUNTIF($N$4:N66,#REF!), 0)), "")</f>
        <v/>
      </c>
      <c r="O67" s="128">
        <f>SUMIFS('vre plants'!$F$2:$F$19, 'vre plants'!$G$2:$G$19, 'scenario analysis'!N67, 'vre plants'!$C$2:$C$19, "wind_onshore") +SUMIFS('vre plants'!$F$2:$F$19, 'vre plants'!$G$2:$G$19, 'scenario analysis'!N67, 'vre plants'!$C$2:$C$19,"wind_offshore")</f>
        <v>0</v>
      </c>
      <c r="P67" s="129">
        <f>SUMIFS('vre plants'!$F$2:$F$19,'vre plants'!$G$2:$G$19,'scenario analysis'!N67,'vre plants'!$C$2:$C$19,"multi c-Si")</f>
        <v>0</v>
      </c>
      <c r="Q67" s="33">
        <f>SUMIFS('vre plants'!$F$2:$F$19, 'vre plants'!$G$2:$G$19, 'scenario analysis'!N67, 'vre plants'!$C$2:$C$19, "mono c-Si")</f>
        <v>0</v>
      </c>
      <c r="R67" s="33">
        <f>SUMIFS('vre plants'!$F$2:$F$19,'vre plants'!$G$2:$G$19,'scenario analysis'!N67,'vre plants'!$C$2:$C$19,"thin film")</f>
        <v>0</v>
      </c>
    </row>
    <row r="68" spans="8:18">
      <c r="H68" s="120" t="str">
        <f t="array" ref="H68">IFERROR(INDEX(#REF!, MATCH(0, COUNTIF($H$4:H67,#REF!), 0)), "")</f>
        <v/>
      </c>
      <c r="I68" s="166" t="e">
        <f>SUMIF('non-vre plants'!#REF!,H68,'non-vre plants'!#REF!)</f>
        <v>#REF!</v>
      </c>
      <c r="J68" s="33">
        <f>SUMIF('demand centres'!$C$1:$C$50,'scenario analysis'!H68,'demand centres'!$B$1:$B$50)</f>
        <v>0</v>
      </c>
      <c r="K68" s="33" t="e">
        <f t="array" ref="K68">SUMIF('existing transmission'!#REF!,H68, 'existing transmission'!$G$2:$G$52)+SUMIF('existing transmission'!#REF!,H68, 'existing transmission'!$G$2:$G$52)</f>
        <v>#REF!</v>
      </c>
      <c r="L68" s="87" t="e">
        <f t="array" ref="L68">SUMIF('existing transmission'!#REF!,H68, 'existing transmission'!$K$2:$K$52)+SUMIF('existing transmission'!#REF!,H68, 'existing transmission'!$K$2:$K$52)</f>
        <v>#REF!</v>
      </c>
      <c r="N68" s="142" t="str">
        <f t="array" ref="N68">IFERROR(INDEX(#REF!, MATCH(0, COUNTIF($N$4:N67,#REF!), 0)), "")</f>
        <v/>
      </c>
      <c r="O68" s="128">
        <f>SUMIFS('vre plants'!$F$2:$F$19, 'vre plants'!$G$2:$G$19, 'scenario analysis'!N68, 'vre plants'!$C$2:$C$19, "wind_onshore") +SUMIFS('vre plants'!$F$2:$F$19, 'vre plants'!$G$2:$G$19, 'scenario analysis'!N68, 'vre plants'!$C$2:$C$19,"wind_offshore")</f>
        <v>0</v>
      </c>
      <c r="P68" s="129">
        <f>SUMIFS('vre plants'!$F$2:$F$19,'vre plants'!$G$2:$G$19,'scenario analysis'!N68,'vre plants'!$C$2:$C$19,"multi c-Si")</f>
        <v>0</v>
      </c>
      <c r="Q68" s="33">
        <f>SUMIFS('vre plants'!$F$2:$F$19, 'vre plants'!$G$2:$G$19, 'scenario analysis'!N68, 'vre plants'!$C$2:$C$19, "mono c-Si")</f>
        <v>0</v>
      </c>
      <c r="R68" s="33">
        <f>SUMIFS('vre plants'!$F$2:$F$19,'vre plants'!$G$2:$G$19,'scenario analysis'!N68,'vre plants'!$C$2:$C$19,"thin film")</f>
        <v>0</v>
      </c>
    </row>
    <row r="69" spans="8:18">
      <c r="H69" s="120" t="str">
        <f t="array" ref="H69">IFERROR(INDEX(#REF!, MATCH(0, COUNTIF($H$4:H68,#REF!), 0)), "")</f>
        <v/>
      </c>
      <c r="I69" s="166" t="e">
        <f>SUMIF('non-vre plants'!#REF!,H69,'non-vre plants'!#REF!)</f>
        <v>#REF!</v>
      </c>
      <c r="J69" s="33">
        <f>SUMIF('demand centres'!$C$1:$C$50,'scenario analysis'!H69,'demand centres'!$B$1:$B$50)</f>
        <v>0</v>
      </c>
      <c r="K69" s="33" t="e">
        <f t="array" ref="K69">SUMIF('existing transmission'!#REF!,H69, 'existing transmission'!$G$2:$G$52)+SUMIF('existing transmission'!#REF!,H69, 'existing transmission'!$G$2:$G$52)</f>
        <v>#REF!</v>
      </c>
      <c r="L69" s="87" t="e">
        <f t="array" ref="L69">SUMIF('existing transmission'!#REF!,H69, 'existing transmission'!$K$2:$K$52)+SUMIF('existing transmission'!#REF!,H69, 'existing transmission'!$K$2:$K$52)</f>
        <v>#REF!</v>
      </c>
      <c r="N69" s="142" t="str">
        <f t="array" ref="N69">IFERROR(INDEX(#REF!, MATCH(0, COUNTIF($N$4:N68,#REF!), 0)), "")</f>
        <v/>
      </c>
      <c r="O69" s="128">
        <f>SUMIFS('vre plants'!$F$2:$F$19, 'vre plants'!$G$2:$G$19, 'scenario analysis'!N69, 'vre plants'!$C$2:$C$19, "wind_onshore") +SUMIFS('vre plants'!$F$2:$F$19, 'vre plants'!$G$2:$G$19, 'scenario analysis'!N69, 'vre plants'!$C$2:$C$19,"wind_offshore")</f>
        <v>0</v>
      </c>
      <c r="P69" s="129">
        <f>SUMIFS('vre plants'!$F$2:$F$19,'vre plants'!$G$2:$G$19,'scenario analysis'!N69,'vre plants'!$C$2:$C$19,"multi c-Si")</f>
        <v>0</v>
      </c>
      <c r="Q69" s="33">
        <f>SUMIFS('vre plants'!$F$2:$F$19, 'vre plants'!$G$2:$G$19, 'scenario analysis'!N69, 'vre plants'!$C$2:$C$19, "mono c-Si")</f>
        <v>0</v>
      </c>
      <c r="R69" s="33">
        <f>SUMIFS('vre plants'!$F$2:$F$19,'vre plants'!$G$2:$G$19,'scenario analysis'!N69,'vre plants'!$C$2:$C$19,"thin film")</f>
        <v>0</v>
      </c>
    </row>
    <row r="70" spans="8:18">
      <c r="H70" s="120" t="str">
        <f t="array" ref="H70">IFERROR(INDEX(#REF!, MATCH(0, COUNTIF($H$4:H69,#REF!), 0)), "")</f>
        <v/>
      </c>
      <c r="I70" s="33">
        <f>SUMIFS('vre plants'!$F$2:$F$31,'vre plants'!$G$2:$G$31,'scenario analysis'!H70)+SUMIFS(storage!$E$2:$E$75,storage!$I$2:$I$75,'scenario analysis'!H70)+SUMIFS(EV_aggregator!$E$2:$E$75,EV_aggregator!$I$2:$I$75,'scenario analysis'!H70)+SUMIF('non-vre plants'!G2:G2,H70,'non-vre plants'!F2:F2)</f>
        <v>0</v>
      </c>
      <c r="J70" s="33">
        <f>SUMIF('demand centres'!$C$1:$C$50,'scenario analysis'!H70,'demand centres'!$B$1:$B$50)</f>
        <v>0</v>
      </c>
      <c r="K70" s="33" t="e">
        <f t="array" ref="K70">SUMIF('existing transmission'!#REF!,H70, 'existing transmission'!$G$2:$G$52)+SUMIF('existing transmission'!#REF!,H70, 'existing transmission'!$G$2:$G$52)</f>
        <v>#REF!</v>
      </c>
      <c r="L70" s="87" t="e">
        <f t="array" ref="L70">SUMIF('existing transmission'!#REF!,H70, 'existing transmission'!$K$2:$K$52)+SUMIF('existing transmission'!#REF!,H70, 'existing transmission'!$K$2:$K$52)</f>
        <v>#REF!</v>
      </c>
      <c r="N70" s="142" t="str">
        <f t="array" ref="N70">IFERROR(INDEX(#REF!, MATCH(0, COUNTIF($N$4:N69,#REF!), 0)), "")</f>
        <v/>
      </c>
      <c r="O70" s="128">
        <f>SUMIFS('vre plants'!$F$2:$F$19, 'vre plants'!$G$2:$G$19, 'scenario analysis'!N70, 'vre plants'!$C$2:$C$19, "wind_onshore") +SUMIFS('vre plants'!$F$2:$F$19, 'vre plants'!$G$2:$G$19, 'scenario analysis'!N70, 'vre plants'!$C$2:$C$19,"wind_offshore")</f>
        <v>0</v>
      </c>
      <c r="P70" s="129">
        <f>SUMIFS('vre plants'!$F$2:$F$19,'vre plants'!$G$2:$G$19,'scenario analysis'!N70,'vre plants'!$C$2:$C$19,"multi c-Si")</f>
        <v>0</v>
      </c>
      <c r="Q70" s="33">
        <f>SUMIFS('vre plants'!$F$2:$F$19, 'vre plants'!$G$2:$G$19, 'scenario analysis'!N70, 'vre plants'!$C$2:$C$19, "mono c-Si")</f>
        <v>0</v>
      </c>
      <c r="R70" s="33">
        <f>SUMIFS('vre plants'!$F$2:$F$19,'vre plants'!$G$2:$G$19,'scenario analysis'!N70,'vre plants'!$C$2:$C$19,"thin film")</f>
        <v>0</v>
      </c>
    </row>
    <row r="71" spans="8:18">
      <c r="H71" s="120" t="str">
        <f t="array" ref="H71">IFERROR(INDEX(#REF!, MATCH(0, COUNTIF($H$4:H70,#REF!), 0)), "")</f>
        <v/>
      </c>
      <c r="I71" s="33">
        <f>SUMIFS('vre plants'!$F$2:$F$31,'vre plants'!$G$2:$G$31,'scenario analysis'!H71)+SUMIFS(storage!$E$2:$E$75,storage!$I$2:$I$75,'scenario analysis'!H71)+SUMIFS(EV_aggregator!$E$2:$E$75,EV_aggregator!$I$2:$I$75,'scenario analysis'!H71)+SUMIF('non-vre plants'!G2:G2,H71,'non-vre plants'!F2:F2)</f>
        <v>0</v>
      </c>
      <c r="J71" s="33">
        <f>SUMIF('demand centres'!$C$1:$C$50,'scenario analysis'!H71,'demand centres'!$B$1:$B$50)</f>
        <v>0</v>
      </c>
      <c r="K71" s="33" t="e">
        <f t="array" ref="K71">SUMIF('existing transmission'!#REF!,H71, 'existing transmission'!$G$2:$G$52)+SUMIF('existing transmission'!#REF!,H71, 'existing transmission'!$G$2:$G$52)</f>
        <v>#REF!</v>
      </c>
      <c r="L71" s="87" t="e">
        <f t="array" ref="L71">SUMIF('existing transmission'!#REF!,H71, 'existing transmission'!$K$2:$K$52)+SUMIF('existing transmission'!#REF!,H71, 'existing transmission'!$K$2:$K$52)</f>
        <v>#REF!</v>
      </c>
      <c r="N71" s="142" t="str">
        <f t="array" ref="N71">IFERROR(INDEX(#REF!, MATCH(0, COUNTIF($N$4:N70,#REF!), 0)), "")</f>
        <v/>
      </c>
      <c r="O71" s="128">
        <f>SUMIFS('vre plants'!$F$2:$F$19, 'vre plants'!$G$2:$G$19, 'scenario analysis'!N71, 'vre plants'!$C$2:$C$19, "wind_onshore") +SUMIFS('vre plants'!$F$2:$F$19, 'vre plants'!$G$2:$G$19, 'scenario analysis'!N71, 'vre plants'!$C$2:$C$19,"wind_offshore")</f>
        <v>0</v>
      </c>
      <c r="P71" s="129">
        <f>SUMIFS('vre plants'!$F$2:$F$19,'vre plants'!$G$2:$G$19,'scenario analysis'!N71,'vre plants'!$C$2:$C$19,"multi c-Si")</f>
        <v>0</v>
      </c>
      <c r="Q71" s="33">
        <f>SUMIFS('vre plants'!$F$2:$F$19, 'vre plants'!$G$2:$G$19, 'scenario analysis'!N71, 'vre plants'!$C$2:$C$19, "mono c-Si")</f>
        <v>0</v>
      </c>
      <c r="R71" s="33">
        <f>SUMIFS('vre plants'!$F$2:$F$19,'vre plants'!$G$2:$G$19,'scenario analysis'!N71,'vre plants'!$C$2:$C$19,"thin film")</f>
        <v>0</v>
      </c>
    </row>
    <row r="72" spans="8:18">
      <c r="H72" s="120" t="str">
        <f t="array" ref="H72">IFERROR(INDEX(#REF!, MATCH(0, COUNTIF($H$4:H71,#REF!), 0)), "")</f>
        <v/>
      </c>
      <c r="I72" s="166" t="e">
        <f>SUMIF('non-vre plants'!#REF!,H72,'non-vre plants'!#REF!)</f>
        <v>#REF!</v>
      </c>
      <c r="J72" s="33">
        <f>SUMIF('demand centres'!$C$1:$C$50,'scenario analysis'!H72,'demand centres'!$B$1:$B$50)</f>
        <v>0</v>
      </c>
      <c r="K72" s="33" t="e">
        <f t="array" ref="K72">SUMIF('existing transmission'!#REF!,H72, 'existing transmission'!$G$2:$G$52)+SUMIF('existing transmission'!#REF!,H72, 'existing transmission'!$G$2:$G$52)</f>
        <v>#REF!</v>
      </c>
      <c r="L72" s="87" t="e">
        <f t="array" ref="L72">SUMIF('existing transmission'!#REF!,H72, 'existing transmission'!$K$2:$K$52)+SUMIF('existing transmission'!#REF!,H72, 'existing transmission'!$K$2:$K$52)</f>
        <v>#REF!</v>
      </c>
      <c r="N72" s="142" t="str">
        <f t="array" ref="N72">IFERROR(INDEX(#REF!, MATCH(0, COUNTIF($N$4:N71,#REF!), 0)), "")</f>
        <v/>
      </c>
      <c r="O72" s="128">
        <f>SUMIFS('vre plants'!$F$2:$F$19, 'vre plants'!$G$2:$G$19, 'scenario analysis'!N72, 'vre plants'!$C$2:$C$19, "wind_onshore") +SUMIFS('vre plants'!$F$2:$F$19, 'vre plants'!$G$2:$G$19, 'scenario analysis'!N72, 'vre plants'!$C$2:$C$19,"wind_offshore")</f>
        <v>0</v>
      </c>
      <c r="P72" s="129">
        <f>SUMIFS('vre plants'!$F$2:$F$19,'vre plants'!$G$2:$G$19,'scenario analysis'!N72,'vre plants'!$C$2:$C$19,"multi c-Si")</f>
        <v>0</v>
      </c>
      <c r="Q72" s="33">
        <f>SUMIFS('vre plants'!$F$2:$F$19, 'vre plants'!$G$2:$G$19, 'scenario analysis'!N72, 'vre plants'!$C$2:$C$19, "mono c-Si")</f>
        <v>0</v>
      </c>
      <c r="R72" s="33">
        <f>SUMIFS('vre plants'!$F$2:$F$19,'vre plants'!$G$2:$G$19,'scenario analysis'!N72,'vre plants'!$C$2:$C$19,"thin film")</f>
        <v>0</v>
      </c>
    </row>
    <row r="73" spans="8:18">
      <c r="H73" s="120" t="str">
        <f t="array" ref="H73">IFERROR(INDEX(#REF!, MATCH(0, COUNTIF($H$4:H72,#REF!), 0)), "")</f>
        <v/>
      </c>
      <c r="I73" s="33">
        <f>SUMIFS('vre plants'!$F$2:$F$31,'vre plants'!$G$2:$G$31,'scenario analysis'!H73)+SUMIFS(storage!$E$2:$E$75,storage!$I$2:$I$75,'scenario analysis'!H73)+SUMIFS(EV_aggregator!$E$2:$E$75,EV_aggregator!$I$2:$I$75,'scenario analysis'!H73)+SUMIF('non-vre plants'!G2:G2,H73,'non-vre plants'!F2:F2)</f>
        <v>0</v>
      </c>
      <c r="J73" s="33">
        <f>SUMIF('demand centres'!$C$1:$C$50,'scenario analysis'!H73,'demand centres'!$B$1:$B$50)</f>
        <v>0</v>
      </c>
      <c r="K73" s="33" t="e">
        <f t="array" ref="K73">SUMIF('existing transmission'!#REF!,H73, 'existing transmission'!$G$2:$G$52)+SUMIF('existing transmission'!#REF!,H73, 'existing transmission'!$G$2:$G$52)</f>
        <v>#REF!</v>
      </c>
      <c r="L73" s="87" t="e">
        <f t="array" ref="L73">SUMIF('existing transmission'!#REF!,H73, 'existing transmission'!$K$2:$K$52)+SUMIF('existing transmission'!#REF!,H73, 'existing transmission'!$K$2:$K$52)</f>
        <v>#REF!</v>
      </c>
      <c r="N73" s="142" t="str">
        <f t="array" ref="N73">IFERROR(INDEX(#REF!, MATCH(0, COUNTIF($N$4:N72,#REF!), 0)), "")</f>
        <v/>
      </c>
      <c r="O73" s="128">
        <f>SUMIFS('vre plants'!$F$2:$F$19, 'vre plants'!$G$2:$G$19, 'scenario analysis'!N73, 'vre plants'!$C$2:$C$19, "wind_onshore") +SUMIFS('vre plants'!$F$2:$F$19, 'vre plants'!$G$2:$G$19, 'scenario analysis'!N73, 'vre plants'!$C$2:$C$19,"wind_offshore")</f>
        <v>0</v>
      </c>
      <c r="P73" s="129">
        <f>SUMIFS('vre plants'!$F$2:$F$19,'vre plants'!$G$2:$G$19,'scenario analysis'!N73,'vre plants'!$C$2:$C$19,"multi c-Si")</f>
        <v>0</v>
      </c>
      <c r="Q73" s="33">
        <f>SUMIFS('vre plants'!$F$2:$F$19, 'vre plants'!$G$2:$G$19, 'scenario analysis'!N73, 'vre plants'!$C$2:$C$19, "mono c-Si")</f>
        <v>0</v>
      </c>
      <c r="R73" s="33">
        <f>SUMIFS('vre plants'!$F$2:$F$19,'vre plants'!$G$2:$G$19,'scenario analysis'!N73,'vre plants'!$C$2:$C$19,"thin film")</f>
        <v>0</v>
      </c>
    </row>
    <row r="74" spans="8:18">
      <c r="H74" s="120" t="str">
        <f t="array" ref="H74">IFERROR(INDEX(#REF!, MATCH(0, COUNTIF($H$4:H73,#REF!), 0)), "")</f>
        <v/>
      </c>
      <c r="I74" s="166" t="e">
        <f>SUMIF('non-vre plants'!#REF!,H74,'non-vre plants'!#REF!)</f>
        <v>#REF!</v>
      </c>
      <c r="J74" s="33">
        <f>SUMIF('demand centres'!$C$1:$C$50,'scenario analysis'!H74,'demand centres'!$B$1:$B$50)</f>
        <v>0</v>
      </c>
      <c r="K74" s="33" t="e">
        <f t="array" ref="K74">SUMIF('existing transmission'!#REF!,H74, 'existing transmission'!$G$2:$G$52)+SUMIF('existing transmission'!#REF!,H74, 'existing transmission'!$G$2:$G$52)</f>
        <v>#REF!</v>
      </c>
      <c r="L74" s="87" t="e">
        <f t="array" ref="L74">SUMIF('existing transmission'!#REF!,H74, 'existing transmission'!$K$2:$K$52)+SUMIF('existing transmission'!#REF!,H74, 'existing transmission'!$K$2:$K$52)</f>
        <v>#REF!</v>
      </c>
      <c r="N74" s="142" t="str">
        <f t="array" ref="N74">IFERROR(INDEX(#REF!, MATCH(0, COUNTIF($N$4:N73,#REF!), 0)), "")</f>
        <v/>
      </c>
      <c r="O74" s="128">
        <f>SUMIFS('vre plants'!$F$2:$F$19, 'vre plants'!$G$2:$G$19, 'scenario analysis'!N74, 'vre plants'!$C$2:$C$19, "wind_onshore") +SUMIFS('vre plants'!$F$2:$F$19, 'vre plants'!$G$2:$G$19, 'scenario analysis'!N74, 'vre plants'!$C$2:$C$19,"wind_offshore")</f>
        <v>0</v>
      </c>
      <c r="P74" s="129">
        <f>SUMIFS('vre plants'!$F$2:$F$19,'vre plants'!$G$2:$G$19,'scenario analysis'!N74,'vre plants'!$C$2:$C$19,"multi c-Si")</f>
        <v>0</v>
      </c>
      <c r="Q74" s="33">
        <f>SUMIFS('vre plants'!$F$2:$F$19, 'vre plants'!$G$2:$G$19, 'scenario analysis'!N74, 'vre plants'!$C$2:$C$19, "mono c-Si")</f>
        <v>0</v>
      </c>
      <c r="R74" s="33">
        <f>SUMIFS('vre plants'!$F$2:$F$19,'vre plants'!$G$2:$G$19,'scenario analysis'!N74,'vre plants'!$C$2:$C$19,"thin film")</f>
        <v>0</v>
      </c>
    </row>
    <row r="75" spans="8:18">
      <c r="H75" s="120" t="str">
        <f t="array" ref="H75">IFERROR(INDEX(#REF!, MATCH(0, COUNTIF($H$4:H74,#REF!), 0)), "")</f>
        <v/>
      </c>
      <c r="I75" s="166">
        <f>SUMIF('non-vre plants'!J3:J3,H75,'non-vre plants'!M3:M3)</f>
        <v>0</v>
      </c>
      <c r="J75" s="33">
        <f>SUMIF('demand centres'!$C$1:$C$50,'scenario analysis'!H75,'demand centres'!$B$1:$B$50)</f>
        <v>0</v>
      </c>
      <c r="K75" s="33" t="e">
        <f>SUMIF('existing transmission'!#REF!,H75, 'existing transmission'!$G$2:$G$52)+SUMIF('existing transmission'!#REF!,H75, 'existing transmission'!$G$2:$G$52)</f>
        <v>#REF!</v>
      </c>
      <c r="L75" s="87" t="e">
        <f t="array" ref="L75">SUMIF('existing transmission'!#REF!,H75, 'existing transmission'!$K$2:$K$52)+SUMIF('existing transmission'!#REF!,H75, 'existing transmission'!$K$2:$K$52)</f>
        <v>#REF!</v>
      </c>
      <c r="N75" s="142" t="str">
        <f t="array" ref="N75">IFERROR(INDEX(#REF!, MATCH(0, COUNTIF($N$4:N74,#REF!), 0)), "")</f>
        <v/>
      </c>
      <c r="O75" s="128">
        <f>SUMIFS('vre plants'!$F$2:$F$19, 'vre plants'!$G$2:$G$19, 'scenario analysis'!N75, 'vre plants'!$C$2:$C$19, "wind_onshore") +SUMIFS('vre plants'!$F$2:$F$19, 'vre plants'!$G$2:$G$19, 'scenario analysis'!N75, 'vre plants'!$C$2:$C$19,"wind_offshore")</f>
        <v>0</v>
      </c>
      <c r="P75" s="129">
        <f>SUMIFS('vre plants'!$F$2:$F$19,'vre plants'!$G$2:$G$19,'scenario analysis'!N75,'vre plants'!$C$2:$C$19,"multi c-Si")</f>
        <v>0</v>
      </c>
      <c r="Q75" s="33">
        <f>SUMIFS('vre plants'!$F$2:$F$19, 'vre plants'!$G$2:$G$19, 'scenario analysis'!N75, 'vre plants'!$C$2:$C$19, "mono c-Si")</f>
        <v>0</v>
      </c>
      <c r="R75" s="33">
        <f>SUMIFS('vre plants'!$F$2:$F$19,'vre plants'!$G$2:$G$19,'scenario analysis'!N75,'vre plants'!$C$2:$C$19,"thin film")</f>
        <v>0</v>
      </c>
    </row>
    <row r="76" spans="8:18">
      <c r="H76" s="120" t="str">
        <f t="array" ref="H76">IFERROR(INDEX(#REF!, MATCH(0, COUNTIF($H$4:H75,#REF!), 0)), "")</f>
        <v/>
      </c>
      <c r="I76" s="33">
        <f>SUMIFS('vre plants'!$F$2:$F$31,'vre plants'!$G$2:$G$31,'scenario analysis'!H76)+SUMIFS(storage!$E$2:$E$75,storage!$I$2:$I$75,'scenario analysis'!H76)+SUMIFS(EV_aggregator!$E$2:$E$75,EV_aggregator!$I$2:$I$75,'scenario analysis'!H76)+SUMIF('non-vre plants'!G2:G3,H76,'non-vre plants'!F2:F3)</f>
        <v>0</v>
      </c>
      <c r="J76" s="33">
        <f>SUMIF('demand centres'!$C$1:$C$50,'scenario analysis'!H76,'demand centres'!$B$1:$B$50)</f>
        <v>0</v>
      </c>
      <c r="K76" s="33" t="e">
        <f t="array" ref="K76">SUMIF('existing transmission'!#REF!,H76, 'existing transmission'!$G$2:$G$52)+SUMIF('existing transmission'!#REF!,H76, 'existing transmission'!$G$2:$G$52)</f>
        <v>#REF!</v>
      </c>
      <c r="L76" s="87" t="e">
        <f t="array" ref="L76">SUMIF('existing transmission'!#REF!,H76, 'existing transmission'!$K$2:$K$52)+SUMIF('existing transmission'!#REF!,H76, 'existing transmission'!$K$2:$K$52)</f>
        <v>#REF!</v>
      </c>
      <c r="N76" s="142" t="str">
        <f t="array" ref="N76">IFERROR(INDEX(#REF!, MATCH(0, COUNTIF($N$4:N75,#REF!), 0)), "")</f>
        <v/>
      </c>
      <c r="O76" s="128">
        <f>SUMIFS('vre plants'!$F$2:$F$19, 'vre plants'!$G$2:$G$19, 'scenario analysis'!N76, 'vre plants'!$C$2:$C$19, "wind_onshore") +SUMIFS('vre plants'!$F$2:$F$19, 'vre plants'!$G$2:$G$19, 'scenario analysis'!N76, 'vre plants'!$C$2:$C$19,"wind_offshore")</f>
        <v>0</v>
      </c>
      <c r="P76" s="129">
        <f>SUMIFS('vre plants'!$F$2:$F$19,'vre plants'!$G$2:$G$19,'scenario analysis'!N76,'vre plants'!$C$2:$C$19,"multi c-Si")</f>
        <v>0</v>
      </c>
      <c r="Q76" s="33">
        <f>SUMIFS('vre plants'!$F$2:$F$19, 'vre plants'!$G$2:$G$19, 'scenario analysis'!N76, 'vre plants'!$C$2:$C$19, "mono c-Si")</f>
        <v>0</v>
      </c>
      <c r="R76" s="33">
        <f>SUMIFS('vre plants'!$F$2:$F$19,'vre plants'!$G$2:$G$19,'scenario analysis'!N76,'vre plants'!$C$2:$C$19,"thin film")</f>
        <v>0</v>
      </c>
    </row>
    <row r="77" spans="8:18">
      <c r="H77" s="120" t="str">
        <f t="array" ref="H77">IFERROR(INDEX(#REF!, MATCH(0, COUNTIF($H$4:H76,#REF!), 0)), "")</f>
        <v/>
      </c>
      <c r="I77" s="33">
        <f>SUMIFS('vre plants'!$F$2:$F$31,'vre plants'!$G$2:$G$31,'scenario analysis'!H77)+SUMIFS(storage!$E$2:$E$75,storage!$I$2:$I$75,'scenario analysis'!H77)+SUMIFS(EV_aggregator!$E$2:$E$75,EV_aggregator!$I$2:$I$75,'scenario analysis'!H77)+SUMIF('non-vre plants'!G2:G3,H77,'non-vre plants'!F2:F3)</f>
        <v>0</v>
      </c>
      <c r="J77" s="33">
        <f>SUMIF('demand centres'!$C$1:$C$50,'scenario analysis'!H77,'demand centres'!$B$1:$B$50)</f>
        <v>0</v>
      </c>
      <c r="K77" s="33" t="e">
        <f t="array" ref="K77">SUMIF('existing transmission'!#REF!,H77, 'existing transmission'!$G$2:$G$52)+SUMIF('existing transmission'!#REF!,H77, 'existing transmission'!$G$2:$G$52)</f>
        <v>#REF!</v>
      </c>
      <c r="L77" s="87" t="e">
        <f t="array" ref="L77">SUMIF('existing transmission'!#REF!,H77, 'existing transmission'!$K$2:$K$52)+SUMIF('existing transmission'!#REF!,H77, 'existing transmission'!$K$2:$K$52)</f>
        <v>#REF!</v>
      </c>
      <c r="N77" s="142" t="str">
        <f t="array" ref="N77">IFERROR(INDEX(#REF!, MATCH(0, COUNTIF($N$4:N76,#REF!), 0)), "")</f>
        <v/>
      </c>
      <c r="O77" s="128">
        <f>SUMIFS('vre plants'!$F$2:$F$19, 'vre plants'!$G$2:$G$19, 'scenario analysis'!N77, 'vre plants'!$C$2:$C$19, "wind_onshore") +SUMIFS('vre plants'!$F$2:$F$19, 'vre plants'!$G$2:$G$19, 'scenario analysis'!N77, 'vre plants'!$C$2:$C$19,"wind_offshore")</f>
        <v>0</v>
      </c>
      <c r="P77" s="129">
        <f>SUMIFS('vre plants'!$F$2:$F$19,'vre plants'!$G$2:$G$19,'scenario analysis'!N77,'vre plants'!$C$2:$C$19,"multi c-Si")</f>
        <v>0</v>
      </c>
      <c r="Q77" s="33">
        <f>SUMIFS('vre plants'!$F$2:$F$19, 'vre plants'!$G$2:$G$19, 'scenario analysis'!N77, 'vre plants'!$C$2:$C$19, "mono c-Si")</f>
        <v>0</v>
      </c>
      <c r="R77" s="33">
        <f>SUMIFS('vre plants'!$F$2:$F$19,'vre plants'!$G$2:$G$19,'scenario analysis'!N77,'vre plants'!$C$2:$C$19,"thin film")</f>
        <v>0</v>
      </c>
    </row>
    <row r="78" spans="8:18">
      <c r="H78" s="120" t="str">
        <f t="array" ref="H78">IFERROR(INDEX(#REF!, MATCH(0, COUNTIF($H$4:H77,#REF!), 0)), "")</f>
        <v/>
      </c>
      <c r="I78" s="33">
        <f>SUMIFS('vre plants'!$F$2:$F$31,'vre plants'!$G$2:$G$31,'scenario analysis'!H78)+SUMIFS(storage!$E$2:$E$75,storage!$I$2:$I$75,'scenario analysis'!H78)+SUMIFS(EV_aggregator!$E$2:$E$75,EV_aggregator!$I$2:$I$75,'scenario analysis'!H78)+SUMIF('non-vre plants'!G2:G3,H78,'non-vre plants'!F2:F3)</f>
        <v>0</v>
      </c>
      <c r="J78" s="33">
        <f>SUMIF('demand centres'!$C$1:$C$50,'scenario analysis'!H78,'demand centres'!$B$1:$B$50)</f>
        <v>0</v>
      </c>
      <c r="K78" s="33" t="e">
        <f t="array" ref="K78">SUMIF('existing transmission'!#REF!,H78, 'existing transmission'!$G$2:$G$52)+SUMIF('existing transmission'!#REF!,H78, 'existing transmission'!$G$2:$G$52)</f>
        <v>#REF!</v>
      </c>
      <c r="L78" s="87" t="e">
        <f t="array" ref="L78">SUMIF('existing transmission'!#REF!,H78, 'existing transmission'!$K$2:$K$52)+SUMIF('existing transmission'!#REF!,H78, 'existing transmission'!$K$2:$K$52)</f>
        <v>#REF!</v>
      </c>
      <c r="N78" s="142" t="str">
        <f t="array" ref="N78">IFERROR(INDEX(#REF!, MATCH(0, COUNTIF($N$4:N77,#REF!), 0)), "")</f>
        <v/>
      </c>
      <c r="O78" s="128">
        <f>SUMIFS('vre plants'!$F$2:$F$19, 'vre plants'!$G$2:$G$19, 'scenario analysis'!N78, 'vre plants'!$C$2:$C$19, "wind_onshore") +SUMIFS('vre plants'!$F$2:$F$19, 'vre plants'!$G$2:$G$19, 'scenario analysis'!N78, 'vre plants'!$C$2:$C$19,"wind_offshore")</f>
        <v>0</v>
      </c>
      <c r="P78" s="129">
        <f>SUMIFS('vre plants'!$F$2:$F$19,'vre plants'!$G$2:$G$19,'scenario analysis'!N78,'vre plants'!$C$2:$C$19,"multi c-Si")</f>
        <v>0</v>
      </c>
      <c r="Q78" s="33">
        <f>SUMIFS('vre plants'!$F$2:$F$19, 'vre plants'!$G$2:$G$19, 'scenario analysis'!N78, 'vre plants'!$C$2:$C$19, "mono c-Si")</f>
        <v>0</v>
      </c>
      <c r="R78" s="33">
        <f>SUMIFS('vre plants'!$F$2:$F$19,'vre plants'!$G$2:$G$19,'scenario analysis'!N78,'vre plants'!$C$2:$C$19,"thin film")</f>
        <v>0</v>
      </c>
    </row>
    <row r="79" spans="8:18">
      <c r="H79" s="120" t="str">
        <f t="array" ref="H79">IFERROR(INDEX(#REF!, MATCH(0, COUNTIF($H$4:H78,#REF!), 0)), "")</f>
        <v/>
      </c>
      <c r="I79" s="33">
        <f>SUMIFS('vre plants'!$F$2:$F$31,'vre plants'!$G$2:$G$31,'scenario analysis'!H79)+SUMIFS(storage!$E$2:$E$75,storage!$I$2:$I$75,'scenario analysis'!H79)+SUMIFS(EV_aggregator!$E$2:$E$75,EV_aggregator!$I$2:$I$75,'scenario analysis'!H79)+SUMIF('non-vre plants'!G2:G3,H79,'non-vre plants'!F2:F3)</f>
        <v>0</v>
      </c>
      <c r="J79" s="33">
        <f>SUMIF('demand centres'!$C$1:$C$50,'scenario analysis'!H79,'demand centres'!$B$1:$B$50)</f>
        <v>0</v>
      </c>
      <c r="K79" s="33" t="e">
        <f t="array" ref="K79">SUMIF('existing transmission'!#REF!,H79, 'existing transmission'!$G$2:$G$52)+SUMIF('existing transmission'!#REF!,H79, 'existing transmission'!$G$2:$G$52)</f>
        <v>#REF!</v>
      </c>
      <c r="L79" s="87" t="e">
        <f t="array" ref="L79">SUMIF('existing transmission'!#REF!,H79, 'existing transmission'!$K$2:$K$52)+SUMIF('existing transmission'!#REF!,H79, 'existing transmission'!$K$2:$K$52)</f>
        <v>#REF!</v>
      </c>
      <c r="N79" s="142" t="str">
        <f t="array" ref="N79">IFERROR(INDEX(#REF!, MATCH(0, COUNTIF($N$4:N78,#REF!), 0)), "")</f>
        <v/>
      </c>
      <c r="O79" s="128">
        <f>SUMIFS('vre plants'!$F$2:$F$19, 'vre plants'!$G$2:$G$19, 'scenario analysis'!N79, 'vre plants'!$C$2:$C$19, "wind_onshore") +SUMIFS('vre plants'!$F$2:$F$19, 'vre plants'!$G$2:$G$19, 'scenario analysis'!N79, 'vre plants'!$C$2:$C$19,"wind_offshore")</f>
        <v>0</v>
      </c>
      <c r="P79" s="129">
        <f>SUMIFS('vre plants'!$F$2:$F$19,'vre plants'!$G$2:$G$19,'scenario analysis'!N79,'vre plants'!$C$2:$C$19,"multi c-Si")</f>
        <v>0</v>
      </c>
      <c r="Q79" s="33">
        <f>SUMIFS('vre plants'!$F$2:$F$19, 'vre plants'!$G$2:$G$19, 'scenario analysis'!N79, 'vre plants'!$C$2:$C$19, "mono c-Si")</f>
        <v>0</v>
      </c>
      <c r="R79" s="33">
        <f>SUMIFS('vre plants'!$F$2:$F$19,'vre plants'!$G$2:$G$19,'scenario analysis'!N79,'vre plants'!$C$2:$C$19,"thin film")</f>
        <v>0</v>
      </c>
    </row>
    <row r="80" spans="8:18">
      <c r="H80" s="120"/>
      <c r="N80" s="142"/>
    </row>
    <row r="81" spans="8:14">
      <c r="H81" s="120"/>
      <c r="N81" s="142"/>
    </row>
    <row r="82" spans="8:14">
      <c r="H82" s="120"/>
      <c r="N82" s="142"/>
    </row>
    <row r="83" spans="8:14">
      <c r="H83" s="120"/>
      <c r="N83" s="142"/>
    </row>
    <row r="84" spans="8:14">
      <c r="H84" s="120"/>
      <c r="N84" s="142"/>
    </row>
    <row r="85" spans="8:14">
      <c r="H85" s="120"/>
      <c r="N85" s="142"/>
    </row>
    <row r="86" spans="8:14">
      <c r="H86" s="120"/>
      <c r="N86" s="142"/>
    </row>
    <row r="87" spans="8:14">
      <c r="H87" s="120"/>
      <c r="N87" s="142"/>
    </row>
    <row r="88" spans="8:14">
      <c r="H88" s="120"/>
      <c r="N88" s="142"/>
    </row>
    <row r="89" spans="8:14">
      <c r="H89" s="120"/>
      <c r="N89" s="142"/>
    </row>
    <row r="90" spans="8:14">
      <c r="H90" s="120"/>
      <c r="N90" s="142"/>
    </row>
    <row r="91" spans="8:14">
      <c r="H91" s="120"/>
      <c r="N91" s="142"/>
    </row>
    <row r="92" spans="8:14">
      <c r="H92" s="120"/>
      <c r="N92" s="142"/>
    </row>
    <row r="93" spans="8:14">
      <c r="H93" s="120"/>
      <c r="N93" s="142"/>
    </row>
    <row r="94" spans="8:14">
      <c r="H94" s="120"/>
      <c r="N94" s="142"/>
    </row>
    <row r="95" spans="8:14">
      <c r="H95" s="120"/>
      <c r="N95" s="142"/>
    </row>
    <row r="96" spans="8:14">
      <c r="H96" s="120"/>
      <c r="N96" s="142"/>
    </row>
    <row r="97" spans="8:14">
      <c r="H97" s="120"/>
      <c r="N97" s="142"/>
    </row>
    <row r="98" spans="8:14">
      <c r="H98" s="120"/>
      <c r="N98" s="142"/>
    </row>
    <row r="99" spans="8:14">
      <c r="H99" s="120"/>
      <c r="N99" s="142"/>
    </row>
    <row r="100" spans="8:14">
      <c r="H100" s="120"/>
      <c r="N100" s="142"/>
    </row>
    <row r="101" spans="8:14">
      <c r="H101" s="120"/>
      <c r="N101" s="142"/>
    </row>
    <row r="102" spans="8:14">
      <c r="H102" s="120"/>
    </row>
    <row r="103" spans="8:14">
      <c r="H103" s="120"/>
    </row>
    <row r="104" spans="8:14">
      <c r="H104" s="120"/>
    </row>
    <row r="105" spans="8:14">
      <c r="H105" s="120"/>
    </row>
    <row r="106" spans="8:14">
      <c r="H106" s="120"/>
    </row>
    <row r="107" spans="8:14">
      <c r="H107" s="120"/>
    </row>
    <row r="108" spans="8:14">
      <c r="H108" s="120"/>
    </row>
  </sheetData>
  <mergeCells count="3">
    <mergeCell ref="E2:F2"/>
    <mergeCell ref="N2:P2"/>
    <mergeCell ref="H2:L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Q49"/>
  <sheetViews>
    <sheetView zoomScaleNormal="100" workbookViewId="0">
      <selection activeCell="G9" sqref="G9"/>
    </sheetView>
  </sheetViews>
  <sheetFormatPr defaultRowHeight="15"/>
  <cols>
    <col min="1" max="1" width="10.42578125" style="195" customWidth="1"/>
    <col min="2" max="2" width="9.42578125" style="195" bestFit="1" customWidth="1"/>
    <col min="3" max="3" width="20.140625" style="196" customWidth="1"/>
    <col min="4" max="5" width="15.85546875" style="196" customWidth="1"/>
    <col min="6" max="6" width="13.28515625" style="196" customWidth="1"/>
    <col min="7" max="7" width="22.7109375" style="187" bestFit="1" customWidth="1"/>
    <col min="8" max="9" width="18.85546875" style="187" customWidth="1"/>
    <col min="10" max="10" width="17.7109375" style="16" customWidth="1"/>
    <col min="11" max="11" width="18.7109375" style="16" customWidth="1"/>
  </cols>
  <sheetData>
    <row r="1" spans="1:17">
      <c r="A1" s="195" t="s">
        <v>214</v>
      </c>
      <c r="B1" s="195" t="s">
        <v>251</v>
      </c>
      <c r="C1" s="196" t="s">
        <v>261</v>
      </c>
      <c r="D1" s="196" t="s">
        <v>202</v>
      </c>
      <c r="E1" s="196" t="s">
        <v>201</v>
      </c>
      <c r="F1" s="196" t="s">
        <v>25</v>
      </c>
      <c r="G1" s="187" t="s">
        <v>249</v>
      </c>
      <c r="H1" s="187" t="s">
        <v>314</v>
      </c>
      <c r="I1" s="187" t="s">
        <v>315</v>
      </c>
      <c r="J1" s="187" t="s">
        <v>256</v>
      </c>
      <c r="K1" s="187" t="s">
        <v>257</v>
      </c>
      <c r="L1" s="50"/>
      <c r="M1" s="50"/>
      <c r="N1" s="50"/>
      <c r="O1" s="50"/>
      <c r="P1" s="50"/>
    </row>
    <row r="2" spans="1:17">
      <c r="A2" s="195" t="s">
        <v>347</v>
      </c>
      <c r="B2" s="195" t="s">
        <v>396</v>
      </c>
      <c r="C2" s="195" t="s">
        <v>254</v>
      </c>
      <c r="D2" s="196">
        <v>49.134515100000002</v>
      </c>
      <c r="E2" s="196">
        <v>-97.420549500000007</v>
      </c>
      <c r="F2" s="196">
        <v>138</v>
      </c>
      <c r="G2" s="214" t="s">
        <v>517</v>
      </c>
      <c r="H2" s="187" t="s">
        <v>258</v>
      </c>
      <c r="I2" s="187">
        <v>3075</v>
      </c>
      <c r="J2" s="193">
        <f>ROUND((D2+90)*2, 0)</f>
        <v>278</v>
      </c>
      <c r="K2" s="194">
        <f>ROUND((E2+180)*(3/2), 0)</f>
        <v>124</v>
      </c>
      <c r="L2" s="51"/>
      <c r="M2" s="170"/>
      <c r="N2" s="93"/>
      <c r="O2" s="93"/>
      <c r="P2" s="94"/>
      <c r="Q2" s="50"/>
    </row>
    <row r="3" spans="1:17">
      <c r="A3" s="195" t="s">
        <v>347</v>
      </c>
      <c r="B3" s="195" t="s">
        <v>397</v>
      </c>
      <c r="C3" s="195" t="s">
        <v>254</v>
      </c>
      <c r="D3" s="196">
        <v>49.3471519</v>
      </c>
      <c r="E3" s="196">
        <v>-98.634479400000004</v>
      </c>
      <c r="F3" s="196">
        <v>120</v>
      </c>
      <c r="G3" s="214" t="s">
        <v>518</v>
      </c>
      <c r="H3" s="187" t="s">
        <v>258</v>
      </c>
      <c r="I3" s="187">
        <v>3075</v>
      </c>
      <c r="J3" s="193">
        <f>ROUND((D3+90)*2, 0)</f>
        <v>279</v>
      </c>
      <c r="K3" s="194">
        <f>ROUND((E3+180)*(3/2), 0)</f>
        <v>122</v>
      </c>
      <c r="L3" s="51"/>
      <c r="M3" s="93"/>
      <c r="N3" s="93"/>
      <c r="O3" s="93"/>
      <c r="P3" s="94"/>
      <c r="Q3" s="50"/>
    </row>
    <row r="4" spans="1:17">
      <c r="C4" s="187"/>
      <c r="J4" s="149"/>
      <c r="K4" s="163"/>
      <c r="L4" s="51"/>
      <c r="M4" s="93"/>
      <c r="N4" s="93"/>
      <c r="O4" s="93"/>
      <c r="P4" s="94"/>
      <c r="Q4" s="4"/>
    </row>
    <row r="5" spans="1:17">
      <c r="C5" s="187"/>
      <c r="J5" s="149"/>
      <c r="K5" s="145"/>
      <c r="L5" s="51"/>
      <c r="M5" s="93"/>
      <c r="N5" s="93"/>
      <c r="O5" s="93"/>
      <c r="P5" s="94"/>
      <c r="Q5" s="4"/>
    </row>
    <row r="6" spans="1:17">
      <c r="C6" s="187"/>
      <c r="J6" s="149"/>
      <c r="K6" s="145"/>
      <c r="L6" s="51"/>
      <c r="M6" s="93"/>
      <c r="N6" s="93"/>
      <c r="O6" s="93"/>
      <c r="P6" s="94"/>
      <c r="Q6" s="4"/>
    </row>
    <row r="7" spans="1:17">
      <c r="C7" s="187"/>
      <c r="G7" s="214"/>
      <c r="J7" s="149"/>
      <c r="K7" s="145"/>
      <c r="L7" s="51"/>
      <c r="M7" s="93"/>
      <c r="N7" s="93"/>
      <c r="O7" s="93"/>
      <c r="P7" s="94"/>
      <c r="Q7" s="4"/>
    </row>
    <row r="8" spans="1:17">
      <c r="C8" s="187"/>
      <c r="G8" s="214"/>
      <c r="J8" s="149"/>
      <c r="K8" s="145"/>
      <c r="L8" s="51"/>
      <c r="M8" s="93"/>
      <c r="N8" s="93"/>
      <c r="O8" s="93"/>
      <c r="P8" s="94"/>
      <c r="Q8" s="4"/>
    </row>
    <row r="9" spans="1:17">
      <c r="B9" s="197"/>
      <c r="C9" s="187"/>
      <c r="D9" s="187"/>
      <c r="E9" s="187"/>
      <c r="F9" s="187"/>
      <c r="G9" s="214"/>
      <c r="J9" s="149"/>
      <c r="K9" s="145"/>
      <c r="L9" s="51"/>
      <c r="M9" s="4"/>
      <c r="N9" s="4"/>
      <c r="O9" s="4"/>
      <c r="P9" s="4"/>
      <c r="Q9" s="4"/>
    </row>
    <row r="10" spans="1:17">
      <c r="B10" s="197"/>
      <c r="C10" s="187"/>
      <c r="D10" s="187"/>
      <c r="E10" s="187"/>
      <c r="F10" s="187"/>
      <c r="G10" s="214"/>
      <c r="J10" s="149"/>
      <c r="K10" s="145"/>
      <c r="L10" s="51"/>
      <c r="M10" s="4"/>
      <c r="N10" s="4"/>
      <c r="O10" s="4"/>
      <c r="P10" s="4"/>
      <c r="Q10" s="4"/>
    </row>
    <row r="11" spans="1:17">
      <c r="B11" s="197"/>
      <c r="C11" s="187"/>
      <c r="D11" s="187"/>
      <c r="E11" s="187"/>
      <c r="F11" s="187"/>
      <c r="G11" s="214"/>
      <c r="J11" s="149"/>
      <c r="K11" s="145"/>
      <c r="L11" s="51"/>
      <c r="M11" s="92"/>
      <c r="N11" s="93"/>
      <c r="O11" s="93"/>
      <c r="P11" s="93"/>
      <c r="Q11" s="94"/>
    </row>
    <row r="12" spans="1:17">
      <c r="B12" s="197"/>
      <c r="C12" s="187"/>
      <c r="D12" s="187"/>
      <c r="E12" s="187"/>
      <c r="F12" s="187"/>
      <c r="G12" s="214"/>
      <c r="J12" s="149"/>
      <c r="K12" s="145"/>
      <c r="L12" s="51"/>
    </row>
    <row r="13" spans="1:17">
      <c r="B13" s="197"/>
      <c r="C13" s="187"/>
      <c r="D13" s="187"/>
      <c r="E13" s="187"/>
      <c r="F13" s="187"/>
      <c r="G13" s="214"/>
      <c r="J13" s="149"/>
      <c r="K13" s="145"/>
      <c r="L13" s="51"/>
    </row>
    <row r="14" spans="1:17">
      <c r="B14" s="197"/>
      <c r="C14" s="187"/>
      <c r="D14" s="187"/>
      <c r="E14" s="187"/>
      <c r="F14" s="187"/>
      <c r="G14" s="214"/>
      <c r="J14" s="149"/>
      <c r="K14" s="145"/>
      <c r="L14" s="51"/>
      <c r="M14" s="16"/>
      <c r="N14" s="16"/>
    </row>
    <row r="15" spans="1:17">
      <c r="B15" s="197"/>
      <c r="C15" s="187"/>
      <c r="D15" s="187"/>
      <c r="E15" s="187"/>
      <c r="F15" s="187"/>
      <c r="G15" s="214"/>
      <c r="J15" s="149"/>
      <c r="K15" s="145"/>
      <c r="L15" s="51"/>
      <c r="M15" s="16"/>
      <c r="N15" s="16"/>
    </row>
    <row r="16" spans="1:17">
      <c r="B16" s="197"/>
      <c r="C16" s="187"/>
      <c r="D16" s="187"/>
      <c r="E16" s="187"/>
      <c r="F16" s="187"/>
      <c r="G16" s="214"/>
      <c r="J16" s="149"/>
      <c r="K16" s="145"/>
      <c r="L16" s="150"/>
      <c r="M16" s="16"/>
      <c r="N16" s="16"/>
    </row>
    <row r="17" spans="2:15">
      <c r="B17" s="197"/>
      <c r="C17" s="187"/>
      <c r="D17" s="187"/>
      <c r="E17" s="187"/>
      <c r="F17" s="187"/>
      <c r="G17" s="214"/>
      <c r="J17" s="149"/>
      <c r="K17" s="145"/>
      <c r="L17" s="150"/>
      <c r="M17" s="16"/>
      <c r="N17" s="16"/>
    </row>
    <row r="18" spans="2:15">
      <c r="B18" s="197"/>
      <c r="C18" s="187"/>
      <c r="D18" s="187"/>
      <c r="E18" s="187"/>
      <c r="F18" s="187"/>
      <c r="G18" s="214"/>
      <c r="J18" s="149"/>
      <c r="K18" s="145"/>
      <c r="L18" s="150"/>
      <c r="M18" s="16"/>
      <c r="N18" s="171"/>
      <c r="O18" s="93"/>
    </row>
    <row r="19" spans="2:15">
      <c r="B19" s="197"/>
      <c r="C19" s="187"/>
      <c r="D19" s="187"/>
      <c r="E19" s="187"/>
      <c r="F19" s="187"/>
      <c r="G19" s="214"/>
      <c r="J19" s="149"/>
      <c r="K19" s="145"/>
      <c r="L19" s="150"/>
      <c r="M19" s="16"/>
      <c r="N19" s="171"/>
      <c r="O19" s="93"/>
    </row>
    <row r="20" spans="2:15">
      <c r="B20" s="197"/>
      <c r="C20" s="187"/>
      <c r="D20" s="187"/>
      <c r="E20" s="187"/>
      <c r="F20" s="187"/>
      <c r="G20" s="214"/>
      <c r="J20" s="149"/>
      <c r="K20" s="145"/>
      <c r="L20" s="16"/>
      <c r="M20" s="16"/>
      <c r="N20" s="16"/>
    </row>
    <row r="21" spans="2:15">
      <c r="B21" s="197"/>
      <c r="C21" s="187"/>
      <c r="D21" s="187"/>
      <c r="E21" s="187"/>
      <c r="F21" s="187"/>
      <c r="G21" s="214"/>
      <c r="J21" s="149"/>
      <c r="K21" s="145"/>
      <c r="L21" s="16"/>
      <c r="M21" s="16"/>
      <c r="N21" s="16"/>
    </row>
    <row r="22" spans="2:15">
      <c r="B22" s="197"/>
      <c r="C22" s="192"/>
      <c r="D22" s="187"/>
      <c r="E22" s="187"/>
      <c r="F22" s="187"/>
      <c r="G22" s="214"/>
      <c r="J22" s="32"/>
      <c r="L22" s="16"/>
      <c r="M22" s="16"/>
      <c r="N22" s="16"/>
    </row>
    <row r="23" spans="2:15">
      <c r="C23" s="188"/>
      <c r="G23" s="214"/>
      <c r="L23" s="16"/>
      <c r="M23" s="16"/>
      <c r="N23" s="16"/>
    </row>
    <row r="24" spans="2:15">
      <c r="C24" s="188"/>
      <c r="G24" s="214"/>
    </row>
    <row r="25" spans="2:15">
      <c r="C25" s="188"/>
      <c r="G25" s="214"/>
    </row>
    <row r="26" spans="2:15">
      <c r="C26" s="188"/>
      <c r="G26" s="214"/>
    </row>
    <row r="27" spans="2:15">
      <c r="C27" s="188"/>
      <c r="G27" s="214"/>
    </row>
    <row r="28" spans="2:15">
      <c r="C28" s="188"/>
      <c r="G28" s="214"/>
    </row>
    <row r="29" spans="2:15">
      <c r="C29" s="188"/>
      <c r="G29" s="214"/>
    </row>
    <row r="30" spans="2:15">
      <c r="C30" s="188"/>
      <c r="G30" s="214"/>
    </row>
    <row r="31" spans="2:15">
      <c r="C31" s="188"/>
      <c r="G31" s="214"/>
    </row>
    <row r="32" spans="2:15">
      <c r="C32" s="188"/>
      <c r="G32" s="214"/>
    </row>
    <row r="33" spans="3:7">
      <c r="C33" s="188"/>
      <c r="G33" s="214"/>
    </row>
    <row r="34" spans="3:7">
      <c r="C34" s="188"/>
      <c r="G34" s="214"/>
    </row>
    <row r="35" spans="3:7">
      <c r="C35" s="188"/>
      <c r="G35" s="214"/>
    </row>
    <row r="36" spans="3:7">
      <c r="C36" s="188"/>
      <c r="G36" s="214"/>
    </row>
    <row r="37" spans="3:7">
      <c r="C37" s="188"/>
      <c r="G37" s="214"/>
    </row>
    <row r="38" spans="3:7">
      <c r="C38" s="188"/>
      <c r="G38" s="214"/>
    </row>
    <row r="39" spans="3:7">
      <c r="C39" s="188"/>
      <c r="G39" s="214"/>
    </row>
    <row r="40" spans="3:7">
      <c r="C40" s="188"/>
      <c r="G40" s="214"/>
    </row>
    <row r="41" spans="3:7">
      <c r="C41" s="188"/>
      <c r="G41" s="214"/>
    </row>
    <row r="42" spans="3:7">
      <c r="C42" s="188"/>
      <c r="G42" s="214"/>
    </row>
    <row r="43" spans="3:7">
      <c r="C43" s="188"/>
      <c r="G43" s="214"/>
    </row>
    <row r="44" spans="3:7">
      <c r="C44" s="188"/>
      <c r="G44" s="214"/>
    </row>
    <row r="45" spans="3:7">
      <c r="C45" s="188"/>
      <c r="G45" s="214"/>
    </row>
    <row r="46" spans="3:7">
      <c r="C46" s="188"/>
      <c r="G46" s="214"/>
    </row>
    <row r="47" spans="3:7">
      <c r="C47" s="188"/>
      <c r="G47" s="214"/>
    </row>
    <row r="48" spans="3:7">
      <c r="C48" s="188"/>
      <c r="G48" s="214"/>
    </row>
    <row r="49" spans="7:7">
      <c r="G49" s="214"/>
    </row>
  </sheetData>
  <sortState xmlns:xlrd2="http://schemas.microsoft.com/office/spreadsheetml/2017/richdata2" ref="N14:O65">
    <sortCondition ref="N14:N65"/>
    <sortCondition ref="O14:O65"/>
  </sortState>
  <dataValidations count="9">
    <dataValidation type="decimal" allowBlank="1" showInputMessage="1" showErrorMessage="1" sqref="E7:E11 E2:E4" xr:uid="{53F2D8A7-837F-42A9-B67D-DF823EFB6FA1}">
      <formula1>-180</formula1>
      <formula2>180</formula2>
    </dataValidation>
    <dataValidation type="decimal" allowBlank="1" showInputMessage="1" showErrorMessage="1" sqref="D7:D10 D2:D4" xr:uid="{D280E728-3A6F-47EB-9E93-AA2B5B30DB30}">
      <formula1>-90</formula1>
      <formula2>90</formula2>
    </dataValidation>
    <dataValidation type="custom" allowBlank="1" showInputMessage="1" showErrorMessage="1" sqref="I2:I3 L2:L11 F4:G5 F8:G21 F6:F7 F2:F3" xr:uid="{243BF298-78CF-4317-BE09-369DB1810338}">
      <formula1>I2&lt;Q2</formula1>
    </dataValidation>
    <dataValidation type="custom" allowBlank="1" showInputMessage="1" showErrorMessage="1" sqref="L12:L13" xr:uid="{BF58595D-3EE0-411A-A23A-21D63ACD8A0E}">
      <formula1>O12&lt;#REF!</formula1>
    </dataValidation>
    <dataValidation type="custom" allowBlank="1" showInputMessage="1" showErrorMessage="1" sqref="L14:L15" xr:uid="{5E087158-1645-481E-97B1-058629EA5F13}">
      <formula1>O14&lt;W12</formula1>
    </dataValidation>
    <dataValidation type="list" allowBlank="1" showInputMessage="1" showErrorMessage="1" sqref="A2:A21" xr:uid="{D7812F0E-B58C-4CFA-A994-4ECEADEB99E5}">
      <formula1>VRE</formula1>
    </dataValidation>
    <dataValidation type="custom" allowBlank="1" showInputMessage="1" showErrorMessage="1" sqref="I4:I21" xr:uid="{B6B60020-158F-41DD-B4E4-0E5D943536E5}">
      <formula1>#REF!&lt;#REF!*10^6</formula1>
    </dataValidation>
    <dataValidation type="list" allowBlank="1" showInputMessage="1" showErrorMessage="1" sqref="C2:C21" xr:uid="{F3C2E965-857E-48C8-A525-6D1340FB6A36}">
      <formula1>INDIRECT($A2)</formula1>
    </dataValidation>
    <dataValidation type="list" allowBlank="1" showInputMessage="1" showErrorMessage="1" sqref="H2:H11" xr:uid="{AE3F8A15-0CC4-4940-A2FC-E0BD0B059FB8}">
      <formula1>INDIRECT(C2)</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46"/>
  <sheetViews>
    <sheetView zoomScale="80" zoomScaleNormal="80" workbookViewId="0">
      <selection activeCell="C18" sqref="C18"/>
    </sheetView>
  </sheetViews>
  <sheetFormatPr defaultRowHeight="15"/>
  <cols>
    <col min="1" max="1" width="35.28515625" style="200" customWidth="1"/>
    <col min="2" max="3" width="19.140625" style="200" customWidth="1"/>
    <col min="4" max="4" width="16.42578125" style="200" customWidth="1"/>
    <col min="5" max="5" width="8" style="200" customWidth="1"/>
    <col min="6" max="6" width="18.42578125" style="200" customWidth="1"/>
    <col min="7" max="7" width="21.28515625" style="216" customWidth="1"/>
    <col min="8" max="8" width="12.28515625" style="191" bestFit="1" customWidth="1"/>
    <col min="9" max="9" width="11.85546875" style="191" bestFit="1" customWidth="1"/>
    <col min="10" max="10" width="19.140625" style="191" customWidth="1"/>
    <col min="11" max="11" width="9.140625" style="177"/>
    <col min="12" max="12" width="20.7109375" style="176" customWidth="1"/>
    <col min="13" max="16384" width="9.140625" style="176"/>
  </cols>
  <sheetData>
    <row r="1" spans="1:23" s="181" customFormat="1" ht="45">
      <c r="A1" s="213" t="s">
        <v>214</v>
      </c>
      <c r="B1" s="213" t="s">
        <v>251</v>
      </c>
      <c r="C1" s="213" t="s">
        <v>261</v>
      </c>
      <c r="D1" s="213" t="s">
        <v>275</v>
      </c>
      <c r="E1" s="213" t="s">
        <v>392</v>
      </c>
      <c r="F1" s="213" t="s">
        <v>25</v>
      </c>
      <c r="G1" s="213" t="s">
        <v>249</v>
      </c>
      <c r="H1" s="190" t="s">
        <v>279</v>
      </c>
      <c r="I1" s="190" t="s">
        <v>280</v>
      </c>
      <c r="J1" s="190" t="s">
        <v>281</v>
      </c>
      <c r="K1" s="180" t="s">
        <v>381</v>
      </c>
      <c r="L1" s="173" t="s">
        <v>279</v>
      </c>
      <c r="M1" s="173" t="s">
        <v>280</v>
      </c>
      <c r="N1" s="173" t="s">
        <v>281</v>
      </c>
      <c r="O1" s="173" t="s">
        <v>381</v>
      </c>
      <c r="P1" s="173" t="s">
        <v>630</v>
      </c>
      <c r="Q1" s="173" t="s">
        <v>631</v>
      </c>
      <c r="R1" s="176" t="s">
        <v>632</v>
      </c>
      <c r="S1" s="176" t="s">
        <v>633</v>
      </c>
      <c r="T1" s="176" t="s">
        <v>634</v>
      </c>
      <c r="U1" s="176" t="s">
        <v>635</v>
      </c>
      <c r="V1" s="176" t="s">
        <v>636</v>
      </c>
      <c r="W1" s="176" t="s">
        <v>6</v>
      </c>
    </row>
    <row r="2" spans="1:23">
      <c r="A2" s="213" t="s">
        <v>533</v>
      </c>
      <c r="B2" s="213" t="s">
        <v>533</v>
      </c>
      <c r="C2" s="213" t="s">
        <v>530</v>
      </c>
      <c r="D2" t="s">
        <v>652</v>
      </c>
      <c r="E2" s="213">
        <v>0</v>
      </c>
      <c r="F2" s="213">
        <v>480</v>
      </c>
      <c r="G2" s="217" t="s">
        <v>638</v>
      </c>
      <c r="L2" s="214"/>
      <c r="M2" s="177"/>
      <c r="N2" s="177"/>
      <c r="O2" s="177"/>
    </row>
    <row r="3" spans="1:23">
      <c r="A3" s="213" t="s">
        <v>642</v>
      </c>
      <c r="B3" s="213" t="s">
        <v>642</v>
      </c>
      <c r="C3" s="213" t="s">
        <v>530</v>
      </c>
      <c r="D3" t="s">
        <v>652</v>
      </c>
      <c r="E3" s="213">
        <v>0</v>
      </c>
      <c r="F3" s="213">
        <v>1432</v>
      </c>
      <c r="G3" s="217" t="s">
        <v>538</v>
      </c>
      <c r="L3" s="214"/>
    </row>
    <row r="4" spans="1:23">
      <c r="A4" s="213" t="s">
        <v>643</v>
      </c>
      <c r="B4" s="213" t="s">
        <v>643</v>
      </c>
      <c r="C4" s="213" t="s">
        <v>530</v>
      </c>
      <c r="D4" t="s">
        <v>652</v>
      </c>
      <c r="E4" s="213">
        <v>0</v>
      </c>
      <c r="F4" s="213">
        <v>693</v>
      </c>
      <c r="G4" s="217" t="s">
        <v>515</v>
      </c>
      <c r="J4" s="214"/>
      <c r="L4" s="214"/>
    </row>
    <row r="5" spans="1:23">
      <c r="A5" s="213" t="s">
        <v>644</v>
      </c>
      <c r="B5" s="213" t="s">
        <v>644</v>
      </c>
      <c r="C5" s="213" t="s">
        <v>530</v>
      </c>
      <c r="D5" t="s">
        <v>652</v>
      </c>
      <c r="E5" s="213">
        <v>0</v>
      </c>
      <c r="F5" s="213">
        <v>373</v>
      </c>
      <c r="G5" s="217" t="s">
        <v>538</v>
      </c>
      <c r="J5" s="214"/>
      <c r="L5" s="214"/>
    </row>
    <row r="6" spans="1:23">
      <c r="A6" s="213" t="s">
        <v>629</v>
      </c>
      <c r="B6" s="213" t="s">
        <v>629</v>
      </c>
      <c r="C6" s="213" t="s">
        <v>530</v>
      </c>
      <c r="D6" t="s">
        <v>652</v>
      </c>
      <c r="E6" s="213">
        <v>0</v>
      </c>
      <c r="F6" s="213">
        <v>210</v>
      </c>
      <c r="G6" s="217" t="s">
        <v>641</v>
      </c>
      <c r="J6" s="233"/>
      <c r="K6"/>
    </row>
    <row r="7" spans="1:23">
      <c r="A7" s="213" t="s">
        <v>534</v>
      </c>
      <c r="B7" s="213" t="s">
        <v>534</v>
      </c>
      <c r="C7" s="213" t="s">
        <v>531</v>
      </c>
      <c r="D7" t="s">
        <v>652</v>
      </c>
      <c r="E7" s="213">
        <v>0</v>
      </c>
      <c r="F7" s="213">
        <v>114</v>
      </c>
      <c r="G7" s="217" t="s">
        <v>639</v>
      </c>
      <c r="J7" s="233"/>
      <c r="K7"/>
    </row>
    <row r="8" spans="1:23">
      <c r="A8" s="213" t="s">
        <v>645</v>
      </c>
      <c r="B8" s="213" t="s">
        <v>645</v>
      </c>
      <c r="C8" s="213" t="s">
        <v>531</v>
      </c>
      <c r="D8" t="s">
        <v>652</v>
      </c>
      <c r="E8" s="213">
        <v>0</v>
      </c>
      <c r="F8" s="213">
        <v>287</v>
      </c>
      <c r="G8" s="217" t="s">
        <v>418</v>
      </c>
      <c r="J8" s="233"/>
      <c r="K8"/>
    </row>
    <row r="9" spans="1:23">
      <c r="A9" s="213" t="s">
        <v>646</v>
      </c>
      <c r="B9" s="213" t="s">
        <v>646</v>
      </c>
      <c r="C9" s="213" t="s">
        <v>531</v>
      </c>
      <c r="D9" t="s">
        <v>652</v>
      </c>
      <c r="E9" s="213">
        <v>0</v>
      </c>
      <c r="F9" s="213">
        <v>1224</v>
      </c>
      <c r="G9" s="217" t="s">
        <v>515</v>
      </c>
      <c r="J9" s="234"/>
      <c r="K9"/>
    </row>
    <row r="10" spans="1:23">
      <c r="A10" s="213" t="s">
        <v>647</v>
      </c>
      <c r="B10" s="213" t="s">
        <v>647</v>
      </c>
      <c r="C10" s="213" t="s">
        <v>531</v>
      </c>
      <c r="D10" t="s">
        <v>652</v>
      </c>
      <c r="E10" s="213">
        <v>0</v>
      </c>
      <c r="F10" s="213">
        <v>1350</v>
      </c>
      <c r="G10" s="217" t="s">
        <v>516</v>
      </c>
      <c r="J10" s="233"/>
      <c r="K10"/>
    </row>
    <row r="11" spans="1:23">
      <c r="A11" s="213" t="s">
        <v>648</v>
      </c>
      <c r="B11" s="213" t="s">
        <v>648</v>
      </c>
      <c r="C11" s="213" t="s">
        <v>531</v>
      </c>
      <c r="D11" t="s">
        <v>652</v>
      </c>
      <c r="E11" s="213">
        <v>0</v>
      </c>
      <c r="F11" s="213">
        <v>980</v>
      </c>
      <c r="G11" s="217" t="s">
        <v>524</v>
      </c>
      <c r="J11" s="233"/>
      <c r="K11"/>
    </row>
    <row r="12" spans="1:23">
      <c r="A12" s="213" t="s">
        <v>535</v>
      </c>
      <c r="B12" s="213" t="s">
        <v>535</v>
      </c>
      <c r="C12" s="213" t="s">
        <v>529</v>
      </c>
      <c r="D12" t="s">
        <v>652</v>
      </c>
      <c r="E12" s="213">
        <v>0</v>
      </c>
      <c r="F12" s="213">
        <v>5</v>
      </c>
      <c r="G12" s="217" t="s">
        <v>641</v>
      </c>
      <c r="J12" s="233"/>
      <c r="K12"/>
    </row>
    <row r="13" spans="1:23">
      <c r="A13" s="213" t="s">
        <v>536</v>
      </c>
      <c r="B13" s="213" t="s">
        <v>536</v>
      </c>
      <c r="C13" s="213" t="s">
        <v>529</v>
      </c>
      <c r="D13" t="s">
        <v>652</v>
      </c>
      <c r="E13" s="213">
        <v>0</v>
      </c>
      <c r="F13" s="213">
        <v>5</v>
      </c>
      <c r="G13" s="217" t="s">
        <v>641</v>
      </c>
      <c r="J13" s="214"/>
    </row>
    <row r="14" spans="1:23">
      <c r="A14" s="213" t="s">
        <v>511</v>
      </c>
      <c r="B14" s="213" t="s">
        <v>511</v>
      </c>
      <c r="C14" s="213" t="s">
        <v>399</v>
      </c>
      <c r="D14" t="s">
        <v>651</v>
      </c>
      <c r="E14" s="213">
        <f>F14*0.2</f>
        <v>28</v>
      </c>
      <c r="F14" s="213">
        <v>140</v>
      </c>
      <c r="G14" s="217" t="s">
        <v>424</v>
      </c>
      <c r="J14" s="214"/>
    </row>
    <row r="15" spans="1:23">
      <c r="A15" s="213" t="s">
        <v>512</v>
      </c>
      <c r="B15" s="213" t="s">
        <v>512</v>
      </c>
      <c r="C15" s="213" t="s">
        <v>399</v>
      </c>
      <c r="D15" t="s">
        <v>651</v>
      </c>
      <c r="E15" s="213">
        <f t="shared" ref="E15" si="0">F15*0.2</f>
        <v>28</v>
      </c>
      <c r="F15" s="213">
        <v>140</v>
      </c>
      <c r="G15" s="217" t="s">
        <v>424</v>
      </c>
      <c r="J15" s="214"/>
    </row>
    <row r="16" spans="1:23">
      <c r="A16" s="213" t="s">
        <v>513</v>
      </c>
      <c r="B16" s="213" t="s">
        <v>513</v>
      </c>
      <c r="C16" s="213" t="s">
        <v>399</v>
      </c>
      <c r="D16" t="s">
        <v>651</v>
      </c>
      <c r="E16" s="213">
        <f>ROUND(F16*0.2,2)</f>
        <v>13.2</v>
      </c>
      <c r="F16" s="213">
        <v>66</v>
      </c>
      <c r="G16" s="217" t="s">
        <v>538</v>
      </c>
      <c r="J16" s="214"/>
    </row>
    <row r="17" spans="1:10">
      <c r="A17" s="213" t="s">
        <v>514</v>
      </c>
      <c r="B17" s="213" t="s">
        <v>514</v>
      </c>
      <c r="C17" s="213" t="s">
        <v>399</v>
      </c>
      <c r="D17" t="s">
        <v>651</v>
      </c>
      <c r="E17" s="213">
        <f>F17*0.2</f>
        <v>13.200000000000001</v>
      </c>
      <c r="F17" s="213">
        <v>66</v>
      </c>
      <c r="G17" s="217" t="s">
        <v>538</v>
      </c>
      <c r="J17" s="214"/>
    </row>
    <row r="18" spans="1:10">
      <c r="A18" s="218" t="s">
        <v>649</v>
      </c>
      <c r="B18" s="218" t="str">
        <f>A18</f>
        <v>importexport_1</v>
      </c>
      <c r="C18" s="218" t="s">
        <v>650</v>
      </c>
      <c r="D18" s="219" t="s">
        <v>276</v>
      </c>
      <c r="E18" s="219">
        <v>0</v>
      </c>
      <c r="F18" s="220">
        <v>1</v>
      </c>
      <c r="G18" s="235" t="s">
        <v>538</v>
      </c>
      <c r="J18" s="214"/>
    </row>
    <row r="19" spans="1:10">
      <c r="A19" s="218"/>
      <c r="B19" s="218"/>
      <c r="C19" s="218"/>
      <c r="D19" s="219"/>
      <c r="E19" s="219"/>
      <c r="F19" s="220"/>
      <c r="G19" s="185"/>
      <c r="J19" s="214"/>
    </row>
    <row r="20" spans="1:10">
      <c r="A20" s="218"/>
      <c r="B20" s="218"/>
      <c r="C20" s="218"/>
      <c r="D20" s="219"/>
      <c r="E20" s="219"/>
      <c r="F20" s="220"/>
      <c r="G20" s="185"/>
      <c r="J20" s="214"/>
    </row>
    <row r="21" spans="1:10">
      <c r="A21" s="218"/>
      <c r="B21" s="218"/>
      <c r="C21" s="218"/>
      <c r="D21" s="219"/>
      <c r="E21" s="219"/>
      <c r="F21" s="220"/>
      <c r="G21" s="185"/>
      <c r="J21" s="214"/>
    </row>
    <row r="22" spans="1:10">
      <c r="A22" s="218"/>
      <c r="B22" s="218"/>
      <c r="C22" s="218"/>
      <c r="D22" s="219"/>
      <c r="E22" s="219"/>
      <c r="F22" s="220"/>
      <c r="G22" s="185"/>
      <c r="J22" s="214"/>
    </row>
    <row r="23" spans="1:10">
      <c r="J23" s="214"/>
    </row>
    <row r="24" spans="1:10">
      <c r="J24" s="214"/>
    </row>
    <row r="25" spans="1:10">
      <c r="J25" s="214"/>
    </row>
    <row r="26" spans="1:10">
      <c r="J26" s="214"/>
    </row>
    <row r="27" spans="1:10">
      <c r="J27" s="214"/>
    </row>
    <row r="28" spans="1:10">
      <c r="J28" s="214"/>
    </row>
    <row r="29" spans="1:10">
      <c r="J29" s="214"/>
    </row>
    <row r="30" spans="1:10">
      <c r="J30" s="214"/>
    </row>
    <row r="31" spans="1:10">
      <c r="J31" s="214"/>
    </row>
    <row r="32" spans="1:10">
      <c r="J32" s="214"/>
    </row>
    <row r="33" spans="10:10">
      <c r="J33" s="214"/>
    </row>
    <row r="34" spans="10:10">
      <c r="J34" s="214"/>
    </row>
    <row r="35" spans="10:10">
      <c r="J35" s="214"/>
    </row>
    <row r="36" spans="10:10">
      <c r="J36" s="214"/>
    </row>
    <row r="37" spans="10:10">
      <c r="J37" s="214"/>
    </row>
    <row r="38" spans="10:10">
      <c r="J38" s="214"/>
    </row>
    <row r="39" spans="10:10">
      <c r="J39" s="214"/>
    </row>
    <row r="40" spans="10:10">
      <c r="J40" s="214"/>
    </row>
    <row r="41" spans="10:10">
      <c r="J41" s="214"/>
    </row>
    <row r="42" spans="10:10">
      <c r="J42" s="214"/>
    </row>
    <row r="43" spans="10:10">
      <c r="J43" s="214"/>
    </row>
    <row r="44" spans="10:10">
      <c r="J44" s="214"/>
    </row>
    <row r="45" spans="10:10">
      <c r="J45" s="214"/>
    </row>
    <row r="46" spans="10:10">
      <c r="J46" s="214"/>
    </row>
  </sheetData>
  <phoneticPr fontId="2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00"/>
  </sheetPr>
  <dimension ref="A1:Q16"/>
  <sheetViews>
    <sheetView zoomScale="80" zoomScaleNormal="80" workbookViewId="0">
      <selection activeCell="Q11" sqref="A2:Q11"/>
    </sheetView>
  </sheetViews>
  <sheetFormatPr defaultRowHeight="15"/>
  <cols>
    <col min="1" max="1" width="13.28515625" customWidth="1"/>
    <col min="2" max="2" width="16.42578125" bestFit="1" customWidth="1"/>
    <col min="3" max="5" width="8" customWidth="1"/>
    <col min="6" max="6" width="10.42578125" customWidth="1"/>
    <col min="7" max="7" width="8" customWidth="1"/>
    <col min="8" max="8" width="8.85546875" customWidth="1"/>
    <col min="9" max="13" width="8" customWidth="1"/>
    <col min="14" max="14" width="8.85546875" customWidth="1"/>
  </cols>
  <sheetData>
    <row r="1" spans="1:17" s="53" customFormat="1" ht="60">
      <c r="A1" s="164" t="s">
        <v>214</v>
      </c>
      <c r="B1" s="164" t="s">
        <v>251</v>
      </c>
      <c r="C1" s="164" t="s">
        <v>261</v>
      </c>
      <c r="D1" s="164" t="s">
        <v>392</v>
      </c>
      <c r="E1" s="164" t="s">
        <v>25</v>
      </c>
      <c r="F1" s="102" t="s">
        <v>267</v>
      </c>
      <c r="G1" s="102" t="s">
        <v>266</v>
      </c>
      <c r="H1" s="164" t="s">
        <v>278</v>
      </c>
      <c r="I1" s="164" t="s">
        <v>249</v>
      </c>
      <c r="J1" s="159" t="s">
        <v>275</v>
      </c>
      <c r="K1" s="164" t="s">
        <v>279</v>
      </c>
      <c r="L1" s="164" t="s">
        <v>280</v>
      </c>
      <c r="M1" s="164" t="s">
        <v>281</v>
      </c>
      <c r="N1" s="164" t="s">
        <v>381</v>
      </c>
      <c r="O1" s="102"/>
      <c r="P1" s="102"/>
      <c r="Q1" s="102"/>
    </row>
    <row r="2" spans="1:17">
      <c r="A2" s="94"/>
      <c r="B2" s="94"/>
      <c r="C2" s="94"/>
      <c r="D2" s="94"/>
      <c r="E2" s="94"/>
      <c r="F2" s="94"/>
      <c r="G2" s="94"/>
      <c r="H2" s="94"/>
      <c r="I2" s="32"/>
      <c r="J2" s="94"/>
      <c r="K2" s="94"/>
      <c r="L2" s="94"/>
      <c r="M2" s="94"/>
      <c r="N2" s="4"/>
      <c r="O2" s="4"/>
      <c r="P2" s="4"/>
      <c r="Q2" s="4"/>
    </row>
    <row r="3" spans="1:17">
      <c r="A3" s="94"/>
      <c r="C3" s="94"/>
      <c r="D3" s="94"/>
      <c r="E3" s="94"/>
      <c r="F3" s="94"/>
      <c r="G3" s="94"/>
      <c r="H3" s="94"/>
      <c r="I3" s="94"/>
      <c r="J3" s="94"/>
      <c r="K3" s="4"/>
      <c r="L3" s="4"/>
      <c r="M3" s="4"/>
      <c r="N3" s="4"/>
      <c r="O3" s="4"/>
      <c r="P3" s="4"/>
      <c r="Q3" s="4"/>
    </row>
    <row r="4" spans="1:17">
      <c r="A4" s="162"/>
      <c r="B4" s="162"/>
      <c r="C4" s="162"/>
      <c r="D4" s="162"/>
      <c r="E4" s="162"/>
      <c r="F4" s="162"/>
      <c r="G4" s="162"/>
      <c r="H4" s="162"/>
      <c r="I4" s="165"/>
      <c r="J4" s="162"/>
      <c r="K4" s="161"/>
      <c r="L4" s="161"/>
      <c r="M4" s="161"/>
      <c r="N4" s="161"/>
      <c r="O4" s="4"/>
      <c r="P4" s="4"/>
      <c r="Q4" s="4"/>
    </row>
    <row r="5" spans="1:17">
      <c r="A5" s="94"/>
      <c r="B5" s="94"/>
      <c r="C5" s="94"/>
      <c r="D5" s="94"/>
      <c r="E5" s="94"/>
      <c r="F5" s="94"/>
      <c r="G5" s="94"/>
      <c r="H5" s="94"/>
      <c r="I5" s="94"/>
      <c r="J5" s="94"/>
      <c r="K5" s="4"/>
      <c r="L5" s="4"/>
      <c r="M5" s="4"/>
      <c r="N5" s="4"/>
      <c r="O5" s="4"/>
      <c r="P5" s="4"/>
      <c r="Q5" s="4"/>
    </row>
    <row r="6" spans="1:17">
      <c r="A6" s="94"/>
      <c r="B6" s="94"/>
      <c r="C6" s="94"/>
      <c r="D6" s="94"/>
      <c r="E6" s="94"/>
      <c r="F6" s="94"/>
      <c r="G6" s="94"/>
      <c r="H6" s="151"/>
      <c r="I6" s="94"/>
      <c r="J6" s="4"/>
      <c r="K6" s="4"/>
      <c r="L6" s="4"/>
      <c r="M6" s="4"/>
      <c r="N6" s="4"/>
      <c r="O6" s="4"/>
      <c r="P6" s="4"/>
      <c r="Q6" s="4"/>
    </row>
    <row r="7" spans="1:17">
      <c r="A7" s="94"/>
      <c r="B7" s="94"/>
      <c r="C7" s="94"/>
      <c r="D7" s="94"/>
      <c r="E7" s="94"/>
      <c r="F7" s="94"/>
      <c r="G7" s="94"/>
      <c r="H7" s="94"/>
      <c r="I7" s="94"/>
      <c r="J7" s="94"/>
      <c r="K7" s="94"/>
      <c r="L7" s="94"/>
      <c r="M7" s="94"/>
      <c r="N7" s="94"/>
      <c r="O7" s="4"/>
      <c r="P7" s="4"/>
      <c r="Q7" s="4"/>
    </row>
    <row r="8" spans="1:17">
      <c r="A8" s="94"/>
      <c r="B8" s="94"/>
      <c r="C8" s="94"/>
      <c r="D8" s="94"/>
      <c r="E8" s="94"/>
      <c r="F8" s="94"/>
      <c r="G8" s="94"/>
      <c r="H8" s="94"/>
      <c r="I8" s="94"/>
      <c r="J8" s="94"/>
      <c r="K8" s="94"/>
      <c r="L8" s="94"/>
      <c r="M8" s="94"/>
      <c r="N8" s="94"/>
      <c r="O8" s="4"/>
      <c r="P8" s="4"/>
      <c r="Q8" s="4"/>
    </row>
    <row r="9" spans="1:17">
      <c r="A9" s="49"/>
      <c r="B9" s="49"/>
      <c r="C9" s="49"/>
      <c r="D9" s="49"/>
      <c r="E9" s="49"/>
      <c r="F9" s="49"/>
      <c r="G9" s="49"/>
      <c r="H9" s="49"/>
      <c r="I9" s="49"/>
      <c r="J9" s="49"/>
      <c r="K9" s="49"/>
      <c r="L9" s="49"/>
      <c r="M9" s="49"/>
      <c r="N9" s="49"/>
    </row>
    <row r="10" spans="1:17">
      <c r="A10" s="49"/>
      <c r="B10" s="49"/>
      <c r="C10" s="49"/>
      <c r="D10" s="49"/>
      <c r="E10" s="49"/>
      <c r="F10" s="49"/>
      <c r="G10" s="49"/>
      <c r="H10" s="49"/>
      <c r="I10" s="49"/>
      <c r="J10" s="49"/>
      <c r="K10" s="49"/>
      <c r="L10" s="49"/>
      <c r="M10" s="49"/>
      <c r="N10" s="49"/>
    </row>
    <row r="11" spans="1:17">
      <c r="A11" s="48"/>
      <c r="B11" s="51"/>
      <c r="C11" s="51"/>
      <c r="D11" s="48"/>
      <c r="E11" s="51"/>
      <c r="F11" s="51"/>
      <c r="G11" s="51"/>
      <c r="H11" s="51"/>
      <c r="I11" s="51"/>
    </row>
    <row r="12" spans="1:17">
      <c r="A12" s="32"/>
      <c r="B12" s="32"/>
      <c r="C12" s="32"/>
      <c r="D12" s="32"/>
      <c r="E12" s="32"/>
      <c r="F12" s="32"/>
      <c r="G12" s="32"/>
      <c r="H12" s="32"/>
      <c r="I12" s="32"/>
    </row>
    <row r="13" spans="1:17">
      <c r="A13" s="32"/>
      <c r="B13" s="32"/>
      <c r="C13" s="32"/>
      <c r="D13" s="32"/>
      <c r="E13" s="32"/>
      <c r="F13" s="32"/>
      <c r="G13" s="32"/>
      <c r="H13" s="32"/>
      <c r="I13" s="32"/>
    </row>
    <row r="14" spans="1:17">
      <c r="A14" s="32"/>
      <c r="B14" s="32"/>
      <c r="C14" s="32"/>
      <c r="D14" s="32"/>
      <c r="E14" s="32"/>
      <c r="F14" s="32"/>
      <c r="G14" s="32"/>
      <c r="H14" s="32"/>
      <c r="I14" s="32"/>
    </row>
    <row r="15" spans="1:17">
      <c r="A15" s="32"/>
      <c r="B15" s="32"/>
      <c r="C15" s="32"/>
      <c r="D15" s="32"/>
      <c r="E15" s="32"/>
      <c r="F15" s="32"/>
      <c r="G15" s="32"/>
      <c r="H15" s="32"/>
      <c r="I15" s="32"/>
    </row>
    <row r="16" spans="1:17">
      <c r="A16" s="32"/>
      <c r="B16" s="32"/>
      <c r="C16" s="32"/>
      <c r="D16" s="32"/>
      <c r="E16" s="32"/>
      <c r="F16" s="32"/>
      <c r="G16" s="32"/>
      <c r="H16" s="32"/>
      <c r="I16" s="32"/>
    </row>
  </sheetData>
  <dataValidations count="3">
    <dataValidation type="custom" allowBlank="1" showInputMessage="1" showErrorMessage="1" sqref="I2" xr:uid="{00000000-0002-0000-0600-000000000000}">
      <formula1>M1&lt;T2</formula1>
    </dataValidation>
    <dataValidation type="custom" allowBlank="1" showInputMessage="1" showErrorMessage="1" sqref="I4" xr:uid="{00000000-0002-0000-0600-000001000000}">
      <formula1>I15&lt;V25*10^6</formula1>
    </dataValidation>
    <dataValidation type="custom" allowBlank="1" showInputMessage="1" showErrorMessage="1" sqref="B3" xr:uid="{00000000-0002-0000-0600-000002000000}">
      <formula1>E3&lt;M3</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9"/>
  <sheetViews>
    <sheetView zoomScale="80" zoomScaleNormal="80" workbookViewId="0">
      <selection activeCell="H27" sqref="H27"/>
    </sheetView>
  </sheetViews>
  <sheetFormatPr defaultRowHeight="15"/>
  <cols>
    <col min="1" max="1" width="16" customWidth="1"/>
    <col min="2" max="2" width="12.7109375" customWidth="1"/>
    <col min="3" max="3" width="6.5703125" customWidth="1"/>
    <col min="4" max="4" width="8.5703125" customWidth="1"/>
    <col min="5" max="5" width="9" customWidth="1"/>
    <col min="6" max="6" width="6.7109375" customWidth="1"/>
    <col min="7" max="7" width="17.28515625" customWidth="1"/>
    <col min="8" max="8" width="10.5703125" customWidth="1"/>
    <col min="9" max="9" width="11.5703125" customWidth="1"/>
    <col min="16" max="16" width="11" customWidth="1"/>
  </cols>
  <sheetData>
    <row r="1" spans="1:15" s="174" customFormat="1" ht="53.25" customHeight="1">
      <c r="A1" s="173" t="s">
        <v>214</v>
      </c>
      <c r="B1" s="173" t="s">
        <v>251</v>
      </c>
      <c r="C1" s="173" t="s">
        <v>261</v>
      </c>
      <c r="D1" s="173" t="s">
        <v>25</v>
      </c>
      <c r="E1" s="173" t="s">
        <v>267</v>
      </c>
      <c r="F1" s="174" t="s">
        <v>266</v>
      </c>
      <c r="G1" s="174" t="s">
        <v>394</v>
      </c>
      <c r="H1" s="174" t="s">
        <v>395</v>
      </c>
      <c r="I1" s="173" t="s">
        <v>249</v>
      </c>
      <c r="J1" s="173" t="s">
        <v>279</v>
      </c>
      <c r="K1" s="173" t="s">
        <v>280</v>
      </c>
      <c r="L1" s="173" t="s">
        <v>281</v>
      </c>
      <c r="M1" s="173" t="s">
        <v>381</v>
      </c>
      <c r="N1" s="175" t="s">
        <v>275</v>
      </c>
      <c r="O1" s="174" t="s">
        <v>392</v>
      </c>
    </row>
    <row r="2" spans="1:15">
      <c r="A2" s="182"/>
      <c r="B2" s="182"/>
      <c r="C2" s="182"/>
      <c r="D2" s="182"/>
      <c r="E2" s="182"/>
      <c r="F2" s="182"/>
      <c r="G2" s="183"/>
      <c r="H2" s="184"/>
      <c r="I2" s="185"/>
      <c r="J2" s="186"/>
      <c r="K2" s="186"/>
      <c r="L2" s="186"/>
      <c r="M2" s="182"/>
      <c r="N2" s="185"/>
      <c r="O2" s="185"/>
    </row>
    <row r="3" spans="1:15">
      <c r="A3" s="182"/>
      <c r="B3" s="182"/>
      <c r="C3" s="182"/>
      <c r="D3" s="182"/>
      <c r="E3" s="182"/>
      <c r="F3" s="182"/>
      <c r="G3" s="183"/>
      <c r="H3" s="184"/>
      <c r="I3" s="185"/>
      <c r="J3" s="186"/>
      <c r="K3" s="186"/>
      <c r="L3" s="186"/>
      <c r="M3" s="182"/>
      <c r="N3" s="185"/>
      <c r="O3" s="185"/>
    </row>
    <row r="4" spans="1:15">
      <c r="A4" s="182"/>
      <c r="B4" s="182"/>
      <c r="C4" s="182"/>
      <c r="D4" s="182"/>
      <c r="E4" s="182"/>
      <c r="F4" s="182"/>
      <c r="G4" s="183"/>
      <c r="H4" s="184"/>
      <c r="I4" s="185"/>
      <c r="J4" s="186"/>
      <c r="K4" s="186"/>
      <c r="L4" s="186"/>
      <c r="M4" s="182"/>
      <c r="N4" s="185"/>
      <c r="O4" s="185"/>
    </row>
    <row r="5" spans="1:15">
      <c r="A5" s="182"/>
      <c r="B5" s="182"/>
      <c r="C5" s="182"/>
      <c r="D5" s="182"/>
      <c r="E5" s="182"/>
      <c r="F5" s="182"/>
      <c r="G5" s="183"/>
      <c r="H5" s="184"/>
      <c r="I5" s="185"/>
      <c r="J5" s="185"/>
      <c r="K5" s="185"/>
      <c r="L5" s="185"/>
      <c r="M5" s="182"/>
      <c r="N5" s="185"/>
      <c r="O5" s="185"/>
    </row>
    <row r="6" spans="1:15">
      <c r="A6" s="182"/>
      <c r="B6" s="182"/>
      <c r="C6" s="182"/>
      <c r="D6" s="182"/>
      <c r="E6" s="182"/>
      <c r="F6" s="182"/>
      <c r="G6" s="183"/>
      <c r="H6" s="184"/>
      <c r="I6" s="185"/>
      <c r="J6" s="185"/>
      <c r="K6" s="185"/>
      <c r="L6" s="185"/>
      <c r="M6" s="182"/>
      <c r="N6" s="185"/>
      <c r="O6" s="185"/>
    </row>
    <row r="7" spans="1:15">
      <c r="A7" s="182"/>
      <c r="B7" s="182"/>
      <c r="C7" s="182"/>
      <c r="D7" s="182"/>
      <c r="E7" s="182"/>
      <c r="F7" s="182"/>
      <c r="G7" s="183"/>
      <c r="H7" s="184"/>
      <c r="I7" s="185"/>
      <c r="J7" s="185"/>
      <c r="K7" s="185"/>
      <c r="L7" s="185"/>
      <c r="M7" s="182"/>
      <c r="N7" s="185"/>
      <c r="O7" s="185"/>
    </row>
    <row r="8" spans="1:15">
      <c r="A8" s="182"/>
      <c r="B8" s="182"/>
      <c r="C8" s="182"/>
      <c r="D8" s="182"/>
      <c r="E8" s="182"/>
      <c r="F8" s="182"/>
      <c r="G8" s="183"/>
      <c r="H8" s="184"/>
      <c r="I8" s="185"/>
      <c r="J8" s="185"/>
      <c r="K8" s="185"/>
      <c r="L8" s="185"/>
      <c r="M8" s="182"/>
      <c r="N8" s="185"/>
      <c r="O8" s="185"/>
    </row>
    <row r="9" spans="1:15">
      <c r="A9" s="182"/>
      <c r="B9" s="182"/>
      <c r="C9" s="182"/>
      <c r="D9" s="182"/>
      <c r="E9" s="182"/>
      <c r="F9" s="182"/>
      <c r="G9" s="183"/>
      <c r="H9" s="184"/>
      <c r="I9" s="185"/>
      <c r="J9" s="185"/>
      <c r="K9" s="185"/>
      <c r="L9" s="185"/>
      <c r="M9" s="182"/>
      <c r="N9" s="185"/>
      <c r="O9" s="185"/>
    </row>
    <row r="10" spans="1:15">
      <c r="A10" s="182"/>
      <c r="B10" s="182"/>
      <c r="C10" s="182"/>
      <c r="D10" s="182"/>
      <c r="E10" s="182"/>
      <c r="F10" s="182"/>
      <c r="G10" s="183"/>
      <c r="H10" s="184"/>
      <c r="I10" s="185"/>
      <c r="J10" s="185"/>
      <c r="K10" s="185"/>
      <c r="L10" s="185"/>
      <c r="M10" s="182"/>
      <c r="N10" s="185"/>
      <c r="O10" s="185"/>
    </row>
    <row r="11" spans="1:15">
      <c r="A11" s="169"/>
      <c r="B11" s="169"/>
      <c r="C11" s="169"/>
      <c r="D11" s="169"/>
      <c r="E11" s="169"/>
      <c r="F11" s="169"/>
      <c r="G11" s="169"/>
      <c r="H11" s="169"/>
      <c r="I11" s="169"/>
    </row>
    <row r="12" spans="1:15">
      <c r="A12" s="169"/>
      <c r="B12" s="169"/>
      <c r="C12" s="169"/>
      <c r="D12" s="169"/>
      <c r="E12" s="169"/>
      <c r="F12" s="169"/>
      <c r="G12" s="169"/>
      <c r="H12" s="169"/>
      <c r="I12" s="169"/>
    </row>
    <row r="13" spans="1:15">
      <c r="A13" s="169"/>
      <c r="B13" s="169"/>
      <c r="C13" s="169"/>
      <c r="D13" s="169"/>
      <c r="E13" s="169"/>
      <c r="F13" s="169"/>
      <c r="G13" s="169"/>
      <c r="H13" s="169"/>
      <c r="I13" s="169"/>
    </row>
    <row r="14" spans="1:15">
      <c r="A14" s="169"/>
      <c r="B14" s="169"/>
      <c r="C14" s="169"/>
      <c r="D14" s="169"/>
      <c r="E14" s="169"/>
      <c r="F14" s="169"/>
      <c r="G14" s="169"/>
      <c r="H14" s="169"/>
      <c r="I14" s="169"/>
    </row>
    <row r="15" spans="1:15">
      <c r="A15" s="169"/>
      <c r="B15" s="169"/>
      <c r="C15" s="169"/>
      <c r="D15" s="169"/>
      <c r="E15" s="169"/>
      <c r="F15" s="169"/>
      <c r="G15" s="169"/>
      <c r="H15" s="169"/>
      <c r="I15" s="169"/>
    </row>
    <row r="16" spans="1:15">
      <c r="A16" s="169"/>
      <c r="B16" s="169"/>
      <c r="C16" s="169"/>
      <c r="D16" s="169"/>
      <c r="E16" s="169"/>
      <c r="F16" s="169"/>
      <c r="G16" s="169"/>
      <c r="H16" s="169"/>
      <c r="I16" s="169"/>
    </row>
    <row r="17" spans="1:9">
      <c r="A17" s="169"/>
      <c r="B17" s="169"/>
      <c r="C17" s="169"/>
      <c r="D17" s="169"/>
      <c r="E17" s="169"/>
      <c r="F17" s="169"/>
      <c r="G17" s="169"/>
      <c r="H17" s="169"/>
      <c r="I17" s="169"/>
    </row>
    <row r="18" spans="1:9">
      <c r="A18" s="169"/>
      <c r="B18" s="169"/>
      <c r="C18" s="169"/>
      <c r="D18" s="169"/>
      <c r="E18" s="169"/>
      <c r="F18" s="169"/>
      <c r="G18" s="169"/>
      <c r="H18" s="169"/>
      <c r="I18" s="169"/>
    </row>
    <row r="19" spans="1:9">
      <c r="A19" s="169"/>
      <c r="B19" s="169"/>
      <c r="C19" s="169"/>
      <c r="D19" s="169"/>
      <c r="E19" s="169"/>
      <c r="F19" s="169"/>
      <c r="G19" s="169"/>
      <c r="H19" s="169"/>
      <c r="I19" s="169"/>
    </row>
    <row r="20" spans="1:9">
      <c r="A20" s="169"/>
      <c r="B20" s="169"/>
      <c r="C20" s="169"/>
      <c r="D20" s="169"/>
      <c r="E20" s="169"/>
      <c r="F20" s="169"/>
      <c r="G20" s="63"/>
      <c r="H20" s="169"/>
      <c r="I20" s="169"/>
    </row>
    <row r="21" spans="1:9">
      <c r="A21" s="169"/>
      <c r="B21" s="169"/>
      <c r="C21" s="169"/>
      <c r="D21" s="169"/>
      <c r="E21" s="169"/>
      <c r="F21" s="169"/>
      <c r="G21" s="63"/>
      <c r="H21" s="169"/>
      <c r="I21" s="169"/>
    </row>
    <row r="22" spans="1:9">
      <c r="A22" s="169"/>
      <c r="B22" s="169"/>
      <c r="C22" s="169"/>
      <c r="D22" s="169"/>
      <c r="E22" s="169"/>
      <c r="F22" s="169"/>
      <c r="G22" s="63"/>
      <c r="H22" s="169"/>
      <c r="I22" s="169"/>
    </row>
    <row r="23" spans="1:9">
      <c r="A23" s="169"/>
      <c r="B23" s="169"/>
      <c r="C23" s="169"/>
      <c r="D23" s="169"/>
      <c r="E23" s="169"/>
      <c r="F23" s="169"/>
      <c r="G23" s="63"/>
      <c r="H23" s="169"/>
      <c r="I23" s="169"/>
    </row>
    <row r="24" spans="1:9">
      <c r="A24" s="169"/>
      <c r="B24" s="169"/>
      <c r="C24" s="169"/>
      <c r="D24" s="169"/>
      <c r="E24" s="169"/>
      <c r="F24" s="169"/>
      <c r="G24" s="63"/>
      <c r="H24" s="169"/>
      <c r="I24" s="169"/>
    </row>
    <row r="25" spans="1:9">
      <c r="A25" s="169"/>
      <c r="B25" s="169"/>
      <c r="C25" s="169"/>
      <c r="D25" s="169"/>
      <c r="E25" s="169"/>
      <c r="F25" s="169"/>
      <c r="G25" s="63"/>
      <c r="H25" s="169"/>
      <c r="I25" s="169"/>
    </row>
    <row r="26" spans="1:9">
      <c r="A26" s="169"/>
      <c r="B26" s="169"/>
      <c r="C26" s="169"/>
      <c r="D26" s="169"/>
      <c r="E26" s="169"/>
      <c r="F26" s="169"/>
      <c r="G26" s="63"/>
      <c r="H26" s="169"/>
      <c r="I26" s="169"/>
    </row>
    <row r="27" spans="1:9">
      <c r="A27" s="169"/>
      <c r="B27" s="169"/>
      <c r="C27" s="169"/>
      <c r="D27" s="169"/>
      <c r="E27" s="169"/>
      <c r="F27" s="169"/>
      <c r="G27" s="63"/>
      <c r="H27" s="169"/>
      <c r="I27" s="169"/>
    </row>
    <row r="28" spans="1:9">
      <c r="A28" s="169"/>
      <c r="B28" s="169"/>
      <c r="C28" s="169"/>
      <c r="D28" s="169"/>
      <c r="E28" s="169"/>
      <c r="F28" s="169"/>
      <c r="G28" s="63"/>
      <c r="H28" s="169"/>
      <c r="I28" s="169"/>
    </row>
    <row r="29" spans="1:9">
      <c r="G29" s="4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6600"/>
  </sheetPr>
  <dimension ref="A1:C19"/>
  <sheetViews>
    <sheetView workbookViewId="0">
      <selection activeCell="C3" sqref="C3"/>
    </sheetView>
  </sheetViews>
  <sheetFormatPr defaultRowHeight="15"/>
  <cols>
    <col min="1" max="1" width="38" bestFit="1" customWidth="1"/>
    <col min="2" max="2" width="16.7109375" style="49" customWidth="1"/>
    <col min="3" max="3" width="17.7109375" style="49" customWidth="1"/>
  </cols>
  <sheetData>
    <row r="1" spans="1:3">
      <c r="A1" t="s">
        <v>370</v>
      </c>
      <c r="B1" s="49">
        <v>1</v>
      </c>
      <c r="C1" s="49">
        <v>2</v>
      </c>
    </row>
    <row r="2" spans="1:3">
      <c r="B2" s="49" t="s">
        <v>280</v>
      </c>
      <c r="C2" s="49" t="s">
        <v>281</v>
      </c>
    </row>
    <row r="3" spans="1:3">
      <c r="A3" t="s">
        <v>371</v>
      </c>
      <c r="B3" s="49">
        <v>0</v>
      </c>
      <c r="C3" s="49">
        <v>0</v>
      </c>
    </row>
    <row r="5" spans="1:3">
      <c r="A5" t="s">
        <v>368</v>
      </c>
    </row>
    <row r="6" spans="1:3">
      <c r="B6" s="49" t="s">
        <v>356</v>
      </c>
      <c r="C6" s="49" t="s">
        <v>357</v>
      </c>
    </row>
    <row r="7" spans="1:3">
      <c r="A7" t="s">
        <v>360</v>
      </c>
      <c r="B7" s="178">
        <v>1.3</v>
      </c>
      <c r="C7" s="179">
        <v>0.7</v>
      </c>
    </row>
    <row r="8" spans="1:3">
      <c r="B8" s="139"/>
      <c r="C8" s="140"/>
    </row>
    <row r="9" spans="1:3">
      <c r="B9" s="139" t="s">
        <v>358</v>
      </c>
      <c r="C9" s="140" t="s">
        <v>359</v>
      </c>
    </row>
    <row r="10" spans="1:3">
      <c r="A10" t="s">
        <v>369</v>
      </c>
      <c r="B10" s="146">
        <v>6000</v>
      </c>
      <c r="C10" s="146">
        <v>2</v>
      </c>
    </row>
    <row r="12" spans="1:3">
      <c r="B12" s="49" t="s">
        <v>358</v>
      </c>
    </row>
    <row r="13" spans="1:3">
      <c r="A13" t="s">
        <v>361</v>
      </c>
      <c r="B13" s="146">
        <f>B10*24</f>
        <v>144000</v>
      </c>
    </row>
    <row r="15" spans="1:3">
      <c r="B15" s="49" t="s">
        <v>363</v>
      </c>
      <c r="C15" s="49" t="s">
        <v>364</v>
      </c>
    </row>
    <row r="16" spans="1:3">
      <c r="A16" t="s">
        <v>362</v>
      </c>
      <c r="B16" s="146">
        <v>1000</v>
      </c>
      <c r="C16" s="146">
        <v>-1000</v>
      </c>
    </row>
    <row r="18" spans="1:3">
      <c r="B18" s="49" t="s">
        <v>366</v>
      </c>
      <c r="C18" s="49" t="s">
        <v>367</v>
      </c>
    </row>
    <row r="19" spans="1:3">
      <c r="A19" t="s">
        <v>365</v>
      </c>
      <c r="B19" s="147">
        <v>1</v>
      </c>
      <c r="C19" s="14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6600"/>
  </sheetPr>
  <dimension ref="A1:E111"/>
  <sheetViews>
    <sheetView tabSelected="1" zoomScale="90" zoomScaleNormal="90" workbookViewId="0">
      <selection activeCell="H8" sqref="H8"/>
    </sheetView>
  </sheetViews>
  <sheetFormatPr defaultRowHeight="15"/>
  <cols>
    <col min="1" max="1" width="19.140625" bestFit="1" customWidth="1"/>
    <col min="2" max="2" width="18.5703125" customWidth="1"/>
    <col min="3" max="3" width="22.28515625" bestFit="1" customWidth="1"/>
    <col min="4" max="4" width="15.42578125" bestFit="1" customWidth="1"/>
    <col min="5" max="5" width="40" style="177" customWidth="1"/>
  </cols>
  <sheetData>
    <row r="1" spans="1:5">
      <c r="A1" s="205" t="s">
        <v>375</v>
      </c>
      <c r="B1" s="205" t="s">
        <v>246</v>
      </c>
      <c r="C1" s="205" t="s">
        <v>249</v>
      </c>
      <c r="D1" s="205" t="s">
        <v>355</v>
      </c>
      <c r="E1" s="210" t="s">
        <v>245</v>
      </c>
    </row>
    <row r="2" spans="1:5">
      <c r="A2" s="189" t="s">
        <v>546</v>
      </c>
      <c r="B2" s="207">
        <v>0.33</v>
      </c>
      <c r="C2" s="203" t="s">
        <v>412</v>
      </c>
      <c r="D2" s="206">
        <v>4.6176952591787199E-3</v>
      </c>
      <c r="E2" s="177" t="s">
        <v>547</v>
      </c>
    </row>
    <row r="3" spans="1:5">
      <c r="A3" s="189" t="s">
        <v>548</v>
      </c>
      <c r="B3" s="207">
        <v>0.14000000000000001</v>
      </c>
      <c r="C3" s="203" t="s">
        <v>419</v>
      </c>
      <c r="D3" s="206">
        <v>4.6176952591787173E-3</v>
      </c>
      <c r="E3" s="177" t="s">
        <v>549</v>
      </c>
    </row>
    <row r="4" spans="1:5">
      <c r="A4" s="189" t="s">
        <v>550</v>
      </c>
      <c r="B4" s="207">
        <v>0.25</v>
      </c>
      <c r="C4" s="203" t="s">
        <v>401</v>
      </c>
      <c r="D4" s="206">
        <v>4.1809264177288955E-3</v>
      </c>
      <c r="E4" s="177" t="s">
        <v>551</v>
      </c>
    </row>
    <row r="5" spans="1:5">
      <c r="A5" s="189" t="s">
        <v>552</v>
      </c>
      <c r="B5" s="207">
        <v>0.2</v>
      </c>
      <c r="C5" s="203" t="s">
        <v>537</v>
      </c>
      <c r="D5" s="206">
        <v>3.4392368376793799E-3</v>
      </c>
      <c r="E5" s="209" t="s">
        <v>553</v>
      </c>
    </row>
    <row r="6" spans="1:5">
      <c r="A6" s="189" t="s">
        <v>554</v>
      </c>
      <c r="B6" s="207">
        <v>0.33</v>
      </c>
      <c r="C6" s="203" t="s">
        <v>414</v>
      </c>
      <c r="D6" s="206">
        <v>1.7746246181646087E-2</v>
      </c>
      <c r="E6" s="177" t="s">
        <v>555</v>
      </c>
    </row>
    <row r="7" spans="1:5">
      <c r="A7" s="189" t="s">
        <v>556</v>
      </c>
      <c r="B7" s="207">
        <v>0.2</v>
      </c>
      <c r="C7" s="203" t="s">
        <v>521</v>
      </c>
      <c r="D7" s="206">
        <v>2.9132524748409104E-3</v>
      </c>
      <c r="E7" s="177" t="s">
        <v>557</v>
      </c>
    </row>
    <row r="8" spans="1:5">
      <c r="A8" s="189" t="s">
        <v>558</v>
      </c>
      <c r="B8" s="207">
        <v>0.2</v>
      </c>
      <c r="C8" s="203" t="s">
        <v>538</v>
      </c>
      <c r="D8" s="206">
        <v>2.9132524748409104E-3</v>
      </c>
      <c r="E8" s="177" t="s">
        <v>557</v>
      </c>
    </row>
    <row r="9" spans="1:5">
      <c r="A9" s="189" t="s">
        <v>559</v>
      </c>
      <c r="B9" s="207">
        <v>0.33</v>
      </c>
      <c r="C9" s="203" t="s">
        <v>424</v>
      </c>
      <c r="D9" s="206">
        <v>1.7746246181646087E-2</v>
      </c>
      <c r="E9" s="177" t="s">
        <v>555</v>
      </c>
    </row>
    <row r="10" spans="1:5">
      <c r="A10" s="189" t="s">
        <v>560</v>
      </c>
      <c r="B10" s="207">
        <v>0.5</v>
      </c>
      <c r="C10" s="203" t="s">
        <v>638</v>
      </c>
      <c r="D10" s="206">
        <v>6.4605961521161798E-3</v>
      </c>
      <c r="E10" s="211" t="s">
        <v>561</v>
      </c>
    </row>
    <row r="11" spans="1:5">
      <c r="A11" s="189" t="s">
        <v>562</v>
      </c>
      <c r="B11" s="207">
        <v>0.2</v>
      </c>
      <c r="C11" s="203" t="s">
        <v>638</v>
      </c>
      <c r="D11" s="206">
        <v>3.4392368376793799E-3</v>
      </c>
      <c r="E11" s="211" t="s">
        <v>553</v>
      </c>
    </row>
    <row r="12" spans="1:5">
      <c r="A12" s="189" t="s">
        <v>563</v>
      </c>
      <c r="B12" s="207">
        <v>0.33</v>
      </c>
      <c r="C12" s="203" t="s">
        <v>516</v>
      </c>
      <c r="D12" s="206">
        <v>1.7746246181646087E-2</v>
      </c>
      <c r="E12" s="211" t="s">
        <v>555</v>
      </c>
    </row>
    <row r="13" spans="1:5">
      <c r="A13" s="189" t="s">
        <v>564</v>
      </c>
      <c r="B13" s="207">
        <v>0.2</v>
      </c>
      <c r="C13" s="203" t="s">
        <v>423</v>
      </c>
      <c r="D13" s="206">
        <v>3.4392368376793799E-3</v>
      </c>
      <c r="E13" s="211" t="s">
        <v>553</v>
      </c>
    </row>
    <row r="14" spans="1:5">
      <c r="A14" s="189" t="s">
        <v>565</v>
      </c>
      <c r="B14" s="207">
        <v>0.14000000000000001</v>
      </c>
      <c r="C14" s="203" t="s">
        <v>423</v>
      </c>
      <c r="D14" s="206">
        <v>4.6176952591787173E-3</v>
      </c>
      <c r="E14" s="211" t="s">
        <v>549</v>
      </c>
    </row>
    <row r="15" spans="1:5">
      <c r="A15" s="189" t="s">
        <v>566</v>
      </c>
      <c r="B15" s="207">
        <v>0.14000000000000001</v>
      </c>
      <c r="C15" s="203" t="s">
        <v>639</v>
      </c>
      <c r="D15" s="206">
        <v>4.6176952591787173E-3</v>
      </c>
      <c r="E15" s="211" t="s">
        <v>549</v>
      </c>
    </row>
    <row r="16" spans="1:5">
      <c r="A16" s="189" t="s">
        <v>567</v>
      </c>
      <c r="B16" s="207">
        <v>0.16</v>
      </c>
      <c r="C16" s="203" t="s">
        <v>519</v>
      </c>
      <c r="D16" s="206">
        <v>1.1228092133310909E-3</v>
      </c>
      <c r="E16" s="211" t="s">
        <v>568</v>
      </c>
    </row>
    <row r="17" spans="1:5">
      <c r="A17" s="189" t="s">
        <v>569</v>
      </c>
      <c r="B17" s="207">
        <v>0.14000000000000001</v>
      </c>
      <c r="C17" s="203" t="s">
        <v>418</v>
      </c>
      <c r="D17" s="206">
        <v>4.6176952591787173E-3</v>
      </c>
      <c r="E17" s="211" t="s">
        <v>549</v>
      </c>
    </row>
    <row r="18" spans="1:5">
      <c r="A18" s="189" t="s">
        <v>570</v>
      </c>
      <c r="B18" s="207">
        <v>0.16</v>
      </c>
      <c r="C18" s="203" t="s">
        <v>418</v>
      </c>
      <c r="D18" s="206">
        <v>1.1228092133310909E-3</v>
      </c>
      <c r="E18" s="211" t="s">
        <v>568</v>
      </c>
    </row>
    <row r="19" spans="1:5">
      <c r="A19" s="189" t="s">
        <v>571</v>
      </c>
      <c r="B19" s="207">
        <v>0.5</v>
      </c>
      <c r="C19" s="203" t="s">
        <v>405</v>
      </c>
      <c r="D19" s="206">
        <v>3.76300978202626E-3</v>
      </c>
      <c r="E19" s="211" t="s">
        <v>572</v>
      </c>
    </row>
    <row r="20" spans="1:5">
      <c r="A20" s="189" t="s">
        <v>573</v>
      </c>
      <c r="B20" s="207">
        <v>0.5</v>
      </c>
      <c r="C20" s="203" t="s">
        <v>408</v>
      </c>
      <c r="D20" s="206">
        <v>2.955767718922217E-2</v>
      </c>
      <c r="E20" s="211" t="s">
        <v>574</v>
      </c>
    </row>
    <row r="21" spans="1:5">
      <c r="A21" s="189" t="s">
        <v>575</v>
      </c>
      <c r="B21" s="207">
        <v>0.33</v>
      </c>
      <c r="C21" s="203" t="s">
        <v>408</v>
      </c>
      <c r="D21" s="206">
        <v>1.4145161984253323E-2</v>
      </c>
      <c r="E21" s="211" t="s">
        <v>576</v>
      </c>
    </row>
    <row r="22" spans="1:5">
      <c r="A22" s="189" t="s">
        <v>577</v>
      </c>
      <c r="B22" s="207">
        <v>0.16</v>
      </c>
      <c r="C22" s="203" t="s">
        <v>523</v>
      </c>
      <c r="D22" s="206">
        <v>1.1228092133310909E-3</v>
      </c>
      <c r="E22" s="211" t="s">
        <v>568</v>
      </c>
    </row>
    <row r="23" spans="1:5">
      <c r="A23" s="189" t="s">
        <v>578</v>
      </c>
      <c r="B23" s="207">
        <v>0.16</v>
      </c>
      <c r="C23" s="203" t="s">
        <v>524</v>
      </c>
      <c r="D23" s="206">
        <v>1.1228092133310909E-3</v>
      </c>
      <c r="E23" s="211" t="s">
        <v>568</v>
      </c>
    </row>
    <row r="24" spans="1:5">
      <c r="A24" s="189" t="s">
        <v>579</v>
      </c>
      <c r="B24" s="207">
        <v>0.5</v>
      </c>
      <c r="C24" s="203" t="s">
        <v>409</v>
      </c>
      <c r="D24" s="206">
        <v>3.76300978202626E-3</v>
      </c>
      <c r="E24" s="211" t="s">
        <v>572</v>
      </c>
    </row>
    <row r="25" spans="1:5">
      <c r="A25" s="189" t="s">
        <v>580</v>
      </c>
      <c r="B25" s="207">
        <v>0.16</v>
      </c>
      <c r="C25" s="203" t="s">
        <v>539</v>
      </c>
      <c r="D25" s="206">
        <v>1.1228092133310909E-3</v>
      </c>
      <c r="E25" s="211" t="s">
        <v>568</v>
      </c>
    </row>
    <row r="26" spans="1:5">
      <c r="A26" s="189" t="s">
        <v>581</v>
      </c>
      <c r="B26" s="207">
        <v>0.25</v>
      </c>
      <c r="C26" s="203" t="s">
        <v>540</v>
      </c>
      <c r="D26" s="206">
        <v>4.1809264177288955E-3</v>
      </c>
      <c r="E26" s="211" t="s">
        <v>551</v>
      </c>
    </row>
    <row r="27" spans="1:5">
      <c r="A27" s="189" t="s">
        <v>582</v>
      </c>
      <c r="B27" s="207">
        <v>0.2</v>
      </c>
      <c r="C27" s="203" t="s">
        <v>416</v>
      </c>
      <c r="D27" s="206">
        <v>3.4392368376793799E-3</v>
      </c>
      <c r="E27" s="211" t="s">
        <v>553</v>
      </c>
    </row>
    <row r="28" spans="1:5">
      <c r="A28" s="189" t="s">
        <v>583</v>
      </c>
      <c r="B28" s="207">
        <v>0.14000000000000001</v>
      </c>
      <c r="C28" s="203" t="s">
        <v>415</v>
      </c>
      <c r="D28" s="206">
        <v>4.6176952591787173E-3</v>
      </c>
      <c r="E28" s="211" t="s">
        <v>549</v>
      </c>
    </row>
    <row r="29" spans="1:5">
      <c r="A29" s="189" t="s">
        <v>584</v>
      </c>
      <c r="B29" s="207">
        <v>1</v>
      </c>
      <c r="C29" s="203" t="s">
        <v>406</v>
      </c>
      <c r="D29" s="206">
        <v>1.0926456841355951E-2</v>
      </c>
      <c r="E29" s="211" t="s">
        <v>585</v>
      </c>
    </row>
    <row r="30" spans="1:5">
      <c r="A30" s="189" t="s">
        <v>586</v>
      </c>
      <c r="B30" s="207">
        <v>0.5</v>
      </c>
      <c r="C30" s="203" t="s">
        <v>406</v>
      </c>
      <c r="D30" s="206">
        <v>9.5399201323565653E-3</v>
      </c>
      <c r="E30" s="211" t="s">
        <v>587</v>
      </c>
    </row>
    <row r="31" spans="1:5">
      <c r="A31" s="189" t="s">
        <v>588</v>
      </c>
      <c r="B31" s="207">
        <v>0.16</v>
      </c>
      <c r="C31" s="203" t="s">
        <v>515</v>
      </c>
      <c r="D31" s="206">
        <v>1.1228092133310909E-3</v>
      </c>
      <c r="E31" s="211" t="s">
        <v>568</v>
      </c>
    </row>
    <row r="32" spans="1:5">
      <c r="A32" s="189" t="s">
        <v>589</v>
      </c>
      <c r="B32" s="207">
        <v>0.2</v>
      </c>
      <c r="C32" s="203" t="s">
        <v>410</v>
      </c>
      <c r="D32" s="206">
        <v>3.4392368376793799E-3</v>
      </c>
      <c r="E32" s="211" t="s">
        <v>553</v>
      </c>
    </row>
    <row r="33" spans="1:5">
      <c r="A33" s="189" t="s">
        <v>590</v>
      </c>
      <c r="B33" s="207">
        <v>0.25</v>
      </c>
      <c r="C33" s="203" t="s">
        <v>541</v>
      </c>
      <c r="D33" s="206">
        <v>4.1809264177288955E-3</v>
      </c>
      <c r="E33" s="211" t="s">
        <v>551</v>
      </c>
    </row>
    <row r="34" spans="1:5">
      <c r="A34" s="189" t="s">
        <v>591</v>
      </c>
      <c r="B34" s="207">
        <v>1</v>
      </c>
      <c r="C34" s="203" t="s">
        <v>404</v>
      </c>
      <c r="D34" s="206">
        <v>1.0306915474062572E-2</v>
      </c>
      <c r="E34" s="211" t="s">
        <v>592</v>
      </c>
    </row>
    <row r="35" spans="1:5">
      <c r="A35" s="189" t="s">
        <v>593</v>
      </c>
      <c r="B35" s="207">
        <v>1</v>
      </c>
      <c r="C35" s="203" t="s">
        <v>404</v>
      </c>
      <c r="D35" s="206">
        <v>8.0704650080376111E-3</v>
      </c>
      <c r="E35" s="211" t="s">
        <v>594</v>
      </c>
    </row>
    <row r="36" spans="1:5">
      <c r="A36" s="189" t="s">
        <v>595</v>
      </c>
      <c r="B36" s="207">
        <v>1</v>
      </c>
      <c r="C36" s="203" t="s">
        <v>422</v>
      </c>
      <c r="D36" s="206">
        <v>1.4498206693706415E-2</v>
      </c>
      <c r="E36" s="211" t="s">
        <v>596</v>
      </c>
    </row>
    <row r="37" spans="1:5">
      <c r="A37" s="189" t="s">
        <v>597</v>
      </c>
      <c r="B37" s="207">
        <v>0.5</v>
      </c>
      <c r="C37" s="214" t="s">
        <v>422</v>
      </c>
      <c r="D37" s="206">
        <v>2.955767718922217E-2</v>
      </c>
      <c r="E37" s="211" t="s">
        <v>574</v>
      </c>
    </row>
    <row r="38" spans="1:5">
      <c r="A38" s="189" t="s">
        <v>598</v>
      </c>
      <c r="B38" s="207">
        <v>0.5</v>
      </c>
      <c r="C38" s="214" t="s">
        <v>422</v>
      </c>
      <c r="D38" s="206">
        <v>9.2630039151572509E-3</v>
      </c>
      <c r="E38" s="211" t="s">
        <v>599</v>
      </c>
    </row>
    <row r="39" spans="1:5">
      <c r="A39" s="189" t="s">
        <v>600</v>
      </c>
      <c r="B39" s="207">
        <v>0.14000000000000001</v>
      </c>
      <c r="C39" s="203" t="s">
        <v>407</v>
      </c>
      <c r="D39" s="206">
        <v>4.6176952591787173E-3</v>
      </c>
      <c r="E39" s="211" t="s">
        <v>549</v>
      </c>
    </row>
    <row r="40" spans="1:5">
      <c r="A40" s="189" t="s">
        <v>601</v>
      </c>
      <c r="B40" s="207">
        <v>0.25</v>
      </c>
      <c r="C40" s="203" t="s">
        <v>522</v>
      </c>
      <c r="D40" s="206">
        <v>0.13861905637278868</v>
      </c>
      <c r="E40" s="211" t="s">
        <v>602</v>
      </c>
    </row>
    <row r="41" spans="1:5">
      <c r="A41" s="189" t="s">
        <v>603</v>
      </c>
      <c r="B41" s="207">
        <v>0.2</v>
      </c>
      <c r="C41" s="203" t="s">
        <v>522</v>
      </c>
      <c r="D41" s="206">
        <v>2.9132524748409104E-3</v>
      </c>
      <c r="E41" s="211" t="s">
        <v>557</v>
      </c>
    </row>
    <row r="42" spans="1:5">
      <c r="A42" s="189" t="s">
        <v>604</v>
      </c>
      <c r="B42" s="207">
        <v>0.25</v>
      </c>
      <c r="C42" s="203" t="s">
        <v>542</v>
      </c>
      <c r="D42" s="206">
        <v>0.13861905637278868</v>
      </c>
      <c r="E42" s="211" t="s">
        <v>602</v>
      </c>
    </row>
    <row r="43" spans="1:5">
      <c r="A43" s="189" t="s">
        <v>605</v>
      </c>
      <c r="B43" s="207">
        <v>0.2</v>
      </c>
      <c r="C43" s="203" t="s">
        <v>542</v>
      </c>
      <c r="D43" s="206">
        <v>2.9132524748409104E-3</v>
      </c>
      <c r="E43" s="211" t="s">
        <v>557</v>
      </c>
    </row>
    <row r="44" spans="1:5">
      <c r="A44" s="189" t="s">
        <v>606</v>
      </c>
      <c r="B44" s="207">
        <v>0.5</v>
      </c>
      <c r="C44" s="203" t="s">
        <v>427</v>
      </c>
      <c r="D44" s="206">
        <v>3.8517950663542887E-3</v>
      </c>
      <c r="E44" s="211" t="s">
        <v>607</v>
      </c>
    </row>
    <row r="45" spans="1:5">
      <c r="A45" s="189" t="s">
        <v>608</v>
      </c>
      <c r="B45" s="207">
        <v>0.2</v>
      </c>
      <c r="C45" s="203" t="s">
        <v>543</v>
      </c>
      <c r="D45" s="206">
        <v>2.9132524748409104E-3</v>
      </c>
      <c r="E45" s="211" t="s">
        <v>557</v>
      </c>
    </row>
    <row r="46" spans="1:5">
      <c r="A46" s="189" t="s">
        <v>609</v>
      </c>
      <c r="B46" s="207">
        <v>0.33</v>
      </c>
      <c r="C46" s="203" t="s">
        <v>543</v>
      </c>
      <c r="D46" s="206">
        <v>6.204706793443187E-3</v>
      </c>
      <c r="E46" s="211" t="s">
        <v>547</v>
      </c>
    </row>
    <row r="47" spans="1:5">
      <c r="A47" s="189" t="s">
        <v>610</v>
      </c>
      <c r="B47" s="207">
        <v>0.5</v>
      </c>
      <c r="C47" s="203" t="s">
        <v>544</v>
      </c>
      <c r="D47" s="206">
        <v>9.5399201323565653E-3</v>
      </c>
      <c r="E47" s="211" t="s">
        <v>587</v>
      </c>
    </row>
    <row r="48" spans="1:5">
      <c r="A48" s="189" t="s">
        <v>611</v>
      </c>
      <c r="B48" s="207">
        <v>1</v>
      </c>
      <c r="C48" s="203" t="s">
        <v>544</v>
      </c>
      <c r="D48" s="206">
        <v>9.3408377106694879E-3</v>
      </c>
      <c r="E48" s="211" t="s">
        <v>612</v>
      </c>
    </row>
    <row r="49" spans="1:5">
      <c r="A49" s="189" t="s">
        <v>613</v>
      </c>
      <c r="B49" s="207">
        <v>0.25</v>
      </c>
      <c r="C49" s="203" t="s">
        <v>544</v>
      </c>
      <c r="D49" s="206">
        <v>0.13861905637278868</v>
      </c>
      <c r="E49" s="211" t="s">
        <v>602</v>
      </c>
    </row>
    <row r="50" spans="1:5">
      <c r="A50" s="189" t="s">
        <v>614</v>
      </c>
      <c r="B50" s="207">
        <v>0.33</v>
      </c>
      <c r="C50" s="203" t="s">
        <v>640</v>
      </c>
      <c r="D50" s="206">
        <v>6.204706793443187E-3</v>
      </c>
      <c r="E50" s="211" t="s">
        <v>547</v>
      </c>
    </row>
    <row r="51" spans="1:5">
      <c r="A51" s="189" t="s">
        <v>615</v>
      </c>
      <c r="B51" s="207">
        <v>0.5</v>
      </c>
      <c r="C51" s="203" t="s">
        <v>640</v>
      </c>
      <c r="D51" s="206">
        <v>6.4605961521161798E-3</v>
      </c>
      <c r="E51" s="211" t="s">
        <v>561</v>
      </c>
    </row>
    <row r="52" spans="1:5">
      <c r="A52" s="189" t="s">
        <v>616</v>
      </c>
      <c r="B52" s="207">
        <v>0.33</v>
      </c>
      <c r="C52" s="203" t="s">
        <v>517</v>
      </c>
      <c r="D52" s="206">
        <v>1.4145161984253323E-2</v>
      </c>
      <c r="E52" s="211" t="s">
        <v>576</v>
      </c>
    </row>
    <row r="53" spans="1:5">
      <c r="A53" s="189" t="s">
        <v>617</v>
      </c>
      <c r="B53" s="208">
        <v>1</v>
      </c>
      <c r="C53" s="203" t="s">
        <v>518</v>
      </c>
      <c r="D53" s="206">
        <v>7.8115405224642416E-3</v>
      </c>
      <c r="E53" s="211" t="s">
        <v>618</v>
      </c>
    </row>
    <row r="54" spans="1:5">
      <c r="A54" s="189" t="s">
        <v>619</v>
      </c>
      <c r="B54" s="208">
        <v>0.25</v>
      </c>
      <c r="C54" s="203" t="s">
        <v>545</v>
      </c>
      <c r="D54" s="206">
        <v>0.13861905637278868</v>
      </c>
      <c r="E54" s="211" t="s">
        <v>602</v>
      </c>
    </row>
    <row r="55" spans="1:5">
      <c r="A55" s="189" t="s">
        <v>620</v>
      </c>
      <c r="B55" s="208">
        <v>0.5</v>
      </c>
      <c r="C55" s="214" t="s">
        <v>545</v>
      </c>
      <c r="D55" s="206">
        <v>9.2630039151572509E-3</v>
      </c>
      <c r="E55" s="211" t="s">
        <v>599</v>
      </c>
    </row>
    <row r="56" spans="1:5">
      <c r="A56" s="189" t="s">
        <v>621</v>
      </c>
      <c r="B56" s="208">
        <v>1</v>
      </c>
      <c r="C56" s="214" t="s">
        <v>545</v>
      </c>
      <c r="D56" s="206">
        <v>3.8397484286569174E-2</v>
      </c>
      <c r="E56" s="211" t="s">
        <v>622</v>
      </c>
    </row>
    <row r="57" spans="1:5">
      <c r="A57" s="189" t="s">
        <v>623</v>
      </c>
      <c r="B57" s="208">
        <v>0.33</v>
      </c>
      <c r="C57" s="203" t="s">
        <v>426</v>
      </c>
      <c r="D57" s="206">
        <v>1.4145161984253323E-2</v>
      </c>
      <c r="E57" s="211" t="s">
        <v>576</v>
      </c>
    </row>
    <row r="58" spans="1:5">
      <c r="A58" s="189" t="s">
        <v>624</v>
      </c>
      <c r="B58" s="208">
        <v>1</v>
      </c>
      <c r="C58" s="203" t="s">
        <v>400</v>
      </c>
      <c r="D58" s="206">
        <v>1.7369843511047315E-2</v>
      </c>
      <c r="E58" s="211" t="s">
        <v>625</v>
      </c>
    </row>
    <row r="59" spans="1:5">
      <c r="A59" s="189" t="s">
        <v>626</v>
      </c>
      <c r="B59" s="208">
        <v>0.25</v>
      </c>
      <c r="C59" s="203" t="s">
        <v>402</v>
      </c>
      <c r="D59" s="206">
        <v>4.1809264177288955E-3</v>
      </c>
      <c r="E59" s="211" t="s">
        <v>551</v>
      </c>
    </row>
    <row r="60" spans="1:5">
      <c r="A60" s="189" t="s">
        <v>627</v>
      </c>
      <c r="B60" s="208">
        <v>0.5</v>
      </c>
      <c r="C60" s="203" t="s">
        <v>402</v>
      </c>
      <c r="D60" s="206">
        <v>3.8517950663542887E-3</v>
      </c>
      <c r="E60" s="211" t="s">
        <v>607</v>
      </c>
    </row>
    <row r="61" spans="1:5">
      <c r="A61" s="189" t="s">
        <v>628</v>
      </c>
      <c r="B61" s="208">
        <v>0.14000000000000001</v>
      </c>
      <c r="C61" s="203" t="s">
        <v>641</v>
      </c>
      <c r="D61" s="206">
        <v>4.6176952591787173E-3</v>
      </c>
      <c r="E61" s="211" t="s">
        <v>549</v>
      </c>
    </row>
    <row r="62" spans="1:5">
      <c r="A62" s="143"/>
      <c r="B62" s="143"/>
      <c r="C62" s="143"/>
      <c r="D62" s="143"/>
      <c r="E62" s="212"/>
    </row>
    <row r="63" spans="1:5">
      <c r="A63" s="143"/>
      <c r="B63" s="143"/>
      <c r="C63" s="143"/>
      <c r="D63" s="143"/>
      <c r="E63" s="212"/>
    </row>
    <row r="64" spans="1:5">
      <c r="A64" s="143"/>
      <c r="B64" s="143"/>
      <c r="C64" s="143"/>
      <c r="D64" s="143"/>
      <c r="E64" s="212"/>
    </row>
    <row r="65" spans="1:5">
      <c r="A65" s="143"/>
      <c r="B65" s="143"/>
      <c r="C65" s="143"/>
      <c r="D65" s="143"/>
      <c r="E65" s="212"/>
    </row>
    <row r="66" spans="1:5">
      <c r="A66" s="143"/>
      <c r="B66" s="143"/>
      <c r="C66" s="143"/>
      <c r="D66" s="143"/>
      <c r="E66" s="212"/>
    </row>
    <row r="67" spans="1:5">
      <c r="A67" s="143"/>
      <c r="B67" s="143"/>
      <c r="C67" s="143"/>
      <c r="D67" s="143"/>
      <c r="E67" s="212"/>
    </row>
    <row r="68" spans="1:5">
      <c r="A68" s="143"/>
      <c r="B68" s="143"/>
      <c r="C68" s="143"/>
      <c r="D68" s="143"/>
      <c r="E68" s="212"/>
    </row>
    <row r="69" spans="1:5">
      <c r="A69" s="143"/>
      <c r="B69" s="143"/>
      <c r="C69" s="143"/>
      <c r="D69" s="143"/>
      <c r="E69" s="212"/>
    </row>
    <row r="70" spans="1:5">
      <c r="A70" s="143"/>
      <c r="B70" s="143"/>
      <c r="C70" s="143"/>
      <c r="D70" s="143"/>
      <c r="E70" s="212"/>
    </row>
    <row r="71" spans="1:5">
      <c r="A71" s="143"/>
      <c r="B71" s="143"/>
      <c r="C71" s="143"/>
      <c r="D71" s="143"/>
      <c r="E71" s="212"/>
    </row>
    <row r="72" spans="1:5">
      <c r="A72" s="143"/>
      <c r="B72" s="143"/>
      <c r="C72" s="143"/>
      <c r="D72" s="143"/>
      <c r="E72" s="212"/>
    </row>
    <row r="73" spans="1:5">
      <c r="A73" s="143"/>
      <c r="B73" s="143"/>
      <c r="C73" s="143"/>
      <c r="D73" s="143"/>
      <c r="E73" s="212"/>
    </row>
    <row r="74" spans="1:5">
      <c r="A74" s="143"/>
      <c r="B74" s="143"/>
      <c r="C74" s="143"/>
      <c r="D74" s="143"/>
      <c r="E74" s="212"/>
    </row>
    <row r="75" spans="1:5">
      <c r="A75" s="143"/>
      <c r="B75" s="143"/>
      <c r="C75" s="143"/>
      <c r="D75" s="143"/>
      <c r="E75" s="212"/>
    </row>
    <row r="76" spans="1:5">
      <c r="A76" s="143"/>
      <c r="B76" s="143"/>
      <c r="C76" s="143"/>
      <c r="D76" s="143"/>
      <c r="E76" s="212"/>
    </row>
    <row r="77" spans="1:5">
      <c r="A77" s="143"/>
      <c r="B77" s="143"/>
      <c r="C77" s="143"/>
      <c r="D77" s="143"/>
      <c r="E77" s="212"/>
    </row>
    <row r="78" spans="1:5">
      <c r="A78" s="143"/>
      <c r="B78" s="143"/>
      <c r="C78" s="143"/>
      <c r="D78" s="143"/>
      <c r="E78" s="212"/>
    </row>
    <row r="79" spans="1:5">
      <c r="A79" s="143"/>
      <c r="B79" s="143"/>
      <c r="C79" s="143"/>
      <c r="D79" s="143"/>
      <c r="E79" s="212"/>
    </row>
    <row r="80" spans="1:5">
      <c r="A80" s="143"/>
      <c r="B80" s="143"/>
      <c r="C80" s="143"/>
      <c r="D80" s="143"/>
      <c r="E80" s="212"/>
    </row>
    <row r="81" spans="1:5">
      <c r="A81" s="143"/>
      <c r="B81" s="143"/>
      <c r="C81" s="143"/>
      <c r="D81" s="143"/>
      <c r="E81" s="212"/>
    </row>
    <row r="82" spans="1:5">
      <c r="A82" s="143"/>
      <c r="B82" s="143"/>
      <c r="C82" s="143"/>
      <c r="D82" s="143"/>
      <c r="E82" s="212"/>
    </row>
    <row r="83" spans="1:5">
      <c r="A83" s="143"/>
      <c r="B83" s="143"/>
      <c r="C83" s="143"/>
      <c r="D83" s="143"/>
      <c r="E83" s="212"/>
    </row>
    <row r="84" spans="1:5">
      <c r="A84" s="143"/>
      <c r="B84" s="143"/>
      <c r="C84" s="143"/>
      <c r="D84" s="143"/>
      <c r="E84" s="212"/>
    </row>
    <row r="85" spans="1:5">
      <c r="A85" s="143"/>
      <c r="B85" s="143"/>
      <c r="C85" s="143"/>
      <c r="D85" s="143"/>
      <c r="E85" s="212"/>
    </row>
    <row r="86" spans="1:5">
      <c r="A86" s="143"/>
      <c r="B86" s="143"/>
      <c r="C86" s="143"/>
      <c r="D86" s="143"/>
      <c r="E86" s="212"/>
    </row>
    <row r="87" spans="1:5">
      <c r="A87" s="143"/>
      <c r="B87" s="143"/>
      <c r="C87" s="143"/>
      <c r="D87" s="143"/>
      <c r="E87" s="212"/>
    </row>
    <row r="88" spans="1:5">
      <c r="A88" s="143"/>
      <c r="B88" s="143"/>
      <c r="C88" s="143"/>
      <c r="D88" s="143"/>
      <c r="E88" s="212"/>
    </row>
    <row r="89" spans="1:5">
      <c r="A89" s="143"/>
      <c r="B89" s="143"/>
      <c r="C89" s="143"/>
      <c r="D89" s="143"/>
      <c r="E89" s="212"/>
    </row>
    <row r="90" spans="1:5">
      <c r="A90" s="143"/>
      <c r="B90" s="143"/>
      <c r="C90" s="143"/>
      <c r="D90" s="143"/>
      <c r="E90" s="212"/>
    </row>
    <row r="91" spans="1:5">
      <c r="A91" s="143"/>
      <c r="B91" s="143"/>
      <c r="C91" s="143"/>
      <c r="D91" s="143"/>
      <c r="E91" s="212"/>
    </row>
    <row r="92" spans="1:5">
      <c r="A92" s="143"/>
      <c r="B92" s="143"/>
      <c r="C92" s="143"/>
      <c r="D92" s="143"/>
      <c r="E92" s="212"/>
    </row>
    <row r="93" spans="1:5">
      <c r="A93" s="143"/>
      <c r="B93" s="143"/>
      <c r="C93" s="143"/>
      <c r="D93" s="143"/>
      <c r="E93" s="212"/>
    </row>
    <row r="94" spans="1:5">
      <c r="A94" s="143"/>
      <c r="B94" s="143"/>
      <c r="C94" s="143"/>
      <c r="D94" s="143"/>
      <c r="E94" s="212"/>
    </row>
    <row r="95" spans="1:5">
      <c r="A95" s="143"/>
      <c r="B95" s="143"/>
      <c r="C95" s="143"/>
      <c r="D95" s="143"/>
      <c r="E95" s="212"/>
    </row>
    <row r="96" spans="1:5">
      <c r="A96" s="143"/>
      <c r="B96" s="143"/>
      <c r="C96" s="143"/>
      <c r="D96" s="143"/>
      <c r="E96" s="212"/>
    </row>
    <row r="97" spans="1:5">
      <c r="A97" s="143"/>
      <c r="B97" s="143"/>
      <c r="C97" s="143"/>
      <c r="D97" s="143"/>
      <c r="E97" s="212"/>
    </row>
    <row r="98" spans="1:5">
      <c r="A98" s="143"/>
      <c r="B98" s="143"/>
      <c r="C98" s="143"/>
      <c r="D98" s="143"/>
      <c r="E98" s="212"/>
    </row>
    <row r="99" spans="1:5">
      <c r="A99" s="143"/>
      <c r="B99" s="143"/>
      <c r="C99" s="143"/>
      <c r="D99" s="143"/>
      <c r="E99" s="212"/>
    </row>
    <row r="100" spans="1:5">
      <c r="A100" s="143"/>
      <c r="B100" s="143"/>
      <c r="C100" s="143"/>
      <c r="D100" s="143"/>
      <c r="E100" s="212"/>
    </row>
    <row r="101" spans="1:5">
      <c r="A101" s="143"/>
      <c r="B101" s="143"/>
      <c r="C101" s="143"/>
      <c r="D101" s="143"/>
      <c r="E101" s="212"/>
    </row>
    <row r="102" spans="1:5">
      <c r="A102" s="143"/>
      <c r="B102" s="143"/>
      <c r="C102" s="143"/>
      <c r="D102" s="143"/>
      <c r="E102" s="212"/>
    </row>
    <row r="103" spans="1:5">
      <c r="A103" s="143"/>
      <c r="B103" s="143"/>
      <c r="C103" s="143"/>
      <c r="D103" s="143"/>
      <c r="E103" s="212"/>
    </row>
    <row r="104" spans="1:5">
      <c r="A104" s="143"/>
      <c r="B104" s="143"/>
      <c r="C104" s="143"/>
      <c r="D104" s="143"/>
      <c r="E104" s="212"/>
    </row>
    <row r="105" spans="1:5">
      <c r="A105" s="143"/>
      <c r="B105" s="143"/>
      <c r="C105" s="143"/>
      <c r="D105" s="143"/>
      <c r="E105" s="212"/>
    </row>
    <row r="106" spans="1:5">
      <c r="A106" s="143"/>
      <c r="B106" s="143"/>
      <c r="C106" s="143"/>
      <c r="D106" s="143"/>
      <c r="E106" s="212"/>
    </row>
    <row r="107" spans="1:5">
      <c r="A107" s="143"/>
      <c r="B107" s="143"/>
      <c r="C107" s="143"/>
      <c r="D107" s="143"/>
      <c r="E107" s="212"/>
    </row>
    <row r="108" spans="1:5">
      <c r="A108" s="143"/>
      <c r="B108" s="143"/>
      <c r="C108" s="143"/>
      <c r="D108" s="143"/>
      <c r="E108" s="212"/>
    </row>
    <row r="109" spans="1:5">
      <c r="A109" s="143"/>
      <c r="B109" s="143"/>
      <c r="C109" s="143"/>
      <c r="D109" s="143"/>
      <c r="E109" s="212"/>
    </row>
    <row r="110" spans="1:5">
      <c r="A110" s="143"/>
      <c r="B110" s="143"/>
      <c r="C110" s="143"/>
      <c r="D110" s="143"/>
      <c r="E110" s="212"/>
    </row>
    <row r="111" spans="1:5">
      <c r="A111" s="143"/>
      <c r="B111" s="143"/>
      <c r="C111" s="143"/>
      <c r="D111" s="143"/>
      <c r="E111" s="2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6600"/>
  </sheetPr>
  <dimension ref="A1:V107"/>
  <sheetViews>
    <sheetView topLeftCell="A70" zoomScaleNormal="100" workbookViewId="0">
      <selection activeCell="B19" sqref="B19"/>
    </sheetView>
  </sheetViews>
  <sheetFormatPr defaultRowHeight="15"/>
  <cols>
    <col min="1" max="3" width="26.28515625" style="202" customWidth="1"/>
    <col min="4" max="4" width="11.85546875" style="202" customWidth="1"/>
    <col min="5" max="5" width="12.42578125" style="185" customWidth="1"/>
    <col min="6" max="6" width="15.85546875" style="202" customWidth="1"/>
    <col min="7" max="7" width="13" style="94" customWidth="1"/>
    <col min="8" max="8" width="11" style="185" customWidth="1"/>
    <col min="9" max="9" width="14.28515625" style="185" customWidth="1"/>
    <col min="10" max="11" width="11" style="185" customWidth="1"/>
    <col min="14" max="14" width="27.140625" style="189" customWidth="1"/>
    <col min="15" max="15" width="11" style="177" customWidth="1"/>
    <col min="16" max="17" width="11" style="4" customWidth="1"/>
    <col min="18" max="19" width="24.85546875" style="185" customWidth="1"/>
    <col min="20" max="20" width="11" style="4" customWidth="1"/>
    <col min="21" max="22" width="9.140625" style="4"/>
  </cols>
  <sheetData>
    <row r="1" spans="1:19">
      <c r="A1" s="202" t="s">
        <v>251</v>
      </c>
      <c r="B1" s="202" t="s">
        <v>253</v>
      </c>
      <c r="C1" s="202" t="s">
        <v>252</v>
      </c>
      <c r="D1" s="202" t="s">
        <v>247</v>
      </c>
      <c r="E1" s="185" t="s">
        <v>248</v>
      </c>
      <c r="F1" s="202" t="s">
        <v>213</v>
      </c>
      <c r="G1" s="160" t="s">
        <v>380</v>
      </c>
      <c r="H1" s="185" t="s">
        <v>637</v>
      </c>
      <c r="I1" s="185" t="s">
        <v>250</v>
      </c>
      <c r="J1" s="185" t="s">
        <v>345</v>
      </c>
      <c r="K1" s="185" t="s">
        <v>374</v>
      </c>
      <c r="N1" s="203" t="s">
        <v>412</v>
      </c>
      <c r="Q1" s="177"/>
      <c r="R1" s="201"/>
      <c r="S1" s="203"/>
    </row>
    <row r="2" spans="1:19">
      <c r="A2" s="202" t="s">
        <v>429</v>
      </c>
      <c r="B2" s="203" t="s">
        <v>519</v>
      </c>
      <c r="C2" s="203" t="s">
        <v>520</v>
      </c>
      <c r="D2" s="202">
        <v>230</v>
      </c>
      <c r="F2" s="202">
        <v>60</v>
      </c>
      <c r="G2" s="160"/>
      <c r="H2" s="185" cm="1">
        <f t="array" ref="H2">_xlfn.IFS($D2=138,$F2*0.5,$D2=230,$F2*0.4,$D2=345,$F2*0.3,$D2=350,$F2*0.3,$D2=360,$F2*0.3,$D2=400,$F2*0.3,$D2=500,$F2*0.3)</f>
        <v>24</v>
      </c>
      <c r="I2" s="185">
        <f>H2/1000</f>
        <v>2.4E-2</v>
      </c>
      <c r="K2" s="199"/>
      <c r="N2" s="203" t="s">
        <v>403</v>
      </c>
      <c r="Q2" s="177"/>
      <c r="S2" s="203"/>
    </row>
    <row r="3" spans="1:19">
      <c r="A3" s="202" t="s">
        <v>430</v>
      </c>
      <c r="B3" s="203" t="s">
        <v>538</v>
      </c>
      <c r="C3" s="203" t="s">
        <v>406</v>
      </c>
      <c r="D3" s="202">
        <v>230</v>
      </c>
      <c r="F3" s="202">
        <v>66</v>
      </c>
      <c r="G3" s="160"/>
      <c r="H3" s="185" cm="1">
        <f t="array" ref="H3">_xlfn.IFS($D3=138,$F3*0.5,$D3=230,$F3*0.4,$D3=345,$F3*0.3,$D3=350,$F3*0.3,$D3=360,$F3*0.3,$D3=400,$F3*0.3,$D3=500,$F3*0.3)</f>
        <v>26.400000000000002</v>
      </c>
      <c r="I3" s="185">
        <f t="shared" ref="I3:I66" si="0">H3/1000</f>
        <v>2.6400000000000003E-2</v>
      </c>
      <c r="K3" s="199"/>
      <c r="N3" s="203" t="s">
        <v>401</v>
      </c>
      <c r="Q3" s="177"/>
      <c r="S3" s="203"/>
    </row>
    <row r="4" spans="1:19">
      <c r="A4" s="202" t="s">
        <v>431</v>
      </c>
      <c r="B4" s="203" t="s">
        <v>515</v>
      </c>
      <c r="C4" s="203" t="s">
        <v>521</v>
      </c>
      <c r="D4" s="215">
        <v>400</v>
      </c>
      <c r="F4" s="202">
        <v>895</v>
      </c>
      <c r="G4" s="160"/>
      <c r="H4" s="185" cm="1">
        <f t="array" ref="H4">_xlfn.IFS($D4=138,$F4*0.5,$D4=230,$F4*0.4,$D4=345,$F4*0.3,$D4=350,$F4*0.3,$D4=360,$F4*0.3,$D4=400,$F4*0.3,$D4=500,$F4*0.3)</f>
        <v>268.5</v>
      </c>
      <c r="I4" s="185">
        <f t="shared" si="0"/>
        <v>0.26850000000000002</v>
      </c>
      <c r="K4" s="199"/>
      <c r="N4" s="203" t="s">
        <v>537</v>
      </c>
      <c r="O4" s="202"/>
      <c r="Q4" s="177"/>
      <c r="S4" s="203"/>
    </row>
    <row r="5" spans="1:19">
      <c r="A5" s="202" t="s">
        <v>432</v>
      </c>
      <c r="B5" s="203" t="s">
        <v>515</v>
      </c>
      <c r="C5" s="214" t="s">
        <v>521</v>
      </c>
      <c r="D5" s="215">
        <v>400</v>
      </c>
      <c r="F5" s="202">
        <v>895</v>
      </c>
      <c r="G5" s="160"/>
      <c r="H5" s="185" cm="1">
        <f t="array" ref="H5">_xlfn.IFS($D5=138,$F5*0.5,$D5=230,$F5*0.4,$D5=345,$F5*0.3,$D5=350,$F5*0.3,$D5=360,$F5*0.3,$D5=400,$F5*0.3,$D5=500,$F5*0.3)</f>
        <v>268.5</v>
      </c>
      <c r="I5" s="185">
        <f t="shared" si="0"/>
        <v>0.26850000000000002</v>
      </c>
      <c r="K5" s="199"/>
      <c r="N5" s="203" t="s">
        <v>414</v>
      </c>
      <c r="Q5" s="177"/>
      <c r="S5" s="203"/>
    </row>
    <row r="6" spans="1:19">
      <c r="A6" s="202" t="s">
        <v>433</v>
      </c>
      <c r="B6" s="203" t="s">
        <v>516</v>
      </c>
      <c r="C6" s="214" t="s">
        <v>521</v>
      </c>
      <c r="D6" s="202">
        <v>500</v>
      </c>
      <c r="F6" s="202">
        <v>937</v>
      </c>
      <c r="G6" s="160"/>
      <c r="H6" s="185" cm="1">
        <f t="array" ref="H6">_xlfn.IFS($D6=138,$F6*0.5,$D6=230,$F6*0.4,$D6=345,$F6*0.3,$D6=350,$F6*0.3,$D6=360,$F6*0.3,$D6=400,$F6*0.3,$D6=500,$F6*0.3)</f>
        <v>281.09999999999997</v>
      </c>
      <c r="I6" s="185">
        <f t="shared" si="0"/>
        <v>0.28109999999999996</v>
      </c>
      <c r="K6" s="199"/>
      <c r="N6" s="203" t="s">
        <v>521</v>
      </c>
      <c r="Q6" s="177"/>
      <c r="S6" s="203"/>
    </row>
    <row r="7" spans="1:19">
      <c r="A7" s="202" t="s">
        <v>434</v>
      </c>
      <c r="B7" s="203" t="s">
        <v>516</v>
      </c>
      <c r="C7" s="214" t="s">
        <v>521</v>
      </c>
      <c r="D7" s="202">
        <v>500</v>
      </c>
      <c r="F7" s="202">
        <v>937</v>
      </c>
      <c r="G7" s="160"/>
      <c r="H7" s="185" cm="1">
        <f t="array" ref="H7">_xlfn.IFS($D7=138,$F7*0.5,$D7=230,$F7*0.4,$D7=345,$F7*0.3,$D7=350,$F7*0.3,$D7=360,$F7*0.3,$D7=400,$F7*0.3,$D7=500,$F7*0.3)</f>
        <v>281.09999999999997</v>
      </c>
      <c r="I7" s="185">
        <f t="shared" si="0"/>
        <v>0.28109999999999996</v>
      </c>
      <c r="K7" s="199"/>
      <c r="N7" s="203" t="s">
        <v>538</v>
      </c>
      <c r="Q7" s="177"/>
      <c r="S7" s="203"/>
    </row>
    <row r="8" spans="1:19">
      <c r="A8" s="202" t="s">
        <v>435</v>
      </c>
      <c r="B8" s="203" t="s">
        <v>519</v>
      </c>
      <c r="C8" s="203" t="s">
        <v>522</v>
      </c>
      <c r="D8" s="202">
        <v>500</v>
      </c>
      <c r="F8" s="202">
        <v>1376</v>
      </c>
      <c r="G8" s="160"/>
      <c r="H8" s="185" cm="1">
        <f t="array" ref="H8">_xlfn.IFS($D8=138,$F8*0.5,$D8=230,$F8*0.4,$D8=345,$F8*0.3,$D8=350,$F8*0.3,$D8=360,$F8*0.3,$D8=400,$F8*0.3,$D8=500,$F8*0.3)</f>
        <v>412.8</v>
      </c>
      <c r="I8" s="185">
        <f t="shared" si="0"/>
        <v>0.4128</v>
      </c>
      <c r="K8" s="199"/>
      <c r="N8" s="203" t="s">
        <v>413</v>
      </c>
      <c r="Q8" s="177"/>
      <c r="S8" s="203"/>
    </row>
    <row r="9" spans="1:19">
      <c r="A9" s="202" t="s">
        <v>436</v>
      </c>
      <c r="B9" s="203" t="s">
        <v>519</v>
      </c>
      <c r="C9" s="214" t="s">
        <v>522</v>
      </c>
      <c r="D9" s="202">
        <v>500</v>
      </c>
      <c r="F9" s="202">
        <v>1376</v>
      </c>
      <c r="G9" s="160"/>
      <c r="H9" s="185" cm="1">
        <f t="array" ref="H9">_xlfn.IFS($D9=138,$F9*0.5,$D9=230,$F9*0.4,$D9=345,$F9*0.3,$D9=350,$F9*0.3,$D9=360,$F9*0.3,$D9=400,$F9*0.3,$D9=500,$F9*0.3)</f>
        <v>412.8</v>
      </c>
      <c r="I9" s="185">
        <f t="shared" si="0"/>
        <v>0.4128</v>
      </c>
      <c r="K9" s="199"/>
      <c r="N9" s="203" t="s">
        <v>411</v>
      </c>
      <c r="Q9" s="177"/>
      <c r="S9" s="203"/>
    </row>
    <row r="10" spans="1:19">
      <c r="A10" s="202" t="s">
        <v>437</v>
      </c>
      <c r="B10" s="203" t="s">
        <v>408</v>
      </c>
      <c r="C10" s="203" t="s">
        <v>545</v>
      </c>
      <c r="D10" s="202">
        <v>230</v>
      </c>
      <c r="F10" s="202">
        <v>119</v>
      </c>
      <c r="G10" s="160"/>
      <c r="H10" s="185" cm="1">
        <f t="array" ref="H10">_xlfn.IFS($D10=138,$F10*0.5,$D10=230,$F10*0.4,$D10=345,$F10*0.3,$D10=350,$F10*0.3,$D10=360,$F10*0.3,$D10=400,$F10*0.3,$D10=500,$F10*0.3)</f>
        <v>47.6</v>
      </c>
      <c r="I10" s="185">
        <f t="shared" si="0"/>
        <v>4.7600000000000003E-2</v>
      </c>
      <c r="K10" s="199"/>
      <c r="N10" s="203" t="s">
        <v>516</v>
      </c>
      <c r="Q10" s="177"/>
      <c r="S10" s="203"/>
    </row>
    <row r="11" spans="1:19">
      <c r="A11" s="202" t="s">
        <v>438</v>
      </c>
      <c r="B11" s="203" t="s">
        <v>405</v>
      </c>
      <c r="C11" s="214" t="s">
        <v>545</v>
      </c>
      <c r="D11" s="202">
        <v>230</v>
      </c>
      <c r="F11" s="202">
        <v>37</v>
      </c>
      <c r="G11" s="160"/>
      <c r="H11" s="185" cm="1">
        <f t="array" ref="H11">_xlfn.IFS($D11=138,$F11*0.5,$D11=230,$F11*0.4,$D11=345,$F11*0.3,$D11=350,$F11*0.3,$D11=360,$F11*0.3,$D11=400,$F11*0.3,$D11=500,$F11*0.3)</f>
        <v>14.8</v>
      </c>
      <c r="I11" s="185">
        <f t="shared" si="0"/>
        <v>1.4800000000000001E-2</v>
      </c>
      <c r="K11" s="199"/>
      <c r="N11" s="203" t="s">
        <v>423</v>
      </c>
      <c r="Q11" s="177"/>
      <c r="S11" s="203"/>
    </row>
    <row r="12" spans="1:19">
      <c r="A12" s="202" t="s">
        <v>439</v>
      </c>
      <c r="B12" s="203" t="s">
        <v>519</v>
      </c>
      <c r="C12" s="203" t="s">
        <v>516</v>
      </c>
      <c r="D12" s="202">
        <v>230</v>
      </c>
      <c r="F12" s="202">
        <v>27</v>
      </c>
      <c r="G12" s="160"/>
      <c r="H12" s="185" cm="1">
        <f t="array" ref="H12">_xlfn.IFS($D12=138,$F12*0.5,$D12=230,$F12*0.4,$D12=345,$F12*0.3,$D12=350,$F12*0.3,$D12=360,$F12*0.3,$D12=400,$F12*0.3,$D12=500,$F12*0.3)</f>
        <v>10.8</v>
      </c>
      <c r="I12" s="185">
        <f t="shared" si="0"/>
        <v>1.0800000000000001E-2</v>
      </c>
      <c r="K12" s="199"/>
      <c r="N12" s="203" t="s">
        <v>417</v>
      </c>
      <c r="Q12" s="177"/>
      <c r="S12" s="203"/>
    </row>
    <row r="13" spans="1:19">
      <c r="A13" s="202" t="s">
        <v>440</v>
      </c>
      <c r="B13" s="203" t="s">
        <v>519</v>
      </c>
      <c r="C13" s="214" t="s">
        <v>516</v>
      </c>
      <c r="D13" s="202">
        <v>230</v>
      </c>
      <c r="F13" s="202">
        <v>27</v>
      </c>
      <c r="G13" s="160"/>
      <c r="H13" s="185" cm="1">
        <f t="array" ref="H13">_xlfn.IFS($D13=138,$F13*0.5,$D13=230,$F13*0.4,$D13=345,$F13*0.3,$D13=350,$F13*0.3,$D13=360,$F13*0.3,$D13=400,$F13*0.3,$D13=500,$F13*0.3)</f>
        <v>10.8</v>
      </c>
      <c r="I13" s="185">
        <f t="shared" si="0"/>
        <v>1.0800000000000001E-2</v>
      </c>
      <c r="K13" s="199"/>
      <c r="N13" s="203" t="s">
        <v>519</v>
      </c>
      <c r="Q13" s="177"/>
      <c r="S13" s="203"/>
    </row>
    <row r="14" spans="1:19">
      <c r="A14" s="202" t="s">
        <v>441</v>
      </c>
      <c r="B14" s="203" t="s">
        <v>519</v>
      </c>
      <c r="C14" s="214" t="s">
        <v>516</v>
      </c>
      <c r="D14" s="202">
        <v>230</v>
      </c>
      <c r="F14" s="202">
        <v>27</v>
      </c>
      <c r="G14" s="160"/>
      <c r="H14" s="185" cm="1">
        <f t="array" ref="H14">_xlfn.IFS($D14=138,$F14*0.5,$D14=230,$F14*0.4,$D14=345,$F14*0.3,$D14=350,$F14*0.3,$D14=360,$F14*0.3,$D14=400,$F14*0.3,$D14=500,$F14*0.3)</f>
        <v>10.8</v>
      </c>
      <c r="I14" s="185">
        <f t="shared" si="0"/>
        <v>1.0800000000000001E-2</v>
      </c>
      <c r="K14" s="199"/>
      <c r="N14" s="203" t="s">
        <v>418</v>
      </c>
      <c r="Q14" s="177"/>
      <c r="S14" s="203"/>
    </row>
    <row r="15" spans="1:19">
      <c r="A15" s="202" t="s">
        <v>442</v>
      </c>
      <c r="B15" s="203" t="s">
        <v>519</v>
      </c>
      <c r="C15" s="214" t="s">
        <v>516</v>
      </c>
      <c r="D15" s="202">
        <v>230</v>
      </c>
      <c r="F15" s="202">
        <v>27</v>
      </c>
      <c r="G15" s="160"/>
      <c r="H15" s="185" cm="1">
        <f t="array" ref="H15">_xlfn.IFS($D15=138,$F15*0.5,$D15=230,$F15*0.4,$D15=345,$F15*0.3,$D15=350,$F15*0.3,$D15=360,$F15*0.3,$D15=400,$F15*0.3,$D15=500,$F15*0.3)</f>
        <v>10.8</v>
      </c>
      <c r="I15" s="185">
        <f t="shared" si="0"/>
        <v>1.0800000000000001E-2</v>
      </c>
      <c r="K15" s="199"/>
      <c r="N15" s="203" t="s">
        <v>405</v>
      </c>
      <c r="Q15" s="177"/>
      <c r="S15" s="203"/>
    </row>
    <row r="16" spans="1:19">
      <c r="A16" s="202" t="s">
        <v>443</v>
      </c>
      <c r="B16" s="203" t="s">
        <v>523</v>
      </c>
      <c r="C16" s="214" t="s">
        <v>516</v>
      </c>
      <c r="D16" s="202">
        <v>230</v>
      </c>
      <c r="F16" s="202">
        <v>2</v>
      </c>
      <c r="G16" s="160"/>
      <c r="H16" s="185" cm="1">
        <f t="array" ref="H16">_xlfn.IFS($D16=138,$F16*0.5,$D16=230,$F16*0.4,$D16=345,$F16*0.3,$D16=350,$F16*0.3,$D16=360,$F16*0.3,$D16=400,$F16*0.3,$D16=500,$F16*0.3)</f>
        <v>0.8</v>
      </c>
      <c r="I16" s="185">
        <f t="shared" si="0"/>
        <v>8.0000000000000004E-4</v>
      </c>
      <c r="K16" s="199"/>
      <c r="N16" s="203" t="s">
        <v>420</v>
      </c>
      <c r="Q16" s="177"/>
      <c r="S16" s="203"/>
    </row>
    <row r="17" spans="1:19">
      <c r="A17" s="202" t="s">
        <v>444</v>
      </c>
      <c r="B17" s="203" t="s">
        <v>523</v>
      </c>
      <c r="C17" s="214" t="s">
        <v>516</v>
      </c>
      <c r="D17" s="202">
        <v>230</v>
      </c>
      <c r="F17" s="202">
        <v>2</v>
      </c>
      <c r="G17" s="160"/>
      <c r="H17" s="185" cm="1">
        <f t="array" ref="H17">_xlfn.IFS($D17=138,$F17*0.5,$D17=230,$F17*0.4,$D17=345,$F17*0.3,$D17=350,$F17*0.3,$D17=360,$F17*0.3,$D17=400,$F17*0.3,$D17=500,$F17*0.3)</f>
        <v>0.8</v>
      </c>
      <c r="I17" s="185">
        <f t="shared" si="0"/>
        <v>8.0000000000000004E-4</v>
      </c>
      <c r="K17" s="199"/>
      <c r="N17" s="203" t="s">
        <v>523</v>
      </c>
      <c r="Q17" s="177"/>
      <c r="S17" s="203"/>
    </row>
    <row r="18" spans="1:19">
      <c r="A18" s="202" t="s">
        <v>445</v>
      </c>
      <c r="B18" s="203" t="s">
        <v>523</v>
      </c>
      <c r="C18" s="214" t="s">
        <v>516</v>
      </c>
      <c r="D18" s="202">
        <v>230</v>
      </c>
      <c r="F18" s="202">
        <v>2</v>
      </c>
      <c r="G18" s="160"/>
      <c r="H18" s="185" cm="1">
        <f t="array" ref="H18">_xlfn.IFS($D18=138,$F18*0.5,$D18=230,$F18*0.4,$D18=345,$F18*0.3,$D18=350,$F18*0.3,$D18=360,$F18*0.3,$D18=400,$F18*0.3,$D18=500,$F18*0.3)</f>
        <v>0.8</v>
      </c>
      <c r="I18" s="185">
        <f t="shared" si="0"/>
        <v>8.0000000000000004E-4</v>
      </c>
      <c r="K18" s="199"/>
      <c r="N18" s="203" t="s">
        <v>524</v>
      </c>
      <c r="Q18" s="202"/>
      <c r="S18" s="203"/>
    </row>
    <row r="19" spans="1:19">
      <c r="A19" s="202" t="s">
        <v>446</v>
      </c>
      <c r="B19" s="203" t="s">
        <v>523</v>
      </c>
      <c r="C19" s="214" t="s">
        <v>516</v>
      </c>
      <c r="D19" s="202">
        <v>230</v>
      </c>
      <c r="F19" s="202">
        <v>2</v>
      </c>
      <c r="G19" s="160"/>
      <c r="H19" s="185" cm="1">
        <f t="array" ref="H19">_xlfn.IFS($D19=138,$F19*0.5,$D19=230,$F19*0.4,$D19=345,$F19*0.3,$D19=350,$F19*0.3,$D19=360,$F19*0.3,$D19=400,$F19*0.3,$D19=500,$F19*0.3)</f>
        <v>0.8</v>
      </c>
      <c r="I19" s="185">
        <f t="shared" si="0"/>
        <v>8.0000000000000004E-4</v>
      </c>
      <c r="K19" s="199"/>
      <c r="N19" s="203" t="s">
        <v>421</v>
      </c>
      <c r="Q19" s="177"/>
      <c r="S19" s="203"/>
    </row>
    <row r="20" spans="1:19">
      <c r="A20" s="202" t="s">
        <v>447</v>
      </c>
      <c r="B20" s="203" t="s">
        <v>523</v>
      </c>
      <c r="C20" s="214" t="s">
        <v>516</v>
      </c>
      <c r="D20" s="202">
        <v>230</v>
      </c>
      <c r="F20" s="202">
        <v>2</v>
      </c>
      <c r="G20" s="160"/>
      <c r="H20" s="185" cm="1">
        <f t="array" ref="H20">_xlfn.IFS($D20=138,$F20*0.5,$D20=230,$F20*0.4,$D20=345,$F20*0.3,$D20=350,$F20*0.3,$D20=360,$F20*0.3,$D20=400,$F20*0.3,$D20=500,$F20*0.3)</f>
        <v>0.8</v>
      </c>
      <c r="I20" s="185">
        <f t="shared" si="0"/>
        <v>8.0000000000000004E-4</v>
      </c>
      <c r="K20" s="199"/>
      <c r="N20" s="203" t="s">
        <v>539</v>
      </c>
      <c r="Q20" s="177"/>
      <c r="S20" s="203"/>
    </row>
    <row r="21" spans="1:19">
      <c r="A21" s="202" t="s">
        <v>448</v>
      </c>
      <c r="B21" s="203" t="s">
        <v>524</v>
      </c>
      <c r="C21" s="203" t="s">
        <v>520</v>
      </c>
      <c r="D21" s="202">
        <v>230</v>
      </c>
      <c r="F21" s="202">
        <v>0.2</v>
      </c>
      <c r="G21" s="160"/>
      <c r="H21" s="185" cm="1">
        <f t="array" ref="H21">_xlfn.IFS($D21=138,$F21*0.5,$D21=230,$F21*0.4,$D21=345,$F21*0.3,$D21=350,$F21*0.3,$D21=360,$F21*0.3,$D21=400,$F21*0.3,$D21=500,$F21*0.3)</f>
        <v>8.0000000000000016E-2</v>
      </c>
      <c r="I21" s="185">
        <f t="shared" si="0"/>
        <v>8.000000000000002E-5</v>
      </c>
      <c r="K21" s="199"/>
      <c r="N21" s="203" t="s">
        <v>540</v>
      </c>
      <c r="Q21" s="177"/>
      <c r="S21" s="203"/>
    </row>
    <row r="22" spans="1:19">
      <c r="A22" s="202" t="s">
        <v>449</v>
      </c>
      <c r="B22" s="203" t="s">
        <v>524</v>
      </c>
      <c r="C22" s="214" t="s">
        <v>520</v>
      </c>
      <c r="D22" s="202">
        <v>230</v>
      </c>
      <c r="F22" s="202">
        <v>0.2</v>
      </c>
      <c r="G22" s="160"/>
      <c r="H22" s="185" cm="1">
        <f t="array" ref="H22">_xlfn.IFS($D22=138,$F22*0.5,$D22=230,$F22*0.4,$D22=345,$F22*0.3,$D22=350,$F22*0.3,$D22=360,$F22*0.3,$D22=400,$F22*0.3,$D22=500,$F22*0.3)</f>
        <v>8.0000000000000016E-2</v>
      </c>
      <c r="I22" s="185">
        <f t="shared" si="0"/>
        <v>8.000000000000002E-5</v>
      </c>
      <c r="K22" s="199"/>
      <c r="N22" s="203" t="s">
        <v>416</v>
      </c>
      <c r="Q22" s="177"/>
      <c r="S22" s="203"/>
    </row>
    <row r="23" spans="1:19">
      <c r="A23" s="202" t="s">
        <v>450</v>
      </c>
      <c r="B23" s="203" t="s">
        <v>524</v>
      </c>
      <c r="C23" s="214" t="s">
        <v>520</v>
      </c>
      <c r="D23" s="202">
        <v>230</v>
      </c>
      <c r="F23" s="202">
        <v>0.2</v>
      </c>
      <c r="G23" s="160"/>
      <c r="H23" s="185" cm="1">
        <f t="array" ref="H23">_xlfn.IFS($D23=138,$F23*0.5,$D23=230,$F23*0.4,$D23=345,$F23*0.3,$D23=350,$F23*0.3,$D23=360,$F23*0.3,$D23=400,$F23*0.3,$D23=500,$F23*0.3)</f>
        <v>8.0000000000000016E-2</v>
      </c>
      <c r="I23" s="185">
        <f t="shared" si="0"/>
        <v>8.000000000000002E-5</v>
      </c>
      <c r="K23" s="199"/>
      <c r="N23" s="203" t="s">
        <v>525</v>
      </c>
      <c r="Q23" s="177"/>
      <c r="S23" s="203"/>
    </row>
    <row r="24" spans="1:19">
      <c r="A24" s="202" t="s">
        <v>451</v>
      </c>
      <c r="B24" s="203" t="s">
        <v>524</v>
      </c>
      <c r="C24" s="214" t="s">
        <v>520</v>
      </c>
      <c r="D24" s="202">
        <v>230</v>
      </c>
      <c r="F24" s="202">
        <v>0.2</v>
      </c>
      <c r="G24" s="160"/>
      <c r="H24" s="185" cm="1">
        <f t="array" ref="H24">_xlfn.IFS($D24=138,$F24*0.5,$D24=230,$F24*0.4,$D24=345,$F24*0.3,$D24=350,$F24*0.3,$D24=360,$F24*0.3,$D24=400,$F24*0.3,$D24=500,$F24*0.3)</f>
        <v>8.0000000000000016E-2</v>
      </c>
      <c r="I24" s="185">
        <f t="shared" si="0"/>
        <v>8.000000000000002E-5</v>
      </c>
      <c r="K24" s="199"/>
      <c r="N24" s="203" t="s">
        <v>406</v>
      </c>
      <c r="Q24" s="177"/>
      <c r="S24" s="203"/>
    </row>
    <row r="25" spans="1:19">
      <c r="A25" s="202" t="s">
        <v>452</v>
      </c>
      <c r="B25" s="203" t="s">
        <v>524</v>
      </c>
      <c r="C25" s="214" t="s">
        <v>520</v>
      </c>
      <c r="D25" s="202">
        <v>230</v>
      </c>
      <c r="F25" s="202">
        <v>0.2</v>
      </c>
      <c r="G25" s="160"/>
      <c r="H25" s="185" cm="1">
        <f t="array" ref="H25">_xlfn.IFS($D25=138,$F25*0.5,$D25=230,$F25*0.4,$D25=345,$F25*0.3,$D25=350,$F25*0.3,$D25=360,$F25*0.3,$D25=400,$F25*0.3,$D25=500,$F25*0.3)</f>
        <v>8.0000000000000016E-2</v>
      </c>
      <c r="I25" s="185">
        <f t="shared" si="0"/>
        <v>8.000000000000002E-5</v>
      </c>
      <c r="K25" s="199"/>
      <c r="N25" s="203" t="s">
        <v>515</v>
      </c>
      <c r="Q25" s="177"/>
      <c r="S25" s="203"/>
    </row>
    <row r="26" spans="1:19">
      <c r="A26" s="202" t="s">
        <v>453</v>
      </c>
      <c r="B26" s="203" t="s">
        <v>516</v>
      </c>
      <c r="C26" s="214" t="s">
        <v>520</v>
      </c>
      <c r="D26" s="202">
        <v>230</v>
      </c>
      <c r="F26" s="202">
        <v>20</v>
      </c>
      <c r="G26" s="160"/>
      <c r="H26" s="185" cm="1">
        <f t="array" ref="H26">_xlfn.IFS($D26=138,$F26*0.5,$D26=230,$F26*0.4,$D26=345,$F26*0.3,$D26=350,$F26*0.3,$D26=360,$F26*0.3,$D26=400,$F26*0.3,$D26=500,$F26*0.3)</f>
        <v>8</v>
      </c>
      <c r="I26" s="185">
        <f t="shared" si="0"/>
        <v>8.0000000000000002E-3</v>
      </c>
      <c r="K26" s="199"/>
      <c r="N26" s="203" t="s">
        <v>410</v>
      </c>
      <c r="Q26" s="177"/>
      <c r="S26" s="203"/>
    </row>
    <row r="27" spans="1:19">
      <c r="A27" s="202" t="s">
        <v>454</v>
      </c>
      <c r="B27" s="203" t="s">
        <v>516</v>
      </c>
      <c r="C27" s="214" t="s">
        <v>520</v>
      </c>
      <c r="D27" s="202">
        <v>230</v>
      </c>
      <c r="E27" s="198"/>
      <c r="F27" s="202">
        <v>20</v>
      </c>
      <c r="G27" s="160"/>
      <c r="H27" s="185" cm="1">
        <f t="array" ref="H27">_xlfn.IFS($D27=138,$F27*0.5,$D27=230,$F27*0.4,$D27=345,$F27*0.3,$D27=350,$F27*0.3,$D27=360,$F27*0.3,$D27=400,$F27*0.3,$D27=500,$F27*0.3)</f>
        <v>8</v>
      </c>
      <c r="I27" s="185">
        <f t="shared" si="0"/>
        <v>8.0000000000000002E-3</v>
      </c>
      <c r="K27" s="199"/>
      <c r="N27" s="203" t="s">
        <v>541</v>
      </c>
      <c r="Q27" s="177"/>
      <c r="S27" s="203"/>
    </row>
    <row r="28" spans="1:19">
      <c r="A28" s="202" t="s">
        <v>455</v>
      </c>
      <c r="B28" s="203" t="s">
        <v>516</v>
      </c>
      <c r="C28" s="214" t="s">
        <v>520</v>
      </c>
      <c r="D28" s="202">
        <v>230</v>
      </c>
      <c r="F28" s="202">
        <v>20</v>
      </c>
      <c r="G28" s="160"/>
      <c r="H28" s="185" cm="1">
        <f t="array" ref="H28">_xlfn.IFS($D28=138,$F28*0.5,$D28=230,$F28*0.4,$D28=345,$F28*0.3,$D28=350,$F28*0.3,$D28=360,$F28*0.3,$D28=400,$F28*0.3,$D28=500,$F28*0.3)</f>
        <v>8</v>
      </c>
      <c r="I28" s="185">
        <f t="shared" si="0"/>
        <v>8.0000000000000002E-3</v>
      </c>
      <c r="K28" s="199"/>
      <c r="N28" s="203" t="s">
        <v>404</v>
      </c>
      <c r="Q28" s="177"/>
      <c r="S28" s="203"/>
    </row>
    <row r="29" spans="1:19">
      <c r="A29" s="202" t="s">
        <v>456</v>
      </c>
      <c r="B29" s="203" t="s">
        <v>412</v>
      </c>
      <c r="C29" s="203" t="s">
        <v>538</v>
      </c>
      <c r="D29" s="202">
        <v>230</v>
      </c>
      <c r="F29" s="202">
        <v>171.5256</v>
      </c>
      <c r="G29" s="160"/>
      <c r="H29" s="185" cm="1">
        <f t="array" ref="H29">_xlfn.IFS($D29=138,$F29*0.5,$D29=230,$F29*0.4,$D29=345,$F29*0.3,$D29=350,$F29*0.3,$D29=360,$F29*0.3,$D29=400,$F29*0.3,$D29=500,$F29*0.3)</f>
        <v>68.610240000000005</v>
      </c>
      <c r="I29" s="185">
        <f t="shared" si="0"/>
        <v>6.8610240000000003E-2</v>
      </c>
      <c r="K29" s="199"/>
      <c r="N29" s="203" t="s">
        <v>422</v>
      </c>
      <c r="Q29" s="177"/>
      <c r="S29" s="203"/>
    </row>
    <row r="30" spans="1:19">
      <c r="A30" s="202" t="s">
        <v>457</v>
      </c>
      <c r="B30" s="203" t="s">
        <v>412</v>
      </c>
      <c r="C30" s="203" t="s">
        <v>400</v>
      </c>
      <c r="D30" s="202">
        <v>230</v>
      </c>
      <c r="F30" s="202">
        <v>130.572</v>
      </c>
      <c r="G30" s="160"/>
      <c r="H30" s="185" cm="1">
        <f t="array" ref="H30">_xlfn.IFS($D30=138,$F30*0.5,$D30=230,$F30*0.4,$D30=345,$F30*0.3,$D30=350,$F30*0.3,$D30=360,$F30*0.3,$D30=400,$F30*0.3,$D30=500,$F30*0.3)</f>
        <v>52.228800000000007</v>
      </c>
      <c r="I30" s="185">
        <f t="shared" si="0"/>
        <v>5.2228800000000006E-2</v>
      </c>
      <c r="K30" s="199"/>
      <c r="N30" s="203" t="s">
        <v>407</v>
      </c>
      <c r="Q30" s="177"/>
      <c r="S30" s="203"/>
    </row>
    <row r="31" spans="1:19">
      <c r="A31" s="202" t="s">
        <v>458</v>
      </c>
      <c r="B31" s="203" t="s">
        <v>401</v>
      </c>
      <c r="C31" s="203" t="s">
        <v>541</v>
      </c>
      <c r="D31" s="202">
        <v>230</v>
      </c>
      <c r="F31" s="202">
        <v>32.2866</v>
      </c>
      <c r="G31" s="160"/>
      <c r="H31" s="185" cm="1">
        <f t="array" ref="H31">_xlfn.IFS($D31=138,$F31*0.5,$D31=230,$F31*0.4,$D31=345,$F31*0.3,$D31=350,$F31*0.3,$D31=360,$F31*0.3,$D31=400,$F31*0.3,$D31=500,$F31*0.3)</f>
        <v>12.91464</v>
      </c>
      <c r="I31" s="185">
        <f t="shared" si="0"/>
        <v>1.291464E-2</v>
      </c>
      <c r="K31" s="199"/>
      <c r="N31" s="203" t="s">
        <v>522</v>
      </c>
      <c r="Q31" s="177"/>
      <c r="S31" s="203"/>
    </row>
    <row r="32" spans="1:19">
      <c r="A32" s="202" t="s">
        <v>459</v>
      </c>
      <c r="B32" s="203" t="s">
        <v>401</v>
      </c>
      <c r="C32" s="203" t="s">
        <v>402</v>
      </c>
      <c r="D32" s="202">
        <v>230</v>
      </c>
      <c r="F32" s="202">
        <v>57.299399999999999</v>
      </c>
      <c r="G32" s="160"/>
      <c r="H32" s="185" cm="1">
        <f t="array" ref="H32">_xlfn.IFS($D32=138,$F32*0.5,$D32=230,$F32*0.4,$D32=345,$F32*0.3,$D32=350,$F32*0.3,$D32=360,$F32*0.3,$D32=400,$F32*0.3,$D32=500,$F32*0.3)</f>
        <v>22.91976</v>
      </c>
      <c r="I32" s="185">
        <f t="shared" si="0"/>
        <v>2.2919760000000001E-2</v>
      </c>
      <c r="K32" s="199"/>
      <c r="N32" s="203" t="s">
        <v>542</v>
      </c>
      <c r="Q32" s="177"/>
      <c r="S32" s="203"/>
    </row>
    <row r="33" spans="1:19">
      <c r="A33" s="202" t="s">
        <v>460</v>
      </c>
      <c r="B33" s="203" t="s">
        <v>419</v>
      </c>
      <c r="C33" s="203" t="s">
        <v>539</v>
      </c>
      <c r="D33" s="202">
        <v>230</v>
      </c>
      <c r="F33" s="202">
        <v>4.0500000000000007</v>
      </c>
      <c r="G33" s="160"/>
      <c r="H33" s="185" cm="1">
        <f t="array" ref="H33">_xlfn.IFS($D33=138,$F33*0.5,$D33=230,$F33*0.4,$D33=345,$F33*0.3,$D33=350,$F33*0.3,$D33=360,$F33*0.3,$D33=400,$F33*0.3,$D33=500,$F33*0.3)</f>
        <v>1.6200000000000003</v>
      </c>
      <c r="I33" s="185">
        <f t="shared" si="0"/>
        <v>1.6200000000000003E-3</v>
      </c>
      <c r="K33" s="199"/>
      <c r="N33" s="203" t="s">
        <v>427</v>
      </c>
      <c r="Q33" s="177"/>
      <c r="S33" s="203"/>
    </row>
    <row r="34" spans="1:19">
      <c r="A34" s="202" t="s">
        <v>461</v>
      </c>
      <c r="B34" s="203" t="s">
        <v>538</v>
      </c>
      <c r="C34" s="203" t="s">
        <v>538</v>
      </c>
      <c r="D34" s="202">
        <v>230</v>
      </c>
      <c r="F34" s="202">
        <v>0.21060000000000001</v>
      </c>
      <c r="G34" s="160"/>
      <c r="H34" s="185" cm="1">
        <f t="array" ref="H34">_xlfn.IFS($D34=138,$F34*0.5,$D34=230,$F34*0.4,$D34=345,$F34*0.3,$D34=350,$F34*0.3,$D34=360,$F34*0.3,$D34=400,$F34*0.3,$D34=500,$F34*0.3)</f>
        <v>8.4240000000000009E-2</v>
      </c>
      <c r="I34" s="185">
        <f t="shared" si="0"/>
        <v>8.4240000000000007E-5</v>
      </c>
      <c r="K34" s="199"/>
      <c r="N34" s="203" t="s">
        <v>543</v>
      </c>
      <c r="Q34" s="177"/>
      <c r="S34" s="203"/>
    </row>
    <row r="35" spans="1:19">
      <c r="A35" s="202" t="s">
        <v>462</v>
      </c>
      <c r="B35" s="203" t="s">
        <v>538</v>
      </c>
      <c r="C35" s="203" t="s">
        <v>538</v>
      </c>
      <c r="D35" s="202">
        <v>230</v>
      </c>
      <c r="F35" s="202">
        <v>0.21060000000000001</v>
      </c>
      <c r="G35" s="160"/>
      <c r="H35" s="185" cm="1">
        <f t="array" ref="H35">_xlfn.IFS($D35=138,$F35*0.5,$D35=230,$F35*0.4,$D35=345,$F35*0.3,$D35=350,$F35*0.3,$D35=360,$F35*0.3,$D35=400,$F35*0.3,$D35=500,$F35*0.3)</f>
        <v>8.4240000000000009E-2</v>
      </c>
      <c r="I35" s="185">
        <f t="shared" si="0"/>
        <v>8.4240000000000007E-5</v>
      </c>
      <c r="K35" s="199"/>
      <c r="N35" s="203" t="s">
        <v>544</v>
      </c>
      <c r="Q35" s="177"/>
      <c r="S35" s="203"/>
    </row>
    <row r="36" spans="1:19">
      <c r="A36" s="202" t="s">
        <v>463</v>
      </c>
      <c r="B36" s="203" t="s">
        <v>414</v>
      </c>
      <c r="C36" s="203" t="s">
        <v>404</v>
      </c>
      <c r="D36" s="202">
        <v>230</v>
      </c>
      <c r="F36" s="202">
        <v>121.3056</v>
      </c>
      <c r="G36" s="160"/>
      <c r="H36" s="185" cm="1">
        <f t="array" ref="H36">_xlfn.IFS($D36=138,$F36*0.5,$D36=230,$F36*0.4,$D36=345,$F36*0.3,$D36=350,$F36*0.3,$D36=360,$F36*0.3,$D36=400,$F36*0.3,$D36=500,$F36*0.3)</f>
        <v>48.522240000000004</v>
      </c>
      <c r="I36" s="185">
        <f t="shared" si="0"/>
        <v>4.8522240000000001E-2</v>
      </c>
      <c r="K36" s="199"/>
      <c r="N36" s="203" t="s">
        <v>425</v>
      </c>
      <c r="Q36" s="177"/>
      <c r="S36" s="203"/>
    </row>
    <row r="37" spans="1:19">
      <c r="A37" s="202" t="s">
        <v>464</v>
      </c>
      <c r="B37" s="203" t="s">
        <v>538</v>
      </c>
      <c r="C37" s="203" t="s">
        <v>405</v>
      </c>
      <c r="D37" s="202">
        <v>230</v>
      </c>
      <c r="F37" s="202">
        <v>27.005400000000005</v>
      </c>
      <c r="G37" s="160"/>
      <c r="H37" s="185" cm="1">
        <f t="array" ref="H37">_xlfn.IFS($D37=138,$F37*0.5,$D37=230,$F37*0.4,$D37=345,$F37*0.3,$D37=350,$F37*0.3,$D37=360,$F37*0.3,$D37=400,$F37*0.3,$D37=500,$F37*0.3)</f>
        <v>10.802160000000002</v>
      </c>
      <c r="I37" s="185">
        <f t="shared" si="0"/>
        <v>1.0802160000000002E-2</v>
      </c>
      <c r="K37" s="199"/>
      <c r="N37" s="203" t="s">
        <v>517</v>
      </c>
      <c r="Q37" s="177"/>
      <c r="S37" s="203"/>
    </row>
    <row r="38" spans="1:19">
      <c r="A38" s="202" t="s">
        <v>465</v>
      </c>
      <c r="B38" s="214" t="s">
        <v>538</v>
      </c>
      <c r="C38" s="203" t="s">
        <v>406</v>
      </c>
      <c r="D38" s="202">
        <v>230</v>
      </c>
      <c r="F38" s="202">
        <v>66.662999999999997</v>
      </c>
      <c r="G38" s="160"/>
      <c r="H38" s="185" cm="1">
        <f t="array" ref="H38">_xlfn.IFS($D38=138,$F38*0.5,$D38=230,$F38*0.4,$D38=345,$F38*0.3,$D38=350,$F38*0.3,$D38=360,$F38*0.3,$D38=400,$F38*0.3,$D38=500,$F38*0.3)</f>
        <v>26.665199999999999</v>
      </c>
      <c r="I38" s="185">
        <f t="shared" si="0"/>
        <v>2.66652E-2</v>
      </c>
      <c r="K38" s="199"/>
      <c r="N38" s="203" t="s">
        <v>518</v>
      </c>
      <c r="Q38" s="177"/>
      <c r="S38" s="203"/>
    </row>
    <row r="39" spans="1:19">
      <c r="A39" s="202" t="s">
        <v>466</v>
      </c>
      <c r="B39" s="214" t="s">
        <v>538</v>
      </c>
      <c r="C39" s="203" t="s">
        <v>544</v>
      </c>
      <c r="D39" s="202">
        <v>230</v>
      </c>
      <c r="F39" s="202">
        <v>19.585800000000003</v>
      </c>
      <c r="G39" s="160"/>
      <c r="H39" s="185" cm="1">
        <f t="array" ref="H39">_xlfn.IFS($D39=138,$F39*0.5,$D39=230,$F39*0.4,$D39=345,$F39*0.3,$D39=350,$F39*0.3,$D39=360,$F39*0.3,$D39=400,$F39*0.3,$D39=500,$F39*0.3)</f>
        <v>7.8343200000000017</v>
      </c>
      <c r="I39" s="185">
        <f t="shared" si="0"/>
        <v>7.8343200000000023E-3</v>
      </c>
      <c r="K39" s="199"/>
      <c r="N39" s="203" t="s">
        <v>545</v>
      </c>
      <c r="Q39" s="177"/>
      <c r="S39" s="203"/>
    </row>
    <row r="40" spans="1:19">
      <c r="A40" s="202" t="s">
        <v>467</v>
      </c>
      <c r="B40" s="214" t="s">
        <v>538</v>
      </c>
      <c r="C40" s="203" t="s">
        <v>518</v>
      </c>
      <c r="D40" s="202">
        <v>230</v>
      </c>
      <c r="F40" s="202">
        <v>130.26420000000002</v>
      </c>
      <c r="G40" s="160"/>
      <c r="H40" s="185" cm="1">
        <f t="array" ref="H40">_xlfn.IFS($D40=138,$F40*0.5,$D40=230,$F40*0.4,$D40=345,$F40*0.3,$D40=350,$F40*0.3,$D40=360,$F40*0.3,$D40=400,$F40*0.3,$D40=500,$F40*0.3)</f>
        <v>52.105680000000007</v>
      </c>
      <c r="I40" s="185">
        <f t="shared" si="0"/>
        <v>5.2105680000000008E-2</v>
      </c>
      <c r="K40" s="199"/>
      <c r="N40" s="203" t="s">
        <v>426</v>
      </c>
      <c r="Q40" s="177"/>
      <c r="S40" s="203"/>
    </row>
    <row r="41" spans="1:19">
      <c r="A41" s="202" t="s">
        <v>468</v>
      </c>
      <c r="B41" s="214" t="s">
        <v>538</v>
      </c>
      <c r="C41" s="203" t="s">
        <v>405</v>
      </c>
      <c r="D41" s="202">
        <v>230</v>
      </c>
      <c r="F41" s="202">
        <v>27.005400000000005</v>
      </c>
      <c r="G41" s="160"/>
      <c r="H41" s="185" cm="1">
        <f t="array" ref="H41">_xlfn.IFS($D41=138,$F41*0.5,$D41=230,$F41*0.4,$D41=345,$F41*0.3,$D41=350,$F41*0.3,$D41=360,$F41*0.3,$D41=400,$F41*0.3,$D41=500,$F41*0.3)</f>
        <v>10.802160000000002</v>
      </c>
      <c r="I41" s="185">
        <f t="shared" si="0"/>
        <v>1.0802160000000002E-2</v>
      </c>
      <c r="K41" s="199"/>
      <c r="N41" s="203" t="s">
        <v>400</v>
      </c>
      <c r="Q41" s="177"/>
      <c r="S41" s="203"/>
    </row>
    <row r="42" spans="1:19">
      <c r="A42" s="202" t="s">
        <v>469</v>
      </c>
      <c r="B42" s="214" t="s">
        <v>538</v>
      </c>
      <c r="C42" s="203" t="s">
        <v>544</v>
      </c>
      <c r="D42" s="202">
        <v>230</v>
      </c>
      <c r="F42" s="202">
        <v>19.585800000000003</v>
      </c>
      <c r="G42" s="160"/>
      <c r="H42" s="185" cm="1">
        <f t="array" ref="H42">_xlfn.IFS($D42=138,$F42*0.5,$D42=230,$F42*0.4,$D42=345,$F42*0.3,$D42=350,$F42*0.3,$D42=360,$F42*0.3,$D42=400,$F42*0.3,$D42=500,$F42*0.3)</f>
        <v>7.8343200000000017</v>
      </c>
      <c r="I42" s="185">
        <f t="shared" si="0"/>
        <v>7.8343200000000023E-3</v>
      </c>
      <c r="K42" s="199"/>
      <c r="N42" s="203" t="s">
        <v>402</v>
      </c>
      <c r="Q42" s="177"/>
      <c r="S42" s="203"/>
    </row>
    <row r="43" spans="1:19">
      <c r="A43" s="202" t="s">
        <v>470</v>
      </c>
      <c r="B43" s="214" t="s">
        <v>538</v>
      </c>
      <c r="C43" s="203" t="s">
        <v>545</v>
      </c>
      <c r="D43" s="202">
        <v>230</v>
      </c>
      <c r="F43" s="202">
        <v>53.994599999999998</v>
      </c>
      <c r="G43" s="160"/>
      <c r="H43" s="185" cm="1">
        <f t="array" ref="H43">_xlfn.IFS($D43=138,$F43*0.5,$D43=230,$F43*0.4,$D43=345,$F43*0.3,$D43=350,$F43*0.3,$D43=360,$F43*0.3,$D43=400,$F43*0.3,$D43=500,$F43*0.3)</f>
        <v>21.597840000000001</v>
      </c>
      <c r="I43" s="185">
        <f t="shared" si="0"/>
        <v>2.159784E-2</v>
      </c>
      <c r="K43" s="199"/>
      <c r="N43" s="203" t="s">
        <v>428</v>
      </c>
      <c r="Q43" s="177"/>
      <c r="S43" s="203"/>
    </row>
    <row r="44" spans="1:19">
      <c r="A44" s="202" t="s">
        <v>471</v>
      </c>
      <c r="B44" s="203" t="s">
        <v>426</v>
      </c>
      <c r="C44" s="203" t="s">
        <v>408</v>
      </c>
      <c r="D44" s="202">
        <v>230</v>
      </c>
      <c r="F44" s="202">
        <v>102.708</v>
      </c>
      <c r="G44" s="160"/>
      <c r="H44" s="185" cm="1">
        <f t="array" ref="H44">_xlfn.IFS($D44=138,$F44*0.5,$D44=230,$F44*0.4,$D44=345,$F44*0.3,$D44=350,$F44*0.3,$D44=360,$F44*0.3,$D44=400,$F44*0.3,$D44=500,$F44*0.3)</f>
        <v>41.083200000000005</v>
      </c>
      <c r="I44" s="185">
        <f t="shared" si="0"/>
        <v>4.1083200000000007E-2</v>
      </c>
      <c r="K44" s="199"/>
      <c r="S44" s="203"/>
    </row>
    <row r="45" spans="1:19">
      <c r="A45" s="202" t="s">
        <v>472</v>
      </c>
      <c r="B45" s="203" t="s">
        <v>416</v>
      </c>
      <c r="C45" s="203" t="s">
        <v>409</v>
      </c>
      <c r="D45" s="202">
        <v>230</v>
      </c>
      <c r="F45" s="202">
        <v>146.60433070866139</v>
      </c>
      <c r="G45" s="160"/>
      <c r="H45" s="185" cm="1">
        <f t="array" ref="H45">_xlfn.IFS($D45=138,$F45*0.5,$D45=230,$F45*0.4,$D45=345,$F45*0.3,$D45=350,$F45*0.3,$D45=360,$F45*0.3,$D45=400,$F45*0.3,$D45=500,$F45*0.3)</f>
        <v>58.641732283464563</v>
      </c>
      <c r="I45" s="185">
        <f t="shared" si="0"/>
        <v>5.8641732283464566E-2</v>
      </c>
      <c r="K45" s="199"/>
      <c r="S45" s="203"/>
    </row>
    <row r="46" spans="1:19">
      <c r="A46" s="202" t="s">
        <v>473</v>
      </c>
      <c r="B46" s="203" t="s">
        <v>416</v>
      </c>
      <c r="C46" s="203" t="s">
        <v>410</v>
      </c>
      <c r="D46" s="202">
        <v>230</v>
      </c>
      <c r="F46" s="202">
        <v>54.415800000000011</v>
      </c>
      <c r="G46" s="160"/>
      <c r="H46" s="185" cm="1">
        <f t="array" ref="H46">_xlfn.IFS($D46=138,$F46*0.5,$D46=230,$F46*0.4,$D46=345,$F46*0.3,$D46=350,$F46*0.3,$D46=360,$F46*0.3,$D46=400,$F46*0.3,$D46=500,$F46*0.3)</f>
        <v>21.766320000000007</v>
      </c>
      <c r="I46" s="185">
        <f t="shared" si="0"/>
        <v>2.1766320000000009E-2</v>
      </c>
      <c r="K46" s="199"/>
      <c r="S46" s="203"/>
    </row>
    <row r="47" spans="1:19">
      <c r="A47" s="202" t="s">
        <v>474</v>
      </c>
      <c r="B47" s="203" t="s">
        <v>638</v>
      </c>
      <c r="C47" s="203" t="s">
        <v>412</v>
      </c>
      <c r="D47" s="202">
        <v>230</v>
      </c>
      <c r="F47" s="202">
        <v>235.90440000000001</v>
      </c>
      <c r="G47" s="160"/>
      <c r="H47" s="185" cm="1">
        <f t="array" ref="H47">_xlfn.IFS($D47=138,$F47*0.5,$D47=230,$F47*0.4,$D47=345,$F47*0.3,$D47=350,$F47*0.3,$D47=360,$F47*0.3,$D47=400,$F47*0.3,$D47=500,$F47*0.3)</f>
        <v>94.361760000000004</v>
      </c>
      <c r="I47" s="185">
        <f t="shared" si="0"/>
        <v>9.4361760000000003E-2</v>
      </c>
      <c r="K47" s="199"/>
      <c r="S47" s="203"/>
    </row>
    <row r="48" spans="1:19">
      <c r="A48" s="202" t="s">
        <v>475</v>
      </c>
      <c r="B48" s="214" t="s">
        <v>638</v>
      </c>
      <c r="C48" s="203" t="s">
        <v>412</v>
      </c>
      <c r="D48" s="202">
        <v>230</v>
      </c>
      <c r="F48" s="202">
        <v>235.90440000000001</v>
      </c>
      <c r="G48" s="160"/>
      <c r="H48" s="185" cm="1">
        <f t="array" ref="H48">_xlfn.IFS($D48=138,$F48*0.5,$D48=230,$F48*0.4,$D48=345,$F48*0.3,$D48=350,$F48*0.3,$D48=360,$F48*0.3,$D48=400,$F48*0.3,$D48=500,$F48*0.3)</f>
        <v>94.361760000000004</v>
      </c>
      <c r="I48" s="185">
        <f t="shared" si="0"/>
        <v>9.4361760000000003E-2</v>
      </c>
      <c r="K48" s="199"/>
      <c r="S48" s="203"/>
    </row>
    <row r="49" spans="1:19">
      <c r="A49" s="202" t="s">
        <v>476</v>
      </c>
      <c r="B49" s="214" t="s">
        <v>638</v>
      </c>
      <c r="C49" s="203" t="s">
        <v>400</v>
      </c>
      <c r="D49" s="202">
        <v>230</v>
      </c>
      <c r="F49" s="202">
        <v>254.69640000000001</v>
      </c>
      <c r="G49" s="160"/>
      <c r="H49" s="185" cm="1">
        <f t="array" ref="H49">_xlfn.IFS($D49=138,$F49*0.5,$D49=230,$F49*0.4,$D49=345,$F49*0.3,$D49=350,$F49*0.3,$D49=360,$F49*0.3,$D49=400,$F49*0.3,$D49=500,$F49*0.3)</f>
        <v>101.87856000000001</v>
      </c>
      <c r="I49" s="185">
        <f t="shared" si="0"/>
        <v>0.10187856000000001</v>
      </c>
      <c r="K49" s="199"/>
      <c r="S49" s="203"/>
    </row>
    <row r="50" spans="1:19">
      <c r="A50" s="202" t="s">
        <v>477</v>
      </c>
      <c r="B50" s="203" t="s">
        <v>424</v>
      </c>
      <c r="C50" s="203" t="s">
        <v>414</v>
      </c>
      <c r="D50" s="202">
        <v>230</v>
      </c>
      <c r="F50" s="202">
        <v>64.249200000000002</v>
      </c>
      <c r="G50" s="160"/>
      <c r="H50" s="185" cm="1">
        <f t="array" ref="H50">_xlfn.IFS($D50=138,$F50*0.5,$D50=230,$F50*0.4,$D50=345,$F50*0.3,$D50=350,$F50*0.3,$D50=360,$F50*0.3,$D50=400,$F50*0.3,$D50=500,$F50*0.3)</f>
        <v>25.699680000000001</v>
      </c>
      <c r="I50" s="185">
        <f t="shared" si="0"/>
        <v>2.5699679999999999E-2</v>
      </c>
      <c r="K50" s="199"/>
      <c r="S50" s="203"/>
    </row>
    <row r="51" spans="1:19">
      <c r="A51" s="202" t="s">
        <v>478</v>
      </c>
      <c r="B51" s="203" t="s">
        <v>638</v>
      </c>
      <c r="C51" s="203" t="s">
        <v>415</v>
      </c>
      <c r="D51" s="202">
        <v>230</v>
      </c>
      <c r="F51" s="202">
        <v>176.74199999999999</v>
      </c>
      <c r="G51" s="160"/>
      <c r="H51" s="185" cm="1">
        <f t="array" ref="H51">_xlfn.IFS($D51=138,$F51*0.5,$D51=230,$F51*0.4,$D51=345,$F51*0.3,$D51=350,$F51*0.3,$D51=360,$F51*0.3,$D51=400,$F51*0.3,$D51=500,$F51*0.3)</f>
        <v>70.696799999999996</v>
      </c>
      <c r="I51" s="185">
        <f t="shared" si="0"/>
        <v>7.069679999999999E-2</v>
      </c>
      <c r="K51" s="199"/>
      <c r="S51" s="203"/>
    </row>
    <row r="52" spans="1:19">
      <c r="A52" s="202" t="s">
        <v>479</v>
      </c>
      <c r="B52" s="214" t="s">
        <v>638</v>
      </c>
      <c r="C52" s="203" t="s">
        <v>416</v>
      </c>
      <c r="D52" s="202">
        <v>230</v>
      </c>
      <c r="F52" s="202">
        <v>144.34200000000001</v>
      </c>
      <c r="G52" s="160"/>
      <c r="H52" s="185" cm="1">
        <f t="array" ref="H52">_xlfn.IFS($D52=138,$F52*0.5,$D52=230,$F52*0.4,$D52=345,$F52*0.3,$D52=350,$F52*0.3,$D52=360,$F52*0.3,$D52=400,$F52*0.3,$D52=500,$F52*0.3)</f>
        <v>57.736800000000009</v>
      </c>
      <c r="I52" s="185">
        <f t="shared" si="0"/>
        <v>5.7736800000000012E-2</v>
      </c>
      <c r="K52" s="199"/>
      <c r="S52" s="203"/>
    </row>
    <row r="53" spans="1:19">
      <c r="A53" s="202" t="s">
        <v>480</v>
      </c>
      <c r="B53" s="203" t="s">
        <v>423</v>
      </c>
      <c r="C53" s="203" t="s">
        <v>537</v>
      </c>
      <c r="D53" s="202">
        <v>230</v>
      </c>
      <c r="F53" s="202">
        <v>134.78400000000002</v>
      </c>
      <c r="H53" s="185" cm="1">
        <f t="array" ref="H53">_xlfn.IFS($D53=138,$F53*0.5,$D53=230,$F53*0.4,$D53=345,$F53*0.3,$D53=350,$F53*0.3,$D53=360,$F53*0.3,$D53=400,$F53*0.3,$D53=500,$F53*0.3)</f>
        <v>53.91360000000001</v>
      </c>
      <c r="I53" s="185">
        <f t="shared" si="0"/>
        <v>5.3913600000000013E-2</v>
      </c>
      <c r="S53" s="203"/>
    </row>
    <row r="54" spans="1:19">
      <c r="A54" s="202" t="s">
        <v>481</v>
      </c>
      <c r="B54" s="214" t="s">
        <v>423</v>
      </c>
      <c r="C54" s="203" t="s">
        <v>410</v>
      </c>
      <c r="D54" s="202">
        <v>230</v>
      </c>
      <c r="F54" s="202">
        <v>166.536</v>
      </c>
      <c r="H54" s="185" cm="1">
        <f t="array" ref="H54">_xlfn.IFS($D54=138,$F54*0.5,$D54=230,$F54*0.4,$D54=345,$F54*0.3,$D54=350,$F54*0.3,$D54=360,$F54*0.3,$D54=400,$F54*0.3,$D54=500,$F54*0.3)</f>
        <v>66.614400000000003</v>
      </c>
      <c r="I54" s="185">
        <f t="shared" si="0"/>
        <v>6.6614400000000004E-2</v>
      </c>
      <c r="S54" s="203"/>
    </row>
    <row r="55" spans="1:19">
      <c r="A55" s="202" t="s">
        <v>482</v>
      </c>
      <c r="B55" s="203" t="s">
        <v>639</v>
      </c>
      <c r="C55" s="203" t="s">
        <v>415</v>
      </c>
      <c r="D55" s="202">
        <v>230</v>
      </c>
      <c r="F55" s="202">
        <v>79.282799999999995</v>
      </c>
      <c r="H55" s="185" cm="1">
        <f t="array" ref="H55">_xlfn.IFS($D55=138,$F55*0.5,$D55=230,$F55*0.4,$D55=345,$F55*0.3,$D55=350,$F55*0.3,$D55=360,$F55*0.3,$D55=400,$F55*0.3,$D55=500,$F55*0.3)</f>
        <v>31.71312</v>
      </c>
      <c r="I55" s="185">
        <f t="shared" si="0"/>
        <v>3.1713119999999997E-2</v>
      </c>
      <c r="S55" s="203"/>
    </row>
    <row r="56" spans="1:19">
      <c r="A56" s="202" t="s">
        <v>483</v>
      </c>
      <c r="B56" s="203" t="s">
        <v>517</v>
      </c>
      <c r="C56" s="203" t="s">
        <v>408</v>
      </c>
      <c r="D56" s="202">
        <v>230</v>
      </c>
      <c r="F56" s="202">
        <v>5</v>
      </c>
      <c r="H56" s="185" cm="1">
        <f t="array" ref="H56">_xlfn.IFS($D56=138,$F56*0.5,$D56=230,$F56*0.4,$D56=345,$F56*0.3,$D56=350,$F56*0.3,$D56=360,$F56*0.3,$D56=400,$F56*0.3,$D56=500,$F56*0.3)</f>
        <v>2</v>
      </c>
      <c r="I56" s="185">
        <f t="shared" si="0"/>
        <v>2E-3</v>
      </c>
      <c r="S56" s="203"/>
    </row>
    <row r="57" spans="1:19">
      <c r="A57" s="202" t="s">
        <v>484</v>
      </c>
      <c r="B57" s="203" t="s">
        <v>418</v>
      </c>
      <c r="C57" s="203" t="s">
        <v>419</v>
      </c>
      <c r="D57" s="202">
        <v>230</v>
      </c>
      <c r="F57" s="202">
        <v>98.658000000000001</v>
      </c>
      <c r="H57" s="185" cm="1">
        <f t="array" ref="H57">_xlfn.IFS($D57=138,$F57*0.5,$D57=230,$F57*0.4,$D57=345,$F57*0.3,$D57=350,$F57*0.3,$D57=360,$F57*0.3,$D57=400,$F57*0.3,$D57=500,$F57*0.3)</f>
        <v>39.463200000000001</v>
      </c>
      <c r="I57" s="185">
        <f t="shared" si="0"/>
        <v>3.9463200000000004E-2</v>
      </c>
      <c r="S57" s="203"/>
    </row>
    <row r="58" spans="1:19">
      <c r="A58" s="202" t="s">
        <v>485</v>
      </c>
      <c r="B58" s="203" t="s">
        <v>542</v>
      </c>
      <c r="C58" s="203" t="s">
        <v>407</v>
      </c>
      <c r="D58" s="202">
        <v>230</v>
      </c>
      <c r="F58" s="202">
        <v>12.474000000000002</v>
      </c>
      <c r="H58" s="185" cm="1">
        <f t="array" ref="H58">_xlfn.IFS($D58=138,$F58*0.5,$D58=230,$F58*0.4,$D58=345,$F58*0.3,$D58=350,$F58*0.3,$D58=360,$F58*0.3,$D58=400,$F58*0.3,$D58=500,$F58*0.3)</f>
        <v>4.9896000000000011</v>
      </c>
      <c r="I58" s="185">
        <f t="shared" si="0"/>
        <v>4.9896000000000012E-3</v>
      </c>
      <c r="S58" s="203"/>
    </row>
    <row r="59" spans="1:19">
      <c r="A59" s="202" t="s">
        <v>486</v>
      </c>
      <c r="B59" s="203" t="s">
        <v>542</v>
      </c>
      <c r="C59" s="203" t="s">
        <v>407</v>
      </c>
      <c r="D59" s="202">
        <v>230</v>
      </c>
      <c r="F59" s="202">
        <v>12.474000000000002</v>
      </c>
      <c r="H59" s="185" cm="1">
        <f t="array" ref="H59">_xlfn.IFS($D59=138,$F59*0.5,$D59=230,$F59*0.4,$D59=345,$F59*0.3,$D59=350,$F59*0.3,$D59=360,$F59*0.3,$D59=400,$F59*0.3,$D59=500,$F59*0.3)</f>
        <v>4.9896000000000011</v>
      </c>
      <c r="I59" s="185">
        <f t="shared" si="0"/>
        <v>4.9896000000000012E-3</v>
      </c>
      <c r="S59" s="203"/>
    </row>
    <row r="60" spans="1:19">
      <c r="A60" s="202" t="s">
        <v>487</v>
      </c>
      <c r="B60" s="203" t="s">
        <v>409</v>
      </c>
      <c r="C60" s="203" t="s">
        <v>400</v>
      </c>
      <c r="D60" s="202">
        <v>230</v>
      </c>
      <c r="F60" s="202">
        <v>132.99481030780242</v>
      </c>
      <c r="H60" s="185" cm="1">
        <f t="array" ref="H60">_xlfn.IFS($D60=138,$F60*0.5,$D60=230,$F60*0.4,$D60=345,$F60*0.3,$D60=350,$F60*0.3,$D60=360,$F60*0.3,$D60=400,$F60*0.3,$D60=500,$F60*0.3)</f>
        <v>53.19792412312097</v>
      </c>
      <c r="I60" s="185">
        <f t="shared" si="0"/>
        <v>5.3197924123120972E-2</v>
      </c>
      <c r="S60" s="203"/>
    </row>
    <row r="61" spans="1:19">
      <c r="A61" s="202" t="s">
        <v>488</v>
      </c>
      <c r="B61" s="203" t="s">
        <v>407</v>
      </c>
      <c r="C61" s="203" t="s">
        <v>422</v>
      </c>
      <c r="D61" s="202">
        <v>230</v>
      </c>
      <c r="F61" s="202">
        <v>63.714600000000004</v>
      </c>
      <c r="H61" s="185" cm="1">
        <f t="array" ref="H61">_xlfn.IFS($D61=138,$F61*0.5,$D61=230,$F61*0.4,$D61=345,$F61*0.3,$D61=350,$F61*0.3,$D61=360,$F61*0.3,$D61=400,$F61*0.3,$D61=500,$F61*0.3)</f>
        <v>25.485840000000003</v>
      </c>
      <c r="I61" s="185">
        <f t="shared" si="0"/>
        <v>2.5485840000000003E-2</v>
      </c>
      <c r="S61" s="203"/>
    </row>
    <row r="62" spans="1:19">
      <c r="A62" s="202" t="s">
        <v>489</v>
      </c>
      <c r="B62" s="203" t="s">
        <v>542</v>
      </c>
      <c r="C62" s="203" t="s">
        <v>545</v>
      </c>
      <c r="D62" s="202">
        <v>230</v>
      </c>
      <c r="F62" s="202">
        <v>12.15</v>
      </c>
      <c r="H62" s="185" cm="1">
        <f t="array" ref="H62">_xlfn.IFS($D62=138,$F62*0.5,$D62=230,$F62*0.4,$D62=345,$F62*0.3,$D62=350,$F62*0.3,$D62=360,$F62*0.3,$D62=400,$F62*0.3,$D62=500,$F62*0.3)</f>
        <v>4.8600000000000003</v>
      </c>
      <c r="I62" s="185">
        <f t="shared" si="0"/>
        <v>4.8600000000000006E-3</v>
      </c>
      <c r="S62" s="203"/>
    </row>
    <row r="63" spans="1:19">
      <c r="A63" s="202" t="s">
        <v>490</v>
      </c>
      <c r="B63" s="214" t="s">
        <v>542</v>
      </c>
      <c r="C63" s="203" t="s">
        <v>545</v>
      </c>
      <c r="D63" s="202">
        <v>230</v>
      </c>
      <c r="F63" s="202">
        <v>7.6140000000000008</v>
      </c>
      <c r="H63" s="185" cm="1">
        <f t="array" ref="H63">_xlfn.IFS($D63=138,$F63*0.5,$D63=230,$F63*0.4,$D63=345,$F63*0.3,$D63=350,$F63*0.3,$D63=360,$F63*0.3,$D63=400,$F63*0.3,$D63=500,$F63*0.3)</f>
        <v>3.0456000000000003</v>
      </c>
      <c r="I63" s="185">
        <f t="shared" si="0"/>
        <v>3.0456000000000003E-3</v>
      </c>
      <c r="S63" s="203"/>
    </row>
    <row r="64" spans="1:19">
      <c r="A64" s="202" t="s">
        <v>491</v>
      </c>
      <c r="B64" s="214" t="s">
        <v>542</v>
      </c>
      <c r="C64" s="203" t="s">
        <v>422</v>
      </c>
      <c r="D64" s="202">
        <v>230</v>
      </c>
      <c r="F64" s="202">
        <v>83.575800000000015</v>
      </c>
      <c r="H64" s="185" cm="1">
        <f t="array" ref="H64">_xlfn.IFS($D64=138,$F64*0.5,$D64=230,$F64*0.4,$D64=345,$F64*0.3,$D64=350,$F64*0.3,$D64=360,$F64*0.3,$D64=400,$F64*0.3,$D64=500,$F64*0.3)</f>
        <v>33.430320000000009</v>
      </c>
      <c r="I64" s="185">
        <f t="shared" si="0"/>
        <v>3.3430320000000006E-2</v>
      </c>
      <c r="S64" s="203"/>
    </row>
    <row r="65" spans="1:19">
      <c r="A65" s="202" t="s">
        <v>492</v>
      </c>
      <c r="B65" s="203" t="s">
        <v>540</v>
      </c>
      <c r="C65" s="203" t="s">
        <v>414</v>
      </c>
      <c r="D65" s="202">
        <v>230</v>
      </c>
      <c r="F65" s="202">
        <v>57.202200000000005</v>
      </c>
      <c r="H65" s="185" cm="1">
        <f t="array" ref="H65">_xlfn.IFS($D65=138,$F65*0.5,$D65=230,$F65*0.4,$D65=345,$F65*0.3,$D65=350,$F65*0.3,$D65=360,$F65*0.3,$D65=400,$F65*0.3,$D65=500,$F65*0.3)</f>
        <v>22.880880000000005</v>
      </c>
      <c r="I65" s="185">
        <f t="shared" si="0"/>
        <v>2.2880880000000006E-2</v>
      </c>
      <c r="S65" s="203"/>
    </row>
    <row r="66" spans="1:19">
      <c r="A66" s="202" t="s">
        <v>493</v>
      </c>
      <c r="B66" s="203" t="s">
        <v>415</v>
      </c>
      <c r="C66" s="203" t="s">
        <v>423</v>
      </c>
      <c r="D66" s="202">
        <v>230</v>
      </c>
      <c r="F66" s="202">
        <v>63.714600000000004</v>
      </c>
      <c r="H66" s="185" cm="1">
        <f t="array" ref="H66">_xlfn.IFS($D66=138,$F66*0.5,$D66=230,$F66*0.4,$D66=345,$F66*0.3,$D66=350,$F66*0.3,$D66=360,$F66*0.3,$D66=400,$F66*0.3,$D66=500,$F66*0.3)</f>
        <v>25.485840000000003</v>
      </c>
      <c r="I66" s="185">
        <f t="shared" si="0"/>
        <v>2.5485840000000003E-2</v>
      </c>
      <c r="S66" s="203"/>
    </row>
    <row r="67" spans="1:19">
      <c r="A67" s="202" t="s">
        <v>494</v>
      </c>
      <c r="B67" s="214" t="s">
        <v>415</v>
      </c>
      <c r="C67" s="203" t="s">
        <v>539</v>
      </c>
      <c r="D67" s="202">
        <v>230</v>
      </c>
      <c r="F67" s="202">
        <v>153.18720000000002</v>
      </c>
      <c r="H67" s="185" cm="1">
        <f t="array" ref="H67">_xlfn.IFS($D67=138,$F67*0.5,$D67=230,$F67*0.4,$D67=345,$F67*0.3,$D67=350,$F67*0.3,$D67=360,$F67*0.3,$D67=400,$F67*0.3,$D67=500,$F67*0.3)</f>
        <v>61.27488000000001</v>
      </c>
      <c r="I67" s="185">
        <f t="shared" ref="I67:I83" si="1">H67/1000</f>
        <v>6.1274880000000011E-2</v>
      </c>
      <c r="S67" s="203"/>
    </row>
    <row r="68" spans="1:19">
      <c r="A68" s="202" t="s">
        <v>495</v>
      </c>
      <c r="B68" s="203" t="s">
        <v>410</v>
      </c>
      <c r="C68" s="203" t="s">
        <v>537</v>
      </c>
      <c r="D68" s="202">
        <v>230</v>
      </c>
      <c r="F68" s="202">
        <v>130.66919999999999</v>
      </c>
      <c r="H68" s="185" cm="1">
        <f t="array" ref="H68">_xlfn.IFS($D68=138,$F68*0.5,$D68=230,$F68*0.4,$D68=345,$F68*0.3,$D68=350,$F68*0.3,$D68=360,$F68*0.3,$D68=400,$F68*0.3,$D68=500,$F68*0.3)</f>
        <v>52.267679999999999</v>
      </c>
      <c r="I68" s="185">
        <f t="shared" si="1"/>
        <v>5.2267679999999997E-2</v>
      </c>
      <c r="S68" s="203"/>
    </row>
    <row r="69" spans="1:19">
      <c r="A69" s="202" t="s">
        <v>496</v>
      </c>
      <c r="B69" s="203" t="s">
        <v>406</v>
      </c>
      <c r="C69" s="203" t="s">
        <v>414</v>
      </c>
      <c r="D69" s="202">
        <v>230</v>
      </c>
      <c r="F69" s="202">
        <v>125.46900000000001</v>
      </c>
      <c r="H69" s="185" cm="1">
        <f t="array" ref="H69">_xlfn.IFS($D69=138,$F69*0.5,$D69=230,$F69*0.4,$D69=345,$F69*0.3,$D69=350,$F69*0.3,$D69=360,$F69*0.3,$D69=400,$F69*0.3,$D69=500,$F69*0.3)</f>
        <v>50.187600000000003</v>
      </c>
      <c r="I69" s="185">
        <f t="shared" si="1"/>
        <v>5.0187600000000006E-2</v>
      </c>
      <c r="S69" s="203"/>
    </row>
    <row r="70" spans="1:19">
      <c r="A70" s="202" t="s">
        <v>497</v>
      </c>
      <c r="B70" s="203" t="s">
        <v>544</v>
      </c>
      <c r="C70" s="203" t="s">
        <v>407</v>
      </c>
      <c r="D70" s="202">
        <v>230</v>
      </c>
      <c r="F70" s="202">
        <v>16.443000000000001</v>
      </c>
      <c r="H70" s="185" cm="1">
        <f t="array" ref="H70">_xlfn.IFS($D70=138,$F70*0.5,$D70=230,$F70*0.4,$D70=345,$F70*0.3,$D70=350,$F70*0.3,$D70=360,$F70*0.3,$D70=400,$F70*0.3,$D70=500,$F70*0.3)</f>
        <v>6.5772000000000013</v>
      </c>
      <c r="I70" s="185">
        <f t="shared" si="1"/>
        <v>6.5772000000000009E-3</v>
      </c>
      <c r="S70" s="203"/>
    </row>
    <row r="71" spans="1:19">
      <c r="A71" s="202" t="s">
        <v>498</v>
      </c>
      <c r="B71" s="203" t="s">
        <v>515</v>
      </c>
      <c r="C71" s="203" t="s">
        <v>418</v>
      </c>
      <c r="D71" s="202">
        <v>230</v>
      </c>
      <c r="F71" s="202">
        <v>130.19940000000003</v>
      </c>
      <c r="H71" s="185" cm="1">
        <f t="array" ref="H71">_xlfn.IFS($D71=138,$F71*0.5,$D71=230,$F71*0.4,$D71=345,$F71*0.3,$D71=350,$F71*0.3,$D71=360,$F71*0.3,$D71=400,$F71*0.3,$D71=500,$F71*0.3)</f>
        <v>52.079760000000014</v>
      </c>
      <c r="I71" s="185">
        <f t="shared" si="1"/>
        <v>5.2079760000000017E-2</v>
      </c>
      <c r="S71" s="203"/>
    </row>
    <row r="72" spans="1:19">
      <c r="A72" s="202" t="s">
        <v>499</v>
      </c>
      <c r="B72" s="203" t="s">
        <v>404</v>
      </c>
      <c r="C72" s="203" t="s">
        <v>402</v>
      </c>
      <c r="D72" s="202">
        <v>230</v>
      </c>
      <c r="F72" s="202">
        <v>48.000599999999999</v>
      </c>
      <c r="H72" s="185" cm="1">
        <f t="array" ref="H72">_xlfn.IFS($D72=138,$F72*0.5,$D72=230,$F72*0.4,$D72=345,$F72*0.3,$D72=350,$F72*0.3,$D72=360,$F72*0.3,$D72=400,$F72*0.3,$D72=500,$F72*0.3)</f>
        <v>19.200240000000001</v>
      </c>
      <c r="I72" s="185">
        <f t="shared" si="1"/>
        <v>1.920024E-2</v>
      </c>
      <c r="S72" s="203"/>
    </row>
    <row r="73" spans="1:19">
      <c r="A73" s="202" t="s">
        <v>500</v>
      </c>
      <c r="B73" s="203" t="s">
        <v>544</v>
      </c>
      <c r="C73" s="203" t="s">
        <v>543</v>
      </c>
      <c r="D73" s="202">
        <v>230</v>
      </c>
      <c r="F73" s="202">
        <v>12.522600000000002</v>
      </c>
      <c r="H73" s="185" cm="1">
        <f t="array" ref="H73">_xlfn.IFS($D73=138,$F73*0.5,$D73=230,$F73*0.4,$D73=345,$F73*0.3,$D73=350,$F73*0.3,$D73=360,$F73*0.3,$D73=400,$F73*0.3,$D73=500,$F73*0.3)</f>
        <v>5.0090400000000015</v>
      </c>
      <c r="I73" s="185">
        <f t="shared" si="1"/>
        <v>5.0090400000000011E-3</v>
      </c>
      <c r="S73" s="203"/>
    </row>
    <row r="74" spans="1:19">
      <c r="A74" s="202" t="s">
        <v>501</v>
      </c>
      <c r="B74" s="203" t="s">
        <v>518</v>
      </c>
      <c r="C74" s="203" t="s">
        <v>424</v>
      </c>
      <c r="D74" s="202">
        <v>230</v>
      </c>
      <c r="F74" s="202">
        <v>51.985800000000012</v>
      </c>
      <c r="H74" s="185" cm="1">
        <f t="array" ref="H74">_xlfn.IFS($D74=138,$F74*0.5,$D74=230,$F74*0.4,$D74=345,$F74*0.3,$D74=350,$F74*0.3,$D74=360,$F74*0.3,$D74=400,$F74*0.3,$D74=500,$F74*0.3)</f>
        <v>20.794320000000006</v>
      </c>
      <c r="I74" s="185">
        <f t="shared" si="1"/>
        <v>2.0794320000000005E-2</v>
      </c>
      <c r="S74" s="203"/>
    </row>
    <row r="75" spans="1:19">
      <c r="A75" s="202" t="s">
        <v>502</v>
      </c>
      <c r="B75" s="203" t="s">
        <v>640</v>
      </c>
      <c r="C75" s="203" t="s">
        <v>544</v>
      </c>
      <c r="D75" s="202">
        <v>230</v>
      </c>
      <c r="F75" s="202">
        <v>109.85220000000001</v>
      </c>
      <c r="H75" s="185" cm="1">
        <f t="array" ref="H75">_xlfn.IFS($D75=138,$F75*0.5,$D75=230,$F75*0.4,$D75=345,$F75*0.3,$D75=350,$F75*0.3,$D75=360,$F75*0.3,$D75=400,$F75*0.3,$D75=500,$F75*0.3)</f>
        <v>43.940880000000007</v>
      </c>
      <c r="I75" s="185">
        <f t="shared" si="1"/>
        <v>4.3940880000000009E-2</v>
      </c>
      <c r="S75" s="203"/>
    </row>
    <row r="76" spans="1:19">
      <c r="A76" s="202" t="s">
        <v>503</v>
      </c>
      <c r="B76" s="203" t="s">
        <v>518</v>
      </c>
      <c r="C76" s="203" t="s">
        <v>426</v>
      </c>
      <c r="D76" s="202">
        <v>230</v>
      </c>
      <c r="F76" s="202">
        <v>91.902600000000007</v>
      </c>
      <c r="H76" s="185" cm="1">
        <f t="array" ref="H76">_xlfn.IFS($D76=138,$F76*0.5,$D76=230,$F76*0.4,$D76=345,$F76*0.3,$D76=350,$F76*0.3,$D76=360,$F76*0.3,$D76=400,$F76*0.3,$D76=500,$F76*0.3)</f>
        <v>36.761040000000001</v>
      </c>
      <c r="I76" s="185">
        <f t="shared" si="1"/>
        <v>3.6761040000000002E-2</v>
      </c>
      <c r="S76" s="203"/>
    </row>
    <row r="77" spans="1:19">
      <c r="A77" s="202" t="s">
        <v>504</v>
      </c>
      <c r="B77" s="203" t="s">
        <v>412</v>
      </c>
      <c r="C77" s="203" t="s">
        <v>543</v>
      </c>
      <c r="D77" s="202">
        <v>230</v>
      </c>
      <c r="F77" s="202">
        <v>233.78220000000002</v>
      </c>
      <c r="H77" s="185" cm="1">
        <f t="array" ref="H77">_xlfn.IFS($D77=138,$F77*0.5,$D77=230,$F77*0.4,$D77=345,$F77*0.3,$D77=350,$F77*0.3,$D77=360,$F77*0.3,$D77=400,$F77*0.3,$D77=500,$F77*0.3)</f>
        <v>93.51288000000001</v>
      </c>
      <c r="I77" s="185">
        <f t="shared" si="1"/>
        <v>9.3512880000000007E-2</v>
      </c>
      <c r="S77" s="203"/>
    </row>
    <row r="78" spans="1:19">
      <c r="A78" s="202" t="s">
        <v>505</v>
      </c>
      <c r="B78" s="203" t="s">
        <v>400</v>
      </c>
      <c r="C78" s="203" t="s">
        <v>541</v>
      </c>
      <c r="D78" s="202">
        <v>230</v>
      </c>
      <c r="F78" s="202">
        <v>100.27800000000001</v>
      </c>
      <c r="H78" s="185" cm="1">
        <f t="array" ref="H78">_xlfn.IFS($D78=138,$F78*0.5,$D78=230,$F78*0.4,$D78=345,$F78*0.3,$D78=350,$F78*0.3,$D78=360,$F78*0.3,$D78=400,$F78*0.3,$D78=500,$F78*0.3)</f>
        <v>40.111200000000004</v>
      </c>
      <c r="I78" s="185">
        <f t="shared" si="1"/>
        <v>4.0111200000000007E-2</v>
      </c>
      <c r="S78" s="203"/>
    </row>
    <row r="79" spans="1:19">
      <c r="A79" s="202" t="s">
        <v>506</v>
      </c>
      <c r="B79" s="203" t="s">
        <v>400</v>
      </c>
      <c r="C79" s="203" t="s">
        <v>427</v>
      </c>
      <c r="D79" s="202">
        <v>230</v>
      </c>
      <c r="F79" s="202">
        <v>89.262000000000015</v>
      </c>
      <c r="H79" s="185" cm="1">
        <f t="array" ref="H79">_xlfn.IFS($D79=138,$F79*0.5,$D79=230,$F79*0.4,$D79=345,$F79*0.3,$D79=350,$F79*0.3,$D79=360,$F79*0.3,$D79=400,$F79*0.3,$D79=500,$F79*0.3)</f>
        <v>35.704800000000006</v>
      </c>
      <c r="I79" s="185">
        <f t="shared" si="1"/>
        <v>3.5704800000000009E-2</v>
      </c>
      <c r="S79" s="203"/>
    </row>
    <row r="80" spans="1:19">
      <c r="A80" s="202" t="s">
        <v>507</v>
      </c>
      <c r="B80" s="203" t="s">
        <v>641</v>
      </c>
      <c r="C80" s="203" t="s">
        <v>423</v>
      </c>
      <c r="D80" s="202">
        <v>230</v>
      </c>
      <c r="F80" s="202">
        <v>138.78540000000001</v>
      </c>
      <c r="H80" s="185" cm="1">
        <f t="array" ref="H80">_xlfn.IFS($D80=138,$F80*0.5,$D80=230,$F80*0.4,$D80=345,$F80*0.3,$D80=350,$F80*0.3,$D80=360,$F80*0.3,$D80=400,$F80*0.3,$D80=500,$F80*0.3)</f>
        <v>55.514160000000004</v>
      </c>
      <c r="I80" s="185">
        <f t="shared" si="1"/>
        <v>5.5514160000000007E-2</v>
      </c>
      <c r="S80" s="203"/>
    </row>
    <row r="81" spans="1:19">
      <c r="A81" s="202" t="s">
        <v>508</v>
      </c>
      <c r="B81" s="214" t="s">
        <v>641</v>
      </c>
      <c r="C81" s="203" t="s">
        <v>423</v>
      </c>
      <c r="D81" s="202">
        <v>230</v>
      </c>
      <c r="F81" s="202">
        <v>138.78540000000001</v>
      </c>
      <c r="H81" s="185" cm="1">
        <f t="array" ref="H81">_xlfn.IFS($D81=138,$F81*0.5,$D81=230,$F81*0.4,$D81=345,$F81*0.3,$D81=350,$F81*0.3,$D81=360,$F81*0.3,$D81=400,$F81*0.3,$D81=500,$F81*0.3)</f>
        <v>55.514160000000004</v>
      </c>
      <c r="I81" s="185">
        <f t="shared" si="1"/>
        <v>5.5514160000000007E-2</v>
      </c>
      <c r="S81" s="203"/>
    </row>
    <row r="82" spans="1:19">
      <c r="A82" s="202" t="s">
        <v>509</v>
      </c>
      <c r="B82" s="214" t="s">
        <v>641</v>
      </c>
      <c r="C82" s="203" t="s">
        <v>419</v>
      </c>
      <c r="D82" s="202">
        <v>230</v>
      </c>
      <c r="F82" s="202">
        <v>45.295200000000001</v>
      </c>
      <c r="H82" s="185" cm="1">
        <f t="array" ref="H82">_xlfn.IFS($D82=138,$F82*0.5,$D82=230,$F82*0.4,$D82=345,$F82*0.3,$D82=350,$F82*0.3,$D82=360,$F82*0.3,$D82=400,$F82*0.3,$D82=500,$F82*0.3)</f>
        <v>18.118080000000003</v>
      </c>
      <c r="I82" s="185">
        <f t="shared" si="1"/>
        <v>1.8118080000000002E-2</v>
      </c>
      <c r="S82" s="203"/>
    </row>
    <row r="83" spans="1:19">
      <c r="A83" s="202" t="s">
        <v>510</v>
      </c>
      <c r="B83" s="203" t="s">
        <v>405</v>
      </c>
      <c r="C83" s="203" t="s">
        <v>408</v>
      </c>
      <c r="D83" s="202">
        <v>230</v>
      </c>
      <c r="F83" s="202">
        <v>80.028000000000006</v>
      </c>
      <c r="H83" s="185" cm="1">
        <f t="array" ref="H83">_xlfn.IFS($D83=138,$F83*0.5,$D83=230,$F83*0.4,$D83=345,$F83*0.3,$D83=350,$F83*0.3,$D83=360,$F83*0.3,$D83=400,$F83*0.3,$D83=500,$F83*0.3)</f>
        <v>32.011200000000002</v>
      </c>
      <c r="I83" s="185">
        <f t="shared" si="1"/>
        <v>3.2011200000000004E-2</v>
      </c>
      <c r="S83" s="203"/>
    </row>
    <row r="84" spans="1:19">
      <c r="S84" s="203"/>
    </row>
    <row r="85" spans="1:19">
      <c r="S85" s="203"/>
    </row>
    <row r="86" spans="1:19">
      <c r="S86" s="203"/>
    </row>
    <row r="87" spans="1:19">
      <c r="S87" s="203"/>
    </row>
    <row r="88" spans="1:19">
      <c r="S88" s="203"/>
    </row>
    <row r="89" spans="1:19">
      <c r="S89" s="203"/>
    </row>
    <row r="90" spans="1:19">
      <c r="S90" s="203"/>
    </row>
    <row r="91" spans="1:19">
      <c r="S91" s="203"/>
    </row>
    <row r="92" spans="1:19">
      <c r="S92" s="203"/>
    </row>
    <row r="93" spans="1:19">
      <c r="S93" s="203"/>
    </row>
    <row r="94" spans="1:19">
      <c r="S94" s="203"/>
    </row>
    <row r="95" spans="1:19">
      <c r="S95" s="203"/>
    </row>
    <row r="96" spans="1:19">
      <c r="S96" s="203"/>
    </row>
    <row r="97" spans="19:19">
      <c r="S97" s="203"/>
    </row>
    <row r="98" spans="19:19">
      <c r="S98" s="203"/>
    </row>
    <row r="99" spans="19:19">
      <c r="S99" s="203"/>
    </row>
    <row r="100" spans="19:19">
      <c r="S100" s="203"/>
    </row>
    <row r="101" spans="19:19">
      <c r="S101" s="203"/>
    </row>
    <row r="102" spans="19:19">
      <c r="S102" s="203"/>
    </row>
    <row r="103" spans="19:19">
      <c r="S103" s="203"/>
    </row>
    <row r="104" spans="19:19">
      <c r="S104" s="203"/>
    </row>
    <row r="105" spans="19:19">
      <c r="S105" s="203"/>
    </row>
    <row r="106" spans="19:19">
      <c r="S106" s="203"/>
    </row>
    <row r="107" spans="19:19">
      <c r="S107" s="203"/>
    </row>
  </sheetData>
  <sortState xmlns:xlrd2="http://schemas.microsoft.com/office/spreadsheetml/2017/richdata2" ref="Q1:Q43">
    <sortCondition ref="Q1"/>
  </sortState>
  <phoneticPr fontId="23"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2"/>
  <sheetViews>
    <sheetView zoomScale="90" zoomScaleNormal="90" workbookViewId="0">
      <selection activeCell="C28" sqref="C28"/>
    </sheetView>
  </sheetViews>
  <sheetFormatPr defaultRowHeight="15"/>
  <cols>
    <col min="1" max="1" width="12.5703125" customWidth="1"/>
    <col min="2" max="2" width="16" customWidth="1"/>
    <col min="3" max="3" width="10.140625" customWidth="1"/>
    <col min="4" max="4" width="12.7109375" bestFit="1" customWidth="1"/>
    <col min="5" max="5" width="10" customWidth="1"/>
    <col min="6" max="6" width="12.7109375" customWidth="1"/>
    <col min="7" max="8" width="12.85546875" customWidth="1"/>
    <col min="9" max="9" width="13.140625" customWidth="1"/>
    <col min="10" max="10" width="14" customWidth="1"/>
    <col min="11" max="11" width="12.140625" customWidth="1"/>
    <col min="12" max="12" width="9.140625" customWidth="1"/>
  </cols>
  <sheetData>
    <row r="1" spans="1:15" ht="19.5" thickBot="1">
      <c r="A1" s="54" t="s">
        <v>286</v>
      </c>
    </row>
    <row r="2" spans="1:15" ht="31.5" customHeight="1">
      <c r="A2" s="68"/>
      <c r="B2" s="240" t="s">
        <v>287</v>
      </c>
      <c r="C2" s="240"/>
      <c r="D2" s="240"/>
      <c r="E2" s="241" t="s">
        <v>288</v>
      </c>
      <c r="F2" s="241"/>
      <c r="G2" s="242" t="s">
        <v>298</v>
      </c>
      <c r="H2" s="242"/>
      <c r="I2" s="242"/>
      <c r="J2" s="243"/>
      <c r="K2" s="84"/>
      <c r="L2" s="83"/>
    </row>
    <row r="3" spans="1:15">
      <c r="A3" s="91" t="s">
        <v>312</v>
      </c>
      <c r="B3" s="69" t="s">
        <v>275</v>
      </c>
      <c r="C3" s="69" t="s">
        <v>274</v>
      </c>
      <c r="D3" s="69" t="s">
        <v>285</v>
      </c>
      <c r="E3" s="70" t="s">
        <v>289</v>
      </c>
      <c r="F3" s="70" t="s">
        <v>290</v>
      </c>
      <c r="G3" s="71" t="s">
        <v>271</v>
      </c>
      <c r="H3" s="71" t="s">
        <v>299</v>
      </c>
      <c r="I3" s="71" t="s">
        <v>308</v>
      </c>
      <c r="J3" s="72" t="s">
        <v>309</v>
      </c>
      <c r="K3" s="33"/>
      <c r="L3" s="49"/>
      <c r="M3" s="49"/>
      <c r="N3" s="49"/>
      <c r="O3" s="49"/>
    </row>
    <row r="4" spans="1:15" ht="15.75" thickBot="1">
      <c r="A4" s="73"/>
      <c r="B4" s="79" t="s">
        <v>284</v>
      </c>
      <c r="C4" s="79" t="s">
        <v>300</v>
      </c>
      <c r="D4" s="79" t="s">
        <v>300</v>
      </c>
      <c r="E4" s="80" t="s">
        <v>292</v>
      </c>
      <c r="F4" s="80" t="s">
        <v>292</v>
      </c>
      <c r="G4" s="81" t="s">
        <v>307</v>
      </c>
      <c r="H4" s="81" t="s">
        <v>307</v>
      </c>
      <c r="I4" s="81" t="s">
        <v>307</v>
      </c>
      <c r="J4" s="82" t="s">
        <v>307</v>
      </c>
      <c r="K4" s="33"/>
      <c r="L4" s="49"/>
      <c r="M4" s="49"/>
      <c r="N4" s="49"/>
      <c r="O4" s="49"/>
    </row>
    <row r="5" spans="1:15">
      <c r="A5" s="73" t="str">
        <f>'site independent'!A5</f>
        <v>coal</v>
      </c>
      <c r="B5" s="74" t="str">
        <f>ROUND(('site independent'!D5*(1/3412)), 5) &amp;"P + "&amp;'site independent'!P5</f>
        <v>0.00888P + 10000</v>
      </c>
      <c r="C5" s="33">
        <f>IF(ISBLANK('site independent'!O5), "",  'site independent'!O5)</f>
        <v>105</v>
      </c>
      <c r="D5" s="33">
        <f>IF(ISBLANK('site independent'!S5), "",  'site independent'!S5)</f>
        <v>0</v>
      </c>
      <c r="E5" s="33">
        <f>IF('site independent'!Q5&gt;0, 'site independent'!Q5, "")</f>
        <v>3</v>
      </c>
      <c r="F5" s="33">
        <f>IF('site independent'!R5&gt;0, 'site independent'!R5, "")</f>
        <v>3</v>
      </c>
      <c r="G5" s="33">
        <f>IF(ISBLANK('site independent'!L5), "", ('site independent'!L5)*60)</f>
        <v>120</v>
      </c>
      <c r="H5" s="33">
        <f>IF(ISBLANK('site independent'!L5), "", (-1)*('site independent'!L5)*60)</f>
        <v>-120</v>
      </c>
      <c r="I5" s="75">
        <f>IF(ISBLANK('site independent'!K5), "",  (1/'site independent'!K5))</f>
        <v>0.1</v>
      </c>
      <c r="J5" s="76">
        <f>IF(ISBLANK('site independent'!K5), "",  (-1)*(1/'site independent'!K5))</f>
        <v>-0.1</v>
      </c>
      <c r="K5" s="33"/>
      <c r="L5" s="49"/>
      <c r="M5" s="49"/>
      <c r="N5" s="49"/>
      <c r="O5" s="49"/>
    </row>
    <row r="6" spans="1:15">
      <c r="A6" s="73" t="str">
        <f>'site independent'!A6</f>
        <v>Natural gas</v>
      </c>
      <c r="B6" s="74" t="str">
        <f>ROUND(('site independent'!D6*(1/3412)), 5) &amp;"P + "&amp;'site independent'!P6</f>
        <v>0P + 10000</v>
      </c>
      <c r="C6" s="33" t="str">
        <f>IF(ISBLANK('site independent'!O6), "",  'site independent'!O6)</f>
        <v/>
      </c>
      <c r="D6" s="33">
        <f>IF(ISBLANK('site independent'!S6), "",  'site independent'!S6)</f>
        <v>0</v>
      </c>
      <c r="E6" s="33">
        <f>IF('site independent'!Q6&gt;0, 'site independent'!Q6, "")</f>
        <v>4</v>
      </c>
      <c r="F6" s="33">
        <f>IF('site independent'!R6&gt;0, 'site independent'!R6, "")</f>
        <v>3</v>
      </c>
      <c r="G6" s="33" t="str">
        <f>IF(ISBLANK('site independent'!L6), "", ('site independent'!L6)*60)</f>
        <v/>
      </c>
      <c r="H6" s="33" t="str">
        <f>IF(ISBLANK('site independent'!L6), "", (-1)*('site independent'!L6)*60)</f>
        <v/>
      </c>
      <c r="I6" s="75" t="str">
        <f>IF('site independent'!K6&gt;0, (1/'site independent'!K6), "")</f>
        <v/>
      </c>
      <c r="J6" s="76" t="str">
        <f>IF(ISBLANK('site independent'!K6), "",  (-1)*(1/'site independent'!K6))</f>
        <v/>
      </c>
      <c r="K6" s="33"/>
      <c r="L6" s="49"/>
      <c r="M6" s="49"/>
      <c r="N6" s="49"/>
      <c r="O6" s="49"/>
    </row>
    <row r="7" spans="1:15">
      <c r="A7" s="73" t="str">
        <f>'site independent'!A7</f>
        <v>NG_CC</v>
      </c>
      <c r="B7" s="74" t="str">
        <f>ROUND(('site independent'!D7*(1/3412)), 5) &amp;"P + "&amp;'site independent'!P7</f>
        <v>0.01439P + 10000</v>
      </c>
      <c r="C7" s="33">
        <f>IF(ISBLANK('site independent'!O7), "",  'site independent'!O7)</f>
        <v>79</v>
      </c>
      <c r="D7" s="33">
        <f>IF(ISBLANK('site independent'!S7), "",  'site independent'!S7)</f>
        <v>0</v>
      </c>
      <c r="E7" s="33">
        <f>IF('site independent'!Q7&gt;0, 'site independent'!Q7, "")</f>
        <v>4</v>
      </c>
      <c r="F7" s="33">
        <f>IF('site independent'!R7&gt;0, 'site independent'!R7, "")</f>
        <v>3</v>
      </c>
      <c r="G7" s="33">
        <f>IF(ISBLANK('site independent'!L7), "", ('site independent'!L7)*60)</f>
        <v>300</v>
      </c>
      <c r="H7" s="33">
        <f>IF(ISBLANK('site independent'!L7), "", (-1)*('site independent'!L7)*60)</f>
        <v>-300</v>
      </c>
      <c r="I7" s="75">
        <f>IF('site independent'!K7&gt;0, (1/'site independent'!K7), "")</f>
        <v>0.25</v>
      </c>
      <c r="J7" s="76">
        <f>IF(ISBLANK('site independent'!K7), "",  (-1)*(1/'site independent'!K7))</f>
        <v>-0.25</v>
      </c>
      <c r="K7" s="33"/>
      <c r="L7" s="49"/>
      <c r="M7" s="49"/>
      <c r="N7" s="49"/>
      <c r="O7" s="49"/>
    </row>
    <row r="8" spans="1:15">
      <c r="A8" s="73" t="str">
        <f>'site independent'!A8</f>
        <v>NG_CT</v>
      </c>
      <c r="B8" s="74" t="str">
        <f>ROUND(('site independent'!D8*(1/3412)), 5) &amp;"P + "&amp;'site independent'!P8</f>
        <v>0.02403P + 10000</v>
      </c>
      <c r="C8" s="33">
        <f>IF(ISBLANK('site independent'!O8), "",  'site independent'!O8)</f>
        <v>103</v>
      </c>
      <c r="D8" s="33">
        <f>IF(ISBLANK('site independent'!S8), "",  'site independent'!S8)</f>
        <v>0</v>
      </c>
      <c r="E8" s="33">
        <f>IF('site independent'!Q8&gt;0, 'site independent'!Q8, "")</f>
        <v>4</v>
      </c>
      <c r="F8" s="33">
        <f>IF('site independent'!R8&gt;0, 'site independent'!R8, "")</f>
        <v>3</v>
      </c>
      <c r="G8" s="33">
        <f>IF(ISBLANK('site independent'!L8), "", ('site independent'!L8)*60)</f>
        <v>480</v>
      </c>
      <c r="H8" s="33">
        <f>IF(ISBLANK('site independent'!L8), "", (-1)*('site independent'!L8)*60)</f>
        <v>-480</v>
      </c>
      <c r="I8" s="75">
        <f>IF('site independent'!K8&gt;0, (1/'site independent'!K8), "")</f>
        <v>2</v>
      </c>
      <c r="J8" s="76">
        <f>IF(ISBLANK('site independent'!K8), "",  (-1)*(1/'site independent'!K8))</f>
        <v>-2</v>
      </c>
      <c r="K8" s="33"/>
      <c r="L8" s="49"/>
      <c r="M8" s="49"/>
      <c r="N8" s="49"/>
      <c r="O8" s="49"/>
    </row>
    <row r="9" spans="1:15">
      <c r="A9" s="73" t="str">
        <f>'site independent'!A9</f>
        <v>NG_CG</v>
      </c>
      <c r="B9" s="74" t="str">
        <f>ROUND(('site independent'!D9*(1/3412)), 5) &amp;"P + "&amp;'site independent'!P9</f>
        <v>0.02403P + 10000</v>
      </c>
      <c r="C9" s="33">
        <f>IF(ISBLANK('site independent'!O9), "",  'site independent'!O9)</f>
        <v>103</v>
      </c>
      <c r="D9" s="33">
        <f>IF(ISBLANK('site independent'!S9), "",  'site independent'!S9)</f>
        <v>0</v>
      </c>
      <c r="E9" s="33">
        <f>IF('site independent'!Q9&gt;0, 'site independent'!Q9, "")</f>
        <v>4</v>
      </c>
      <c r="F9" s="33">
        <f>IF('site independent'!R9&gt;0, 'site independent'!R9, "")</f>
        <v>3</v>
      </c>
      <c r="G9" s="33">
        <f>IF(ISBLANK('site independent'!L9), "", ('site independent'!L9)*60)</f>
        <v>480</v>
      </c>
      <c r="H9" s="33">
        <f>IF(ISBLANK('site independent'!L9), "", (-1)*('site independent'!L9)*60)</f>
        <v>-480</v>
      </c>
      <c r="I9" s="75">
        <f>IF('site independent'!K9&gt;0, (1/'site independent'!K9), "")</f>
        <v>2</v>
      </c>
      <c r="J9" s="76">
        <f>IF(ISBLANK('site independent'!K9), "",  (-1)*(1/'site independent'!K9))</f>
        <v>-2</v>
      </c>
      <c r="K9" s="33"/>
      <c r="L9" s="49"/>
      <c r="M9" s="49"/>
      <c r="N9" s="49"/>
      <c r="O9" s="49"/>
    </row>
    <row r="10" spans="1:15">
      <c r="A10" s="73" t="str">
        <f>'site independent'!A10</f>
        <v>diesel</v>
      </c>
      <c r="B10" s="74" t="str">
        <f>ROUND(('site independent'!D10*(1/3412)), 5) &amp;"P + "&amp;'site independent'!P10</f>
        <v>0.08441P + 10000</v>
      </c>
      <c r="C10" s="33">
        <f>IF(ISBLANK('site independent'!O10), "",  'site independent'!O10)</f>
        <v>10000000</v>
      </c>
      <c r="D10" s="33">
        <f>IF(ISBLANK('site independent'!S10), "",  'site independent'!S10)</f>
        <v>0</v>
      </c>
      <c r="E10" s="33" t="str">
        <f>IF('site independent'!Q10&gt;0, 'site independent'!Q10, "")</f>
        <v/>
      </c>
      <c r="F10" s="33" t="str">
        <f>IF('site independent'!R10&gt;0, 'site independent'!R10, "")</f>
        <v/>
      </c>
      <c r="G10" s="33" t="str">
        <f>IF(ISBLANK('site independent'!L10), "", ('site independent'!L10)*60)</f>
        <v/>
      </c>
      <c r="H10" s="33" t="str">
        <f>IF(ISBLANK('site independent'!L10), "", (-1)*('site independent'!L10)*60)</f>
        <v/>
      </c>
      <c r="I10" s="75" t="str">
        <f>IF('site independent'!K10&gt;0, (1/'site independent'!K10), "")</f>
        <v/>
      </c>
      <c r="J10" s="76" t="str">
        <f>IF(ISBLANK('site independent'!K10), "",  (-1)*(1/'site independent'!K10))</f>
        <v/>
      </c>
      <c r="K10" s="33"/>
      <c r="L10" s="49"/>
      <c r="M10" s="49"/>
      <c r="N10" s="49"/>
      <c r="O10" s="49"/>
    </row>
    <row r="11" spans="1:15">
      <c r="A11" s="73" t="str">
        <f>'site independent'!A11</f>
        <v>fuel oil</v>
      </c>
      <c r="B11" s="74" t="str">
        <f>ROUND(('site independent'!D11*(1/3412)), 5) &amp;"P + "&amp;'site independent'!P11</f>
        <v>0.05064P + 10000</v>
      </c>
      <c r="C11" s="33">
        <f>IF(ISBLANK('site independent'!O11), "",  'site independent'!O11)</f>
        <v>10000000</v>
      </c>
      <c r="D11" s="33">
        <f>IF(ISBLANK('site independent'!S11), "",  'site independent'!S11)</f>
        <v>0</v>
      </c>
      <c r="E11" s="33" t="str">
        <f>IF('site independent'!Q11&gt;0, 'site independent'!Q11, "")</f>
        <v/>
      </c>
      <c r="F11" s="33" t="str">
        <f>IF('site independent'!R11&gt;0, 'site independent'!R11, "")</f>
        <v/>
      </c>
      <c r="G11" s="33" t="str">
        <f>IF(ISBLANK('site independent'!L11), "", ('site independent'!L11)*60)</f>
        <v/>
      </c>
      <c r="H11" s="33" t="str">
        <f>IF(ISBLANK('site independent'!L11), "", (-1)*('site independent'!L11)*60)</f>
        <v/>
      </c>
      <c r="I11" s="75" t="str">
        <f>IF('site independent'!K11&gt;0, (1/'site independent'!K11), "")</f>
        <v/>
      </c>
      <c r="J11" s="76" t="str">
        <f>IF(ISBLANK('site independent'!K11), "",  (-1)*(1/'site independent'!K11))</f>
        <v/>
      </c>
      <c r="K11" s="33"/>
      <c r="L11" s="49"/>
      <c r="M11" s="49"/>
      <c r="N11" s="49"/>
      <c r="O11" s="49"/>
    </row>
    <row r="12" spans="1:15">
      <c r="A12" s="73" t="str">
        <f>'site independent'!A12</f>
        <v>nuclear</v>
      </c>
      <c r="B12" s="74" t="str">
        <f>ROUND(('site independent'!D12*(1/3412)), 5) &amp;"P + "&amp;'site independent'!P12</f>
        <v>0.00346P + 10000</v>
      </c>
      <c r="C12" s="33">
        <f>IF(ISBLANK('site independent'!O12), "",  'site independent'!O12)</f>
        <v>500</v>
      </c>
      <c r="D12" s="33">
        <f>IF(ISBLANK('site independent'!S12), "",  'site independent'!S12)</f>
        <v>0</v>
      </c>
      <c r="E12" s="33">
        <f>IF('site independent'!Q12&gt;0, 'site independent'!Q12, "")</f>
        <v>10</v>
      </c>
      <c r="F12" s="33">
        <f>IF('site independent'!R12&gt;0, 'site independent'!R12, "")</f>
        <v>3</v>
      </c>
      <c r="G12" s="33">
        <f>IF('site independent'!L12&gt;0, ('site independent'!L12/100)*(1)*60, "")</f>
        <v>3</v>
      </c>
      <c r="H12" s="33"/>
      <c r="I12" s="75">
        <f>IF('site independent'!K12&gt;0, (1/'site independent'!K12), "")</f>
        <v>7.6923076923076927E-2</v>
      </c>
      <c r="J12" s="76">
        <f>IF(ISBLANK('site independent'!K12), "",  (-1)*(1/'site independent'!K12))</f>
        <v>-7.6923076923076927E-2</v>
      </c>
      <c r="K12" s="33"/>
      <c r="L12" s="49"/>
      <c r="M12" s="49"/>
      <c r="N12" s="49"/>
      <c r="O12" s="49"/>
    </row>
    <row r="13" spans="1:15">
      <c r="A13" s="73" t="str">
        <f>'site independent'!A13</f>
        <v>hydro</v>
      </c>
      <c r="B13" s="74" t="str">
        <f>ROUND(('site independent'!D13*(1/3412)), 5) &amp;"P + "&amp;'site independent'!P13</f>
        <v>0.00188P + 10000</v>
      </c>
      <c r="C13" s="33" t="str">
        <f>IF(ISBLANK('site independent'!O13), "",  'site independent'!O13)</f>
        <v/>
      </c>
      <c r="D13" s="33" t="str">
        <f>IF(ISBLANK('site independent'!S13), "",  'site independent'!S13)</f>
        <v/>
      </c>
      <c r="E13" s="33" t="str">
        <f>IF('site independent'!Q13&gt;0, 'site independent'!Q13, "")</f>
        <v/>
      </c>
      <c r="F13" s="33" t="str">
        <f>IF('site independent'!R13&gt;0, 'site independent'!R13, "")</f>
        <v/>
      </c>
      <c r="G13" s="33" t="str">
        <f>IF('site independent'!L13&gt;0, ('site independent'!L13/100)*(1)*60, "")</f>
        <v/>
      </c>
      <c r="H13" s="33"/>
      <c r="I13" s="75" t="str">
        <f>IF('site independent'!K13&gt;0, (1/'site independent'!K13), "")</f>
        <v/>
      </c>
      <c r="J13" s="76" t="str">
        <f>IF(ISBLANK('site independent'!K13), "",  (-1)*(1/'site independent'!K13))</f>
        <v/>
      </c>
      <c r="K13" s="33"/>
      <c r="L13" s="49"/>
      <c r="M13" s="49"/>
      <c r="N13" s="49"/>
      <c r="O13" s="49"/>
    </row>
    <row r="14" spans="1:15">
      <c r="A14" s="73" t="str">
        <f>'site independent'!A14</f>
        <v>hydro_hourly</v>
      </c>
      <c r="B14" s="74" t="str">
        <f>ROUND(('site independent'!D14*(1/3412)), 5) &amp;"P + "&amp;'site independent'!P14</f>
        <v>0.00188P + 10000</v>
      </c>
      <c r="C14" s="33" t="str">
        <f>IF(ISBLANK('site independent'!O14), "",  'site independent'!O14)</f>
        <v/>
      </c>
      <c r="D14" s="33" t="str">
        <f>IF(ISBLANK('site independent'!S14), "",  'site independent'!S14)</f>
        <v/>
      </c>
      <c r="E14" s="33" t="str">
        <f>IF('site independent'!Q14&gt;0, 'site independent'!Q14, "")</f>
        <v/>
      </c>
      <c r="F14" s="33" t="str">
        <f>IF('site independent'!R14&gt;0, 'site independent'!R14, "")</f>
        <v/>
      </c>
      <c r="G14" s="33"/>
      <c r="H14" s="33" t="str">
        <f>IF('site independent'!L14&gt;0, ('site independent'!L14/100)*(1)*60, "")</f>
        <v/>
      </c>
      <c r="I14" s="75" t="str">
        <f>IF('site independent'!K14&gt;0, (1/'site independent'!K14), "")</f>
        <v/>
      </c>
      <c r="J14" s="76" t="str">
        <f>IF(ISBLANK('site independent'!K14), "",  (-1)*(1/'site independent'!K14))</f>
        <v/>
      </c>
      <c r="K14" s="33"/>
      <c r="L14" s="49"/>
      <c r="M14" s="49"/>
      <c r="N14" s="49"/>
      <c r="O14" s="49"/>
    </row>
    <row r="15" spans="1:15">
      <c r="A15" s="73" t="s">
        <v>4</v>
      </c>
      <c r="B15" s="85" t="s">
        <v>276</v>
      </c>
      <c r="C15" s="33"/>
      <c r="D15" s="33"/>
      <c r="E15" s="33"/>
      <c r="F15" s="33"/>
      <c r="G15" s="33"/>
      <c r="H15" s="33"/>
      <c r="I15" s="75"/>
      <c r="J15" s="76"/>
      <c r="K15" s="33"/>
      <c r="L15" s="49"/>
      <c r="M15" s="49"/>
      <c r="N15" s="49"/>
      <c r="O15" s="49"/>
    </row>
    <row r="16" spans="1:15">
      <c r="A16" s="73" t="s">
        <v>313</v>
      </c>
      <c r="B16" s="85" t="s">
        <v>276</v>
      </c>
      <c r="C16" s="33"/>
      <c r="D16" s="33"/>
      <c r="E16" s="33"/>
      <c r="F16" s="33"/>
      <c r="G16" s="33"/>
      <c r="H16" s="33"/>
      <c r="I16" s="75"/>
      <c r="J16" s="76"/>
      <c r="K16" s="33"/>
      <c r="L16" s="49"/>
      <c r="M16" s="49"/>
      <c r="N16" s="49"/>
      <c r="O16" s="49"/>
    </row>
    <row r="17" spans="1:15">
      <c r="A17" s="73" t="s">
        <v>215</v>
      </c>
      <c r="B17" s="85" t="s">
        <v>311</v>
      </c>
      <c r="C17" s="86">
        <v>0</v>
      </c>
      <c r="D17" s="86">
        <v>0</v>
      </c>
      <c r="E17" s="33"/>
      <c r="F17" s="33"/>
      <c r="G17" s="16"/>
      <c r="H17" s="33"/>
      <c r="I17" s="75"/>
      <c r="J17" s="76"/>
      <c r="K17" s="33"/>
      <c r="L17" s="49"/>
      <c r="M17" s="49"/>
      <c r="N17" s="49"/>
      <c r="O17" s="49"/>
    </row>
    <row r="18" spans="1:15">
      <c r="A18" s="73" t="s">
        <v>216</v>
      </c>
      <c r="B18" s="85" t="s">
        <v>311</v>
      </c>
      <c r="C18" s="86">
        <v>0</v>
      </c>
      <c r="D18" s="86">
        <v>0</v>
      </c>
      <c r="E18" s="33"/>
      <c r="F18" s="33"/>
      <c r="G18" s="16"/>
      <c r="H18" s="33"/>
      <c r="I18" s="75"/>
      <c r="J18" s="76"/>
      <c r="K18" s="33"/>
      <c r="L18" s="49"/>
      <c r="M18" s="49"/>
      <c r="N18" s="49"/>
      <c r="O18" s="49"/>
    </row>
    <row r="19" spans="1:15">
      <c r="A19" s="73" t="s">
        <v>310</v>
      </c>
      <c r="B19" s="85" t="s">
        <v>311</v>
      </c>
      <c r="C19" s="86">
        <v>0</v>
      </c>
      <c r="D19" s="86">
        <v>0</v>
      </c>
      <c r="E19" s="33"/>
      <c r="F19" s="33"/>
      <c r="G19" s="33"/>
      <c r="H19" s="33"/>
      <c r="I19" s="33"/>
      <c r="J19" s="87"/>
      <c r="K19" s="49"/>
      <c r="L19" s="49"/>
      <c r="M19" s="49"/>
      <c r="N19" s="49"/>
      <c r="O19" s="49"/>
    </row>
    <row r="20" spans="1:15" ht="15.75" thickBot="1">
      <c r="A20" s="77" t="s">
        <v>268</v>
      </c>
      <c r="B20" s="88" t="s">
        <v>311</v>
      </c>
      <c r="C20" s="89">
        <v>0</v>
      </c>
      <c r="D20" s="89">
        <v>0</v>
      </c>
      <c r="E20" s="78"/>
      <c r="F20" s="78"/>
      <c r="G20" s="78"/>
      <c r="H20" s="78"/>
      <c r="I20" s="78"/>
      <c r="J20" s="90"/>
      <c r="K20" s="49"/>
      <c r="L20" s="49"/>
      <c r="M20" s="49"/>
      <c r="N20" s="49"/>
      <c r="O20" s="49"/>
    </row>
    <row r="21" spans="1:15">
      <c r="B21" s="49"/>
      <c r="C21" s="49"/>
      <c r="D21" s="49"/>
      <c r="E21" s="49"/>
      <c r="F21" s="49"/>
      <c r="G21" s="49"/>
      <c r="H21" s="49"/>
      <c r="I21" s="49"/>
      <c r="J21" s="49"/>
      <c r="K21" s="49"/>
      <c r="L21" s="49"/>
      <c r="M21" s="49"/>
      <c r="N21" s="49"/>
      <c r="O21" s="49"/>
    </row>
    <row r="22" spans="1:15">
      <c r="A22" t="s">
        <v>270</v>
      </c>
      <c r="B22" s="49">
        <f t="shared" ref="B22:J22" si="0">COLUMN(B3)-2</f>
        <v>0</v>
      </c>
      <c r="C22" s="49">
        <f t="shared" si="0"/>
        <v>1</v>
      </c>
      <c r="D22" s="49">
        <f t="shared" si="0"/>
        <v>2</v>
      </c>
      <c r="E22" s="49">
        <f t="shared" si="0"/>
        <v>3</v>
      </c>
      <c r="F22" s="49">
        <f t="shared" si="0"/>
        <v>4</v>
      </c>
      <c r="G22" s="49">
        <f t="shared" si="0"/>
        <v>5</v>
      </c>
      <c r="H22" s="49">
        <f t="shared" si="0"/>
        <v>6</v>
      </c>
      <c r="I22" s="49">
        <f t="shared" si="0"/>
        <v>7</v>
      </c>
      <c r="J22" s="49">
        <f t="shared" si="0"/>
        <v>8</v>
      </c>
      <c r="K22" s="49"/>
    </row>
    <row r="24" spans="1:15">
      <c r="A24" t="s">
        <v>283</v>
      </c>
      <c r="B24" s="37" t="s">
        <v>275</v>
      </c>
      <c r="C24" s="37" t="s">
        <v>282</v>
      </c>
      <c r="D24" s="37"/>
      <c r="E24" s="37"/>
      <c r="F24" s="37"/>
    </row>
    <row r="25" spans="1:15">
      <c r="B25" s="37" t="s">
        <v>274</v>
      </c>
      <c r="C25" t="s">
        <v>273</v>
      </c>
    </row>
    <row r="26" spans="1:15">
      <c r="B26" t="s">
        <v>285</v>
      </c>
    </row>
    <row r="27" spans="1:15">
      <c r="B27" s="37" t="s">
        <v>289</v>
      </c>
      <c r="C27" t="s">
        <v>291</v>
      </c>
      <c r="E27" s="53"/>
      <c r="F27" s="53"/>
    </row>
    <row r="28" spans="1:15">
      <c r="B28" s="37" t="s">
        <v>290</v>
      </c>
      <c r="C28" t="s">
        <v>293</v>
      </c>
      <c r="E28" s="53"/>
      <c r="F28" s="53"/>
    </row>
    <row r="29" spans="1:15">
      <c r="B29" s="37" t="s">
        <v>271</v>
      </c>
      <c r="C29" s="37" t="s">
        <v>301</v>
      </c>
      <c r="D29" s="53"/>
    </row>
    <row r="30" spans="1:15">
      <c r="B30" s="37" t="s">
        <v>299</v>
      </c>
      <c r="C30" s="37" t="s">
        <v>302</v>
      </c>
      <c r="D30" s="53"/>
    </row>
    <row r="31" spans="1:15">
      <c r="B31" s="37" t="s">
        <v>272</v>
      </c>
      <c r="C31" s="37" t="s">
        <v>305</v>
      </c>
    </row>
    <row r="32" spans="1:15">
      <c r="B32" s="37" t="s">
        <v>304</v>
      </c>
      <c r="C32" s="37" t="s">
        <v>306</v>
      </c>
    </row>
  </sheetData>
  <mergeCells count="3">
    <mergeCell ref="B2:D2"/>
    <mergeCell ref="E2:F2"/>
    <mergeCell ref="G2:J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2"/>
  <sheetViews>
    <sheetView workbookViewId="0">
      <selection activeCell="M14" sqref="M14"/>
    </sheetView>
  </sheetViews>
  <sheetFormatPr defaultRowHeight="15"/>
  <cols>
    <col min="1" max="1" width="23" customWidth="1"/>
    <col min="2" max="2" width="15.42578125" customWidth="1"/>
    <col min="3" max="4" width="14" bestFit="1" customWidth="1"/>
    <col min="5" max="5" width="8.5703125" bestFit="1" customWidth="1"/>
    <col min="6" max="6" width="12.5703125" bestFit="1" customWidth="1"/>
  </cols>
  <sheetData>
    <row r="1" spans="1:6">
      <c r="A1" s="35" t="s">
        <v>349</v>
      </c>
    </row>
    <row r="3" spans="1:6">
      <c r="A3" t="s">
        <v>350</v>
      </c>
      <c r="B3" t="s">
        <v>347</v>
      </c>
      <c r="C3" t="s">
        <v>348</v>
      </c>
    </row>
    <row r="4" spans="1:6">
      <c r="B4" s="45" t="s">
        <v>254</v>
      </c>
      <c r="C4" s="137" t="s">
        <v>352</v>
      </c>
    </row>
    <row r="5" spans="1:6">
      <c r="B5" s="45" t="s">
        <v>255</v>
      </c>
      <c r="C5" s="137" t="s">
        <v>354</v>
      </c>
    </row>
    <row r="6" spans="1:6">
      <c r="C6" s="138" t="s">
        <v>353</v>
      </c>
    </row>
    <row r="8" spans="1:6">
      <c r="A8" t="s">
        <v>351</v>
      </c>
      <c r="B8" s="45" t="s">
        <v>254</v>
      </c>
      <c r="C8" s="45" t="s">
        <v>255</v>
      </c>
      <c r="D8" s="137" t="s">
        <v>352</v>
      </c>
      <c r="E8" s="137" t="s">
        <v>354</v>
      </c>
      <c r="F8" s="138" t="s">
        <v>353</v>
      </c>
    </row>
    <row r="9" spans="1:6">
      <c r="B9" s="46" t="s">
        <v>258</v>
      </c>
      <c r="C9" s="46" t="s">
        <v>258</v>
      </c>
      <c r="D9" s="47" t="s">
        <v>259</v>
      </c>
      <c r="E9" s="47" t="s">
        <v>260</v>
      </c>
      <c r="F9" s="47" t="s">
        <v>269</v>
      </c>
    </row>
    <row r="10" spans="1:6">
      <c r="D10" t="s">
        <v>376</v>
      </c>
      <c r="E10" t="s">
        <v>377</v>
      </c>
    </row>
    <row r="11" spans="1:6">
      <c r="D11" t="s">
        <v>379</v>
      </c>
      <c r="E11" t="s">
        <v>378</v>
      </c>
    </row>
    <row r="12" spans="1:6">
      <c r="A12" s="45"/>
    </row>
  </sheetData>
  <dataValidations count="4">
    <dataValidation type="custom" allowBlank="1" showInputMessage="1" showErrorMessage="1" sqref="B9:C9" xr:uid="{00000000-0002-0000-0E00-000000000000}">
      <formula1>E7&lt;M7</formula1>
    </dataValidation>
    <dataValidation type="custom" allowBlank="1" showInputMessage="1" showErrorMessage="1" sqref="D9" xr:uid="{00000000-0002-0000-0E00-000001000000}">
      <formula1>D15&lt;Q25*10^6</formula1>
    </dataValidation>
    <dataValidation type="custom" allowBlank="1" showInputMessage="1" showErrorMessage="1" sqref="F9" xr:uid="{00000000-0002-0000-0E00-000002000000}">
      <formula1>D10&lt;Q20*10^6</formula1>
    </dataValidation>
    <dataValidation type="custom" allowBlank="1" showInputMessage="1" showErrorMessage="1" sqref="E9" xr:uid="{00000000-0002-0000-0E00-000003000000}">
      <formula1>#REF!&lt;Q19*10^6</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81C11BB3EEC34A827AB4238FF35275" ma:contentTypeVersion="8" ma:contentTypeDescription="Create a new document." ma:contentTypeScope="" ma:versionID="fcfb9f1e030b2dd44dc48085e5c8f37a">
  <xsd:schema xmlns:xsd="http://www.w3.org/2001/XMLSchema" xmlns:xs="http://www.w3.org/2001/XMLSchema" xmlns:p="http://schemas.microsoft.com/office/2006/metadata/properties" xmlns:ns2="3aa15336-a8c0-43ed-975c-4aa5729f9509" xmlns:ns3="0b8ebd17-7650-4b56-a8db-ea2ef2146df4" targetNamespace="http://schemas.microsoft.com/office/2006/metadata/properties" ma:root="true" ma:fieldsID="c24fa4a82dd948dc2ccf9cc03e5d4ba5" ns2:_="" ns3:_="">
    <xsd:import namespace="3aa15336-a8c0-43ed-975c-4aa5729f9509"/>
    <xsd:import namespace="0b8ebd17-7650-4b56-a8db-ea2ef2146df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a15336-a8c0-43ed-975c-4aa5729f95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b8ebd17-7650-4b56-a8db-ea2ef2146df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612CF3-211D-4D9B-95C8-F9E03AEFBD65}"/>
</file>

<file path=customXml/itemProps2.xml><?xml version="1.0" encoding="utf-8"?>
<ds:datastoreItem xmlns:ds="http://schemas.openxmlformats.org/officeDocument/2006/customXml" ds:itemID="{BA1A9339-9EF8-4E4D-94BC-805C82076E1D}"/>
</file>

<file path=customXml/itemProps3.xml><?xml version="1.0" encoding="utf-8"?>
<ds:datastoreItem xmlns:ds="http://schemas.openxmlformats.org/officeDocument/2006/customXml" ds:itemID="{4BE5B1A3-D976-4544-A071-D611EBE80E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site independent</vt:lpstr>
      <vt:lpstr>modeled attributes</vt:lpstr>
      <vt:lpstr>modeled attributes1</vt:lpstr>
      <vt:lpstr>scenario analysis</vt:lpstr>
      <vt:lpstr>vre plants</vt:lpstr>
      <vt:lpstr>non-vre plants</vt:lpstr>
      <vt:lpstr>storage</vt:lpstr>
      <vt:lpstr>EV_aggregator</vt:lpstr>
      <vt:lpstr>demand response</vt:lpstr>
      <vt:lpstr>demand centres</vt:lpstr>
      <vt:lpstr>existing transmission</vt:lpstr>
      <vt:lpstr>modeled attributes _original</vt:lpstr>
      <vt:lpstr>lists</vt:lpstr>
      <vt:lpstr>mono_c_Si</vt:lpstr>
      <vt:lpstr>mono_tech</vt:lpstr>
      <vt:lpstr>multi_c_Si</vt:lpstr>
      <vt:lpstr>multi_tech</vt:lpstr>
      <vt:lpstr>'site independent'!Print_Area</vt:lpstr>
      <vt:lpstr>Solar</vt:lpstr>
      <vt:lpstr>thin_film</vt:lpstr>
      <vt:lpstr>thin_tech</vt:lpstr>
      <vt:lpstr>VRE</vt:lpstr>
      <vt:lpstr>Wind</vt:lpstr>
      <vt:lpstr>wind_offshore</vt:lpstr>
      <vt:lpstr>wind_onshore</vt:lpstr>
      <vt:lpstr>wind_tech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Nathalin</dc:creator>
  <cp:lastModifiedBy>Mohammadali Saffari</cp:lastModifiedBy>
  <cp:lastPrinted>2015-06-03T16:51:47Z</cp:lastPrinted>
  <dcterms:created xsi:type="dcterms:W3CDTF">2015-05-08T16:44:21Z</dcterms:created>
  <dcterms:modified xsi:type="dcterms:W3CDTF">2021-10-07T04:00:04Z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0x0101008781C11BB3EEC34A827AB4238FF35275</vt:lpwstr>
  </property>
  <property fmtid="{D5CDD505-2E9C-101B-9397-08002B2CF9AE}" pid="3" name="Order">
    <vt:r8>475500</vt:r8>
  </property>
  <property fmtid="{D5CDD505-2E9C-101B-9397-08002B2CF9AE}" pid="4" name="_ExtendedDescription">
    <vt:lpwstr/>
  </property>
  <property fmtid="{D5CDD505-2E9C-101B-9397-08002B2CF9AE}" pid="5" name="TriggerFlowInfo">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ies>
</file>