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repos\Courses-Fall2022\PChemLab\5 - Thiocyanate\"/>
    </mc:Choice>
  </mc:AlternateContent>
  <xr:revisionPtr revIDLastSave="0" documentId="13_ncr:1_{01121B68-C0B8-4333-B930-901B07D9D6D2}" xr6:coauthVersionLast="47" xr6:coauthVersionMax="47" xr10:uidLastSave="{00000000-0000-0000-0000-000000000000}"/>
  <bookViews>
    <workbookView xWindow="3270" yWindow="3660" windowWidth="17100" windowHeight="10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/>
  <c r="M2" i="1"/>
  <c r="L2" i="1"/>
  <c r="B17" i="1"/>
  <c r="B20" i="1"/>
  <c r="E2" i="1"/>
  <c r="I2" i="1" s="1"/>
  <c r="D2" i="1"/>
  <c r="J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D12" i="1" s="1"/>
  <c r="K2" i="1"/>
  <c r="L7" i="1" l="1"/>
  <c r="M10" i="1"/>
  <c r="M9" i="1"/>
  <c r="L6" i="1"/>
  <c r="L5" i="1"/>
  <c r="M7" i="1"/>
  <c r="L11" i="1"/>
  <c r="L10" i="1"/>
  <c r="M5" i="1"/>
  <c r="M8" i="1"/>
  <c r="L4" i="1"/>
  <c r="L9" i="1"/>
  <c r="M12" i="1"/>
  <c r="M4" i="1"/>
  <c r="L3" i="1"/>
  <c r="L12" i="1"/>
  <c r="M6" i="1"/>
  <c r="L8" i="1"/>
  <c r="M11" i="1"/>
  <c r="M3" i="1"/>
  <c r="K12" i="1"/>
  <c r="K9" i="1"/>
  <c r="N2" i="1"/>
  <c r="P2" i="1" s="1"/>
  <c r="K10" i="1"/>
  <c r="K8" i="1"/>
  <c r="K7" i="1"/>
  <c r="K6" i="1"/>
  <c r="K5" i="1"/>
  <c r="K4" i="1"/>
  <c r="K11" i="1"/>
  <c r="K3" i="1"/>
  <c r="B22" i="1"/>
  <c r="D4" i="1"/>
  <c r="E5" i="1"/>
  <c r="E4" i="1"/>
  <c r="F2" i="1"/>
  <c r="E3" i="1"/>
  <c r="D10" i="1"/>
  <c r="D9" i="1"/>
  <c r="D8" i="1"/>
  <c r="D7" i="1"/>
  <c r="E10" i="1"/>
  <c r="D6" i="1"/>
  <c r="E9" i="1"/>
  <c r="D5" i="1"/>
  <c r="E8" i="1"/>
  <c r="E12" i="1"/>
  <c r="E7" i="1"/>
  <c r="E11" i="1"/>
  <c r="D11" i="1"/>
  <c r="D3" i="1"/>
  <c r="E6" i="1"/>
  <c r="O2" i="1" l="1"/>
  <c r="Q2" i="1"/>
  <c r="G4" i="1"/>
  <c r="H4" i="1"/>
  <c r="J4" i="1" s="1"/>
  <c r="H6" i="1"/>
  <c r="H7" i="1"/>
  <c r="H3" i="1"/>
  <c r="H9" i="1"/>
  <c r="H5" i="1"/>
  <c r="H10" i="1"/>
  <c r="F12" i="1"/>
  <c r="H12" i="1"/>
  <c r="H11" i="1"/>
  <c r="G8" i="1"/>
  <c r="H8" i="1"/>
  <c r="F4" i="1"/>
  <c r="F9" i="1"/>
  <c r="G9" i="1"/>
  <c r="G10" i="1"/>
  <c r="F10" i="1"/>
  <c r="G7" i="1"/>
  <c r="F7" i="1"/>
  <c r="G12" i="1"/>
  <c r="F5" i="1"/>
  <c r="G5" i="1"/>
  <c r="F11" i="1"/>
  <c r="G11" i="1"/>
  <c r="F3" i="1"/>
  <c r="G3" i="1"/>
  <c r="F8" i="1"/>
  <c r="G6" i="1"/>
  <c r="F6" i="1"/>
  <c r="R2" i="1" l="1"/>
  <c r="I9" i="1"/>
  <c r="I7" i="1"/>
  <c r="J10" i="1"/>
  <c r="I3" i="1"/>
  <c r="J6" i="1"/>
  <c r="J5" i="1"/>
  <c r="J8" i="1"/>
  <c r="J11" i="1"/>
  <c r="J12" i="1"/>
  <c r="I4" i="1"/>
  <c r="N4" i="1" s="1"/>
  <c r="J7" i="1"/>
  <c r="I5" i="1"/>
  <c r="J3" i="1"/>
  <c r="I12" i="1"/>
  <c r="N12" i="1" s="1"/>
  <c r="I6" i="1"/>
  <c r="I8" i="1"/>
  <c r="J9" i="1"/>
  <c r="I10" i="1"/>
  <c r="I11" i="1"/>
  <c r="N8" i="1" l="1"/>
  <c r="P8" i="1" s="1"/>
  <c r="Q8" i="1"/>
  <c r="Q12" i="1"/>
  <c r="P12" i="1"/>
  <c r="Q4" i="1"/>
  <c r="P4" i="1"/>
  <c r="N10" i="1"/>
  <c r="N3" i="1"/>
  <c r="N5" i="1"/>
  <c r="O5" i="1" s="1"/>
  <c r="N11" i="1"/>
  <c r="O11" i="1" s="1"/>
  <c r="N9" i="1"/>
  <c r="O9" i="1" s="1"/>
  <c r="N7" i="1"/>
  <c r="O7" i="1" s="1"/>
  <c r="N6" i="1"/>
  <c r="O6" i="1" s="1"/>
  <c r="O12" i="1"/>
  <c r="O8" i="1"/>
  <c r="O4" i="1"/>
  <c r="R4" i="1" l="1"/>
  <c r="R12" i="1"/>
  <c r="R8" i="1"/>
  <c r="Q3" i="1"/>
  <c r="P3" i="1"/>
  <c r="Q10" i="1"/>
  <c r="P10" i="1"/>
  <c r="Q7" i="1"/>
  <c r="P7" i="1"/>
  <c r="Q9" i="1"/>
  <c r="P9" i="1"/>
  <c r="Q6" i="1"/>
  <c r="P6" i="1"/>
  <c r="R6" i="1" s="1"/>
  <c r="Q11" i="1"/>
  <c r="P11" i="1"/>
  <c r="O10" i="1"/>
  <c r="O3" i="1"/>
  <c r="Q5" i="1"/>
  <c r="P5" i="1"/>
  <c r="R5" i="1" l="1"/>
  <c r="R11" i="1"/>
  <c r="R9" i="1"/>
  <c r="R10" i="1"/>
  <c r="R7" i="1"/>
  <c r="R3" i="1"/>
</calcChain>
</file>

<file path=xl/sharedStrings.xml><?xml version="1.0" encoding="utf-8"?>
<sst xmlns="http://schemas.openxmlformats.org/spreadsheetml/2006/main" count="28" uniqueCount="27">
  <si>
    <t>Gibbs Energy of rxn</t>
  </si>
  <si>
    <t>T</t>
  </si>
  <si>
    <t>R</t>
  </si>
  <si>
    <t>Ka</t>
  </si>
  <si>
    <t>Kγ</t>
  </si>
  <si>
    <t>[SCN-]</t>
  </si>
  <si>
    <t>[K+]</t>
  </si>
  <si>
    <t>[Fe3+]</t>
  </si>
  <si>
    <t>[NO3-]</t>
  </si>
  <si>
    <t>[H+]</t>
  </si>
  <si>
    <t>[FeSCN2+]</t>
  </si>
  <si>
    <t>-</t>
  </si>
  <si>
    <t>m=</t>
  </si>
  <si>
    <t>b=</t>
  </si>
  <si>
    <t>Kc=</t>
  </si>
  <si>
    <t>Kc calculation</t>
  </si>
  <si>
    <t>I</t>
  </si>
  <si>
    <r>
      <t>γ for z=</t>
    </r>
    <r>
      <rPr>
        <sz val="11"/>
        <color theme="1"/>
        <rFont val="Calibri"/>
        <family val="2"/>
      </rPr>
      <t>±2</t>
    </r>
  </si>
  <si>
    <r>
      <t>γ for z=</t>
    </r>
    <r>
      <rPr>
        <sz val="11"/>
        <color theme="1"/>
        <rFont val="Calibri"/>
        <family val="2"/>
      </rPr>
      <t>±3</t>
    </r>
  </si>
  <si>
    <r>
      <t>γ for z=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</t>
    </r>
  </si>
  <si>
    <r>
      <t>C</t>
    </r>
    <r>
      <rPr>
        <sz val="8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+ C</t>
    </r>
    <r>
      <rPr>
        <sz val="8"/>
        <color theme="1"/>
        <rFont val="Calibri"/>
        <family val="2"/>
        <scheme val="minor"/>
      </rPr>
      <t>s</t>
    </r>
  </si>
  <si>
    <r>
      <t>Cf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Cs/A</t>
    </r>
  </si>
  <si>
    <t>A (mol/cm/L)</t>
  </si>
  <si>
    <r>
      <t>C</t>
    </r>
    <r>
      <rPr>
        <sz val="8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(M)</t>
    </r>
  </si>
  <si>
    <r>
      <t>C</t>
    </r>
    <r>
      <rPr>
        <sz val="8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(M)</t>
    </r>
  </si>
  <si>
    <r>
      <t>V</t>
    </r>
    <r>
      <rPr>
        <sz val="8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 xml:space="preserve"> (L)</t>
    </r>
  </si>
  <si>
    <t>Fe(NO3)3 added(L)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</si>
</sst>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29542869641295"/>
                  <c:y val="-3.6315616797900262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Sheet1!$F$3:$F$12</c:f>
              <c:numCache>
                <c:formatCode>0.00E+00</c:formatCode>
                <c:ptCount val="10"/>
                <c:pt idx="0">
                  <c:v>1.1881188118811881E-3</c:v>
                </c:pt>
                <c:pt idx="1">
                  <c:v>2.1568627450980391E-3</c:v>
                </c:pt>
                <c:pt idx="2">
                  <c:v>3.1067961165048546E-3</c:v>
                </c:pt>
                <c:pt idx="3">
                  <c:v>4.0384615384615385E-3</c:v>
                </c:pt>
                <c:pt idx="4">
                  <c:v>4.952380952380952E-3</c:v>
                </c:pt>
                <c:pt idx="5">
                  <c:v>5.8490566037735841E-3</c:v>
                </c:pt>
                <c:pt idx="6">
                  <c:v>6.7289719626168224E-3</c:v>
                </c:pt>
                <c:pt idx="7">
                  <c:v>7.5925925925925918E-3</c:v>
                </c:pt>
                <c:pt idx="8">
                  <c:v>8.4403669724770654E-3</c:v>
                </c:pt>
                <c:pt idx="9">
                  <c:v>9.2727272727272745E-3</c:v>
                </c:pt>
              </c:numCache>
            </c:numRef>
          </c:xVal>
          <c:yVal>
            <c:numRef>
              <c:f>Sheet1!$G$3:$G$12</c:f>
              <c:numCache>
                <c:formatCode>0.00E+00</c:formatCode>
                <c:ptCount val="10"/>
                <c:pt idx="0">
                  <c:v>1.054081773555829E-6</c:v>
                </c:pt>
                <c:pt idx="1">
                  <c:v>2.4333386866784437E-6</c:v>
                </c:pt>
                <c:pt idx="2">
                  <c:v>3.3664139611919798E-6</c:v>
                </c:pt>
                <c:pt idx="3">
                  <c:v>3.3773742941287725E-6</c:v>
                </c:pt>
                <c:pt idx="4">
                  <c:v>3.9957245747050653E-6</c:v>
                </c:pt>
                <c:pt idx="5">
                  <c:v>3.9999840000639986E-6</c:v>
                </c:pt>
                <c:pt idx="6">
                  <c:v>4.7766180452441262E-6</c:v>
                </c:pt>
                <c:pt idx="7">
                  <c:v>4.2866941015089157E-6</c:v>
                </c:pt>
                <c:pt idx="8">
                  <c:v>4.4428855949554492E-6</c:v>
                </c:pt>
                <c:pt idx="9">
                  <c:v>3.4579342300909441E-6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D-4502-B736-20F425A74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559120"/>
        <c:axId val="670559536"/>
      </c:scatterChart>
      <c:valAx>
        <c:axId val="67055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Cf + 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559536"/>
        <c:crosses val="autoZero"/>
        <c:crossBetween val="midCat"/>
      </c:valAx>
      <c:valAx>
        <c:axId val="6705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Cf×Cs/A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5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764685447174814"/>
                  <c:y val="-2.60068533100029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Sheet1!$N$2:$N$12</c:f>
              <c:numCache>
                <c:formatCode>0.00E+00</c:formatCode>
                <c:ptCount val="11"/>
                <c:pt idx="0">
                  <c:v>0.5168339999999999</c:v>
                </c:pt>
                <c:pt idx="1">
                  <c:v>0.51617973362358471</c:v>
                </c:pt>
                <c:pt idx="2">
                  <c:v>0.51555853327994572</c:v>
                </c:pt>
                <c:pt idx="3">
                  <c:v>0.51496274848155832</c:v>
                </c:pt>
                <c:pt idx="4">
                  <c:v>0.51438767477457081</c:v>
                </c:pt>
                <c:pt idx="5">
                  <c:v>0.51383021853199284</c:v>
                </c:pt>
                <c:pt idx="6">
                  <c:v>0.51328822962171206</c:v>
                </c:pt>
                <c:pt idx="7">
                  <c:v>0.51276014207459519</c:v>
                </c:pt>
                <c:pt idx="8">
                  <c:v>0.51224476866063284</c:v>
                </c:pt>
                <c:pt idx="9">
                  <c:v>0.51174117751519199</c:v>
                </c:pt>
                <c:pt idx="10">
                  <c:v>0.51124861490717122</c:v>
                </c:pt>
              </c:numCache>
            </c:numRef>
          </c:xVal>
          <c:yVal>
            <c:numRef>
              <c:f>Sheet1!$R$2:$R$12</c:f>
              <c:numCache>
                <c:formatCode>0.000</c:formatCode>
                <c:ptCount val="11"/>
                <c:pt idx="0">
                  <c:v>2.2339494908391297</c:v>
                </c:pt>
                <c:pt idx="1">
                  <c:v>2.2342373008270084</c:v>
                </c:pt>
                <c:pt idx="2">
                  <c:v>2.2345094663455609</c:v>
                </c:pt>
                <c:pt idx="3">
                  <c:v>2.2347694884385789</c:v>
                </c:pt>
                <c:pt idx="4">
                  <c:v>2.2350195329019309</c:v>
                </c:pt>
                <c:pt idx="5">
                  <c:v>2.2352610350790059</c:v>
                </c:pt>
                <c:pt idx="6">
                  <c:v>2.235495001923502</c:v>
                </c:pt>
                <c:pt idx="7">
                  <c:v>2.2357221745861993</c:v>
                </c:pt>
                <c:pt idx="8">
                  <c:v>2.235943121356271</c:v>
                </c:pt>
                <c:pt idx="9">
                  <c:v>2.2361582934942614</c:v>
                </c:pt>
                <c:pt idx="10">
                  <c:v>2.2363680602049247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7-490F-B713-CDDC7DEB4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156624"/>
        <c:axId val="480160368"/>
      </c:scatterChart>
      <c:valAx>
        <c:axId val="48015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Ionic</a:t>
                </a:r>
                <a:r>
                  <a:rPr lang="en-US" baseline="0"/>
                  <a:t> Strength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160368"/>
        <c:crosses val="autoZero"/>
        <c:crossBetween val="midCat"/>
      </c:valAx>
      <c:valAx>
        <c:axId val="480160368"/>
        <c:scaling>
          <c:orientation val="minMax"/>
          <c:max val="2.2370000000000001"/>
          <c:min val="2.2333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l-GR"/>
                  <a:t>γ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1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43962</xdr:colOff>
      <xdr:row>12</xdr:row>
      <xdr:rowOff>73268</xdr:rowOff>
    </xdr:from>
    <xdr:to>
      <xdr:col>10</xdr:col>
      <xdr:colOff>348156</xdr:colOff>
      <xdr:row>26</xdr:row>
      <xdr:rowOff>137777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028E2B-2B8C-74D2-EB18-0D4E37634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203639</xdr:colOff>
      <xdr:row>12</xdr:row>
      <xdr:rowOff>80141</xdr:rowOff>
    </xdr:from>
    <xdr:to>
      <xdr:col>18</xdr:col>
      <xdr:colOff>499243</xdr:colOff>
      <xdr:row>26</xdr:row>
      <xdr:rowOff>156341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4DBC3D-9225-7F0A-6AC1-96401C318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J4" zoomScale="140" zoomScaleNormal="140" workbookViewId="0">
      <selection activeCell="B3" sqref="B3"/>
    </sheetView>
  </sheetViews>
  <sheetFormatPr defaultRowHeight="15" x14ac:dyDescent="0.25"/>
  <cols>
    <col min="1" max="1" width="12" customWidth="1"/>
    <col min="2" max="2" width="9.7109375" customWidth="1"/>
    <col min="3" max="3" width="6.7109375" customWidth="1"/>
    <col min="4" max="9" width="9.5703125" bestFit="1" customWidth="1"/>
    <col min="10" max="10" width="9" customWidth="1"/>
    <col min="11" max="11" width="9.140625" customWidth="1"/>
    <col min="12" max="17" width="9.5703125" bestFit="1" customWidth="1"/>
    <col min="18" max="18" width="6.5703125" customWidth="1"/>
  </cols>
  <sheetData>
    <row r="1" spans="1:19" x14ac:dyDescent="0.25">
      <c r="A1" t="s">
        <v>26</v>
      </c>
      <c r="B1" t="s">
        <v>25</v>
      </c>
      <c r="C1" t="s">
        <v>22</v>
      </c>
      <c r="D1" t="s">
        <v>23</v>
      </c>
      <c r="E1" t="s">
        <v>24</v>
      </c>
      <c r="F1" t="s">
        <v>20</v>
      </c>
      <c r="G1" t="s">
        <v>21</v>
      </c>
      <c r="H1" t="s">
        <v>10</v>
      </c>
      <c r="I1" t="s">
        <v>7</v>
      </c>
      <c r="J1" t="s">
        <v>5</v>
      </c>
      <c r="K1" t="s">
        <v>6</v>
      </c>
      <c r="L1" t="s">
        <v>8</v>
      </c>
      <c r="M1" t="s">
        <v>9</v>
      </c>
      <c r="N1" t="s">
        <v>16</v>
      </c>
      <c r="O1" t="s">
        <v>19</v>
      </c>
      <c r="P1" t="s">
        <v>17</v>
      </c>
      <c r="Q1" t="s">
        <v>18</v>
      </c>
      <c r="R1" t="s">
        <v>4</v>
      </c>
    </row>
    <row r="2" spans="1:19" x14ac:dyDescent="0.25">
      <c r="A2" s="2">
        <v>0</v>
      </c>
      <c r="B2" s="2">
        <v>0.1</v>
      </c>
      <c r="C2" t="s">
        <v>11</v>
      </c>
      <c r="D2" s="1">
        <f>0.001*0.02/B2</f>
        <v>2.0000000000000001E-4</v>
      </c>
      <c r="E2" s="1">
        <f>0.1*A2/B2</f>
        <v>0</v>
      </c>
      <c r="F2" s="1">
        <f t="shared" ref="F2:F12" si="0">D2+E2</f>
        <v>2.0000000000000001E-4</v>
      </c>
      <c r="G2" s="1" t="s">
        <v>11</v>
      </c>
      <c r="H2" s="1">
        <v>0</v>
      </c>
      <c r="I2" s="1">
        <f>E2-H2</f>
        <v>0</v>
      </c>
      <c r="J2" s="1">
        <f>D2-H2</f>
        <v>2.0000000000000001E-4</v>
      </c>
      <c r="K2" s="1">
        <f>0.001*0.02/B2</f>
        <v>2.0000000000000001E-4</v>
      </c>
      <c r="L2" s="1">
        <f>2*0.025/B2+0.3*0.001/B2+0.5*0.001/B2</f>
        <v>0.50800000000000001</v>
      </c>
      <c r="M2" s="1">
        <f>0.5*0.001/B2+2*0.025/B2</f>
        <v>0.505</v>
      </c>
      <c r="N2" s="1">
        <f>0.5*(H2*4+I2*9+J2+K2+L2+M2)*1.02</f>
        <v>0.5168339999999999</v>
      </c>
      <c r="O2" s="1">
        <f>EXP(-0.509*(SQRT(N2)/(1+SQRT(N2))-0.3*N2))</f>
        <v>0.87462343214836502</v>
      </c>
      <c r="P2" s="1">
        <f>EXP(-0.509*4*(SQRT(N2)/(1+SQRT(N2))-0.3*N2))</f>
        <v>0.58517320768232173</v>
      </c>
      <c r="Q2" s="1">
        <f>EXP(-0.509*9*(SQRT(N2)/(1+SQRT(N2))-0.3*N2))</f>
        <v>0.29949527535864184</v>
      </c>
      <c r="R2" s="2">
        <f>P2/(O2*Q2)</f>
        <v>2.2339494908391297</v>
      </c>
      <c r="S2" s="2"/>
    </row>
    <row r="3" spans="1:19" x14ac:dyDescent="0.25">
      <c r="A3" s="2">
        <f>A2+0.001</f>
        <v>1E-3</v>
      </c>
      <c r="B3" s="2">
        <f>B2+0.001</f>
        <v>0.10100000000000001</v>
      </c>
      <c r="C3" s="2">
        <v>0.186</v>
      </c>
      <c r="D3" s="1">
        <f t="shared" ref="D3:D12" si="1">0.001*0.02/B3</f>
        <v>1.9801980198019803E-4</v>
      </c>
      <c r="E3" s="1">
        <f t="shared" ref="E3:E12" si="2">0.1*A3/B3</f>
        <v>9.9009900990099011E-4</v>
      </c>
      <c r="F3" s="1">
        <f t="shared" si="0"/>
        <v>1.1881188118811881E-3</v>
      </c>
      <c r="G3" s="1">
        <f>D3*E3/C3</f>
        <v>1.054081773555829E-6</v>
      </c>
      <c r="H3" s="1">
        <f t="shared" ref="H3:H12" si="3">$B$17*E3*D3/(1+$B$17*(E3+D3))</f>
        <v>2.6683828440935015E-5</v>
      </c>
      <c r="I3" s="1">
        <f t="shared" ref="I3:I12" si="4">E3-H3</f>
        <v>9.6341518146005512E-4</v>
      </c>
      <c r="J3" s="1">
        <f t="shared" ref="J3:J12" si="5">D3-H3</f>
        <v>1.7133597353926301E-4</v>
      </c>
      <c r="K3" s="1">
        <f t="shared" ref="K3:K12" si="6">0.001*0.02/B3</f>
        <v>1.9801980198019803E-4</v>
      </c>
      <c r="L3" s="1">
        <f>2*0.025/B3+0.3*0.001/B3+0.5*0.001/B3</f>
        <v>0.50297029702970297</v>
      </c>
      <c r="M3" s="1">
        <f t="shared" ref="M3:M12" si="7">0.5*0.001/B3+2*0.025/B3</f>
        <v>0.5</v>
      </c>
      <c r="N3" s="1">
        <f t="shared" ref="N3:N12" si="8">0.5*(H3*4+I3*9+J3+K3+L3+M3)*1.02</f>
        <v>0.51617973362358471</v>
      </c>
      <c r="O3" s="1">
        <f t="shared" ref="O3:O12" si="9">EXP(-0.509*(SQRT(N3)/(1+SQRT(N3))-0.3*N3))</f>
        <v>0.87460465326637815</v>
      </c>
      <c r="P3" s="1">
        <f t="shared" ref="P3:P12" si="10">EXP(-0.509*4*(SQRT(N3)/(1+SQRT(N3))-0.3*N3))</f>
        <v>0.58512295270721293</v>
      </c>
      <c r="Q3" s="1">
        <f t="shared" ref="Q3:Q12" si="11">EXP(-0.509*9*(SQRT(N3)/(1+SQRT(N3))-0.3*N3))</f>
        <v>0.2994374066473432</v>
      </c>
      <c r="R3" s="2">
        <f t="shared" ref="R3:R12" si="12">P3/(O3*Q3)</f>
        <v>2.2342373008270084</v>
      </c>
    </row>
    <row r="4" spans="1:19" x14ac:dyDescent="0.25">
      <c r="A4" s="2">
        <f t="shared" ref="A4:A12" si="13">A3+0.001</f>
        <v>2E-3</v>
      </c>
      <c r="B4" s="2">
        <f t="shared" ref="B4:B12" si="14">B3+0.001</f>
        <v>0.10200000000000001</v>
      </c>
      <c r="C4" s="2">
        <v>0.158</v>
      </c>
      <c r="D4" s="1">
        <f t="shared" si="1"/>
        <v>1.9607843137254901E-4</v>
      </c>
      <c r="E4" s="1">
        <f t="shared" si="2"/>
        <v>1.9607843137254902E-3</v>
      </c>
      <c r="F4" s="1">
        <f t="shared" si="0"/>
        <v>2.1568627450980391E-3</v>
      </c>
      <c r="G4" s="1">
        <f t="shared" ref="G4:G12" si="15">D4*E4/C4</f>
        <v>2.4333386866784437E-6</v>
      </c>
      <c r="H4" s="1">
        <f t="shared" si="3"/>
        <v>4.6230954266081332E-5</v>
      </c>
      <c r="I4" s="1">
        <f t="shared" si="4"/>
        <v>1.9145533594594089E-3</v>
      </c>
      <c r="J4" s="1">
        <f t="shared" si="5"/>
        <v>1.4984747710646769E-4</v>
      </c>
      <c r="K4" s="1">
        <f t="shared" si="6"/>
        <v>1.9607843137254901E-4</v>
      </c>
      <c r="L4" s="1">
        <f t="shared" ref="L4:L12" si="16">2*0.025/B4+0.3*0.001/B4+0.5*0.001/B4</f>
        <v>0.49803921568627446</v>
      </c>
      <c r="M4" s="1">
        <f t="shared" si="7"/>
        <v>0.49509803921568624</v>
      </c>
      <c r="N4" s="1">
        <f t="shared" si="8"/>
        <v>0.51555853327994572</v>
      </c>
      <c r="O4" s="1">
        <f t="shared" si="9"/>
        <v>0.87458689774300269</v>
      </c>
      <c r="P4" s="1">
        <f t="shared" si="10"/>
        <v>0.58507543936339046</v>
      </c>
      <c r="Q4" s="1">
        <f t="shared" si="11"/>
        <v>0.29938270064364902</v>
      </c>
      <c r="R4" s="2">
        <f t="shared" si="12"/>
        <v>2.2345094663455609</v>
      </c>
    </row>
    <row r="5" spans="1:19" x14ac:dyDescent="0.25">
      <c r="A5" s="2">
        <f t="shared" si="13"/>
        <v>3.0000000000000001E-3</v>
      </c>
      <c r="B5" s="2">
        <f t="shared" si="14"/>
        <v>0.10300000000000001</v>
      </c>
      <c r="C5" s="2">
        <v>0.16800000000000001</v>
      </c>
      <c r="D5" s="1">
        <f t="shared" si="1"/>
        <v>1.9417475728155341E-4</v>
      </c>
      <c r="E5" s="1">
        <f t="shared" si="2"/>
        <v>2.9126213592233011E-3</v>
      </c>
      <c r="F5" s="1">
        <f t="shared" si="0"/>
        <v>3.1067961165048546E-3</v>
      </c>
      <c r="G5" s="1">
        <f t="shared" si="15"/>
        <v>3.3664139611919798E-6</v>
      </c>
      <c r="H5" s="1">
        <f t="shared" si="3"/>
        <v>6.1034667172697614E-5</v>
      </c>
      <c r="I5" s="1">
        <f t="shared" si="4"/>
        <v>2.8515866920506036E-3</v>
      </c>
      <c r="J5" s="1">
        <f t="shared" si="5"/>
        <v>1.331400901088558E-4</v>
      </c>
      <c r="K5" s="1">
        <f t="shared" si="6"/>
        <v>1.9417475728155341E-4</v>
      </c>
      <c r="L5" s="1">
        <f t="shared" si="16"/>
        <v>0.49320388349514566</v>
      </c>
      <c r="M5" s="1">
        <f t="shared" si="7"/>
        <v>0.49029126213592233</v>
      </c>
      <c r="N5" s="1">
        <f t="shared" si="8"/>
        <v>0.51496274848155832</v>
      </c>
      <c r="O5" s="1">
        <f t="shared" si="9"/>
        <v>0.87456993678851647</v>
      </c>
      <c r="P5" s="1">
        <f t="shared" si="10"/>
        <v>0.58503005496873284</v>
      </c>
      <c r="Q5" s="1">
        <f t="shared" si="11"/>
        <v>0.29933045105881273</v>
      </c>
      <c r="R5" s="2">
        <f t="shared" si="12"/>
        <v>2.2347694884385789</v>
      </c>
    </row>
    <row r="6" spans="1:19" x14ac:dyDescent="0.25">
      <c r="A6" s="2">
        <f t="shared" si="13"/>
        <v>4.0000000000000001E-3</v>
      </c>
      <c r="B6" s="2">
        <f t="shared" si="14"/>
        <v>0.10400000000000001</v>
      </c>
      <c r="C6" s="2">
        <v>0.219</v>
      </c>
      <c r="D6" s="1">
        <f t="shared" si="1"/>
        <v>1.9230769230769231E-4</v>
      </c>
      <c r="E6" s="1">
        <f t="shared" si="2"/>
        <v>3.8461538461538459E-3</v>
      </c>
      <c r="F6" s="1">
        <f t="shared" si="0"/>
        <v>4.0384615384615385E-3</v>
      </c>
      <c r="G6" s="1">
        <f t="shared" si="15"/>
        <v>3.3773742941287725E-6</v>
      </c>
      <c r="H6" s="1">
        <f t="shared" si="3"/>
        <v>7.2529611125691769E-5</v>
      </c>
      <c r="I6" s="1">
        <f t="shared" si="4"/>
        <v>3.7736242350281542E-3</v>
      </c>
      <c r="J6" s="1">
        <f t="shared" si="5"/>
        <v>1.1977808118200054E-4</v>
      </c>
      <c r="K6" s="1">
        <f t="shared" si="6"/>
        <v>1.9230769230769231E-4</v>
      </c>
      <c r="L6" s="1">
        <f t="shared" si="16"/>
        <v>0.48846153846153839</v>
      </c>
      <c r="M6" s="1">
        <f t="shared" si="7"/>
        <v>0.48557692307692302</v>
      </c>
      <c r="N6" s="1">
        <f t="shared" si="8"/>
        <v>0.51438767477457081</v>
      </c>
      <c r="O6" s="1">
        <f t="shared" si="9"/>
        <v>0.8745536288352157</v>
      </c>
      <c r="P6" s="1">
        <f t="shared" si="10"/>
        <v>0.58498642037502491</v>
      </c>
      <c r="Q6" s="1">
        <f t="shared" si="11"/>
        <v>0.29928022074035354</v>
      </c>
      <c r="R6" s="2">
        <f t="shared" si="12"/>
        <v>2.2350195329019309</v>
      </c>
    </row>
    <row r="7" spans="1:19" x14ac:dyDescent="0.25">
      <c r="A7" s="2">
        <f t="shared" si="13"/>
        <v>5.0000000000000001E-3</v>
      </c>
      <c r="B7" s="2">
        <f t="shared" si="14"/>
        <v>0.10500000000000001</v>
      </c>
      <c r="C7" s="2">
        <v>0.22700000000000001</v>
      </c>
      <c r="D7" s="1">
        <f t="shared" si="1"/>
        <v>1.9047619047619048E-4</v>
      </c>
      <c r="E7" s="1">
        <f t="shared" si="2"/>
        <v>4.7619047619047615E-3</v>
      </c>
      <c r="F7" s="1">
        <f t="shared" si="0"/>
        <v>4.952380952380952E-3</v>
      </c>
      <c r="G7" s="1">
        <f t="shared" si="15"/>
        <v>3.9957245747050653E-6</v>
      </c>
      <c r="H7" s="1">
        <f t="shared" si="3"/>
        <v>8.1627930721292878E-5</v>
      </c>
      <c r="I7" s="1">
        <f t="shared" si="4"/>
        <v>4.680276831183469E-3</v>
      </c>
      <c r="J7" s="1">
        <f t="shared" si="5"/>
        <v>1.088482597548976E-4</v>
      </c>
      <c r="K7" s="1">
        <f t="shared" si="6"/>
        <v>1.9047619047619048E-4</v>
      </c>
      <c r="L7" s="1">
        <f t="shared" si="16"/>
        <v>0.48380952380952374</v>
      </c>
      <c r="M7" s="1">
        <f t="shared" si="7"/>
        <v>0.48095238095238091</v>
      </c>
      <c r="N7" s="1">
        <f t="shared" si="8"/>
        <v>0.51383021853199284</v>
      </c>
      <c r="O7" s="1">
        <f t="shared" si="9"/>
        <v>0.87453788003223154</v>
      </c>
      <c r="P7" s="1">
        <f t="shared" si="10"/>
        <v>0.58494428419616751</v>
      </c>
      <c r="Q7" s="1">
        <f t="shared" si="11"/>
        <v>0.29923171977908269</v>
      </c>
      <c r="R7" s="2">
        <f t="shared" si="12"/>
        <v>2.2352610350790059</v>
      </c>
    </row>
    <row r="8" spans="1:19" x14ac:dyDescent="0.25">
      <c r="A8" s="2">
        <f t="shared" si="13"/>
        <v>6.0000000000000001E-3</v>
      </c>
      <c r="B8" s="2">
        <f t="shared" si="14"/>
        <v>0.10600000000000001</v>
      </c>
      <c r="C8" s="2">
        <v>0.26700000000000002</v>
      </c>
      <c r="D8" s="1">
        <f t="shared" si="1"/>
        <v>1.8867924528301886E-4</v>
      </c>
      <c r="E8" s="1">
        <f t="shared" si="2"/>
        <v>5.6603773584905656E-3</v>
      </c>
      <c r="F8" s="1">
        <f t="shared" si="0"/>
        <v>5.8490566037735841E-3</v>
      </c>
      <c r="G8" s="1">
        <f t="shared" si="15"/>
        <v>3.9999840000639986E-6</v>
      </c>
      <c r="H8" s="1">
        <f t="shared" si="3"/>
        <v>8.8937168881866342E-5</v>
      </c>
      <c r="I8" s="1">
        <f t="shared" si="4"/>
        <v>5.571440189608699E-3</v>
      </c>
      <c r="J8" s="1">
        <f t="shared" si="5"/>
        <v>9.9742076401152516E-5</v>
      </c>
      <c r="K8" s="1">
        <f t="shared" si="6"/>
        <v>1.8867924528301886E-4</v>
      </c>
      <c r="L8" s="1">
        <f t="shared" si="16"/>
        <v>0.47924528301886787</v>
      </c>
      <c r="M8" s="1">
        <f t="shared" si="7"/>
        <v>0.47641509433962259</v>
      </c>
      <c r="N8" s="1">
        <f t="shared" si="8"/>
        <v>0.51328822962171206</v>
      </c>
      <c r="O8" s="1">
        <f t="shared" si="9"/>
        <v>0.8745226245152653</v>
      </c>
      <c r="P8" s="1">
        <f t="shared" si="10"/>
        <v>0.58490346998257436</v>
      </c>
      <c r="Q8" s="1">
        <f t="shared" si="11"/>
        <v>0.29918474463308237</v>
      </c>
      <c r="R8" s="2">
        <f t="shared" si="12"/>
        <v>2.235495001923502</v>
      </c>
    </row>
    <row r="9" spans="1:19" x14ac:dyDescent="0.25">
      <c r="A9" s="2">
        <f t="shared" si="13"/>
        <v>7.0000000000000001E-3</v>
      </c>
      <c r="B9" s="2">
        <f t="shared" si="14"/>
        <v>0.10700000000000001</v>
      </c>
      <c r="C9" s="2">
        <v>0.25600000000000001</v>
      </c>
      <c r="D9" s="1">
        <f t="shared" si="1"/>
        <v>1.8691588785046728E-4</v>
      </c>
      <c r="E9" s="1">
        <f t="shared" si="2"/>
        <v>6.5420560747663555E-3</v>
      </c>
      <c r="F9" s="1">
        <f t="shared" si="0"/>
        <v>6.7289719626168224E-3</v>
      </c>
      <c r="G9" s="1">
        <f t="shared" si="15"/>
        <v>4.7766180452441262E-6</v>
      </c>
      <c r="H9" s="1">
        <f t="shared" si="3"/>
        <v>9.4877521282483467E-5</v>
      </c>
      <c r="I9" s="1">
        <f t="shared" si="4"/>
        <v>6.447178553483872E-3</v>
      </c>
      <c r="J9" s="1">
        <f t="shared" si="5"/>
        <v>9.2038366567983814E-5</v>
      </c>
      <c r="K9" s="1">
        <f t="shared" si="6"/>
        <v>1.8691588785046728E-4</v>
      </c>
      <c r="L9" s="1">
        <f t="shared" si="16"/>
        <v>0.47476635514018689</v>
      </c>
      <c r="M9" s="1">
        <f t="shared" si="7"/>
        <v>0.4719626168224299</v>
      </c>
      <c r="N9" s="1">
        <f t="shared" si="8"/>
        <v>0.51276014207459519</v>
      </c>
      <c r="O9" s="1">
        <f t="shared" si="9"/>
        <v>0.8745078137867599</v>
      </c>
      <c r="P9" s="1">
        <f t="shared" si="10"/>
        <v>0.58486384778784872</v>
      </c>
      <c r="Q9" s="1">
        <f t="shared" si="11"/>
        <v>0.29913914536142977</v>
      </c>
      <c r="R9" s="2">
        <f t="shared" si="12"/>
        <v>2.2357221745861993</v>
      </c>
    </row>
    <row r="10" spans="1:19" x14ac:dyDescent="0.25">
      <c r="A10" s="2">
        <f t="shared" si="13"/>
        <v>8.0000000000000002E-3</v>
      </c>
      <c r="B10" s="2">
        <f t="shared" si="14"/>
        <v>0.10800000000000001</v>
      </c>
      <c r="C10" s="2">
        <v>0.32</v>
      </c>
      <c r="D10" s="1">
        <f t="shared" si="1"/>
        <v>1.8518518518518518E-4</v>
      </c>
      <c r="E10" s="1">
        <f t="shared" si="2"/>
        <v>7.4074074074074068E-3</v>
      </c>
      <c r="F10" s="1">
        <f t="shared" si="0"/>
        <v>7.5925925925925918E-3</v>
      </c>
      <c r="G10" s="1">
        <f t="shared" si="15"/>
        <v>4.2866941015089157E-6</v>
      </c>
      <c r="H10" s="1">
        <f t="shared" si="3"/>
        <v>9.9748803714747093E-5</v>
      </c>
      <c r="I10" s="1">
        <f t="shared" si="4"/>
        <v>7.30765860369266E-3</v>
      </c>
      <c r="J10" s="1">
        <f t="shared" si="5"/>
        <v>8.5436381470438083E-5</v>
      </c>
      <c r="K10" s="1">
        <f t="shared" si="6"/>
        <v>1.8518518518518518E-4</v>
      </c>
      <c r="L10" s="1">
        <f t="shared" si="16"/>
        <v>0.47037037037037033</v>
      </c>
      <c r="M10" s="1">
        <f t="shared" si="7"/>
        <v>0.46759259259259256</v>
      </c>
      <c r="N10" s="1">
        <f t="shared" si="8"/>
        <v>0.51224476866063284</v>
      </c>
      <c r="O10" s="1">
        <f t="shared" si="9"/>
        <v>0.87449341064512176</v>
      </c>
      <c r="P10" s="1">
        <f t="shared" si="10"/>
        <v>0.58482531791494741</v>
      </c>
      <c r="Q10" s="1">
        <f t="shared" si="11"/>
        <v>0.29909480689333728</v>
      </c>
      <c r="R10" s="2">
        <f t="shared" si="12"/>
        <v>2.235943121356271</v>
      </c>
    </row>
    <row r="11" spans="1:19" x14ac:dyDescent="0.25">
      <c r="A11" s="2">
        <f t="shared" si="13"/>
        <v>9.0000000000000011E-3</v>
      </c>
      <c r="B11" s="2">
        <f t="shared" si="14"/>
        <v>0.10900000000000001</v>
      </c>
      <c r="C11" s="2">
        <v>0.34100000000000003</v>
      </c>
      <c r="D11" s="1">
        <f t="shared" si="1"/>
        <v>1.8348623853211009E-4</v>
      </c>
      <c r="E11" s="1">
        <f t="shared" si="2"/>
        <v>8.2568807339449546E-3</v>
      </c>
      <c r="F11" s="1">
        <f t="shared" si="0"/>
        <v>8.4403669724770654E-3</v>
      </c>
      <c r="G11" s="1">
        <f t="shared" si="15"/>
        <v>4.4428855949554492E-6</v>
      </c>
      <c r="H11" s="1">
        <f t="shared" si="3"/>
        <v>1.0377061475108442E-4</v>
      </c>
      <c r="I11" s="1">
        <f t="shared" si="4"/>
        <v>8.1531101191938699E-3</v>
      </c>
      <c r="J11" s="1">
        <f t="shared" si="5"/>
        <v>7.9715623781025671E-5</v>
      </c>
      <c r="K11" s="1">
        <f t="shared" si="6"/>
        <v>1.8348623853211009E-4</v>
      </c>
      <c r="L11" s="1">
        <f t="shared" si="16"/>
        <v>0.46605504587155955</v>
      </c>
      <c r="M11" s="1">
        <f t="shared" si="7"/>
        <v>0.46330275229357792</v>
      </c>
      <c r="N11" s="1">
        <f t="shared" si="8"/>
        <v>0.51174117751519199</v>
      </c>
      <c r="O11" s="1">
        <f t="shared" si="9"/>
        <v>0.87447938553771276</v>
      </c>
      <c r="P11" s="1">
        <f t="shared" si="10"/>
        <v>0.58478780115161644</v>
      </c>
      <c r="Q11" s="1">
        <f t="shared" si="11"/>
        <v>0.29905163777530946</v>
      </c>
      <c r="R11" s="2">
        <f t="shared" si="12"/>
        <v>2.2361582934942614</v>
      </c>
    </row>
    <row r="12" spans="1:19" x14ac:dyDescent="0.25">
      <c r="A12" s="2">
        <f t="shared" si="13"/>
        <v>1.0000000000000002E-2</v>
      </c>
      <c r="B12" s="2">
        <f t="shared" si="14"/>
        <v>0.11000000000000001</v>
      </c>
      <c r="C12" s="2">
        <v>0.47799999999999998</v>
      </c>
      <c r="D12" s="1">
        <f t="shared" si="1"/>
        <v>1.8181818181818181E-4</v>
      </c>
      <c r="E12" s="1">
        <f t="shared" si="2"/>
        <v>9.0909090909090922E-3</v>
      </c>
      <c r="F12" s="1">
        <f t="shared" si="0"/>
        <v>9.2727272727272745E-3</v>
      </c>
      <c r="G12" s="1">
        <f t="shared" si="15"/>
        <v>3.4579342300909441E-6</v>
      </c>
      <c r="H12" s="1">
        <f t="shared" si="3"/>
        <v>1.071074278406555E-4</v>
      </c>
      <c r="I12" s="1">
        <f t="shared" si="4"/>
        <v>8.9838016630684366E-3</v>
      </c>
      <c r="J12" s="1">
        <f t="shared" si="5"/>
        <v>7.4710753977526309E-5</v>
      </c>
      <c r="K12" s="1">
        <f t="shared" si="6"/>
        <v>1.8181818181818181E-4</v>
      </c>
      <c r="L12" s="1">
        <f t="shared" si="16"/>
        <v>0.46181818181818179</v>
      </c>
      <c r="M12" s="1">
        <f t="shared" si="7"/>
        <v>0.45909090909090905</v>
      </c>
      <c r="N12" s="1">
        <f t="shared" si="8"/>
        <v>0.51124861490717122</v>
      </c>
      <c r="O12" s="1">
        <f t="shared" si="9"/>
        <v>0.87446571427632835</v>
      </c>
      <c r="P12" s="1">
        <f t="shared" si="10"/>
        <v>0.58475123265366369</v>
      </c>
      <c r="Q12" s="1">
        <f t="shared" si="11"/>
        <v>0.29900956312190852</v>
      </c>
      <c r="R12" s="2">
        <f t="shared" si="12"/>
        <v>2.2363680602049247</v>
      </c>
    </row>
    <row r="13" spans="1:19" x14ac:dyDescent="0.25">
      <c r="A13" s="2"/>
      <c r="B13" s="2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9" x14ac:dyDescent="0.25">
      <c r="A14" t="s">
        <v>15</v>
      </c>
    </row>
    <row r="15" spans="1:19" x14ac:dyDescent="0.25">
      <c r="A15" t="s">
        <v>12</v>
      </c>
      <c r="B15" s="1">
        <v>3.0620000000000002E-4</v>
      </c>
      <c r="C15" s="1"/>
      <c r="E15" s="1"/>
    </row>
    <row r="16" spans="1:19" x14ac:dyDescent="0.25">
      <c r="A16" t="s">
        <v>13</v>
      </c>
      <c r="B16" s="1">
        <v>1.886E-6</v>
      </c>
      <c r="C16" s="1"/>
    </row>
    <row r="17" spans="1:6" x14ac:dyDescent="0.25">
      <c r="A17" t="s">
        <v>14</v>
      </c>
      <c r="B17" s="3">
        <f>B15/B16</f>
        <v>162.35418875927891</v>
      </c>
      <c r="C17" s="3"/>
    </row>
    <row r="19" spans="1:6" x14ac:dyDescent="0.25">
      <c r="A19" t="s">
        <v>0</v>
      </c>
      <c r="B19">
        <f>1000*(71.1-(-4.7+92.7))</f>
        <v>-16900.000000000007</v>
      </c>
    </row>
    <row r="20" spans="1:6" x14ac:dyDescent="0.25">
      <c r="A20" t="s">
        <v>1</v>
      </c>
      <c r="B20">
        <f>25+273.15</f>
        <v>298.14999999999998</v>
      </c>
    </row>
    <row r="21" spans="1:6" x14ac:dyDescent="0.25">
      <c r="A21" t="s">
        <v>2</v>
      </c>
      <c r="B21">
        <v>8.3144626181532395</v>
      </c>
    </row>
    <row r="22" spans="1:6" x14ac:dyDescent="0.25">
      <c r="A22" t="s">
        <v>3</v>
      </c>
      <c r="B22">
        <f>EXP(-B19/(B20*B21))</f>
        <v>913.5911913129404</v>
      </c>
    </row>
    <row r="29" spans="1:6" x14ac:dyDescent="0.25">
      <c r="E29" s="1"/>
    </row>
    <row r="30" spans="1:6" x14ac:dyDescent="0.25">
      <c r="E30" s="1"/>
      <c r="F3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Gillispie</cp:lastModifiedBy>
  <cp:revision/>
  <dcterms:created xsi:type="dcterms:W3CDTF">2022-11-02T17:46:27Z</dcterms:created>
  <dcterms:modified xsi:type="dcterms:W3CDTF">2022-11-17T05:09:15Z</dcterms:modified>
  <cp:category/>
  <cp:contentStatus/>
</cp:coreProperties>
</file>