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nathanjohn/coding/NJCodes/build/calcu-WEIGHT-er/"/>
    </mc:Choice>
  </mc:AlternateContent>
  <xr:revisionPtr revIDLastSave="0" documentId="13_ncr:1_{295D877C-5174-6B4B-A91F-FC3C7FFA7D4E}" xr6:coauthVersionLast="47" xr6:coauthVersionMax="47" xr10:uidLastSave="{00000000-0000-0000-0000-000000000000}"/>
  <bookViews>
    <workbookView xWindow="4680" yWindow="500" windowWidth="31500" windowHeight="17280" activeTab="2" xr2:uid="{00000000-000D-0000-FFFF-FFFF00000000}"/>
  </bookViews>
  <sheets>
    <sheet name="Sheet1" sheetId="6" r:id="rId1"/>
    <sheet name="Weight_Calculator" sheetId="1" r:id="rId2"/>
    <sheet name="Stats_Tables" sheetId="2" r:id="rId3"/>
    <sheet name="Dependent Drop Down" sheetId="5" r:id="rId4"/>
    <sheet name="Pictograph" sheetId="4" state="hidden" r:id="rId5"/>
  </sheets>
  <definedNames>
    <definedName name="apple">Pictograph!$B$4</definedName>
    <definedName name="banana">Pictograph!$H$4</definedName>
    <definedName name="carrot">Pictograph!$L$4</definedName>
    <definedName name="Centimeter">'Dependent Drop Down'!$B$24:$B$68</definedName>
    <definedName name="CM">'Dependent Drop Down'!$L2:$L379</definedName>
    <definedName name="Feet">'Dependent Drop Down'!$D$2:$D$46</definedName>
    <definedName name="in">'Dependent Drop Down'!$M2:$M379</definedName>
    <definedName name="Inches">'Dependent Drop Down'!$C$2:$C$46</definedName>
    <definedName name="Kilograms">'Dependent Drop Down'!$G$2:$G$369</definedName>
    <definedName name="limitations" localSheetId="1">Weight_Calculator!$D$123</definedName>
    <definedName name="OLE_LINK1" localSheetId="1">Weight_Calculator!$D$38</definedName>
    <definedName name="orange">Pictograph!$F$4</definedName>
    <definedName name="pear">Pictograph!$D$4</definedName>
    <definedName name="Picture">INDIRECT(Pictograph!$A$1)</definedName>
    <definedName name="Pounds">'Dependent Drop Down'!#REF!</definedName>
    <definedName name="Stone">'Dependent Drop Down'!$I$2:$I$355</definedName>
    <definedName name="tomatoe">Pictograph!$J$4</definedName>
  </definedNames>
  <calcPr calcId="191028"/>
  <webPublishing vml="1" allowPng="1" targetScreenSize="1024x768" codePage="1252"/>
  <webPublishObjects count="2">
    <webPublishObject id="30141" divId="CAL1.2_30141" destinationFile="C:\Users\Ben\OneDrive\Documents\Matteos Lane TICKETS\CAL1.2.htm" title="Projected Weight BMI BM"/>
    <webPublishObject id="25279" divId="CAL1.2_25279" destinationFile="C:\Users\Ben\OneDrive\Documents\Matteos Lane TICKETS\Calcul-weightor 1.1.files\CAL1.2.htm" title="Projected Weight BMI BM" autoRepublish="1"/>
  </webPublishObject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2" l="1"/>
  <c r="I22" i="2"/>
  <c r="L45" i="2"/>
  <c r="K45" i="2" s="1"/>
  <c r="I45" i="2" s="1"/>
  <c r="L46" i="2"/>
  <c r="K46" i="2" s="1"/>
  <c r="I46" i="2" s="1"/>
  <c r="L47" i="2"/>
  <c r="K47" i="2" s="1"/>
  <c r="I47" i="2" s="1"/>
  <c r="L48" i="2"/>
  <c r="K48" i="2" s="1"/>
  <c r="I48" i="2" s="1"/>
  <c r="L49" i="2"/>
  <c r="K49" i="2" s="1"/>
  <c r="I49" i="2" s="1"/>
  <c r="L50" i="2"/>
  <c r="K50" i="2" s="1"/>
  <c r="I50" i="2" s="1"/>
  <c r="L51" i="2"/>
  <c r="K51" i="2" s="1"/>
  <c r="I51" i="2" s="1"/>
  <c r="L52" i="2"/>
  <c r="K52" i="2" s="1"/>
  <c r="I52" i="2" s="1"/>
  <c r="L53" i="2"/>
  <c r="K53" i="2" s="1"/>
  <c r="I53" i="2" s="1"/>
  <c r="L54" i="2"/>
  <c r="K54" i="2" s="1"/>
  <c r="I54" i="2" s="1"/>
  <c r="L55" i="2"/>
  <c r="K55" i="2" s="1"/>
  <c r="I55" i="2" s="1"/>
  <c r="L56" i="2"/>
  <c r="K56" i="2" s="1"/>
  <c r="I56" i="2" s="1"/>
  <c r="L57" i="2"/>
  <c r="K57" i="2" s="1"/>
  <c r="I57" i="2" s="1"/>
  <c r="L58" i="2"/>
  <c r="K58" i="2" s="1"/>
  <c r="I58" i="2" s="1"/>
  <c r="L59" i="2"/>
  <c r="K59" i="2" s="1"/>
  <c r="I59" i="2" s="1"/>
  <c r="L60" i="2"/>
  <c r="K60" i="2" s="1"/>
  <c r="I60" i="2" s="1"/>
  <c r="L61" i="2"/>
  <c r="K61" i="2" s="1"/>
  <c r="I61" i="2" s="1"/>
  <c r="L62" i="2"/>
  <c r="K62" i="2" s="1"/>
  <c r="I62" i="2" s="1"/>
  <c r="L63" i="2"/>
  <c r="K63" i="2" s="1"/>
  <c r="I63" i="2" s="1"/>
  <c r="L64" i="2"/>
  <c r="K64" i="2" s="1"/>
  <c r="I64" i="2" s="1"/>
  <c r="L65" i="2"/>
  <c r="K65" i="2" s="1"/>
  <c r="I65" i="2" s="1"/>
  <c r="L66" i="2"/>
  <c r="K66" i="2" s="1"/>
  <c r="I66" i="2" s="1"/>
  <c r="L67" i="2"/>
  <c r="K67" i="2" s="1"/>
  <c r="I67" i="2" s="1"/>
  <c r="L68" i="2"/>
  <c r="K68" i="2" s="1"/>
  <c r="I68" i="2" s="1"/>
  <c r="L69" i="2"/>
  <c r="K69" i="2" s="1"/>
  <c r="I69" i="2" s="1"/>
  <c r="L70" i="2"/>
  <c r="K70" i="2" s="1"/>
  <c r="I70" i="2" s="1"/>
  <c r="L26" i="2"/>
  <c r="K26" i="2" s="1"/>
  <c r="I26" i="2" s="1"/>
  <c r="L27" i="2"/>
  <c r="K27" i="2" s="1"/>
  <c r="I27" i="2" s="1"/>
  <c r="L28" i="2"/>
  <c r="K28" i="2" s="1"/>
  <c r="I28" i="2" s="1"/>
  <c r="L29" i="2"/>
  <c r="K29" i="2" s="1"/>
  <c r="I29" i="2" s="1"/>
  <c r="L30" i="2"/>
  <c r="K30" i="2" s="1"/>
  <c r="J30" i="2" s="1"/>
  <c r="L31" i="2"/>
  <c r="K31" i="2" s="1"/>
  <c r="I31" i="2" s="1"/>
  <c r="L32" i="2"/>
  <c r="K32" i="2" s="1"/>
  <c r="I32" i="2" s="1"/>
  <c r="L33" i="2"/>
  <c r="K33" i="2" s="1"/>
  <c r="I33" i="2" s="1"/>
  <c r="L34" i="2"/>
  <c r="K34" i="2" s="1"/>
  <c r="I34" i="2" s="1"/>
  <c r="L35" i="2"/>
  <c r="K35" i="2" s="1"/>
  <c r="I35" i="2" s="1"/>
  <c r="L36" i="2"/>
  <c r="K36" i="2" s="1"/>
  <c r="I36" i="2" s="1"/>
  <c r="L37" i="2"/>
  <c r="K37" i="2" s="1"/>
  <c r="I37" i="2" s="1"/>
  <c r="L38" i="2"/>
  <c r="K38" i="2" s="1"/>
  <c r="I38" i="2" s="1"/>
  <c r="L39" i="2"/>
  <c r="K39" i="2" s="1"/>
  <c r="I39" i="2" s="1"/>
  <c r="L40" i="2"/>
  <c r="K40" i="2" s="1"/>
  <c r="I40" i="2" s="1"/>
  <c r="L41" i="2"/>
  <c r="K41" i="2" s="1"/>
  <c r="I41" i="2" s="1"/>
  <c r="L42" i="2"/>
  <c r="K42" i="2" s="1"/>
  <c r="I42" i="2" s="1"/>
  <c r="L43" i="2"/>
  <c r="K43" i="2" s="1"/>
  <c r="I43" i="2" s="1"/>
  <c r="L44" i="2"/>
  <c r="K44" i="2" s="1"/>
  <c r="I44" i="2" s="1"/>
  <c r="L6" i="2"/>
  <c r="K6" i="2" s="1"/>
  <c r="I6" i="2" s="1"/>
  <c r="L7" i="2"/>
  <c r="K7" i="2" s="1"/>
  <c r="I7" i="2" s="1"/>
  <c r="L8" i="2"/>
  <c r="K8" i="2" s="1"/>
  <c r="I8" i="2" s="1"/>
  <c r="L9" i="2"/>
  <c r="K9" i="2" s="1"/>
  <c r="I9" i="2" s="1"/>
  <c r="L10" i="2"/>
  <c r="K10" i="2" s="1"/>
  <c r="I10" i="2" s="1"/>
  <c r="L11" i="2"/>
  <c r="K11" i="2" s="1"/>
  <c r="I11" i="2" s="1"/>
  <c r="L12" i="2"/>
  <c r="K12" i="2" s="1"/>
  <c r="I12" i="2" s="1"/>
  <c r="L13" i="2"/>
  <c r="K13" i="2" s="1"/>
  <c r="I13" i="2" s="1"/>
  <c r="L14" i="2"/>
  <c r="K14" i="2" s="1"/>
  <c r="I14" i="2" s="1"/>
  <c r="L15" i="2"/>
  <c r="K15" i="2" s="1"/>
  <c r="I15" i="2" s="1"/>
  <c r="L16" i="2"/>
  <c r="K16" i="2" s="1"/>
  <c r="I16" i="2" s="1"/>
  <c r="L17" i="2"/>
  <c r="K17" i="2" s="1"/>
  <c r="I17" i="2" s="1"/>
  <c r="L18" i="2"/>
  <c r="K18" i="2" s="1"/>
  <c r="I18" i="2" s="1"/>
  <c r="L19" i="2"/>
  <c r="K19" i="2" s="1"/>
  <c r="I19" i="2" s="1"/>
  <c r="L20" i="2"/>
  <c r="K20" i="2" s="1"/>
  <c r="L21" i="2"/>
  <c r="K21" i="2" s="1"/>
  <c r="I21" i="2" s="1"/>
  <c r="L22" i="2"/>
  <c r="K22" i="2" s="1"/>
  <c r="L23" i="2"/>
  <c r="K23" i="2" s="1"/>
  <c r="I23" i="2" s="1"/>
  <c r="L24" i="2"/>
  <c r="K24" i="2" s="1"/>
  <c r="I24" i="2" s="1"/>
  <c r="L25" i="2"/>
  <c r="K25" i="2" s="1"/>
  <c r="I25" i="2" s="1"/>
  <c r="L5" i="2"/>
  <c r="K5" i="2" s="1"/>
  <c r="I5" i="2" s="1"/>
  <c r="O5" i="2"/>
  <c r="P5" i="2"/>
  <c r="Q5" i="2"/>
  <c r="R5" i="2"/>
  <c r="S5" i="2"/>
  <c r="T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I6" i="1"/>
  <c r="I5" i="1"/>
  <c r="I4" i="1"/>
  <c r="E5" i="1"/>
  <c r="E6" i="1"/>
  <c r="E7" i="1"/>
  <c r="D7" i="1"/>
  <c r="G5" i="2" s="1"/>
  <c r="D6" i="1"/>
  <c r="D5" i="1"/>
  <c r="D4" i="1"/>
  <c r="G5" i="6"/>
  <c r="G8" i="6"/>
  <c r="G6" i="6"/>
  <c r="C34" i="1"/>
  <c r="G2" i="2"/>
  <c r="J35" i="2" l="1"/>
  <c r="J22" i="2"/>
  <c r="J17" i="2"/>
  <c r="J32" i="2"/>
  <c r="J43" i="2"/>
  <c r="J38" i="2"/>
  <c r="J37" i="2"/>
  <c r="J24" i="2"/>
  <c r="J23" i="2"/>
  <c r="J39" i="2"/>
  <c r="J66" i="2"/>
  <c r="J31" i="2"/>
  <c r="J15" i="2"/>
  <c r="J64" i="2"/>
  <c r="J27" i="2"/>
  <c r="J50" i="2"/>
  <c r="J58" i="2"/>
  <c r="I30" i="2"/>
  <c r="J16" i="2"/>
  <c r="J25" i="2"/>
  <c r="J45" i="2"/>
  <c r="J56" i="2"/>
  <c r="J5" i="2"/>
  <c r="J13" i="2"/>
  <c r="J19" i="2"/>
  <c r="J47" i="2"/>
  <c r="J12" i="2"/>
  <c r="J34" i="2"/>
  <c r="J26" i="2"/>
  <c r="J18" i="2"/>
  <c r="J46" i="2"/>
  <c r="J65" i="2"/>
  <c r="J57" i="2"/>
  <c r="J11" i="2"/>
  <c r="J33" i="2"/>
  <c r="J44" i="2"/>
  <c r="J36" i="2"/>
  <c r="J63" i="2"/>
  <c r="J55" i="2"/>
  <c r="J54" i="2"/>
  <c r="J9" i="2"/>
  <c r="J62" i="2"/>
  <c r="J8" i="2"/>
  <c r="J42" i="2"/>
  <c r="J69" i="2"/>
  <c r="J61" i="2"/>
  <c r="J53" i="2"/>
  <c r="J10" i="2"/>
  <c r="J70" i="2"/>
  <c r="J7" i="2"/>
  <c r="J29" i="2"/>
  <c r="J21" i="2"/>
  <c r="J49" i="2"/>
  <c r="J41" i="2"/>
  <c r="J68" i="2"/>
  <c r="J60" i="2"/>
  <c r="J52" i="2"/>
  <c r="J14" i="2"/>
  <c r="J6" i="2"/>
  <c r="J28" i="2"/>
  <c r="J20" i="2"/>
  <c r="J48" i="2"/>
  <c r="J40" i="2"/>
  <c r="J67" i="2"/>
  <c r="J59" i="2"/>
  <c r="J51" i="2"/>
  <c r="G4" i="2"/>
  <c r="G3" i="2"/>
  <c r="D8" i="2" s="1"/>
  <c r="F20" i="1" s="1"/>
  <c r="E21" i="1" s="1"/>
  <c r="G14" i="1" s="1"/>
  <c r="F7" i="1" l="1"/>
  <c r="C20" i="2"/>
  <c r="H30" i="1" l="1"/>
  <c r="F6" i="1"/>
  <c r="F5" i="1"/>
  <c r="C4" i="2"/>
  <c r="C3" i="2" s="1"/>
  <c r="C64" i="1" l="1"/>
  <c r="H64" i="1"/>
  <c r="C67" i="1"/>
  <c r="H67" i="1"/>
  <c r="C70" i="1"/>
  <c r="H70" i="1"/>
  <c r="M34" i="1"/>
  <c r="R34" i="1"/>
  <c r="M37" i="1"/>
  <c r="R37" i="1"/>
  <c r="M40" i="1"/>
  <c r="R40" i="1"/>
  <c r="M43" i="1"/>
  <c r="R43" i="1"/>
  <c r="M46" i="1"/>
  <c r="R46" i="1"/>
  <c r="M49" i="1"/>
  <c r="R49" i="1"/>
  <c r="M52" i="1"/>
  <c r="R52" i="1"/>
  <c r="M55" i="1"/>
  <c r="R55" i="1"/>
  <c r="M58" i="1"/>
  <c r="R58" i="1"/>
  <c r="M61" i="1"/>
  <c r="R61" i="1"/>
  <c r="M64" i="1"/>
  <c r="R64" i="1"/>
  <c r="M67" i="1"/>
  <c r="R67" i="1"/>
  <c r="M70" i="1"/>
  <c r="R70" i="1"/>
  <c r="C46" i="1"/>
  <c r="H46" i="1"/>
  <c r="C49" i="1"/>
  <c r="H49" i="1"/>
  <c r="C52" i="1"/>
  <c r="H52" i="1"/>
  <c r="C55" i="1"/>
  <c r="H55" i="1"/>
  <c r="C58" i="1"/>
  <c r="H58" i="1"/>
  <c r="C40" i="1"/>
  <c r="H40" i="1"/>
  <c r="C41" i="1"/>
  <c r="H41" i="1"/>
  <c r="C43" i="1"/>
  <c r="H43" i="1"/>
  <c r="C44" i="1"/>
  <c r="C61" i="1"/>
  <c r="H38" i="1"/>
  <c r="H37" i="1"/>
  <c r="H34" i="1"/>
  <c r="H61" i="1"/>
  <c r="C37" i="1"/>
  <c r="D21" i="2" l="1"/>
  <c r="F21" i="2" a="1"/>
  <c r="C21" i="2" l="1"/>
  <c r="F21" i="2"/>
  <c r="C18" i="2"/>
  <c r="D19" i="2" s="1"/>
  <c r="D25" i="2"/>
  <c r="W8" i="2"/>
  <c r="W9" i="2"/>
  <c r="W10" i="2"/>
  <c r="W11" i="2"/>
  <c r="D12" i="2"/>
  <c r="D22" i="2" a="1"/>
  <c r="D20" i="2" l="1"/>
  <c r="F20" i="2" s="1"/>
  <c r="D22" i="2"/>
  <c r="C19" i="2"/>
  <c r="F19" i="2" a="1"/>
  <c r="D23" i="2" a="1"/>
  <c r="F19" i="2" l="1"/>
  <c r="D23" i="2"/>
  <c r="E17" i="1" l="1"/>
  <c r="D18" i="2"/>
  <c r="F15" i="1"/>
  <c r="D15" i="1"/>
  <c r="AM12" i="2"/>
  <c r="H44" i="1" s="1"/>
  <c r="AM7" i="2"/>
  <c r="C38" i="1" s="1"/>
  <c r="AM6" i="2"/>
  <c r="H35" i="1" s="1"/>
  <c r="AM5" i="2"/>
  <c r="D17" i="1" l="1"/>
  <c r="D3" i="2" s="1"/>
  <c r="D10" i="2"/>
  <c r="E22" i="2"/>
  <c r="C35" i="1"/>
  <c r="F18" i="2"/>
  <c r="E18" i="1" s="1"/>
  <c r="W12" i="2"/>
  <c r="W6" i="2"/>
  <c r="W7" i="2"/>
  <c r="W5" i="2"/>
  <c r="AM13" i="2"/>
  <c r="C47" i="1" s="1"/>
  <c r="U31" i="2" l="1"/>
  <c r="U35" i="2"/>
  <c r="D9" i="2" a="1"/>
  <c r="D9" i="2" s="1"/>
  <c r="E10" i="2"/>
  <c r="G30" i="1" s="1"/>
  <c r="U53" i="2"/>
  <c r="F17" i="1"/>
  <c r="U13" i="2"/>
  <c r="D18" i="1"/>
  <c r="U29" i="2"/>
  <c r="U63" i="2"/>
  <c r="U44" i="2"/>
  <c r="U34" i="2"/>
  <c r="U52" i="2"/>
  <c r="U64" i="2"/>
  <c r="U19" i="2"/>
  <c r="U68" i="2"/>
  <c r="U58" i="2"/>
  <c r="U33" i="2"/>
  <c r="U66" i="2"/>
  <c r="U55" i="2"/>
  <c r="U14" i="2"/>
  <c r="U9" i="2"/>
  <c r="U41" i="2"/>
  <c r="U42" i="2"/>
  <c r="U7" i="2"/>
  <c r="U23" i="2"/>
  <c r="U51" i="2"/>
  <c r="U10" i="2"/>
  <c r="U67" i="2"/>
  <c r="U11" i="2"/>
  <c r="U39" i="2"/>
  <c r="U62" i="2"/>
  <c r="U6" i="2"/>
  <c r="U47" i="2"/>
  <c r="U54" i="2"/>
  <c r="U5" i="2"/>
  <c r="U15" i="2"/>
  <c r="U61" i="2"/>
  <c r="U22" i="2"/>
  <c r="U24" i="2"/>
  <c r="U43" i="2"/>
  <c r="U37" i="2"/>
  <c r="U65" i="2"/>
  <c r="U59" i="2"/>
  <c r="U50" i="2"/>
  <c r="U27" i="2"/>
  <c r="U69" i="2"/>
  <c r="U30" i="2"/>
  <c r="U17" i="2"/>
  <c r="U8" i="2"/>
  <c r="U46" i="2"/>
  <c r="U38" i="2"/>
  <c r="U16" i="2"/>
  <c r="U20" i="2"/>
  <c r="U26" i="2"/>
  <c r="U60" i="2"/>
  <c r="U18" i="2"/>
  <c r="U36" i="2"/>
  <c r="U21" i="2"/>
  <c r="U70" i="2"/>
  <c r="U12" i="2"/>
  <c r="U28" i="2"/>
  <c r="U56" i="2"/>
  <c r="U49" i="2"/>
  <c r="U32" i="2"/>
  <c r="U48" i="2"/>
  <c r="U57" i="2"/>
  <c r="U25" i="2"/>
  <c r="U40" i="2"/>
  <c r="U45" i="2"/>
  <c r="D7" i="2"/>
  <c r="E23" i="1" s="1"/>
  <c r="E29" i="1" s="1"/>
  <c r="C29" i="1" s="1"/>
  <c r="G29" i="1" s="1"/>
  <c r="D20" i="1"/>
  <c r="C21" i="1" s="1"/>
  <c r="G24" i="1" s="1"/>
  <c r="W13" i="2"/>
  <c r="AM14" i="2"/>
  <c r="H47" i="1" s="1"/>
  <c r="C33" i="2" l="1"/>
  <c r="D33" i="2" s="1"/>
  <c r="X10" i="2"/>
  <c r="Y10" i="2" s="1"/>
  <c r="Z10" i="2" s="1"/>
  <c r="F18" i="1"/>
  <c r="W14" i="2"/>
  <c r="AM15" i="2"/>
  <c r="C50" i="1" s="1"/>
  <c r="G1" i="4" l="1"/>
  <c r="A1" i="4" s="1"/>
  <c r="X13" i="2"/>
  <c r="Y13" i="2" s="1"/>
  <c r="Z13" i="2" s="1"/>
  <c r="X14" i="2"/>
  <c r="Y14" i="2" s="1"/>
  <c r="X12" i="2"/>
  <c r="Y12" i="2" s="1"/>
  <c r="Z12" i="2" s="1"/>
  <c r="X6" i="2"/>
  <c r="Y6" i="2" s="1"/>
  <c r="Z6" i="2" s="1"/>
  <c r="X5" i="2"/>
  <c r="Y5" i="2" s="1"/>
  <c r="X9" i="2"/>
  <c r="Y9" i="2" s="1"/>
  <c r="Z9" i="2" s="1"/>
  <c r="X7" i="2"/>
  <c r="Y7" i="2" s="1"/>
  <c r="Z7" i="2" s="1"/>
  <c r="X11" i="2"/>
  <c r="Y11" i="2" s="1"/>
  <c r="Z11" i="2" s="1"/>
  <c r="X8" i="2"/>
  <c r="Y8" i="2" s="1"/>
  <c r="Z8" i="2" s="1"/>
  <c r="AA10" i="2"/>
  <c r="W15" i="2"/>
  <c r="X15" i="2"/>
  <c r="AM16" i="2"/>
  <c r="H50" i="1" s="1"/>
  <c r="AA13" i="2" l="1"/>
  <c r="AA6" i="2"/>
  <c r="AA8" i="2"/>
  <c r="AA7" i="2"/>
  <c r="AA9" i="2"/>
  <c r="AA12" i="2"/>
  <c r="AA11" i="2"/>
  <c r="Z14" i="2"/>
  <c r="Z5" i="2"/>
  <c r="AA5" i="2" s="1"/>
  <c r="W16" i="2"/>
  <c r="X16" i="2"/>
  <c r="AM17" i="2"/>
  <c r="C53" i="1" s="1"/>
  <c r="Y15" i="2"/>
  <c r="AA14" i="2" l="1"/>
  <c r="W17" i="2"/>
  <c r="Z15" i="2"/>
  <c r="Y16" i="2"/>
  <c r="AM18" i="2"/>
  <c r="H53" i="1" s="1"/>
  <c r="X17" i="2"/>
  <c r="AA15" i="2" l="1"/>
  <c r="W18" i="2"/>
  <c r="Z16" i="2"/>
  <c r="AM19" i="2"/>
  <c r="C56" i="1" s="1"/>
  <c r="X18" i="2"/>
  <c r="Y17" i="2"/>
  <c r="AA16" i="2" l="1"/>
  <c r="W19" i="2"/>
  <c r="Z17" i="2"/>
  <c r="X19" i="2"/>
  <c r="AM20" i="2"/>
  <c r="H56" i="1" s="1"/>
  <c r="Y18" i="2"/>
  <c r="AA17" i="2" l="1"/>
  <c r="W20" i="2"/>
  <c r="Z18" i="2"/>
  <c r="AM21" i="2"/>
  <c r="C59" i="1" s="1"/>
  <c r="X20" i="2"/>
  <c r="Y19" i="2"/>
  <c r="AA18" i="2" l="1"/>
  <c r="W21" i="2"/>
  <c r="Z19" i="2"/>
  <c r="X21" i="2"/>
  <c r="AM22" i="2"/>
  <c r="H59" i="1" s="1"/>
  <c r="Y20" i="2"/>
  <c r="AA19" i="2" l="1"/>
  <c r="W22" i="2"/>
  <c r="Z20" i="2"/>
  <c r="AM23" i="2"/>
  <c r="C62" i="1" s="1"/>
  <c r="X22" i="2"/>
  <c r="Y21" i="2"/>
  <c r="AA20" i="2" l="1"/>
  <c r="W23" i="2"/>
  <c r="Z21" i="2"/>
  <c r="AM24" i="2"/>
  <c r="H62" i="1" s="1"/>
  <c r="X23" i="2"/>
  <c r="Y22" i="2"/>
  <c r="AA21" i="2" l="1"/>
  <c r="W24" i="2"/>
  <c r="Z22" i="2"/>
  <c r="AM25" i="2"/>
  <c r="C65" i="1" s="1"/>
  <c r="X24" i="2"/>
  <c r="Y23" i="2"/>
  <c r="AA22" i="2" l="1"/>
  <c r="W25" i="2"/>
  <c r="Z23" i="2"/>
  <c r="AM26" i="2"/>
  <c r="H65" i="1" s="1"/>
  <c r="X25" i="2"/>
  <c r="Y24" i="2"/>
  <c r="AA23" i="2" l="1"/>
  <c r="W26" i="2"/>
  <c r="Z24" i="2"/>
  <c r="X26" i="2"/>
  <c r="AM27" i="2"/>
  <c r="C68" i="1" s="1"/>
  <c r="Y25" i="2"/>
  <c r="AA24" i="2" l="1"/>
  <c r="W27" i="2"/>
  <c r="Z25" i="2"/>
  <c r="AM28" i="2"/>
  <c r="H68" i="1" s="1"/>
  <c r="X27" i="2"/>
  <c r="Y26" i="2"/>
  <c r="AA25" i="2" l="1"/>
  <c r="W28" i="2"/>
  <c r="Z26" i="2"/>
  <c r="X28" i="2"/>
  <c r="AM29" i="2"/>
  <c r="C71" i="1" s="1"/>
  <c r="Y27" i="2"/>
  <c r="AA26" i="2" l="1"/>
  <c r="W29" i="2"/>
  <c r="Z27" i="2"/>
  <c r="X29" i="2"/>
  <c r="AM30" i="2"/>
  <c r="H71" i="1" s="1"/>
  <c r="Y28" i="2"/>
  <c r="AA27" i="2" l="1"/>
  <c r="W30" i="2"/>
  <c r="Z28" i="2"/>
  <c r="X30" i="2"/>
  <c r="AM31" i="2"/>
  <c r="M35" i="1" s="1"/>
  <c r="Y29" i="2"/>
  <c r="AA28" i="2" l="1"/>
  <c r="W31" i="2"/>
  <c r="Z29" i="2"/>
  <c r="X31" i="2"/>
  <c r="AM32" i="2"/>
  <c r="R35" i="1" s="1"/>
  <c r="Y30" i="2"/>
  <c r="AA29" i="2" l="1"/>
  <c r="W32" i="2"/>
  <c r="Z30" i="2"/>
  <c r="Y31" i="2"/>
  <c r="X32" i="2"/>
  <c r="AM33" i="2"/>
  <c r="M38" i="1" s="1"/>
  <c r="AA30" i="2" l="1"/>
  <c r="W33" i="2"/>
  <c r="Z31" i="2"/>
  <c r="AM34" i="2"/>
  <c r="R38" i="1" s="1"/>
  <c r="X33" i="2"/>
  <c r="Y32" i="2"/>
  <c r="AA31" i="2" l="1"/>
  <c r="W34" i="2"/>
  <c r="Z32" i="2"/>
  <c r="AM35" i="2"/>
  <c r="M41" i="1" s="1"/>
  <c r="X34" i="2"/>
  <c r="Y33" i="2"/>
  <c r="AA32" i="2" l="1"/>
  <c r="W35" i="2"/>
  <c r="Z33" i="2"/>
  <c r="AM36" i="2"/>
  <c r="R41" i="1" s="1"/>
  <c r="X35" i="2"/>
  <c r="Y34" i="2"/>
  <c r="AA33" i="2" l="1"/>
  <c r="W36" i="2"/>
  <c r="Z34" i="2"/>
  <c r="AM37" i="2"/>
  <c r="M44" i="1" s="1"/>
  <c r="X36" i="2"/>
  <c r="Y35" i="2"/>
  <c r="AA34" i="2" l="1"/>
  <c r="W37" i="2"/>
  <c r="Z35" i="2"/>
  <c r="AM38" i="2"/>
  <c r="R44" i="1" s="1"/>
  <c r="X37" i="2"/>
  <c r="Y36" i="2"/>
  <c r="AA35" i="2" l="1"/>
  <c r="W38" i="2"/>
  <c r="Z36" i="2"/>
  <c r="Y37" i="2"/>
  <c r="X38" i="2"/>
  <c r="AM39" i="2"/>
  <c r="M47" i="1" s="1"/>
  <c r="AA36" i="2" l="1"/>
  <c r="W39" i="2"/>
  <c r="Z37" i="2"/>
  <c r="X39" i="2"/>
  <c r="AM40" i="2"/>
  <c r="R47" i="1" s="1"/>
  <c r="Y38" i="2"/>
  <c r="AA37" i="2" l="1"/>
  <c r="W40" i="2"/>
  <c r="Z38" i="2"/>
  <c r="AM41" i="2"/>
  <c r="M50" i="1" s="1"/>
  <c r="X40" i="2"/>
  <c r="Y39" i="2"/>
  <c r="AA38" i="2" l="1"/>
  <c r="W41" i="2"/>
  <c r="Z39" i="2"/>
  <c r="X41" i="2"/>
  <c r="AM42" i="2"/>
  <c r="R50" i="1" s="1"/>
  <c r="Y40" i="2"/>
  <c r="AA39" i="2" l="1"/>
  <c r="W42" i="2"/>
  <c r="Z40" i="2"/>
  <c r="X42" i="2"/>
  <c r="AM43" i="2"/>
  <c r="M53" i="1" s="1"/>
  <c r="Y41" i="2"/>
  <c r="AA40" i="2" l="1"/>
  <c r="W43" i="2"/>
  <c r="Z41" i="2"/>
  <c r="Y42" i="2"/>
  <c r="X43" i="2"/>
  <c r="AM44" i="2"/>
  <c r="R53" i="1" s="1"/>
  <c r="AA41" i="2" l="1"/>
  <c r="Z42" i="2"/>
  <c r="W44" i="2"/>
  <c r="X44" i="2"/>
  <c r="AM45" i="2"/>
  <c r="M56" i="1" s="1"/>
  <c r="Y43" i="2"/>
  <c r="AA42" i="2" l="1"/>
  <c r="Z43" i="2"/>
  <c r="W45" i="2"/>
  <c r="AM46" i="2"/>
  <c r="R56" i="1" s="1"/>
  <c r="X45" i="2"/>
  <c r="Y44" i="2"/>
  <c r="AA43" i="2" l="1"/>
  <c r="Z44" i="2"/>
  <c r="W46" i="2"/>
  <c r="Y45" i="2"/>
  <c r="X46" i="2"/>
  <c r="AM47" i="2"/>
  <c r="W47" i="2" l="1"/>
  <c r="M59" i="1"/>
  <c r="AA44" i="2"/>
  <c r="Z45" i="2"/>
  <c r="AM48" i="2"/>
  <c r="R59" i="1" s="1"/>
  <c r="X47" i="2"/>
  <c r="Y46" i="2"/>
  <c r="AA45" i="2" l="1"/>
  <c r="Z46" i="2"/>
  <c r="W48" i="2"/>
  <c r="AM49" i="2"/>
  <c r="X48" i="2"/>
  <c r="Y47" i="2"/>
  <c r="W49" i="2" l="1"/>
  <c r="M62" i="1"/>
  <c r="AA46" i="2"/>
  <c r="Z47" i="2"/>
  <c r="AM50" i="2"/>
  <c r="R62" i="1" s="1"/>
  <c r="X49" i="2"/>
  <c r="Y48" i="2"/>
  <c r="AA47" i="2" l="1"/>
  <c r="Z48" i="2"/>
  <c r="W50" i="2"/>
  <c r="AM51" i="2"/>
  <c r="X50" i="2"/>
  <c r="Y49" i="2"/>
  <c r="W51" i="2" l="1"/>
  <c r="M65" i="1"/>
  <c r="AA48" i="2"/>
  <c r="Z49" i="2"/>
  <c r="Y50" i="2"/>
  <c r="X51" i="2"/>
  <c r="AM52" i="2"/>
  <c r="R65" i="1" s="1"/>
  <c r="AA49" i="2" l="1"/>
  <c r="Z50" i="2"/>
  <c r="W52" i="2"/>
  <c r="X52" i="2"/>
  <c r="AM53" i="2"/>
  <c r="Y51" i="2"/>
  <c r="W53" i="2" l="1"/>
  <c r="M68" i="1"/>
  <c r="AA50" i="2"/>
  <c r="Z51" i="2"/>
  <c r="X53" i="2"/>
  <c r="AM54" i="2"/>
  <c r="R68" i="1" s="1"/>
  <c r="Y52" i="2"/>
  <c r="AA51" i="2" l="1"/>
  <c r="Z52" i="2"/>
  <c r="W54" i="2"/>
  <c r="Y53" i="2"/>
  <c r="X54" i="2"/>
  <c r="AM55" i="2"/>
  <c r="W55" i="2" l="1"/>
  <c r="M71" i="1"/>
  <c r="AA52" i="2"/>
  <c r="Z53" i="2"/>
  <c r="Y54" i="2"/>
  <c r="AM56" i="2"/>
  <c r="R71" i="1" s="1"/>
  <c r="X55" i="2"/>
  <c r="AA53" i="2" l="1"/>
  <c r="W56" i="2"/>
  <c r="Z54" i="2"/>
  <c r="X56" i="2"/>
  <c r="AM57" i="2"/>
  <c r="W57" i="2" s="1"/>
  <c r="Y55" i="2"/>
  <c r="AA54" i="2" l="1"/>
  <c r="Z55" i="2"/>
  <c r="X57" i="2"/>
  <c r="AM58" i="2"/>
  <c r="W58" i="2" s="1"/>
  <c r="Y56" i="2"/>
  <c r="AA55" i="2" l="1"/>
  <c r="Z56" i="2"/>
  <c r="X58" i="2"/>
  <c r="Y57" i="2"/>
  <c r="AA56" i="2" l="1"/>
  <c r="Z57" i="2"/>
  <c r="Y58" i="2"/>
  <c r="AA57" i="2" l="1"/>
  <c r="Z58" i="2"/>
  <c r="AF50" i="2"/>
  <c r="AF41" i="2"/>
  <c r="AF32" i="2"/>
  <c r="U35" i="1" s="1"/>
  <c r="AF23" i="2"/>
  <c r="AF14" i="2"/>
  <c r="K47" i="1" s="1"/>
  <c r="AG41" i="2" l="1"/>
  <c r="AH41" i="2" s="1"/>
  <c r="P50" i="1"/>
  <c r="AG50" i="2"/>
  <c r="AH50" i="2" s="1"/>
  <c r="U62" i="1"/>
  <c r="F62" i="1"/>
  <c r="AG14" i="2"/>
  <c r="AH14" i="2" s="1"/>
  <c r="AA58" i="2"/>
  <c r="AG32" i="2"/>
  <c r="AH32" i="2" s="1"/>
  <c r="AG23" i="2"/>
  <c r="AH23" i="2" s="1"/>
  <c r="AF5" i="2"/>
  <c r="F35" i="1" s="1"/>
  <c r="AG5" i="2" l="1"/>
  <c r="AH5" i="2" s="1"/>
  <c r="AI5" i="2" s="1"/>
  <c r="AJ5" i="2" s="1"/>
  <c r="AK5" i="2" s="1"/>
  <c r="AL5" i="2" l="1"/>
  <c r="AF6" i="2" l="1"/>
  <c r="AE5" i="2"/>
  <c r="AB5" i="2"/>
  <c r="AD5" i="2"/>
  <c r="AC5" i="2" s="1"/>
  <c r="D35" i="1" l="1"/>
  <c r="AG6" i="2"/>
  <c r="AH6" i="2" s="1"/>
  <c r="AI6" i="2" s="1"/>
  <c r="AJ6" i="2" s="1"/>
  <c r="AK6" i="2" s="1"/>
  <c r="AL6" i="2" s="1"/>
  <c r="K35" i="1"/>
  <c r="E35" i="1"/>
  <c r="AE6" i="2" l="1"/>
  <c r="J35" i="1" s="1"/>
  <c r="AF7" i="2"/>
  <c r="F38" i="1" s="1"/>
  <c r="AB6" i="2"/>
  <c r="AD6" i="2"/>
  <c r="AC6" i="2" s="1"/>
  <c r="I35" i="1" l="1"/>
  <c r="AG7" i="2"/>
  <c r="AH7" i="2" s="1"/>
  <c r="AI7" i="2" s="1"/>
  <c r="AJ7" i="2" s="1"/>
  <c r="AK7" i="2" s="1"/>
  <c r="AL7" i="2" s="1"/>
  <c r="AD7" i="2" l="1"/>
  <c r="AC7" i="2" s="1"/>
  <c r="AF8" i="2"/>
  <c r="K38" i="1" s="1"/>
  <c r="AE7" i="2"/>
  <c r="AB7" i="2"/>
  <c r="D38" i="1" l="1"/>
  <c r="E38" i="1"/>
  <c r="AG8" i="2"/>
  <c r="AH8" i="2" s="1"/>
  <c r="AI8" i="2" s="1"/>
  <c r="AJ8" i="2" l="1"/>
  <c r="AK8" i="2" s="1"/>
  <c r="AL8" i="2" s="1"/>
  <c r="AD8" i="2" l="1"/>
  <c r="AC8" i="2" s="1"/>
  <c r="AB8" i="2"/>
  <c r="AF9" i="2"/>
  <c r="F41" i="1" s="1"/>
  <c r="AE8" i="2"/>
  <c r="J38" i="1" s="1"/>
  <c r="I38" i="1" l="1"/>
  <c r="AG9" i="2"/>
  <c r="AH9" i="2" s="1"/>
  <c r="AI9" i="2" s="1"/>
  <c r="AJ9" i="2" l="1"/>
  <c r="AK9" i="2" s="1"/>
  <c r="AL9" i="2" s="1"/>
  <c r="AD9" i="2" l="1"/>
  <c r="AC9" i="2" s="1"/>
  <c r="AE9" i="2"/>
  <c r="E41" i="1" s="1"/>
  <c r="AF10" i="2"/>
  <c r="K41" i="1" s="1"/>
  <c r="AB9" i="2"/>
  <c r="D41" i="1" l="1"/>
  <c r="AG10" i="2"/>
  <c r="AH10" i="2" s="1"/>
  <c r="AI10" i="2" s="1"/>
  <c r="AJ10" i="2" l="1"/>
  <c r="AK10" i="2" s="1"/>
  <c r="AL10" i="2" s="1"/>
  <c r="AD10" i="2" l="1"/>
  <c r="AC10" i="2" s="1"/>
  <c r="AB10" i="2"/>
  <c r="AF11" i="2"/>
  <c r="F44" i="1" s="1"/>
  <c r="AE10" i="2"/>
  <c r="J41" i="1" s="1"/>
  <c r="I41" i="1" l="1"/>
  <c r="AG11" i="2"/>
  <c r="AH11" i="2" s="1"/>
  <c r="AI11" i="2" s="1"/>
  <c r="AJ11" i="2" l="1"/>
  <c r="AK11" i="2" s="1"/>
  <c r="AL11" i="2" s="1"/>
  <c r="AD11" i="2" l="1"/>
  <c r="AC11" i="2" s="1"/>
  <c r="AF12" i="2"/>
  <c r="K44" i="1" s="1"/>
  <c r="AE11" i="2"/>
  <c r="E44" i="1" s="1"/>
  <c r="AB11" i="2"/>
  <c r="D44" i="1" l="1"/>
  <c r="AG12" i="2"/>
  <c r="AH12" i="2" s="1"/>
  <c r="AI12" i="2" s="1"/>
  <c r="AJ12" i="2" l="1"/>
  <c r="AK12" i="2" s="1"/>
  <c r="AL12" i="2" s="1"/>
  <c r="AD12" i="2" l="1"/>
  <c r="AC12" i="2" s="1"/>
  <c r="AB12" i="2"/>
  <c r="AE12" i="2"/>
  <c r="J44" i="1" s="1"/>
  <c r="AF13" i="2"/>
  <c r="F47" i="1" s="1"/>
  <c r="I44" i="1" l="1"/>
  <c r="AG13" i="2"/>
  <c r="AH13" i="2" s="1"/>
  <c r="AI13" i="2" s="1"/>
  <c r="AJ13" i="2" l="1"/>
  <c r="AK13" i="2" s="1"/>
  <c r="AL13" i="2" s="1"/>
  <c r="AI14" i="2"/>
  <c r="AD13" i="2" l="1"/>
  <c r="AC13" i="2" s="1"/>
  <c r="AJ14" i="2"/>
  <c r="AK14" i="2" s="1"/>
  <c r="AL14" i="2" s="1"/>
  <c r="AE13" i="2"/>
  <c r="E47" i="1" s="1"/>
  <c r="AB13" i="2"/>
  <c r="D47" i="1" l="1"/>
  <c r="AD14" i="2"/>
  <c r="AC14" i="2" s="1"/>
  <c r="AB14" i="2"/>
  <c r="AF15" i="2"/>
  <c r="AE14" i="2"/>
  <c r="J47" i="1" s="1"/>
  <c r="I47" i="1" l="1"/>
  <c r="F50" i="1"/>
  <c r="AG15" i="2"/>
  <c r="AH15" i="2" s="1"/>
  <c r="AI15" i="2" s="1"/>
  <c r="AJ15" i="2" l="1"/>
  <c r="AK15" i="2" s="1"/>
  <c r="AL15" i="2" s="1"/>
  <c r="AD15" i="2" l="1"/>
  <c r="AC15" i="2" s="1"/>
  <c r="AE15" i="2"/>
  <c r="AF16" i="2"/>
  <c r="K50" i="1" s="1"/>
  <c r="AB15" i="2"/>
  <c r="D50" i="1" l="1"/>
  <c r="E50" i="1"/>
  <c r="AG16" i="2"/>
  <c r="AH16" i="2" s="1"/>
  <c r="AI16" i="2" s="1"/>
  <c r="AJ16" i="2" l="1"/>
  <c r="AK16" i="2" s="1"/>
  <c r="AL16" i="2" s="1"/>
  <c r="AD16" i="2" l="1"/>
  <c r="AC16" i="2" s="1"/>
  <c r="AE16" i="2"/>
  <c r="J50" i="1" s="1"/>
  <c r="AB16" i="2"/>
  <c r="AF17" i="2"/>
  <c r="F53" i="1" s="1"/>
  <c r="I50" i="1" l="1"/>
  <c r="AG17" i="2"/>
  <c r="AH17" i="2" s="1"/>
  <c r="AI17" i="2" s="1"/>
  <c r="AJ17" i="2" l="1"/>
  <c r="AK17" i="2" s="1"/>
  <c r="AL17" i="2" s="1"/>
  <c r="AD17" i="2" l="1"/>
  <c r="AC17" i="2" s="1"/>
  <c r="AB17" i="2"/>
  <c r="AF18" i="2"/>
  <c r="K53" i="1" s="1"/>
  <c r="AE17" i="2"/>
  <c r="E53" i="1" s="1"/>
  <c r="D53" i="1" l="1"/>
  <c r="AG18" i="2"/>
  <c r="AH18" i="2" s="1"/>
  <c r="AI18" i="2" s="1"/>
  <c r="AJ18" i="2" l="1"/>
  <c r="AK18" i="2" s="1"/>
  <c r="AL18" i="2" s="1"/>
  <c r="AD18" i="2" l="1"/>
  <c r="AC18" i="2" s="1"/>
  <c r="AE18" i="2"/>
  <c r="J53" i="1" s="1"/>
  <c r="AB18" i="2"/>
  <c r="AF19" i="2"/>
  <c r="F56" i="1" s="1"/>
  <c r="I53" i="1" l="1"/>
  <c r="AG19" i="2"/>
  <c r="AH19" i="2" s="1"/>
  <c r="AI19" i="2" s="1"/>
  <c r="AJ19" i="2" l="1"/>
  <c r="AK19" i="2" s="1"/>
  <c r="AL19" i="2" s="1"/>
  <c r="AD19" i="2" l="1"/>
  <c r="AC19" i="2" s="1"/>
  <c r="AF20" i="2"/>
  <c r="K56" i="1" s="1"/>
  <c r="AE19" i="2"/>
  <c r="E56" i="1" s="1"/>
  <c r="AB19" i="2"/>
  <c r="D56" i="1" l="1"/>
  <c r="AG20" i="2"/>
  <c r="AH20" i="2" s="1"/>
  <c r="AI20" i="2" s="1"/>
  <c r="AJ20" i="2" l="1"/>
  <c r="AK20" i="2" s="1"/>
  <c r="AL20" i="2" s="1"/>
  <c r="AD20" i="2" l="1"/>
  <c r="AC20" i="2" s="1"/>
  <c r="AE20" i="2"/>
  <c r="J56" i="1" s="1"/>
  <c r="AF21" i="2"/>
  <c r="F59" i="1" s="1"/>
  <c r="AB20" i="2"/>
  <c r="I56" i="1" l="1"/>
  <c r="AG21" i="2"/>
  <c r="AH21" i="2" s="1"/>
  <c r="AI21" i="2" s="1"/>
  <c r="AJ21" i="2" l="1"/>
  <c r="AK21" i="2" s="1"/>
  <c r="AL21" i="2" s="1"/>
  <c r="AD21" i="2" l="1"/>
  <c r="AC21" i="2" s="1"/>
  <c r="AF22" i="2"/>
  <c r="K59" i="1" s="1"/>
  <c r="AB21" i="2"/>
  <c r="AE21" i="2"/>
  <c r="E59" i="1" s="1"/>
  <c r="D59" i="1" l="1"/>
  <c r="AG22" i="2"/>
  <c r="AH22" i="2" s="1"/>
  <c r="AI22" i="2" s="1"/>
  <c r="AJ22" i="2" l="1"/>
  <c r="AK22" i="2" s="1"/>
  <c r="AL22" i="2" s="1"/>
  <c r="AI23" i="2"/>
  <c r="AD22" i="2" l="1"/>
  <c r="AC22" i="2" s="1"/>
  <c r="AJ23" i="2"/>
  <c r="AK23" i="2" s="1"/>
  <c r="AL23" i="2" s="1"/>
  <c r="AE22" i="2"/>
  <c r="J59" i="1" s="1"/>
  <c r="AB22" i="2"/>
  <c r="I59" i="1" l="1"/>
  <c r="AD23" i="2"/>
  <c r="AC23" i="2" s="1"/>
  <c r="AB23" i="2"/>
  <c r="AE23" i="2"/>
  <c r="AF24" i="2"/>
  <c r="D62" i="1" l="1"/>
  <c r="E62" i="1"/>
  <c r="K62" i="1"/>
  <c r="AG24" i="2"/>
  <c r="AH24" i="2" s="1"/>
  <c r="AI24" i="2" s="1"/>
  <c r="AJ24" i="2" l="1"/>
  <c r="AK24" i="2" s="1"/>
  <c r="AL24" i="2" s="1"/>
  <c r="AD24" i="2" l="1"/>
  <c r="AC24" i="2" s="1"/>
  <c r="AE24" i="2"/>
  <c r="AB24" i="2"/>
  <c r="AF25" i="2"/>
  <c r="F65" i="1" s="1"/>
  <c r="I62" i="1" l="1"/>
  <c r="J62" i="1"/>
  <c r="AG25" i="2"/>
  <c r="AH25" i="2" s="1"/>
  <c r="AI25" i="2" s="1"/>
  <c r="AJ25" i="2" l="1"/>
  <c r="AK25" i="2" s="1"/>
  <c r="AL25" i="2" s="1"/>
  <c r="AD25" i="2" l="1"/>
  <c r="AC25" i="2" s="1"/>
  <c r="AE25" i="2"/>
  <c r="E65" i="1" s="1"/>
  <c r="AB25" i="2"/>
  <c r="AF26" i="2"/>
  <c r="K65" i="1" s="1"/>
  <c r="D65" i="1" l="1"/>
  <c r="AG26" i="2"/>
  <c r="AH26" i="2" s="1"/>
  <c r="AI26" i="2" s="1"/>
  <c r="AJ26" i="2" l="1"/>
  <c r="AK26" i="2" s="1"/>
  <c r="AL26" i="2" s="1"/>
  <c r="AD26" i="2" l="1"/>
  <c r="AC26" i="2" s="1"/>
  <c r="AE26" i="2"/>
  <c r="J65" i="1" s="1"/>
  <c r="AB26" i="2"/>
  <c r="AF27" i="2"/>
  <c r="F68" i="1" s="1"/>
  <c r="I65" i="1" l="1"/>
  <c r="AG27" i="2"/>
  <c r="AH27" i="2" s="1"/>
  <c r="AI27" i="2" s="1"/>
  <c r="AJ27" i="2" l="1"/>
  <c r="AK27" i="2" s="1"/>
  <c r="AL27" i="2" s="1"/>
  <c r="AD27" i="2" l="1"/>
  <c r="AC27" i="2" s="1"/>
  <c r="AE27" i="2"/>
  <c r="E68" i="1" s="1"/>
  <c r="AB27" i="2"/>
  <c r="AF28" i="2"/>
  <c r="K68" i="1" s="1"/>
  <c r="D68" i="1" l="1"/>
  <c r="AG28" i="2"/>
  <c r="AH28" i="2" s="1"/>
  <c r="AI28" i="2" s="1"/>
  <c r="AJ28" i="2" l="1"/>
  <c r="AK28" i="2" s="1"/>
  <c r="AL28" i="2" s="1"/>
  <c r="AD28" i="2" l="1"/>
  <c r="AC28" i="2" s="1"/>
  <c r="AE28" i="2"/>
  <c r="J68" i="1" s="1"/>
  <c r="AB28" i="2"/>
  <c r="AF29" i="2"/>
  <c r="F71" i="1" s="1"/>
  <c r="I68" i="1" l="1"/>
  <c r="AG29" i="2"/>
  <c r="AH29" i="2" s="1"/>
  <c r="AI29" i="2" s="1"/>
  <c r="AJ29" i="2" l="1"/>
  <c r="AK29" i="2" s="1"/>
  <c r="AL29" i="2" s="1"/>
  <c r="AD29" i="2" l="1"/>
  <c r="AC29" i="2" s="1"/>
  <c r="AE29" i="2"/>
  <c r="E71" i="1" s="1"/>
  <c r="AB29" i="2"/>
  <c r="AF30" i="2"/>
  <c r="K71" i="1" s="1"/>
  <c r="D71" i="1" l="1"/>
  <c r="AG30" i="2"/>
  <c r="AH30" i="2" s="1"/>
  <c r="AI30" i="2" s="1"/>
  <c r="AJ30" i="2" l="1"/>
  <c r="AK30" i="2" s="1"/>
  <c r="AL30" i="2" s="1"/>
  <c r="AD30" i="2" l="1"/>
  <c r="AC30" i="2" s="1"/>
  <c r="AE30" i="2"/>
  <c r="J71" i="1" s="1"/>
  <c r="AB30" i="2"/>
  <c r="AF31" i="2"/>
  <c r="P35" i="1" s="1"/>
  <c r="I71" i="1" l="1"/>
  <c r="AG31" i="2"/>
  <c r="AH31" i="2" s="1"/>
  <c r="AI31" i="2" s="1"/>
  <c r="AJ31" i="2" l="1"/>
  <c r="AK31" i="2" s="1"/>
  <c r="AL31" i="2" s="1"/>
  <c r="AI32" i="2"/>
  <c r="AD31" i="2" l="1"/>
  <c r="AC31" i="2" s="1"/>
  <c r="AJ32" i="2"/>
  <c r="AK32" i="2" s="1"/>
  <c r="AL32" i="2" s="1"/>
  <c r="AE31" i="2"/>
  <c r="O35" i="1" s="1"/>
  <c r="AB31" i="2"/>
  <c r="N35" i="1" l="1"/>
  <c r="AD32" i="2"/>
  <c r="AC32" i="2" s="1"/>
  <c r="AE32" i="2"/>
  <c r="T35" i="1" s="1"/>
  <c r="AB32" i="2"/>
  <c r="AF33" i="2"/>
  <c r="P38" i="1" s="1"/>
  <c r="S35" i="1" l="1"/>
  <c r="AG33" i="2"/>
  <c r="AH33" i="2" s="1"/>
  <c r="AI33" i="2" s="1"/>
  <c r="AJ33" i="2" l="1"/>
  <c r="AK33" i="2" s="1"/>
  <c r="AL33" i="2" s="1"/>
  <c r="AD33" i="2" l="1"/>
  <c r="AC33" i="2" s="1"/>
  <c r="AF34" i="2"/>
  <c r="U38" i="1" s="1"/>
  <c r="AE33" i="2"/>
  <c r="O38" i="1" s="1"/>
  <c r="AB33" i="2"/>
  <c r="N38" i="1" l="1"/>
  <c r="AG34" i="2"/>
  <c r="AH34" i="2" s="1"/>
  <c r="AI34" i="2" s="1"/>
  <c r="AJ34" i="2" l="1"/>
  <c r="AK34" i="2" s="1"/>
  <c r="AL34" i="2" s="1"/>
  <c r="AD34" i="2" l="1"/>
  <c r="AC34" i="2" s="1"/>
  <c r="AB34" i="2"/>
  <c r="AE34" i="2"/>
  <c r="T38" i="1" s="1"/>
  <c r="AF35" i="2"/>
  <c r="P41" i="1" s="1"/>
  <c r="S38" i="1" l="1"/>
  <c r="AG35" i="2"/>
  <c r="AH35" i="2" s="1"/>
  <c r="AI35" i="2" s="1"/>
  <c r="AJ35" i="2" l="1"/>
  <c r="AK35" i="2" s="1"/>
  <c r="AL35" i="2" s="1"/>
  <c r="AD35" i="2" l="1"/>
  <c r="AC35" i="2" s="1"/>
  <c r="AB35" i="2"/>
  <c r="AF36" i="2"/>
  <c r="U41" i="1" s="1"/>
  <c r="AE35" i="2"/>
  <c r="O41" i="1" s="1"/>
  <c r="N41" i="1" l="1"/>
  <c r="AG36" i="2"/>
  <c r="AH36" i="2" s="1"/>
  <c r="AI36" i="2" s="1"/>
  <c r="AJ36" i="2" l="1"/>
  <c r="AK36" i="2" s="1"/>
  <c r="AL36" i="2" s="1"/>
  <c r="AD36" i="2" l="1"/>
  <c r="AC36" i="2" s="1"/>
  <c r="AF37" i="2"/>
  <c r="P44" i="1" s="1"/>
  <c r="AE36" i="2"/>
  <c r="T41" i="1" s="1"/>
  <c r="AB36" i="2"/>
  <c r="S41" i="1" l="1"/>
  <c r="AG37" i="2"/>
  <c r="AH37" i="2" s="1"/>
  <c r="AI37" i="2" s="1"/>
  <c r="AJ37" i="2" l="1"/>
  <c r="AK37" i="2" s="1"/>
  <c r="AL37" i="2" s="1"/>
  <c r="AD37" i="2" l="1"/>
  <c r="AC37" i="2" s="1"/>
  <c r="AE37" i="2"/>
  <c r="O44" i="1" s="1"/>
  <c r="AF38" i="2"/>
  <c r="U44" i="1" s="1"/>
  <c r="AB37" i="2"/>
  <c r="N44" i="1" l="1"/>
  <c r="AG38" i="2"/>
  <c r="AH38" i="2" s="1"/>
  <c r="AI38" i="2" s="1"/>
  <c r="AJ38" i="2" l="1"/>
  <c r="AK38" i="2" s="1"/>
  <c r="AL38" i="2" s="1"/>
  <c r="AD38" i="2" l="1"/>
  <c r="AC38" i="2" s="1"/>
  <c r="AB38" i="2"/>
  <c r="AE38" i="2"/>
  <c r="T44" i="1" s="1"/>
  <c r="AF39" i="2"/>
  <c r="P47" i="1" s="1"/>
  <c r="S44" i="1" l="1"/>
  <c r="AG39" i="2"/>
  <c r="AH39" i="2" s="1"/>
  <c r="AI39" i="2" s="1"/>
  <c r="AJ39" i="2" l="1"/>
  <c r="AK39" i="2" s="1"/>
  <c r="AL39" i="2" s="1"/>
  <c r="AD39" i="2" l="1"/>
  <c r="AC39" i="2" s="1"/>
  <c r="AF40" i="2"/>
  <c r="U47" i="1" s="1"/>
  <c r="AE39" i="2"/>
  <c r="O47" i="1" s="1"/>
  <c r="AB39" i="2"/>
  <c r="N47" i="1" l="1"/>
  <c r="AG40" i="2"/>
  <c r="AH40" i="2" s="1"/>
  <c r="AI40" i="2" s="1"/>
  <c r="AJ40" i="2" l="1"/>
  <c r="AK40" i="2" s="1"/>
  <c r="AL40" i="2" s="1"/>
  <c r="AI41" i="2"/>
  <c r="AD40" i="2" l="1"/>
  <c r="AC40" i="2" s="1"/>
  <c r="AJ41" i="2"/>
  <c r="AK41" i="2" s="1"/>
  <c r="AL41" i="2" s="1"/>
  <c r="AE40" i="2"/>
  <c r="T47" i="1" s="1"/>
  <c r="AB40" i="2"/>
  <c r="S47" i="1" l="1"/>
  <c r="AD41" i="2"/>
  <c r="AC41" i="2" s="1"/>
  <c r="AB41" i="2"/>
  <c r="AF42" i="2"/>
  <c r="U50" i="1" s="1"/>
  <c r="AE41" i="2"/>
  <c r="O50" i="1" s="1"/>
  <c r="N50" i="1" l="1"/>
  <c r="AG42" i="2"/>
  <c r="AH42" i="2" s="1"/>
  <c r="AI42" i="2" s="1"/>
  <c r="AJ42" i="2" l="1"/>
  <c r="AK42" i="2" s="1"/>
  <c r="AL42" i="2" s="1"/>
  <c r="AD42" i="2" l="1"/>
  <c r="AC42" i="2" s="1"/>
  <c r="AE42" i="2"/>
  <c r="T50" i="1" s="1"/>
  <c r="AF43" i="2"/>
  <c r="P53" i="1" s="1"/>
  <c r="AB42" i="2"/>
  <c r="S50" i="1" l="1"/>
  <c r="AG43" i="2"/>
  <c r="AH43" i="2" s="1"/>
  <c r="AI43" i="2" s="1"/>
  <c r="AJ43" i="2" l="1"/>
  <c r="AK43" i="2" s="1"/>
  <c r="AL43" i="2" s="1"/>
  <c r="AD43" i="2" l="1"/>
  <c r="AC43" i="2" s="1"/>
  <c r="AE43" i="2"/>
  <c r="O53" i="1" s="1"/>
  <c r="AF44" i="2"/>
  <c r="U53" i="1" s="1"/>
  <c r="AB43" i="2"/>
  <c r="N53" i="1" l="1"/>
  <c r="AG44" i="2"/>
  <c r="AH44" i="2" s="1"/>
  <c r="AI44" i="2" s="1"/>
  <c r="AJ44" i="2" l="1"/>
  <c r="AK44" i="2" s="1"/>
  <c r="AL44" i="2" s="1"/>
  <c r="AD44" i="2" l="1"/>
  <c r="AC44" i="2" s="1"/>
  <c r="AF45" i="2"/>
  <c r="P56" i="1" s="1"/>
  <c r="AE44" i="2"/>
  <c r="T53" i="1" s="1"/>
  <c r="AB44" i="2"/>
  <c r="S53" i="1" l="1"/>
  <c r="AG45" i="2"/>
  <c r="AH45" i="2" s="1"/>
  <c r="AI45" i="2" s="1"/>
  <c r="AJ45" i="2" l="1"/>
  <c r="AK45" i="2" s="1"/>
  <c r="AL45" i="2" s="1"/>
  <c r="AD45" i="2" l="1"/>
  <c r="AC45" i="2" s="1"/>
  <c r="AB45" i="2"/>
  <c r="AF46" i="2"/>
  <c r="U56" i="1" s="1"/>
  <c r="AE45" i="2"/>
  <c r="O56" i="1" s="1"/>
  <c r="N56" i="1" l="1"/>
  <c r="AG46" i="2"/>
  <c r="AH46" i="2" s="1"/>
  <c r="AI46" i="2" s="1"/>
  <c r="AJ46" i="2" l="1"/>
  <c r="AK46" i="2" s="1"/>
  <c r="AL46" i="2" s="1"/>
  <c r="AD46" i="2" l="1"/>
  <c r="AC46" i="2" s="1"/>
  <c r="AF47" i="2"/>
  <c r="AB46" i="2"/>
  <c r="AE46" i="2"/>
  <c r="T56" i="1" s="1"/>
  <c r="S56" i="1" l="1"/>
  <c r="AG47" i="2"/>
  <c r="AH47" i="2" s="1"/>
  <c r="AI47" i="2" s="1"/>
  <c r="AJ47" i="2" s="1"/>
  <c r="AK47" i="2" s="1"/>
  <c r="AL47" i="2" s="1"/>
  <c r="P59" i="1"/>
  <c r="AD47" i="2" l="1"/>
  <c r="AC47" i="2" s="1"/>
  <c r="AE47" i="2"/>
  <c r="O59" i="1" s="1"/>
  <c r="AF48" i="2"/>
  <c r="U59" i="1" s="1"/>
  <c r="AB47" i="2"/>
  <c r="N59" i="1" l="1"/>
  <c r="AG48" i="2"/>
  <c r="AH48" i="2" s="1"/>
  <c r="AI48" i="2" s="1"/>
  <c r="AJ48" i="2" l="1"/>
  <c r="AK48" i="2" s="1"/>
  <c r="AL48" i="2" s="1"/>
  <c r="AD48" i="2" l="1"/>
  <c r="AC48" i="2" s="1"/>
  <c r="AB48" i="2"/>
  <c r="AE48" i="2"/>
  <c r="T59" i="1" s="1"/>
  <c r="AF49" i="2"/>
  <c r="S59" i="1" l="1"/>
  <c r="AG49" i="2"/>
  <c r="AH49" i="2" s="1"/>
  <c r="AI49" i="2" s="1"/>
  <c r="AI50" i="2" s="1"/>
  <c r="P62" i="1"/>
  <c r="AJ49" i="2" l="1"/>
  <c r="AK49" i="2" s="1"/>
  <c r="AL49" i="2" s="1"/>
  <c r="AD49" i="2" s="1"/>
  <c r="AC49" i="2" s="1"/>
  <c r="AJ50" i="2"/>
  <c r="AK50" i="2" s="1"/>
  <c r="AL50" i="2" s="1"/>
  <c r="AE49" i="2" l="1"/>
  <c r="O62" i="1" s="1"/>
  <c r="AB49" i="2"/>
  <c r="N62" i="1" s="1"/>
  <c r="AD50" i="2"/>
  <c r="AC50" i="2" s="1"/>
  <c r="AF51" i="2"/>
  <c r="AB50" i="2"/>
  <c r="AE50" i="2"/>
  <c r="T62" i="1" s="1"/>
  <c r="S62" i="1" l="1"/>
  <c r="AG51" i="2"/>
  <c r="AH51" i="2" s="1"/>
  <c r="AI51" i="2" s="1"/>
  <c r="AJ51" i="2" s="1"/>
  <c r="AK51" i="2" s="1"/>
  <c r="AL51" i="2" s="1"/>
  <c r="P65" i="1"/>
  <c r="AD51" i="2" l="1"/>
  <c r="AC51" i="2" s="1"/>
  <c r="AB51" i="2"/>
  <c r="AE51" i="2"/>
  <c r="O65" i="1" s="1"/>
  <c r="AF52" i="2"/>
  <c r="U65" i="1" s="1"/>
  <c r="N65" i="1" l="1"/>
  <c r="AG52" i="2"/>
  <c r="AH52" i="2" s="1"/>
  <c r="AI52" i="2" s="1"/>
  <c r="AJ52" i="2" l="1"/>
  <c r="AK52" i="2" s="1"/>
  <c r="AL52" i="2" s="1"/>
  <c r="AD52" i="2" l="1"/>
  <c r="AC52" i="2" s="1"/>
  <c r="AF53" i="2"/>
  <c r="AB52" i="2"/>
  <c r="AE52" i="2"/>
  <c r="T65" i="1" s="1"/>
  <c r="S65" i="1" l="1"/>
  <c r="AG53" i="2"/>
  <c r="AH53" i="2" s="1"/>
  <c r="AI53" i="2" s="1"/>
  <c r="AJ53" i="2" s="1"/>
  <c r="AK53" i="2" s="1"/>
  <c r="AL53" i="2" s="1"/>
  <c r="P68" i="1"/>
  <c r="AD53" i="2" l="1"/>
  <c r="AC53" i="2" s="1"/>
  <c r="AB53" i="2"/>
  <c r="AE53" i="2"/>
  <c r="O68" i="1" s="1"/>
  <c r="AF54" i="2"/>
  <c r="U68" i="1" s="1"/>
  <c r="N68" i="1" l="1"/>
  <c r="AG54" i="2"/>
  <c r="AH54" i="2" s="1"/>
  <c r="AI54" i="2" s="1"/>
  <c r="AJ54" i="2" l="1"/>
  <c r="AK54" i="2" s="1"/>
  <c r="AL54" i="2" s="1"/>
  <c r="AD54" i="2" l="1"/>
  <c r="AC54" i="2" s="1"/>
  <c r="AE54" i="2"/>
  <c r="T68" i="1" s="1"/>
  <c r="AF55" i="2"/>
  <c r="AB54" i="2"/>
  <c r="S68" i="1" l="1"/>
  <c r="AG55" i="2"/>
  <c r="AH55" i="2" s="1"/>
  <c r="AI55" i="2" s="1"/>
  <c r="AJ55" i="2" s="1"/>
  <c r="AK55" i="2" s="1"/>
  <c r="AL55" i="2" s="1"/>
  <c r="P71" i="1"/>
  <c r="AD55" i="2" l="1"/>
  <c r="AC55" i="2" s="1"/>
  <c r="AB55" i="2"/>
  <c r="AE55" i="2"/>
  <c r="O71" i="1" s="1"/>
  <c r="AF56" i="2"/>
  <c r="U71" i="1" s="1"/>
  <c r="N71" i="1" l="1"/>
  <c r="AG56" i="2"/>
  <c r="AH56" i="2" s="1"/>
  <c r="AI56" i="2" s="1"/>
  <c r="AJ56" i="2" l="1"/>
  <c r="AK56" i="2" s="1"/>
  <c r="AL56" i="2" s="1"/>
  <c r="AD56" i="2" l="1"/>
  <c r="AC56" i="2" s="1"/>
  <c r="AF57" i="2"/>
  <c r="AG57" i="2" s="1"/>
  <c r="AH57" i="2" s="1"/>
  <c r="AI57" i="2" s="1"/>
  <c r="AB56" i="2"/>
  <c r="AE56" i="2"/>
  <c r="T71" i="1" s="1"/>
  <c r="S71" i="1" l="1"/>
  <c r="AJ57" i="2"/>
  <c r="AK57" i="2" s="1"/>
  <c r="AL57" i="2" s="1"/>
  <c r="AD57" i="2" s="1"/>
  <c r="AC57" i="2" s="1"/>
  <c r="AB57" i="2" l="1"/>
  <c r="AE57" i="2"/>
  <c r="AF58" i="2"/>
  <c r="AG58" i="2" s="1"/>
  <c r="AH58" i="2" s="1"/>
  <c r="AI58" i="2" s="1"/>
  <c r="AJ58" i="2" s="1"/>
  <c r="AK58" i="2" s="1"/>
  <c r="AL58" i="2" s="1"/>
  <c r="AD58" i="2" s="1"/>
  <c r="AC58" i="2" s="1"/>
  <c r="AE58" i="2" l="1"/>
  <c r="AB5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 John</author>
  </authors>
  <commentList>
    <comment ref="D8" authorId="0" shapeId="0" xr:uid="{A8EFC693-04E0-0C45-8027-EB265726DA08}">
      <text>
        <r>
          <rPr>
            <b/>
            <sz val="10"/>
            <color rgb="FF000000"/>
            <rFont val="Tahoma"/>
            <family val="2"/>
          </rPr>
          <t>Nathan John: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Needs to be waist in cm / height in cm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<sst xmlns="http://schemas.openxmlformats.org/spreadsheetml/2006/main" count="662" uniqueCount="482">
  <si>
    <t>YOUR CURRENT DETAILS</t>
  </si>
  <si>
    <t>Age</t>
  </si>
  <si>
    <t>Height</t>
  </si>
  <si>
    <t>Centimeter</t>
  </si>
  <si>
    <t>Weight</t>
  </si>
  <si>
    <t>Lbs</t>
  </si>
  <si>
    <t>5st 13lbs</t>
  </si>
  <si>
    <t>Waist</t>
  </si>
  <si>
    <t>cm</t>
  </si>
  <si>
    <t>Sex</t>
  </si>
  <si>
    <t>Calorie Intake</t>
  </si>
  <si>
    <t>kcal/day</t>
  </si>
  <si>
    <t>Exercise</t>
  </si>
  <si>
    <t>Select</t>
  </si>
  <si>
    <t>Weekly</t>
  </si>
  <si>
    <t>Your Details</t>
  </si>
  <si>
    <t>Complete your details in the boxes on the left. You can choose  from KG, LBS or Stone and CM, Inches or Feet (and inches).
The info displayed will be a future estimate of your gains or losses based on daily caloire intake. 
The calculations are as close as posi=sible to the general consensus of calires vs growht or loss, but it is a bit of fun, please enjoy!</t>
  </si>
  <si>
    <t>sex</t>
  </si>
  <si>
    <t>calorie intake</t>
  </si>
  <si>
    <t>movement</t>
  </si>
  <si>
    <t xml:space="preserve">Waist </t>
  </si>
  <si>
    <t>your current Stats</t>
  </si>
  <si>
    <t>BMI</t>
  </si>
  <si>
    <r>
      <t>WH</t>
    </r>
    <r>
      <rPr>
        <sz val="10"/>
        <color theme="0"/>
        <rFont val="UBG88-The Fat One"/>
        <family val="3"/>
        <scheme val="major"/>
      </rPr>
      <t>t</t>
    </r>
    <r>
      <rPr>
        <sz val="14"/>
        <color theme="0"/>
        <rFont val="UBG88-The Fat One"/>
        <family val="3"/>
        <scheme val="major"/>
      </rPr>
      <t>R</t>
    </r>
  </si>
  <si>
    <t>your Base BMR</t>
  </si>
  <si>
    <t xml:space="preserve">kcal/day </t>
  </si>
  <si>
    <t>YOUR current Advisory stats</t>
  </si>
  <si>
    <t>waist</t>
  </si>
  <si>
    <t>True BMR</t>
  </si>
  <si>
    <t>title</t>
  </si>
  <si>
    <t>metric</t>
  </si>
  <si>
    <r>
      <rPr>
        <b/>
        <sz val="11"/>
        <color rgb="FF000000"/>
        <rFont val="UBG88-The Real Skinny"/>
      </rPr>
      <t>Select</t>
    </r>
    <r>
      <rPr>
        <sz val="11"/>
        <color rgb="FF000000"/>
        <rFont val="UBG88-The Real Skinny"/>
        <family val="2"/>
      </rPr>
      <t xml:space="preserve"> </t>
    </r>
    <r>
      <rPr>
        <b/>
        <sz val="16"/>
        <color rgb="FF000000"/>
        <rFont val="Arial Black"/>
        <family val="2"/>
      </rPr>
      <t>↓</t>
    </r>
  </si>
  <si>
    <t xml:space="preserve">MALE </t>
  </si>
  <si>
    <t>height</t>
  </si>
  <si>
    <t>FEMALE</t>
  </si>
  <si>
    <t>weight</t>
  </si>
  <si>
    <t>20</t>
  </si>
  <si>
    <t>25</t>
  </si>
  <si>
    <t>30</t>
  </si>
  <si>
    <t>35</t>
  </si>
  <si>
    <t>40</t>
  </si>
  <si>
    <t>45</t>
  </si>
  <si>
    <t>100</t>
  </si>
  <si>
    <t>You</t>
  </si>
  <si>
    <t>Calories
Consumed
X 7 DAYS</t>
  </si>
  <si>
    <t>True
BMR
X7</t>
  </si>
  <si>
    <t>Consumed
- BMR</t>
  </si>
  <si>
    <t>7 Day
Change</t>
  </si>
  <si>
    <t>Weight
Projection
Kg</t>
  </si>
  <si>
    <t>Adjuste pounds</t>
  </si>
  <si>
    <t>Adjusted
 Projection
Stone</t>
  </si>
  <si>
    <t>Adjusted
Projection
lb</t>
  </si>
  <si>
    <t>Adjusted
Projected
BMI</t>
  </si>
  <si>
    <t>Adjusted
Projected
BMR</t>
  </si>
  <si>
    <t xml:space="preserve">Adjusted
True BMR
Excecise </t>
  </si>
  <si>
    <t>Adjusted
BMR x7</t>
  </si>
  <si>
    <t>Adjusted True BMR 52 weeks</t>
  </si>
  <si>
    <t>Adjusted 
Consumed-BMR</t>
  </si>
  <si>
    <t>Adjusted
7 day
change</t>
  </si>
  <si>
    <t>Adjusted 
Projected
KG</t>
  </si>
  <si>
    <t>Days
Per
Week</t>
  </si>
  <si>
    <t>Week
No.</t>
  </si>
  <si>
    <t>Base BMR</t>
  </si>
  <si>
    <t>WtHR</t>
  </si>
  <si>
    <t>best WHtR</t>
  </si>
  <si>
    <t>Activity Score</t>
  </si>
  <si>
    <t>Thinness</t>
  </si>
  <si>
    <t>Underweight</t>
  </si>
  <si>
    <t>Normal Weight</t>
  </si>
  <si>
    <t>Overweight</t>
  </si>
  <si>
    <t>Obese Class 1</t>
  </si>
  <si>
    <t>Obese Class 2</t>
  </si>
  <si>
    <t>Obese Class 3</t>
  </si>
  <si>
    <r>
      <t xml:space="preserve">Select </t>
    </r>
    <r>
      <rPr>
        <sz val="11"/>
        <color theme="1"/>
        <rFont val="Aptos Narrow"/>
        <family val="2"/>
      </rPr>
      <t>↓</t>
    </r>
  </si>
  <si>
    <t>Inches</t>
  </si>
  <si>
    <t>Feet</t>
  </si>
  <si>
    <t>Kilograms</t>
  </si>
  <si>
    <t>Pound</t>
  </si>
  <si>
    <t>Stone</t>
  </si>
  <si>
    <t>In</t>
  </si>
  <si>
    <t>4' 5"</t>
  </si>
  <si>
    <t>5st 10lbs</t>
  </si>
  <si>
    <t>a</t>
  </si>
  <si>
    <t>4' 6"</t>
  </si>
  <si>
    <t>↓↓↓</t>
  </si>
  <si>
    <t>5st 11lbs</t>
  </si>
  <si>
    <t>b</t>
  </si>
  <si>
    <t>4' 7"</t>
  </si>
  <si>
    <t>5st 12lbs</t>
  </si>
  <si>
    <t>c</t>
  </si>
  <si>
    <t>4' 8"</t>
  </si>
  <si>
    <t>d</t>
  </si>
  <si>
    <t>4' 9"</t>
  </si>
  <si>
    <t>6st 0lbs</t>
  </si>
  <si>
    <t>4' 10"</t>
  </si>
  <si>
    <t>6st 1lbs</t>
  </si>
  <si>
    <t>4' 11"</t>
  </si>
  <si>
    <t>6st 2lbs</t>
  </si>
  <si>
    <t>5' 0"</t>
  </si>
  <si>
    <t>6st 3lbs</t>
  </si>
  <si>
    <t>5' 1"</t>
  </si>
  <si>
    <t>6st 4lbs</t>
  </si>
  <si>
    <t>5' 2"</t>
  </si>
  <si>
    <t>6st 5lbs</t>
  </si>
  <si>
    <t>5' 3"</t>
  </si>
  <si>
    <t>6st 6lbs</t>
  </si>
  <si>
    <t>5' 4"</t>
  </si>
  <si>
    <t>6st 7lbs</t>
  </si>
  <si>
    <t>5' 5"</t>
  </si>
  <si>
    <t>6st 8lbs</t>
  </si>
  <si>
    <t>5' 6"</t>
  </si>
  <si>
    <t>6st 9lbs</t>
  </si>
  <si>
    <t>5' 7"</t>
  </si>
  <si>
    <t>6st 10lbs</t>
  </si>
  <si>
    <t>5' 8"</t>
  </si>
  <si>
    <t>6st 11lbs</t>
  </si>
  <si>
    <t>5' 9"</t>
  </si>
  <si>
    <t>6st 12lbs</t>
  </si>
  <si>
    <t>5' 10"</t>
  </si>
  <si>
    <t>6st 13lbs</t>
  </si>
  <si>
    <t>5' 11"</t>
  </si>
  <si>
    <t>7st 0lbs</t>
  </si>
  <si>
    <t>6' 0"</t>
  </si>
  <si>
    <t>7st 1lbs</t>
  </si>
  <si>
    <t>6' 1"</t>
  </si>
  <si>
    <t>7st 2lbs</t>
  </si>
  <si>
    <t>6' 2"</t>
  </si>
  <si>
    <t>7st 3lbs</t>
  </si>
  <si>
    <t>6' 3"</t>
  </si>
  <si>
    <t>7st 4lbs</t>
  </si>
  <si>
    <t>6' 4"</t>
  </si>
  <si>
    <t>7st 5lbs</t>
  </si>
  <si>
    <t>6' 5"</t>
  </si>
  <si>
    <t>7st 6lbs</t>
  </si>
  <si>
    <t>6' 6"</t>
  </si>
  <si>
    <t>7st 7lbs</t>
  </si>
  <si>
    <t>6' 7"</t>
  </si>
  <si>
    <t>7st 8lbs</t>
  </si>
  <si>
    <t>6' 8"</t>
  </si>
  <si>
    <t>7st 9lbs</t>
  </si>
  <si>
    <t>6' 9"</t>
  </si>
  <si>
    <t>7st 10lbs</t>
  </si>
  <si>
    <t>6' 10"</t>
  </si>
  <si>
    <t>7st 11lbs</t>
  </si>
  <si>
    <t>6' 11"</t>
  </si>
  <si>
    <t>7st 12lbs</t>
  </si>
  <si>
    <t>7' 0"</t>
  </si>
  <si>
    <t>7st 13lbs</t>
  </si>
  <si>
    <t>7' 1"</t>
  </si>
  <si>
    <t>8st 0lbs</t>
  </si>
  <si>
    <t>7' 2"</t>
  </si>
  <si>
    <t>8st 1lbs</t>
  </si>
  <si>
    <t>7' 3"</t>
  </si>
  <si>
    <t>8st 2lbs</t>
  </si>
  <si>
    <t>7' 4"</t>
  </si>
  <si>
    <t>8st 3lbs</t>
  </si>
  <si>
    <t>7' 5"</t>
  </si>
  <si>
    <t>8st 4lbs</t>
  </si>
  <si>
    <t>7' 6"</t>
  </si>
  <si>
    <t>8st 5lbs</t>
  </si>
  <si>
    <t>7' 7"</t>
  </si>
  <si>
    <t>8st 6lbs</t>
  </si>
  <si>
    <t>7' 8"</t>
  </si>
  <si>
    <t>8st 7lbs</t>
  </si>
  <si>
    <t>7' 9"</t>
  </si>
  <si>
    <t>8st 8lbs</t>
  </si>
  <si>
    <t>7' 10"</t>
  </si>
  <si>
    <t>8st 9lbs</t>
  </si>
  <si>
    <t>7' 11"</t>
  </si>
  <si>
    <t>8st 10lbs</t>
  </si>
  <si>
    <t>8st 11lbs</t>
  </si>
  <si>
    <t>8st 12lbs</t>
  </si>
  <si>
    <t>8st 13lbs</t>
  </si>
  <si>
    <t>9st lbs</t>
  </si>
  <si>
    <t>9st 1lbs</t>
  </si>
  <si>
    <t>9st 2lbs</t>
  </si>
  <si>
    <t>9st 3lbs</t>
  </si>
  <si>
    <t>9st 4lbs</t>
  </si>
  <si>
    <t>9st 5lbs</t>
  </si>
  <si>
    <t>9st 6lbs</t>
  </si>
  <si>
    <t>9st 7lbs</t>
  </si>
  <si>
    <t>9st 8lbs</t>
  </si>
  <si>
    <t>9st 9lbs</t>
  </si>
  <si>
    <t>9st 10lbs</t>
  </si>
  <si>
    <t>9st 11lbs</t>
  </si>
  <si>
    <t>9st 12lbs</t>
  </si>
  <si>
    <t>9st 13lbs</t>
  </si>
  <si>
    <t>10st 0lbs</t>
  </si>
  <si>
    <t>10st 1lbs</t>
  </si>
  <si>
    <t>10st 2lbs</t>
  </si>
  <si>
    <t>10st 3lbs</t>
  </si>
  <si>
    <t>10st 4lbs</t>
  </si>
  <si>
    <t>10st 5lbs</t>
  </si>
  <si>
    <t>10st 6lbs</t>
  </si>
  <si>
    <t>10st 7lbs</t>
  </si>
  <si>
    <t>10st 8lbs</t>
  </si>
  <si>
    <t>10st 9lbs</t>
  </si>
  <si>
    <t>10st 10lbs</t>
  </si>
  <si>
    <t>10st 11lbs</t>
  </si>
  <si>
    <t>10st 12lbs</t>
  </si>
  <si>
    <t>10st 13lbs</t>
  </si>
  <si>
    <t>11st 0lbs</t>
  </si>
  <si>
    <t>11st 1lbs</t>
  </si>
  <si>
    <t>11st 2lbs</t>
  </si>
  <si>
    <t>11st 3lbs</t>
  </si>
  <si>
    <t>11st 4lbs</t>
  </si>
  <si>
    <t>11st 5lbs</t>
  </si>
  <si>
    <t>11st 6lbs</t>
  </si>
  <si>
    <t>11st 7lbs</t>
  </si>
  <si>
    <t>11st 8lbs</t>
  </si>
  <si>
    <t>11st 9lbs</t>
  </si>
  <si>
    <t>11st 10lbs</t>
  </si>
  <si>
    <t>11st 11lbs</t>
  </si>
  <si>
    <t>11st 12lbs</t>
  </si>
  <si>
    <t>11st 13lbs</t>
  </si>
  <si>
    <t>12st 0lbs</t>
  </si>
  <si>
    <t>12st 1lbs</t>
  </si>
  <si>
    <t>12st 2lbs</t>
  </si>
  <si>
    <t>12st 3lbs</t>
  </si>
  <si>
    <t>12st 4lbs</t>
  </si>
  <si>
    <t>12st 5lbs</t>
  </si>
  <si>
    <t>12st 6lbs</t>
  </si>
  <si>
    <t>12st 7lbs</t>
  </si>
  <si>
    <t>12st 8lbs</t>
  </si>
  <si>
    <t>12st 9lbs</t>
  </si>
  <si>
    <t>12st 10lbs</t>
  </si>
  <si>
    <t>12st 11lbs</t>
  </si>
  <si>
    <t>12st 12lbs</t>
  </si>
  <si>
    <t>12st 13lbs</t>
  </si>
  <si>
    <t>13st 0lbs</t>
  </si>
  <si>
    <t>13st 1lbs</t>
  </si>
  <si>
    <t>13st 2lbs</t>
  </si>
  <si>
    <t>13st 3lbs</t>
  </si>
  <si>
    <t>13st 4lbs</t>
  </si>
  <si>
    <t>13st 5lbs</t>
  </si>
  <si>
    <t>13st 6lbs</t>
  </si>
  <si>
    <t>13st 7lbs</t>
  </si>
  <si>
    <t>13st 8lbs</t>
  </si>
  <si>
    <t>13st 9lbs</t>
  </si>
  <si>
    <t>13st 10lbs</t>
  </si>
  <si>
    <t>13st 11lbs</t>
  </si>
  <si>
    <t>13st 12lbs</t>
  </si>
  <si>
    <t>13st 13lbs</t>
  </si>
  <si>
    <t>14st 0lbs</t>
  </si>
  <si>
    <t>14st 1lbs</t>
  </si>
  <si>
    <t>14st 2lbs</t>
  </si>
  <si>
    <t>14st 3lbs</t>
  </si>
  <si>
    <t>14st 4lbs</t>
  </si>
  <si>
    <t>14st 5lbs</t>
  </si>
  <si>
    <t>14st 6lbs</t>
  </si>
  <si>
    <t>14st 7lbs</t>
  </si>
  <si>
    <t>14st 8lbs</t>
  </si>
  <si>
    <t>14st 9lbs</t>
  </si>
  <si>
    <t>14st 10lbs</t>
  </si>
  <si>
    <t>14st 11lbs</t>
  </si>
  <si>
    <t>14st 12lbs</t>
  </si>
  <si>
    <t>14st 13lbs</t>
  </si>
  <si>
    <t>15st 0lbs</t>
  </si>
  <si>
    <t>15st 1lbs</t>
  </si>
  <si>
    <t>15st 2lbs</t>
  </si>
  <si>
    <t>15st 3lbs</t>
  </si>
  <si>
    <t>15st 4lbs</t>
  </si>
  <si>
    <t>15st 5lbs</t>
  </si>
  <si>
    <t>15st 6lbs</t>
  </si>
  <si>
    <t>15st 7lbs</t>
  </si>
  <si>
    <t>15st 8lbs</t>
  </si>
  <si>
    <t>15st 9lbs</t>
  </si>
  <si>
    <t>15st 10lbs</t>
  </si>
  <si>
    <t>15st 11lbs</t>
  </si>
  <si>
    <t>15st 12lbs</t>
  </si>
  <si>
    <t>15st 13lbs</t>
  </si>
  <si>
    <t>16st 0lbs</t>
  </si>
  <si>
    <t>16st 1lbs</t>
  </si>
  <si>
    <t>16st 2lbs</t>
  </si>
  <si>
    <t>16st 3lbs</t>
  </si>
  <si>
    <t>16st 4lbs</t>
  </si>
  <si>
    <t>16st 5lbs</t>
  </si>
  <si>
    <t>16st 6lbs</t>
  </si>
  <si>
    <t>16st 7lbs</t>
  </si>
  <si>
    <t>16st 8lbs</t>
  </si>
  <si>
    <t>16st 9lbs</t>
  </si>
  <si>
    <t>16st 10lbs</t>
  </si>
  <si>
    <t>16st 11lbs</t>
  </si>
  <si>
    <t>16st 12lbs</t>
  </si>
  <si>
    <t>16st 13lbs</t>
  </si>
  <si>
    <t>17st 0lbs</t>
  </si>
  <si>
    <t>17st 1lbs</t>
  </si>
  <si>
    <t>17st 2lbs</t>
  </si>
  <si>
    <t>17st 3lbs</t>
  </si>
  <si>
    <t>17st 4lbs</t>
  </si>
  <si>
    <t>17st 5lbs</t>
  </si>
  <si>
    <t>17st 6lbs</t>
  </si>
  <si>
    <t>17st 7lbs</t>
  </si>
  <si>
    <t>17st 8lbs</t>
  </si>
  <si>
    <t>17st 9lbs</t>
  </si>
  <si>
    <t>17st 10lbs</t>
  </si>
  <si>
    <t>17st 11lbs</t>
  </si>
  <si>
    <t>17st 12lbs</t>
  </si>
  <si>
    <t>17st 13lbs</t>
  </si>
  <si>
    <t>18st 0lbs</t>
  </si>
  <si>
    <t>18st 1lbs</t>
  </si>
  <si>
    <t>18st 2lbs</t>
  </si>
  <si>
    <t>18st 3lbs</t>
  </si>
  <si>
    <t>18st 4lbs</t>
  </si>
  <si>
    <t>18st 5lbs</t>
  </si>
  <si>
    <t>18st 6lbs</t>
  </si>
  <si>
    <t>18st 7lbs</t>
  </si>
  <si>
    <t>18st 8lbs</t>
  </si>
  <si>
    <t>18st 9lbs</t>
  </si>
  <si>
    <t>18st 10lbs</t>
  </si>
  <si>
    <t>18st 11lbs</t>
  </si>
  <si>
    <t>18st 12lbs</t>
  </si>
  <si>
    <t>18st 13lbs</t>
  </si>
  <si>
    <t>19st 0lbs</t>
  </si>
  <si>
    <t>19st 1lbs</t>
  </si>
  <si>
    <t>19st 2lbs</t>
  </si>
  <si>
    <t>19st 3lbs</t>
  </si>
  <si>
    <t>19st 4lbs</t>
  </si>
  <si>
    <t>19st 5lbs</t>
  </si>
  <si>
    <t>19st 6lbs</t>
  </si>
  <si>
    <t>19st 7lbs</t>
  </si>
  <si>
    <t>19st 8lbs</t>
  </si>
  <si>
    <t>19st 9lbs</t>
  </si>
  <si>
    <t>19st 10lbs</t>
  </si>
  <si>
    <t>19st 11lbs</t>
  </si>
  <si>
    <t>19st 12lbs</t>
  </si>
  <si>
    <t>19st 13lbs</t>
  </si>
  <si>
    <t>20st 0lbs</t>
  </si>
  <si>
    <t>20st 1lbs</t>
  </si>
  <si>
    <t>20st 2lbs</t>
  </si>
  <si>
    <t>20st 3lbs</t>
  </si>
  <si>
    <t>20st 4lbs</t>
  </si>
  <si>
    <t>20st 5lbs</t>
  </si>
  <si>
    <t>20st 6lbs</t>
  </si>
  <si>
    <t>20st 7lbs</t>
  </si>
  <si>
    <t>20st 8lbs</t>
  </si>
  <si>
    <t>20st 9lbs</t>
  </si>
  <si>
    <t>20st 10lbs</t>
  </si>
  <si>
    <t>20st 11lbs</t>
  </si>
  <si>
    <t>20st 12lbs</t>
  </si>
  <si>
    <t>20st 13lbs</t>
  </si>
  <si>
    <t>21st 0lbs</t>
  </si>
  <si>
    <t>21st 1lbs</t>
  </si>
  <si>
    <t>21st 2lbs</t>
  </si>
  <si>
    <t>21st 3lbs</t>
  </si>
  <si>
    <t>21st 4lbs</t>
  </si>
  <si>
    <t>21st 5lbs</t>
  </si>
  <si>
    <t>21st 6lbs</t>
  </si>
  <si>
    <t>21st 7lbs</t>
  </si>
  <si>
    <t>21st 8lbs</t>
  </si>
  <si>
    <t>21st 9lbs</t>
  </si>
  <si>
    <t>21st 10lbs</t>
  </si>
  <si>
    <t>21st 11lbs</t>
  </si>
  <si>
    <t>21st 12lbs</t>
  </si>
  <si>
    <t>21st 13lbs</t>
  </si>
  <si>
    <t>22st 0lbs</t>
  </si>
  <si>
    <t>22st 1lbs</t>
  </si>
  <si>
    <t>22st 2lbs</t>
  </si>
  <si>
    <t>22st 3lbs</t>
  </si>
  <si>
    <t>22st 4lbs</t>
  </si>
  <si>
    <t>22st 5lbs</t>
  </si>
  <si>
    <t>22st 6lbs</t>
  </si>
  <si>
    <t>22st 7lbs</t>
  </si>
  <si>
    <t>22st 8lbs</t>
  </si>
  <si>
    <t>22st 9lbs</t>
  </si>
  <si>
    <t>22st 10lbs</t>
  </si>
  <si>
    <t>22st 11lbs</t>
  </si>
  <si>
    <t>22st 12lbs</t>
  </si>
  <si>
    <t>22st 13lbs</t>
  </si>
  <si>
    <t>23st 0lbs</t>
  </si>
  <si>
    <t>23st 1lbs</t>
  </si>
  <si>
    <t>23st 2lbs</t>
  </si>
  <si>
    <t>23st 3lbs</t>
  </si>
  <si>
    <t>23st 4lbs</t>
  </si>
  <si>
    <t>23st 5lbs</t>
  </si>
  <si>
    <t>23st 6lbs</t>
  </si>
  <si>
    <t>23st 7lbs</t>
  </si>
  <si>
    <t>23st 8lbs</t>
  </si>
  <si>
    <t>23st 9lbs</t>
  </si>
  <si>
    <t>23st 10lbs</t>
  </si>
  <si>
    <t>23st 11lbs</t>
  </si>
  <si>
    <t>23st 12lbs</t>
  </si>
  <si>
    <t>23st 13lbs</t>
  </si>
  <si>
    <t>24st 0lbs</t>
  </si>
  <si>
    <t>24st 1lbs</t>
  </si>
  <si>
    <t>24st 2lbs</t>
  </si>
  <si>
    <t>24st 3lbs</t>
  </si>
  <si>
    <t>24st 4lbs</t>
  </si>
  <si>
    <t>24st 5lbs</t>
  </si>
  <si>
    <t>24st 6lbs</t>
  </si>
  <si>
    <t>24st 7lbs</t>
  </si>
  <si>
    <t>24st 8lbs</t>
  </si>
  <si>
    <t>24st 9lbs</t>
  </si>
  <si>
    <t>24st 10lbs</t>
  </si>
  <si>
    <t>24st 11lbs</t>
  </si>
  <si>
    <t>24st 12lbs</t>
  </si>
  <si>
    <t>24st 13lbs</t>
  </si>
  <si>
    <t>25st 0lbs</t>
  </si>
  <si>
    <t>25st 1lbs</t>
  </si>
  <si>
    <t>25st 2lbs</t>
  </si>
  <si>
    <t>25st 3lbs</t>
  </si>
  <si>
    <t>25st 4lbs</t>
  </si>
  <si>
    <t>25st 5lbs</t>
  </si>
  <si>
    <t>25st 6lbs</t>
  </si>
  <si>
    <t>25st 7lbs</t>
  </si>
  <si>
    <t>25st 8lbs</t>
  </si>
  <si>
    <t>25st 9lbs</t>
  </si>
  <si>
    <t>25st 10lbs</t>
  </si>
  <si>
    <t>25st 11lbs</t>
  </si>
  <si>
    <t>25st 12lbs</t>
  </si>
  <si>
    <t>25st 13lbs</t>
  </si>
  <si>
    <t>26st 0lbs</t>
  </si>
  <si>
    <t>26st 1lbs</t>
  </si>
  <si>
    <t>26st 2lbs</t>
  </si>
  <si>
    <t>26st 3lbs</t>
  </si>
  <si>
    <t>26st 4lbs</t>
  </si>
  <si>
    <t>26st 5lbs</t>
  </si>
  <si>
    <t>26st 6lbs</t>
  </si>
  <si>
    <t>26st 7lbs</t>
  </si>
  <si>
    <t>26st 8lbs</t>
  </si>
  <si>
    <t>26st 9lbs</t>
  </si>
  <si>
    <t>26st 10lbs</t>
  </si>
  <si>
    <t>26st 11lbs</t>
  </si>
  <si>
    <t>26st 12lbs</t>
  </si>
  <si>
    <t>26st 13lbs</t>
  </si>
  <si>
    <t>27st 0lbs</t>
  </si>
  <si>
    <t>27st 1lbs</t>
  </si>
  <si>
    <t>27st 2lbs</t>
  </si>
  <si>
    <t>27st 3lbs</t>
  </si>
  <si>
    <t>27st 4lbs</t>
  </si>
  <si>
    <t>27st 5lbs</t>
  </si>
  <si>
    <t>27st 6lbs</t>
  </si>
  <si>
    <t>27st 7lbs</t>
  </si>
  <si>
    <t>27st 8lbs</t>
  </si>
  <si>
    <t>27st 9lbs</t>
  </si>
  <si>
    <t>27st 10lbs</t>
  </si>
  <si>
    <t>27st 11lbs</t>
  </si>
  <si>
    <t>27st 12lbs</t>
  </si>
  <si>
    <t>27st 13lbs</t>
  </si>
  <si>
    <t>28st 0lbs</t>
  </si>
  <si>
    <t>28st 1lbs</t>
  </si>
  <si>
    <t>28st 2lbs</t>
  </si>
  <si>
    <t>28st 3lbs</t>
  </si>
  <si>
    <t>28st 4lbs</t>
  </si>
  <si>
    <t>28st 5lbs</t>
  </si>
  <si>
    <t>28st 6lbs</t>
  </si>
  <si>
    <t>28st 7lbs</t>
  </si>
  <si>
    <t>28st 8lbs</t>
  </si>
  <si>
    <t>28st 9lbs</t>
  </si>
  <si>
    <t>28st 10lbs</t>
  </si>
  <si>
    <t>28st 11lbs</t>
  </si>
  <si>
    <t>28st 12lbs</t>
  </si>
  <si>
    <t>28st 13lbs</t>
  </si>
  <si>
    <t>29st 0lbs</t>
  </si>
  <si>
    <t>29st 1lbs</t>
  </si>
  <si>
    <t>29st 2lbs</t>
  </si>
  <si>
    <t>29st 3lbs</t>
  </si>
  <si>
    <t>29st 4lbs</t>
  </si>
  <si>
    <t>29st 5lbs</t>
  </si>
  <si>
    <t>29st 6lbs</t>
  </si>
  <si>
    <t>29st 7lbs</t>
  </si>
  <si>
    <t>29st 8lbs</t>
  </si>
  <si>
    <t>29st 9lbs</t>
  </si>
  <si>
    <t>29st 10lbs</t>
  </si>
  <si>
    <t>29st 11lbs</t>
  </si>
  <si>
    <t>29st 12lbs</t>
  </si>
  <si>
    <t>29st 13lbs</t>
  </si>
  <si>
    <t>30st 0lbs</t>
  </si>
  <si>
    <t>30st 1lbs</t>
  </si>
  <si>
    <t>30st 2lbs</t>
  </si>
  <si>
    <t>30st 3lbs</t>
  </si>
  <si>
    <t>30st 4lbs</t>
  </si>
  <si>
    <t>30st 5lbs</t>
  </si>
  <si>
    <t>30st 6lbs</t>
  </si>
  <si>
    <t>30st 7lbs</t>
  </si>
  <si>
    <t>30st 8lbs</t>
  </si>
  <si>
    <t>30st 9lbs</t>
  </si>
  <si>
    <t>30st 10lbs</t>
  </si>
  <si>
    <t>30st 11lbs</t>
  </si>
  <si>
    <t>30st 12lbs</t>
  </si>
  <si>
    <t>30st 13lbs</t>
  </si>
  <si>
    <t>Feet &amp; Inches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</si>
</sst>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&quot; cm&quot;"/>
    <numFmt numFmtId="166" formatCode="0.0&quot;kg&quot;"/>
    <numFmt numFmtId="167" formatCode="0&quot;lbs&quot;"/>
    <numFmt numFmtId="168" formatCode="0&quot;'&quot;"/>
    <numFmt numFmtId="169" formatCode="0#"/>
    <numFmt numFmtId="170" formatCode="dd/mm/yy;@"/>
    <numFmt numFmtId="171" formatCode="[$-409]d\-mmm\-yy;@"/>
    <numFmt numFmtId="172" formatCode="0&quot;''&quot;"/>
  </numFmts>
  <fonts count="70">
    <font>
      <sz val="11"/>
      <color theme="1"/>
      <name val="UBG88-The Real Skinny "/>
      <family val="2"/>
      <scheme val="minor"/>
    </font>
    <font>
      <b/>
      <sz val="11"/>
      <color theme="0"/>
      <name val="UBG88-The Real Skinny "/>
      <family val="2"/>
      <scheme val="minor"/>
    </font>
    <font>
      <i/>
      <sz val="11"/>
      <color theme="1"/>
      <name val="UBG88-The Real Skinny "/>
      <family val="2"/>
      <scheme val="minor"/>
    </font>
    <font>
      <b/>
      <sz val="14"/>
      <color theme="0"/>
      <name val="UBG88-The Real Skinny "/>
      <family val="2"/>
      <scheme val="minor"/>
    </font>
    <font>
      <sz val="8"/>
      <name val="UBG88-The Real Skinny "/>
      <family val="2"/>
      <scheme val="minor"/>
    </font>
    <font>
      <sz val="11"/>
      <name val="UBG88-The Real Skinny "/>
      <family val="2"/>
      <scheme val="minor"/>
    </font>
    <font>
      <sz val="11"/>
      <color theme="1"/>
      <name val="UBG88 Font"/>
      <family val="2"/>
    </font>
    <font>
      <sz val="14"/>
      <color theme="1"/>
      <name val="UBG88 Font"/>
      <family val="2"/>
    </font>
    <font>
      <b/>
      <sz val="14"/>
      <color theme="1"/>
      <name val="UBG88 Font"/>
      <family val="2"/>
    </font>
    <font>
      <b/>
      <sz val="11"/>
      <color rgb="FFFA7D00"/>
      <name val="UBG88-The Real Skinny "/>
      <family val="2"/>
      <scheme val="minor"/>
    </font>
    <font>
      <b/>
      <sz val="11"/>
      <name val="UBG88-The Real Skinny "/>
      <family val="2"/>
      <scheme val="minor"/>
    </font>
    <font>
      <b/>
      <sz val="11"/>
      <color theme="0"/>
      <name val="Aptos"/>
      <family val="2"/>
    </font>
    <font>
      <b/>
      <sz val="11"/>
      <name val="Aptos"/>
      <family val="2"/>
    </font>
    <font>
      <b/>
      <sz val="11"/>
      <color theme="1"/>
      <name val="Aptos"/>
      <family val="2"/>
    </font>
    <font>
      <sz val="11"/>
      <color rgb="FF006100"/>
      <name val="UBG88-The Real Skinny "/>
      <family val="2"/>
      <scheme val="minor"/>
    </font>
    <font>
      <sz val="11"/>
      <color theme="6"/>
      <name val="UBG88-The Real Skinny "/>
      <family val="2"/>
      <scheme val="minor"/>
    </font>
    <font>
      <sz val="11"/>
      <color rgb="FF000000"/>
      <name val="UBG88-The Real Skinny "/>
      <family val="2"/>
      <scheme val="minor"/>
    </font>
    <font>
      <sz val="11"/>
      <color rgb="FFFF0000"/>
      <name val="UBG88-The Real Skinny "/>
      <family val="2"/>
      <scheme val="minor"/>
    </font>
    <font>
      <b/>
      <sz val="11"/>
      <color rgb="FFFF0000"/>
      <name val="UBG88-The Real Skinny "/>
      <family val="2"/>
      <scheme val="minor"/>
    </font>
    <font>
      <b/>
      <sz val="11"/>
      <color theme="0"/>
      <name val="UBG88-The Real Skinny "/>
      <family val="3"/>
    </font>
    <font>
      <sz val="11"/>
      <color theme="1"/>
      <name val="UBG88-The Real Skinny "/>
      <family val="3"/>
    </font>
    <font>
      <sz val="12"/>
      <color theme="0"/>
      <name val="UBG88-The Fat One"/>
      <family val="3"/>
    </font>
    <font>
      <sz val="12"/>
      <color theme="0" tint="-4.9989318521683403E-2"/>
      <name val="UBG88-The Fat One"/>
      <family val="3"/>
      <scheme val="major"/>
    </font>
    <font>
      <strike/>
      <u val="double"/>
      <sz val="11"/>
      <color theme="1"/>
      <name val="UBG88-The Real Skinny "/>
      <family val="2"/>
      <scheme val="minor"/>
    </font>
    <font>
      <sz val="12"/>
      <color theme="0"/>
      <name val="UBG88-The Fat One"/>
      <family val="3"/>
      <scheme val="major"/>
    </font>
    <font>
      <sz val="11"/>
      <color rgb="FF002060"/>
      <name val="UBG88-The Skinny Cunt"/>
      <family val="2"/>
    </font>
    <font>
      <sz val="12"/>
      <color rgb="FF002060"/>
      <name val="UBG88 Font"/>
      <family val="2"/>
    </font>
    <font>
      <sz val="12"/>
      <color theme="1"/>
      <name val="UBG88-The Fat One"/>
      <family val="3"/>
      <scheme val="major"/>
    </font>
    <font>
      <sz val="12"/>
      <color theme="1"/>
      <name val="UBG88 Font"/>
      <family val="2"/>
    </font>
    <font>
      <sz val="12"/>
      <color rgb="FF002060"/>
      <name val="UBG88-The Skinny Cunt"/>
      <family val="2"/>
    </font>
    <font>
      <sz val="12"/>
      <color theme="1"/>
      <name val="UBG88-The Real Skinny "/>
      <family val="3"/>
      <scheme val="minor"/>
    </font>
    <font>
      <sz val="12"/>
      <color theme="0"/>
      <name val="UBG88 Font"/>
      <family val="2"/>
    </font>
    <font>
      <sz val="12"/>
      <color theme="6" tint="0.59999389629810485"/>
      <name val="UBG88-The Real Skinny "/>
      <family val="3"/>
      <scheme val="minor"/>
    </font>
    <font>
      <sz val="12"/>
      <color theme="1"/>
      <name val="UBG88-The Real Skinny "/>
      <family val="2"/>
      <scheme val="minor"/>
    </font>
    <font>
      <sz val="12"/>
      <color theme="0"/>
      <name val="UBG88-The Real Skinny "/>
      <family val="3"/>
      <scheme val="minor"/>
    </font>
    <font>
      <sz val="12"/>
      <color theme="7" tint="-0.499984740745262"/>
      <name val="UBG88-The Real Skinny "/>
      <family val="3"/>
      <scheme val="minor"/>
    </font>
    <font>
      <sz val="12"/>
      <color theme="1"/>
      <name val="UBG88-The Fat One"/>
      <family val="2"/>
      <scheme val="major"/>
    </font>
    <font>
      <i/>
      <sz val="12"/>
      <color theme="1"/>
      <name val="UBG88 Font"/>
      <family val="2"/>
    </font>
    <font>
      <sz val="26"/>
      <color theme="0"/>
      <name val="UBG88-The Fat One"/>
      <family val="3"/>
    </font>
    <font>
      <sz val="10"/>
      <color theme="1"/>
      <name val="UBG88-The Fat One"/>
      <family val="2"/>
      <scheme val="major"/>
    </font>
    <font>
      <sz val="10"/>
      <color theme="1"/>
      <name val="UBG88-The Real Skinny "/>
      <family val="3"/>
      <scheme val="minor"/>
    </font>
    <font>
      <sz val="10"/>
      <color rgb="FF0033CC"/>
      <name val="UBG88-The Real Skinny "/>
      <family val="3"/>
      <scheme val="minor"/>
    </font>
    <font>
      <sz val="10"/>
      <color theme="1"/>
      <name val="UBG88 Font"/>
      <family val="2"/>
    </font>
    <font>
      <b/>
      <sz val="12"/>
      <color theme="6" tint="0.59999389629810485"/>
      <name val="UBG88-The Real Skinny "/>
      <family val="3"/>
      <scheme val="minor"/>
    </font>
    <font>
      <b/>
      <sz val="10"/>
      <color theme="0"/>
      <name val="UBG88-The Real Skinny "/>
      <family val="3"/>
      <scheme val="minor"/>
    </font>
    <font>
      <sz val="14"/>
      <color theme="0"/>
      <name val="UBG88-The Fat One"/>
      <family val="3"/>
      <scheme val="major"/>
    </font>
    <font>
      <sz val="14"/>
      <color theme="0" tint="-4.9989318521683403E-2"/>
      <name val="UBG88-The Fat One"/>
      <family val="3"/>
      <scheme val="major"/>
    </font>
    <font>
      <sz val="10"/>
      <color theme="0"/>
      <name val="UBG88-The Fat One"/>
      <family val="3"/>
      <scheme val="major"/>
    </font>
    <font>
      <sz val="10"/>
      <color theme="0"/>
      <name val="UBG88-The Real Skinny "/>
      <family val="3"/>
      <scheme val="minor"/>
    </font>
    <font>
      <b/>
      <sz val="10"/>
      <color rgb="FFFFCCFF"/>
      <name val="UBG88-The Real Skinny "/>
      <family val="3"/>
      <scheme val="minor"/>
    </font>
    <font>
      <sz val="12"/>
      <color theme="1"/>
      <name val="UBG88-The Real Skinny "/>
      <family val="3"/>
    </font>
    <font>
      <sz val="11"/>
      <color rgb="FF000066"/>
      <name val="UBG88-The Real Skinny "/>
      <family val="3"/>
    </font>
    <font>
      <b/>
      <i/>
      <sz val="26"/>
      <color theme="0"/>
      <name val="UBG88-The Fat One"/>
      <family val="3"/>
      <scheme val="major"/>
    </font>
    <font>
      <i/>
      <sz val="12"/>
      <color theme="0"/>
      <name val="UBG88-The Fat One"/>
      <family val="3"/>
      <scheme val="major"/>
    </font>
    <font>
      <b/>
      <sz val="10"/>
      <color theme="0"/>
      <name val="UBG88-The Real Skinny "/>
      <family val="3"/>
    </font>
    <font>
      <sz val="12"/>
      <color theme="0"/>
      <name val="UBG88-The Real Skinny "/>
      <family val="3"/>
    </font>
    <font>
      <b/>
      <sz val="12"/>
      <color rgb="FF002060"/>
      <name val="UBG88-The Real Skinny "/>
      <family val="3"/>
    </font>
    <font>
      <sz val="11"/>
      <color theme="0"/>
      <name val="UBG88-The Real Skinny "/>
      <family val="2"/>
      <scheme val="minor"/>
    </font>
    <font>
      <b/>
      <sz val="12"/>
      <color theme="0"/>
      <name val="UBG88-The Real Skinny "/>
      <family val="3"/>
    </font>
    <font>
      <b/>
      <sz val="11"/>
      <color theme="1"/>
      <name val="UBG88-The Real Skinny "/>
      <family val="3"/>
      <scheme val="minor"/>
    </font>
    <font>
      <sz val="16"/>
      <color theme="1"/>
      <name val="UBG88-The Fat One"/>
      <family val="3"/>
      <scheme val="major"/>
    </font>
    <font>
      <sz val="11"/>
      <color theme="1"/>
      <name val="Aptos Narrow"/>
      <family val="2"/>
    </font>
    <font>
      <sz val="11"/>
      <color rgb="FF000000"/>
      <name val="UBG88-The Real Skinny"/>
      <family val="2"/>
    </font>
    <font>
      <b/>
      <sz val="11"/>
      <color rgb="FF000000"/>
      <name val="UBG88-The Real Skinny"/>
    </font>
    <font>
      <b/>
      <sz val="16"/>
      <color rgb="FF000000"/>
      <name val="Arial Black"/>
      <family val="2"/>
    </font>
    <font>
      <b/>
      <sz val="11"/>
      <color theme="0"/>
      <name val="UBG88 Font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0"/>
      <name val="UBG88-The Real Skinny "/>
      <scheme val="minor"/>
    </font>
    <font>
      <b/>
      <sz val="11"/>
      <color theme="1"/>
      <name val="UBG88-The Real Skinny 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2F2F2"/>
      </patternFill>
    </fill>
    <fill>
      <patternFill patternType="solid">
        <fgColor rgb="FF00B050"/>
        <bgColor theme="4"/>
      </patternFill>
    </fill>
    <fill>
      <patternFill patternType="solid">
        <fgColor rgb="FFA5A5A5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rgb="FF00FFFF"/>
        </stop>
        <stop position="1">
          <color rgb="FF7030A0"/>
        </stop>
      </gradientFill>
    </fill>
    <fill>
      <patternFill patternType="solid">
        <fgColor rgb="FF7030A0"/>
        <bgColor indexed="64"/>
      </patternFill>
    </fill>
    <fill>
      <gradientFill degree="90">
        <stop position="0">
          <color rgb="FF7030A0"/>
        </stop>
        <stop position="1">
          <color rgb="FFFF00FF"/>
        </stop>
      </gradientFill>
    </fill>
    <fill>
      <gradientFill degree="90">
        <stop position="0">
          <color rgb="FFFF00FF"/>
        </stop>
        <stop position="1">
          <color rgb="FFFF0000"/>
        </stop>
      </gradientFill>
    </fill>
    <fill>
      <gradientFill degree="90">
        <stop position="0">
          <color rgb="FFFF0000"/>
        </stop>
        <stop position="1">
          <color theme="5"/>
        </stop>
      </gradientFill>
    </fill>
    <fill>
      <gradientFill degree="90">
        <stop position="0">
          <color theme="5"/>
        </stop>
        <stop position="1">
          <color rgb="FFFFFF00"/>
        </stop>
      </gradientFill>
    </fill>
    <fill>
      <patternFill patternType="solid">
        <fgColor rgb="FF00FFFF"/>
        <bgColor indexed="64"/>
      </patternFill>
    </fill>
    <fill>
      <patternFill patternType="solid">
        <fgColor rgb="FFFF00FF"/>
        <bgColor auto="1"/>
      </patternFill>
    </fill>
    <fill>
      <patternFill patternType="solid">
        <fgColor theme="0" tint="-0.34998626667073579"/>
        <bgColor indexed="64"/>
      </patternFill>
    </fill>
    <fill>
      <gradientFill degree="90">
        <stop position="0">
          <color rgb="FF00FF00"/>
        </stop>
        <stop position="1">
          <color rgb="FF00FFFF"/>
        </stop>
      </gradientFill>
    </fill>
    <fill>
      <patternFill patternType="solid">
        <fgColor rgb="FF33CC3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A03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auto="1"/>
      </patternFill>
    </fill>
    <fill>
      <patternFill patternType="solid">
        <fgColor theme="5" tint="0.39997558519241921"/>
        <bgColor indexed="64"/>
      </patternFill>
    </fill>
    <fill>
      <gradientFill degree="270">
        <stop position="0">
          <color rgb="FFFF00FF"/>
        </stop>
        <stop position="1">
          <color rgb="FF9A03FF"/>
        </stop>
      </gradientFill>
    </fill>
    <fill>
      <patternFill patternType="solid">
        <fgColor rgb="FF00FFFF"/>
        <bgColor auto="1"/>
      </patternFill>
    </fill>
    <fill>
      <gradientFill degree="90">
        <stop position="0">
          <color rgb="FF0033CC"/>
        </stop>
        <stop position="1">
          <color theme="9"/>
        </stop>
      </gradientFill>
    </fill>
    <fill>
      <patternFill patternType="solid">
        <fgColor theme="0"/>
        <bgColor auto="1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n">
        <color theme="4" tint="0.39997558519241921"/>
      </right>
      <top/>
      <bottom/>
      <diagonal/>
    </border>
    <border>
      <left style="thick">
        <color theme="9" tint="-0.499984740745262"/>
      </left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 style="dashDot">
        <color theme="7"/>
      </left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 style="dashDot">
        <color theme="7"/>
      </left>
      <right style="thick">
        <color theme="9" tint="-0.499984740745262"/>
      </right>
      <top style="thick">
        <color theme="9" tint="-0.499984740745262"/>
      </top>
      <bottom style="dashDot">
        <color theme="7"/>
      </bottom>
      <diagonal/>
    </border>
    <border>
      <left style="thick">
        <color theme="9" tint="-0.499984740745262"/>
      </left>
      <right style="dashDot">
        <color theme="7"/>
      </right>
      <top style="dashDot">
        <color theme="7"/>
      </top>
      <bottom style="dashDot">
        <color theme="7"/>
      </bottom>
      <diagonal/>
    </border>
    <border>
      <left style="dashDot">
        <color theme="7"/>
      </left>
      <right style="dashDot">
        <color theme="7"/>
      </right>
      <top style="dashDot">
        <color theme="7"/>
      </top>
      <bottom style="dashDot">
        <color theme="7"/>
      </bottom>
      <diagonal/>
    </border>
    <border>
      <left style="dashDot">
        <color theme="7"/>
      </left>
      <right style="thick">
        <color theme="9" tint="-0.499984740745262"/>
      </right>
      <top style="dashDot">
        <color theme="7"/>
      </top>
      <bottom style="dashDot">
        <color theme="7"/>
      </bottom>
      <diagonal/>
    </border>
    <border>
      <left style="thick">
        <color theme="9" tint="-0.499984740745262"/>
      </left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Dot">
        <color theme="7"/>
      </left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Dot">
        <color theme="7"/>
      </left>
      <right style="thick">
        <color theme="9" tint="-0.499984740745262"/>
      </right>
      <top style="dashDot">
        <color theme="7"/>
      </top>
      <bottom style="thick">
        <color theme="9" tint="-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/>
      <right style="dashDot">
        <color theme="7"/>
      </right>
      <top style="dashDot">
        <color theme="7"/>
      </top>
      <bottom style="dashDot">
        <color theme="7"/>
      </bottom>
      <diagonal/>
    </border>
    <border>
      <left/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ed">
        <color theme="6"/>
      </left>
      <right style="thick">
        <color indexed="64"/>
      </right>
      <top/>
      <bottom style="thick">
        <color indexed="64"/>
      </bottom>
      <diagonal/>
    </border>
    <border>
      <left/>
      <right style="double">
        <color theme="6"/>
      </right>
      <top style="thick">
        <color indexed="64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7" tint="0.39997558519241921"/>
      </top>
      <bottom/>
      <diagonal/>
    </border>
    <border>
      <left/>
      <right style="thin">
        <color theme="7" tint="0.39997558519241921"/>
      </right>
      <top style="thin">
        <color theme="7" tint="0.39997558519241921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double">
        <color rgb="FFFF0000"/>
      </left>
      <right/>
      <top style="double">
        <color rgb="FFFF0000"/>
      </top>
      <bottom style="double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 style="medium">
        <color theme="0"/>
      </left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/>
      <top style="medium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 style="medium">
        <color theme="0"/>
      </bottom>
      <diagonal/>
    </border>
    <border>
      <left style="thick">
        <color theme="0"/>
      </left>
      <right/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n">
        <color theme="0"/>
      </right>
      <top/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5"/>
      </right>
      <top style="thick">
        <color theme="0"/>
      </top>
      <bottom style="thick">
        <color theme="0"/>
      </bottom>
      <diagonal/>
    </border>
    <border>
      <left style="thick">
        <color theme="5"/>
      </left>
      <right style="thick">
        <color theme="5"/>
      </right>
      <top style="thick">
        <color theme="0"/>
      </top>
      <bottom style="thick">
        <color theme="0"/>
      </bottom>
      <diagonal/>
    </border>
    <border>
      <left style="thick">
        <color theme="5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medium">
        <color theme="0"/>
      </bottom>
      <diagonal/>
    </border>
    <border>
      <left/>
      <right style="thick">
        <color theme="0"/>
      </right>
      <top style="thick">
        <color theme="0"/>
      </top>
      <bottom style="medium">
        <color theme="0"/>
      </bottom>
      <diagonal/>
    </border>
    <border>
      <left style="thick">
        <color theme="0"/>
      </left>
      <right/>
      <top style="medium">
        <color theme="0"/>
      </top>
      <bottom style="thick">
        <color theme="0"/>
      </bottom>
      <diagonal/>
    </border>
    <border>
      <left/>
      <right style="thick">
        <color theme="0"/>
      </right>
      <top style="medium">
        <color theme="0"/>
      </top>
      <bottom style="thick">
        <color theme="0"/>
      </bottom>
      <diagonal/>
    </border>
    <border>
      <left style="double">
        <color theme="6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dashed">
        <color theme="6"/>
      </right>
      <top/>
      <bottom style="thick">
        <color indexed="64"/>
      </bottom>
      <diagonal/>
    </border>
    <border>
      <left style="thick">
        <color theme="0"/>
      </left>
      <right style="thick">
        <color theme="0"/>
      </right>
      <top style="thick">
        <color indexed="64"/>
      </top>
      <bottom/>
      <diagonal/>
    </border>
    <border>
      <left style="thick">
        <color theme="0"/>
      </left>
      <right style="thick">
        <color theme="0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9"/>
      </top>
      <bottom/>
      <diagonal/>
    </border>
    <border>
      <left/>
      <right/>
      <top/>
      <bottom style="medium">
        <color theme="9"/>
      </bottom>
      <diagonal/>
    </border>
    <border>
      <left/>
      <right style="medium">
        <color indexed="64"/>
      </right>
      <top style="medium">
        <color theme="9"/>
      </top>
      <bottom/>
      <diagonal/>
    </border>
    <border>
      <left style="medium">
        <color indexed="64"/>
      </left>
      <right/>
      <top/>
      <bottom style="medium">
        <color theme="9"/>
      </bottom>
      <diagonal/>
    </border>
    <border>
      <left/>
      <right style="medium">
        <color indexed="64"/>
      </right>
      <top style="medium">
        <color indexed="64"/>
      </top>
      <bottom style="medium">
        <color theme="9"/>
      </bottom>
      <diagonal/>
    </border>
    <border>
      <left style="medium">
        <color indexed="64"/>
      </left>
      <right/>
      <top style="medium">
        <color theme="9"/>
      </top>
      <bottom style="medium">
        <color indexed="64"/>
      </bottom>
      <diagonal/>
    </border>
    <border>
      <left/>
      <right/>
      <top style="medium">
        <color theme="9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theme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9" fillId="7" borderId="12" applyNumberFormat="0" applyAlignment="0" applyProtection="0"/>
    <xf numFmtId="0" fontId="1" fillId="9" borderId="25" applyNumberFormat="0" applyAlignment="0" applyProtection="0"/>
    <xf numFmtId="0" fontId="14" fillId="14" borderId="0" applyNumberFormat="0" applyBorder="0" applyAlignment="0" applyProtection="0"/>
  </cellStyleXfs>
  <cellXfs count="329">
    <xf numFmtId="0" fontId="0" fillId="0" borderId="0" xfId="0"/>
    <xf numFmtId="0" fontId="2" fillId="0" borderId="0" xfId="0" applyFont="1"/>
    <xf numFmtId="164" fontId="0" fillId="0" borderId="0" xfId="0" applyNumberFormat="1"/>
    <xf numFmtId="166" fontId="0" fillId="0" borderId="1" xfId="0" applyNumberFormat="1" applyBorder="1"/>
    <xf numFmtId="166" fontId="0" fillId="0" borderId="6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166" fontId="5" fillId="0" borderId="1" xfId="0" applyNumberFormat="1" applyFont="1" applyBorder="1"/>
    <xf numFmtId="166" fontId="5" fillId="0" borderId="10" xfId="0" applyNumberFormat="1" applyFont="1" applyBorder="1"/>
    <xf numFmtId="0" fontId="7" fillId="2" borderId="1" xfId="0" applyFont="1" applyFill="1" applyBorder="1" applyAlignment="1">
      <alignment horizontal="center"/>
    </xf>
    <xf numFmtId="1" fontId="0" fillId="6" borderId="17" xfId="0" applyNumberFormat="1" applyFill="1" applyBorder="1" applyAlignment="1">
      <alignment horizontal="center" vertical="center"/>
    </xf>
    <xf numFmtId="164" fontId="0" fillId="6" borderId="17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6" borderId="20" xfId="0" applyNumberFormat="1" applyFill="1" applyBorder="1" applyAlignment="1">
      <alignment horizontal="center" vertical="center"/>
    </xf>
    <xf numFmtId="164" fontId="0" fillId="6" borderId="20" xfId="0" applyNumberFormat="1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6" fontId="9" fillId="7" borderId="12" xfId="1" applyNumberFormat="1" applyAlignment="1">
      <alignment horizontal="center" vertical="center"/>
    </xf>
    <xf numFmtId="0" fontId="0" fillId="4" borderId="1" xfId="0" applyFill="1" applyBorder="1"/>
    <xf numFmtId="164" fontId="0" fillId="4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9" borderId="25" xfId="2" applyAlignment="1">
      <alignment horizontal="center" vertical="center"/>
    </xf>
    <xf numFmtId="164" fontId="1" fillId="9" borderId="25" xfId="2" applyNumberFormat="1" applyAlignment="1">
      <alignment horizontal="center" vertical="center"/>
    </xf>
    <xf numFmtId="0" fontId="1" fillId="9" borderId="25" xfId="2" applyAlignment="1">
      <alignment horizontal="right"/>
    </xf>
    <xf numFmtId="0" fontId="1" fillId="9" borderId="25" xfId="2" quotePrefix="1" applyAlignment="1">
      <alignment horizontal="right"/>
    </xf>
    <xf numFmtId="0" fontId="1" fillId="9" borderId="25" xfId="2" applyAlignment="1">
      <alignment horizontal="center"/>
    </xf>
    <xf numFmtId="1" fontId="0" fillId="0" borderId="16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6" borderId="17" xfId="0" applyNumberFormat="1" applyFill="1" applyBorder="1" applyAlignment="1">
      <alignment horizontal="center" vertical="center" wrapText="1"/>
    </xf>
    <xf numFmtId="1" fontId="0" fillId="0" borderId="20" xfId="0" applyNumberFormat="1" applyBorder="1" applyAlignment="1">
      <alignment horizontal="center" vertical="center" wrapText="1"/>
    </xf>
    <xf numFmtId="1" fontId="0" fillId="6" borderId="20" xfId="0" applyNumberFormat="1" applyFill="1" applyBorder="1" applyAlignment="1">
      <alignment horizontal="center" vertical="center" wrapText="1"/>
    </xf>
    <xf numFmtId="1" fontId="0" fillId="0" borderId="23" xfId="0" applyNumberFormat="1" applyBorder="1" applyAlignment="1">
      <alignment horizontal="center" vertical="center" wrapText="1"/>
    </xf>
    <xf numFmtId="1" fontId="10" fillId="7" borderId="26" xfId="1" applyNumberFormat="1" applyFont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2" fillId="12" borderId="1" xfId="1" quotePrefix="1" applyNumberFormat="1" applyFont="1" applyFill="1" applyBorder="1" applyAlignment="1">
      <alignment horizontal="center" vertical="center"/>
    </xf>
    <xf numFmtId="1" fontId="12" fillId="12" borderId="1" xfId="1" applyNumberFormat="1" applyFont="1" applyFill="1" applyBorder="1" applyAlignment="1">
      <alignment horizontal="center" vertical="center"/>
    </xf>
    <xf numFmtId="1" fontId="10" fillId="13" borderId="1" xfId="1" quotePrefix="1" applyNumberFormat="1" applyFont="1" applyFill="1" applyBorder="1" applyAlignment="1">
      <alignment horizontal="center" vertical="center"/>
    </xf>
    <xf numFmtId="164" fontId="12" fillId="12" borderId="1" xfId="1" applyNumberFormat="1" applyFont="1" applyFill="1" applyBorder="1" applyAlignment="1">
      <alignment horizontal="center" vertical="center"/>
    </xf>
    <xf numFmtId="166" fontId="12" fillId="12" borderId="1" xfId="1" applyNumberFormat="1" applyFont="1" applyFill="1" applyBorder="1" applyAlignment="1">
      <alignment horizontal="center" vertical="center"/>
    </xf>
    <xf numFmtId="1" fontId="10" fillId="13" borderId="1" xfId="1" applyNumberFormat="1" applyFont="1" applyFill="1" applyBorder="1" applyAlignment="1">
      <alignment horizontal="center" vertical="center"/>
    </xf>
    <xf numFmtId="3" fontId="13" fillId="13" borderId="1" xfId="0" applyNumberFormat="1" applyFont="1" applyFill="1" applyBorder="1" applyAlignment="1">
      <alignment horizontal="center"/>
    </xf>
    <xf numFmtId="166" fontId="1" fillId="11" borderId="12" xfId="1" applyNumberFormat="1" applyFont="1" applyFill="1" applyAlignment="1">
      <alignment horizontal="center" vertical="center"/>
    </xf>
    <xf numFmtId="164" fontId="9" fillId="13" borderId="12" xfId="1" applyNumberFormat="1" applyFill="1" applyAlignment="1">
      <alignment horizontal="center" vertical="center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6" fillId="0" borderId="5" xfId="0" applyNumberFormat="1" applyFont="1" applyBorder="1"/>
    <xf numFmtId="165" fontId="6" fillId="0" borderId="9" xfId="0" applyNumberFormat="1" applyFont="1" applyBorder="1"/>
    <xf numFmtId="166" fontId="0" fillId="0" borderId="0" xfId="0" applyNumberFormat="1"/>
    <xf numFmtId="0" fontId="15" fillId="0" borderId="0" xfId="0" applyFont="1"/>
    <xf numFmtId="0" fontId="0" fillId="17" borderId="1" xfId="0" applyFill="1" applyBorder="1"/>
    <xf numFmtId="0" fontId="16" fillId="0" borderId="0" xfId="0" applyFont="1"/>
    <xf numFmtId="0" fontId="7" fillId="2" borderId="0" xfId="0" applyFont="1" applyFill="1" applyAlignment="1">
      <alignment horizontal="center"/>
    </xf>
    <xf numFmtId="2" fontId="0" fillId="19" borderId="1" xfId="0" applyNumberFormat="1" applyFill="1" applyBorder="1"/>
    <xf numFmtId="0" fontId="18" fillId="0" borderId="32" xfId="0" applyFont="1" applyBorder="1"/>
    <xf numFmtId="0" fontId="18" fillId="0" borderId="33" xfId="0" applyFont="1" applyBorder="1"/>
    <xf numFmtId="0" fontId="17" fillId="0" borderId="0" xfId="0" quotePrefix="1" applyFont="1"/>
    <xf numFmtId="0" fontId="17" fillId="16" borderId="0" xfId="0" quotePrefix="1" applyFont="1" applyFill="1"/>
    <xf numFmtId="1" fontId="18" fillId="0" borderId="36" xfId="0" applyNumberFormat="1" applyFont="1" applyBorder="1"/>
    <xf numFmtId="0" fontId="18" fillId="0" borderId="36" xfId="0" applyFont="1" applyBorder="1"/>
    <xf numFmtId="0" fontId="0" fillId="0" borderId="32" xfId="0" applyBorder="1"/>
    <xf numFmtId="0" fontId="0" fillId="0" borderId="0" xfId="0" applyAlignment="1">
      <alignment horizontal="center"/>
    </xf>
    <xf numFmtId="0" fontId="0" fillId="16" borderId="0" xfId="0" applyFill="1"/>
    <xf numFmtId="0" fontId="20" fillId="23" borderId="34" xfId="0" applyFont="1" applyFill="1" applyBorder="1" applyAlignment="1">
      <alignment horizontal="center"/>
    </xf>
    <xf numFmtId="0" fontId="20" fillId="0" borderId="35" xfId="0" applyFont="1" applyBorder="1" applyAlignment="1">
      <alignment horizontal="center"/>
    </xf>
    <xf numFmtId="1" fontId="0" fillId="0" borderId="0" xfId="0" applyNumberFormat="1"/>
    <xf numFmtId="0" fontId="20" fillId="0" borderId="34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3" fillId="19" borderId="0" xfId="0" applyFont="1" applyFill="1"/>
    <xf numFmtId="2" fontId="0" fillId="19" borderId="45" xfId="0" applyNumberFormat="1" applyFill="1" applyBorder="1"/>
    <xf numFmtId="0" fontId="0" fillId="13" borderId="0" xfId="0" applyFill="1"/>
    <xf numFmtId="1" fontId="0" fillId="13" borderId="0" xfId="0" applyNumberFormat="1" applyFill="1"/>
    <xf numFmtId="164" fontId="0" fillId="13" borderId="0" xfId="0" applyNumberFormat="1" applyFill="1"/>
    <xf numFmtId="0" fontId="20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1" fillId="25" borderId="0" xfId="0" applyFont="1" applyFill="1" applyAlignment="1">
      <alignment horizontal="center" vertical="center"/>
    </xf>
    <xf numFmtId="0" fontId="28" fillId="25" borderId="0" xfId="0" applyFont="1" applyFill="1" applyAlignment="1">
      <alignment vertical="center"/>
    </xf>
    <xf numFmtId="170" fontId="28" fillId="0" borderId="0" xfId="0" applyNumberFormat="1" applyFont="1" applyAlignment="1">
      <alignment horizontal="center" vertical="center"/>
    </xf>
    <xf numFmtId="164" fontId="30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 wrapText="1"/>
    </xf>
    <xf numFmtId="0" fontId="28" fillId="36" borderId="0" xfId="0" applyFont="1" applyFill="1" applyAlignment="1">
      <alignment vertical="center"/>
    </xf>
    <xf numFmtId="0" fontId="31" fillId="0" borderId="0" xfId="0" applyFont="1" applyAlignment="1">
      <alignment horizontal="center" vertical="center"/>
    </xf>
    <xf numFmtId="0" fontId="28" fillId="21" borderId="0" xfId="0" applyFont="1" applyFill="1" applyAlignment="1">
      <alignment horizontal="center" vertical="center"/>
    </xf>
    <xf numFmtId="0" fontId="30" fillId="21" borderId="0" xfId="0" applyFont="1" applyFill="1" applyAlignment="1">
      <alignment horizontal="center" vertical="center"/>
    </xf>
    <xf numFmtId="0" fontId="28" fillId="32" borderId="0" xfId="0" applyFont="1" applyFill="1" applyAlignment="1">
      <alignment vertical="center"/>
    </xf>
    <xf numFmtId="0" fontId="24" fillId="44" borderId="0" xfId="0" applyFont="1" applyFill="1" applyAlignment="1">
      <alignment vertical="center"/>
    </xf>
    <xf numFmtId="0" fontId="27" fillId="32" borderId="0" xfId="0" applyFont="1" applyFill="1" applyAlignment="1">
      <alignment vertical="center"/>
    </xf>
    <xf numFmtId="49" fontId="22" fillId="32" borderId="46" xfId="0" applyNumberFormat="1" applyFont="1" applyFill="1" applyBorder="1" applyAlignment="1">
      <alignment horizontal="right" vertical="center" wrapText="1"/>
    </xf>
    <xf numFmtId="49" fontId="32" fillId="32" borderId="55" xfId="0" applyNumberFormat="1" applyFont="1" applyFill="1" applyBorder="1" applyAlignment="1">
      <alignment horizontal="center" vertical="center" wrapText="1"/>
    </xf>
    <xf numFmtId="49" fontId="22" fillId="32" borderId="56" xfId="0" applyNumberFormat="1" applyFont="1" applyFill="1" applyBorder="1" applyAlignment="1">
      <alignment horizontal="right" vertical="center"/>
    </xf>
    <xf numFmtId="49" fontId="32" fillId="32" borderId="55" xfId="0" applyNumberFormat="1" applyFont="1" applyFill="1" applyBorder="1" applyAlignment="1">
      <alignment horizontal="center" vertical="center"/>
    </xf>
    <xf numFmtId="0" fontId="28" fillId="20" borderId="52" xfId="0" applyFont="1" applyFill="1" applyBorder="1" applyAlignment="1">
      <alignment vertical="center"/>
    </xf>
    <xf numFmtId="0" fontId="28" fillId="20" borderId="51" xfId="0" applyFont="1" applyFill="1" applyBorder="1" applyAlignment="1">
      <alignment vertical="center"/>
    </xf>
    <xf numFmtId="0" fontId="27" fillId="26" borderId="0" xfId="0" applyFont="1" applyFill="1" applyAlignment="1">
      <alignment vertical="center"/>
    </xf>
    <xf numFmtId="0" fontId="27" fillId="39" borderId="0" xfId="0" applyFont="1" applyFill="1" applyAlignment="1">
      <alignment vertical="center"/>
    </xf>
    <xf numFmtId="168" fontId="22" fillId="39" borderId="47" xfId="0" applyNumberFormat="1" applyFont="1" applyFill="1" applyBorder="1" applyAlignment="1">
      <alignment horizontal="right" vertical="center"/>
    </xf>
    <xf numFmtId="168" fontId="32" fillId="39" borderId="53" xfId="0" applyNumberFormat="1" applyFont="1" applyFill="1" applyBorder="1" applyAlignment="1">
      <alignment horizontal="center" vertical="center"/>
    </xf>
    <xf numFmtId="165" fontId="32" fillId="39" borderId="48" xfId="0" applyNumberFormat="1" applyFont="1" applyFill="1" applyBorder="1" applyAlignment="1">
      <alignment horizontal="center" vertical="center"/>
    </xf>
    <xf numFmtId="164" fontId="32" fillId="39" borderId="48" xfId="0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vertical="center"/>
    </xf>
    <xf numFmtId="0" fontId="30" fillId="39" borderId="0" xfId="0" applyFont="1" applyFill="1" applyAlignment="1">
      <alignment vertical="center"/>
    </xf>
    <xf numFmtId="167" fontId="22" fillId="39" borderId="49" xfId="0" applyNumberFormat="1" applyFont="1" applyFill="1" applyBorder="1" applyAlignment="1">
      <alignment horizontal="right" vertical="center"/>
    </xf>
    <xf numFmtId="167" fontId="32" fillId="39" borderId="54" xfId="0" applyNumberFormat="1" applyFont="1" applyFill="1" applyBorder="1" applyAlignment="1">
      <alignment horizontal="center" vertical="center"/>
    </xf>
    <xf numFmtId="166" fontId="32" fillId="39" borderId="50" xfId="0" applyNumberFormat="1" applyFont="1" applyFill="1" applyBorder="1" applyAlignment="1">
      <alignment horizontal="center" vertical="center"/>
    </xf>
    <xf numFmtId="0" fontId="28" fillId="43" borderId="52" xfId="0" applyFont="1" applyFill="1" applyBorder="1" applyAlignment="1">
      <alignment vertical="center"/>
    </xf>
    <xf numFmtId="0" fontId="28" fillId="43" borderId="51" xfId="0" applyFont="1" applyFill="1" applyBorder="1" applyAlignment="1">
      <alignment vertical="center"/>
    </xf>
    <xf numFmtId="0" fontId="30" fillId="27" borderId="0" xfId="0" applyFont="1" applyFill="1" applyAlignment="1">
      <alignment vertical="center"/>
    </xf>
    <xf numFmtId="0" fontId="30" fillId="0" borderId="0" xfId="0" applyFont="1" applyAlignment="1">
      <alignment vertical="center"/>
    </xf>
    <xf numFmtId="0" fontId="33" fillId="43" borderId="44" xfId="0" applyFont="1" applyFill="1" applyBorder="1" applyAlignment="1">
      <alignment vertical="center"/>
    </xf>
    <xf numFmtId="0" fontId="28" fillId="43" borderId="0" xfId="0" applyFont="1" applyFill="1" applyAlignment="1">
      <alignment vertical="center"/>
    </xf>
    <xf numFmtId="0" fontId="28" fillId="43" borderId="61" xfId="0" applyFont="1" applyFill="1" applyBorder="1" applyAlignment="1">
      <alignment vertical="center"/>
    </xf>
    <xf numFmtId="0" fontId="33" fillId="43" borderId="0" xfId="0" applyFont="1" applyFill="1" applyAlignment="1">
      <alignment vertical="center"/>
    </xf>
    <xf numFmtId="0" fontId="33" fillId="33" borderId="44" xfId="0" applyFont="1" applyFill="1" applyBorder="1" applyAlignment="1">
      <alignment vertical="center"/>
    </xf>
    <xf numFmtId="49" fontId="46" fillId="38" borderId="57" xfId="0" applyNumberFormat="1" applyFont="1" applyFill="1" applyBorder="1" applyAlignment="1">
      <alignment horizontal="right" vertical="center"/>
    </xf>
    <xf numFmtId="164" fontId="43" fillId="38" borderId="58" xfId="0" applyNumberFormat="1" applyFont="1" applyFill="1" applyBorder="1" applyAlignment="1">
      <alignment horizontal="left" vertical="center"/>
    </xf>
    <xf numFmtId="0" fontId="45" fillId="38" borderId="57" xfId="0" applyFont="1" applyFill="1" applyBorder="1" applyAlignment="1">
      <alignment horizontal="right"/>
    </xf>
    <xf numFmtId="2" fontId="43" fillId="38" borderId="61" xfId="0" applyNumberFormat="1" applyFont="1" applyFill="1" applyBorder="1" applyAlignment="1">
      <alignment horizontal="left" vertical="center" wrapText="1"/>
    </xf>
    <xf numFmtId="0" fontId="33" fillId="28" borderId="0" xfId="0" applyFont="1" applyFill="1" applyAlignment="1">
      <alignment vertical="center"/>
    </xf>
    <xf numFmtId="0" fontId="33" fillId="28" borderId="44" xfId="0" applyFont="1" applyFill="1" applyBorder="1" applyAlignment="1">
      <alignment vertical="center"/>
    </xf>
    <xf numFmtId="0" fontId="33" fillId="33" borderId="0" xfId="0" applyFont="1" applyFill="1" applyAlignment="1">
      <alignment vertical="center"/>
    </xf>
    <xf numFmtId="0" fontId="33" fillId="29" borderId="0" xfId="0" applyFont="1" applyFill="1" applyAlignment="1">
      <alignment vertical="center"/>
    </xf>
    <xf numFmtId="0" fontId="28" fillId="24" borderId="0" xfId="0" applyFont="1" applyFill="1" applyAlignment="1">
      <alignment vertical="center"/>
    </xf>
    <xf numFmtId="0" fontId="24" fillId="24" borderId="64" xfId="0" applyFont="1" applyFill="1" applyBorder="1" applyAlignment="1">
      <alignment vertical="center"/>
    </xf>
    <xf numFmtId="0" fontId="24" fillId="24" borderId="65" xfId="0" applyFont="1" applyFill="1" applyBorder="1" applyAlignment="1">
      <alignment vertical="center"/>
    </xf>
    <xf numFmtId="3" fontId="34" fillId="24" borderId="67" xfId="0" applyNumberFormat="1" applyFont="1" applyFill="1" applyBorder="1" applyAlignment="1">
      <alignment horizontal="center" vertical="center"/>
    </xf>
    <xf numFmtId="0" fontId="34" fillId="24" borderId="67" xfId="0" applyFont="1" applyFill="1" applyBorder="1" applyAlignment="1">
      <alignment vertical="center"/>
    </xf>
    <xf numFmtId="0" fontId="33" fillId="30" borderId="0" xfId="0" applyFont="1" applyFill="1" applyAlignment="1">
      <alignment vertical="center"/>
    </xf>
    <xf numFmtId="0" fontId="33" fillId="19" borderId="0" xfId="0" applyFont="1" applyFill="1" applyAlignment="1">
      <alignment vertical="center"/>
    </xf>
    <xf numFmtId="0" fontId="33" fillId="31" borderId="44" xfId="0" applyFont="1" applyFill="1" applyBorder="1" applyAlignment="1">
      <alignment vertical="center"/>
    </xf>
    <xf numFmtId="0" fontId="33" fillId="2" borderId="44" xfId="0" applyFont="1" applyFill="1" applyBorder="1" applyAlignment="1">
      <alignment vertical="center"/>
    </xf>
    <xf numFmtId="0" fontId="33" fillId="2" borderId="0" xfId="0" applyFont="1" applyFill="1" applyAlignment="1">
      <alignment vertical="center"/>
    </xf>
    <xf numFmtId="0" fontId="24" fillId="19" borderId="68" xfId="0" applyFont="1" applyFill="1" applyBorder="1" applyAlignment="1">
      <alignment horizontal="center" vertical="center"/>
    </xf>
    <xf numFmtId="164" fontId="34" fillId="19" borderId="69" xfId="0" applyNumberFormat="1" applyFont="1" applyFill="1" applyBorder="1" applyAlignment="1">
      <alignment horizontal="right" vertical="center"/>
    </xf>
    <xf numFmtId="164" fontId="34" fillId="19" borderId="70" xfId="0" applyNumberFormat="1" applyFont="1" applyFill="1" applyBorder="1" applyAlignment="1">
      <alignment horizontal="left" vertical="center"/>
    </xf>
    <xf numFmtId="0" fontId="30" fillId="2" borderId="0" xfId="0" applyFont="1" applyFill="1" applyAlignment="1">
      <alignment vertical="center"/>
    </xf>
    <xf numFmtId="0" fontId="28" fillId="2" borderId="0" xfId="0" applyFont="1" applyFill="1" applyAlignment="1">
      <alignment horizontal="center" vertical="center"/>
    </xf>
    <xf numFmtId="0" fontId="28" fillId="0" borderId="77" xfId="0" applyFont="1" applyBorder="1" applyAlignment="1">
      <alignment vertical="center"/>
    </xf>
    <xf numFmtId="0" fontId="36" fillId="0" borderId="0" xfId="0" applyFont="1" applyAlignment="1">
      <alignment horizontal="center" vertical="center"/>
    </xf>
    <xf numFmtId="0" fontId="39" fillId="0" borderId="0" xfId="0" applyFont="1" applyAlignment="1">
      <alignment vertical="center"/>
    </xf>
    <xf numFmtId="170" fontId="44" fillId="25" borderId="78" xfId="0" applyNumberFormat="1" applyFont="1" applyFill="1" applyBorder="1" applyAlignment="1">
      <alignment horizontal="center" vertical="center" wrapText="1"/>
    </xf>
    <xf numFmtId="170" fontId="44" fillId="41" borderId="81" xfId="0" applyNumberFormat="1" applyFont="1" applyFill="1" applyBorder="1" applyAlignment="1">
      <alignment horizontal="center" vertical="center" wrapText="1"/>
    </xf>
    <xf numFmtId="170" fontId="44" fillId="35" borderId="31" xfId="0" applyNumberFormat="1" applyFont="1" applyFill="1" applyBorder="1" applyAlignment="1">
      <alignment horizontal="center" vertical="center" wrapText="1"/>
    </xf>
    <xf numFmtId="170" fontId="44" fillId="35" borderId="75" xfId="0" applyNumberFormat="1" applyFont="1" applyFill="1" applyBorder="1" applyAlignment="1">
      <alignment horizontal="center" vertical="center" wrapText="1"/>
    </xf>
    <xf numFmtId="0" fontId="40" fillId="0" borderId="76" xfId="0" applyFont="1" applyBorder="1" applyAlignment="1">
      <alignment vertical="center"/>
    </xf>
    <xf numFmtId="0" fontId="40" fillId="0" borderId="0" xfId="0" applyFont="1" applyAlignment="1">
      <alignment horizontal="center" vertical="center"/>
    </xf>
    <xf numFmtId="0" fontId="36" fillId="0" borderId="0" xfId="0" applyFont="1" applyAlignment="1">
      <alignment vertical="center"/>
    </xf>
    <xf numFmtId="171" fontId="48" fillId="34" borderId="79" xfId="0" applyNumberFormat="1" applyFont="1" applyFill="1" applyBorder="1" applyAlignment="1">
      <alignment horizontal="center" vertical="center"/>
    </xf>
    <xf numFmtId="166" fontId="49" fillId="40" borderId="82" xfId="0" applyNumberFormat="1" applyFont="1" applyFill="1" applyBorder="1" applyAlignment="1">
      <alignment horizontal="center" vertical="center" wrapText="1"/>
    </xf>
    <xf numFmtId="1" fontId="41" fillId="32" borderId="80" xfId="0" applyNumberFormat="1" applyFont="1" applyFill="1" applyBorder="1" applyAlignment="1">
      <alignment horizontal="center" vertical="center"/>
    </xf>
    <xf numFmtId="1" fontId="41" fillId="32" borderId="30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vertical="center"/>
    </xf>
    <xf numFmtId="1" fontId="40" fillId="0" borderId="0" xfId="0" applyNumberFormat="1" applyFont="1" applyAlignment="1">
      <alignment horizontal="center" vertical="center"/>
    </xf>
    <xf numFmtId="0" fontId="42" fillId="0" borderId="0" xfId="0" applyFont="1" applyAlignment="1">
      <alignment vertical="center"/>
    </xf>
    <xf numFmtId="170" fontId="42" fillId="0" borderId="0" xfId="0" applyNumberFormat="1" applyFont="1" applyAlignment="1">
      <alignment horizontal="center" vertical="center"/>
    </xf>
    <xf numFmtId="164" fontId="40" fillId="0" borderId="0" xfId="0" applyNumberFormat="1" applyFont="1" applyAlignment="1">
      <alignment horizontal="center" vertical="center" wrapText="1"/>
    </xf>
    <xf numFmtId="0" fontId="42" fillId="0" borderId="0" xfId="0" applyFont="1" applyAlignment="1">
      <alignment horizontal="center" vertical="center"/>
    </xf>
    <xf numFmtId="170" fontId="31" fillId="0" borderId="0" xfId="0" applyNumberFormat="1" applyFont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 wrapText="1"/>
    </xf>
    <xf numFmtId="1" fontId="30" fillId="0" borderId="0" xfId="0" applyNumberFormat="1" applyFont="1" applyAlignment="1">
      <alignment horizontal="center" vertical="center"/>
    </xf>
    <xf numFmtId="170" fontId="31" fillId="0" borderId="0" xfId="0" applyNumberFormat="1" applyFont="1" applyAlignment="1">
      <alignment horizontal="center" vertical="center"/>
    </xf>
    <xf numFmtId="166" fontId="28" fillId="0" borderId="0" xfId="0" applyNumberFormat="1" applyFont="1" applyAlignment="1">
      <alignment horizontal="center" vertical="center" wrapText="1"/>
    </xf>
    <xf numFmtId="1" fontId="28" fillId="0" borderId="0" xfId="0" applyNumberFormat="1" applyFont="1" applyAlignment="1">
      <alignment horizontal="center" vertical="center"/>
    </xf>
    <xf numFmtId="171" fontId="31" fillId="0" borderId="0" xfId="0" applyNumberFormat="1" applyFont="1" applyAlignment="1">
      <alignment horizontal="center" vertical="center"/>
    </xf>
    <xf numFmtId="170" fontId="28" fillId="0" borderId="0" xfId="0" applyNumberFormat="1" applyFont="1" applyAlignment="1">
      <alignment vertical="center"/>
    </xf>
    <xf numFmtId="170" fontId="28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vertical="center"/>
    </xf>
    <xf numFmtId="169" fontId="28" fillId="0" borderId="0" xfId="0" applyNumberFormat="1" applyFont="1" applyAlignment="1">
      <alignment horizontal="center" vertical="center"/>
    </xf>
    <xf numFmtId="2" fontId="30" fillId="0" borderId="0" xfId="0" applyNumberFormat="1" applyFont="1" applyAlignment="1">
      <alignment horizontal="center" vertical="center"/>
    </xf>
    <xf numFmtId="169" fontId="30" fillId="0" borderId="0" xfId="0" applyNumberFormat="1" applyFont="1" applyAlignment="1">
      <alignment horizontal="center" vertical="center"/>
    </xf>
    <xf numFmtId="0" fontId="24" fillId="35" borderId="0" xfId="0" applyFont="1" applyFill="1" applyAlignment="1">
      <alignment vertical="center"/>
    </xf>
    <xf numFmtId="0" fontId="54" fillId="25" borderId="0" xfId="0" applyFont="1" applyFill="1" applyAlignment="1">
      <alignment vertical="center"/>
    </xf>
    <xf numFmtId="0" fontId="54" fillId="25" borderId="0" xfId="0" applyFont="1" applyFill="1" applyAlignment="1">
      <alignment horizontal="left" vertical="center"/>
    </xf>
    <xf numFmtId="0" fontId="25" fillId="2" borderId="41" xfId="0" applyFont="1" applyFill="1" applyBorder="1" applyAlignment="1" applyProtection="1">
      <alignment horizontal="center" vertical="center"/>
      <protection locked="0"/>
    </xf>
    <xf numFmtId="0" fontId="55" fillId="25" borderId="0" xfId="0" applyFont="1" applyFill="1" applyAlignment="1">
      <alignment horizontal="right" vertical="center"/>
    </xf>
    <xf numFmtId="0" fontId="56" fillId="2" borderId="40" xfId="0" applyFont="1" applyFill="1" applyBorder="1" applyAlignment="1" applyProtection="1">
      <alignment horizontal="center" vertical="center"/>
      <protection locked="0"/>
    </xf>
    <xf numFmtId="1" fontId="28" fillId="0" borderId="0" xfId="0" applyNumberFormat="1" applyFont="1" applyAlignment="1">
      <alignment vertical="center"/>
    </xf>
    <xf numFmtId="0" fontId="21" fillId="16" borderId="83" xfId="0" applyFont="1" applyFill="1" applyBorder="1" applyAlignment="1">
      <alignment horizontal="center" vertical="center"/>
    </xf>
    <xf numFmtId="0" fontId="26" fillId="16" borderId="83" xfId="0" applyFont="1" applyFill="1" applyBorder="1" applyAlignment="1">
      <alignment horizontal="center" vertical="center"/>
    </xf>
    <xf numFmtId="170" fontId="28" fillId="46" borderId="83" xfId="0" applyNumberFormat="1" applyFont="1" applyFill="1" applyBorder="1" applyAlignment="1">
      <alignment horizontal="center" vertical="center"/>
    </xf>
    <xf numFmtId="0" fontId="34" fillId="46" borderId="83" xfId="0" applyFont="1" applyFill="1" applyBorder="1" applyAlignment="1">
      <alignment horizontal="left" vertical="top" wrapText="1"/>
    </xf>
    <xf numFmtId="0" fontId="34" fillId="46" borderId="83" xfId="0" applyFont="1" applyFill="1" applyBorder="1" applyAlignment="1">
      <alignment horizontal="center" vertical="top" wrapText="1"/>
    </xf>
    <xf numFmtId="0" fontId="28" fillId="16" borderId="83" xfId="0" applyFont="1" applyFill="1" applyBorder="1" applyAlignment="1">
      <alignment vertical="center"/>
    </xf>
    <xf numFmtId="0" fontId="0" fillId="0" borderId="87" xfId="0" applyBorder="1"/>
    <xf numFmtId="0" fontId="9" fillId="47" borderId="12" xfId="1" applyFill="1" applyAlignment="1">
      <alignment horizontal="center" vertical="center"/>
    </xf>
    <xf numFmtId="1" fontId="9" fillId="47" borderId="12" xfId="1" applyNumberFormat="1" applyFill="1"/>
    <xf numFmtId="164" fontId="9" fillId="47" borderId="12" xfId="1" applyNumberFormat="1" applyFill="1"/>
    <xf numFmtId="0" fontId="9" fillId="47" borderId="12" xfId="1" applyFill="1"/>
    <xf numFmtId="0" fontId="6" fillId="48" borderId="0" xfId="0" applyFont="1" applyFill="1" applyAlignment="1">
      <alignment horizontal="center" vertical="center"/>
    </xf>
    <xf numFmtId="0" fontId="6" fillId="48" borderId="2" xfId="0" applyFont="1" applyFill="1" applyBorder="1" applyAlignment="1">
      <alignment horizontal="center" vertical="center"/>
    </xf>
    <xf numFmtId="0" fontId="6" fillId="48" borderId="3" xfId="0" applyFont="1" applyFill="1" applyBorder="1" applyAlignment="1">
      <alignment horizontal="center" vertical="center"/>
    </xf>
    <xf numFmtId="0" fontId="0" fillId="49" borderId="1" xfId="0" applyFill="1" applyBorder="1" applyAlignment="1">
      <alignment horizontal="right"/>
    </xf>
    <xf numFmtId="2" fontId="0" fillId="49" borderId="0" xfId="0" applyNumberFormat="1" applyFill="1"/>
    <xf numFmtId="164" fontId="0" fillId="49" borderId="0" xfId="0" applyNumberFormat="1" applyFill="1" applyAlignment="1">
      <alignment horizontal="left"/>
    </xf>
    <xf numFmtId="0" fontId="0" fillId="19" borderId="0" xfId="0" applyFill="1"/>
    <xf numFmtId="0" fontId="0" fillId="2" borderId="0" xfId="0" applyFill="1"/>
    <xf numFmtId="0" fontId="8" fillId="50" borderId="0" xfId="0" applyFont="1" applyFill="1" applyAlignment="1">
      <alignment horizontal="right"/>
    </xf>
    <xf numFmtId="3" fontId="7" fillId="50" borderId="0" xfId="0" applyNumberFormat="1" applyFont="1" applyFill="1" applyAlignment="1">
      <alignment horizontal="center"/>
    </xf>
    <xf numFmtId="0" fontId="6" fillId="50" borderId="0" xfId="0" applyFont="1" applyFill="1"/>
    <xf numFmtId="0" fontId="0" fillId="51" borderId="0" xfId="0" applyFill="1"/>
    <xf numFmtId="1" fontId="0" fillId="51" borderId="0" xfId="0" applyNumberFormat="1" applyFill="1"/>
    <xf numFmtId="0" fontId="57" fillId="52" borderId="0" xfId="0" applyFont="1" applyFill="1"/>
    <xf numFmtId="0" fontId="57" fillId="39" borderId="0" xfId="0" applyFont="1" applyFill="1"/>
    <xf numFmtId="165" fontId="57" fillId="39" borderId="0" xfId="0" applyNumberFormat="1" applyFont="1" applyFill="1"/>
    <xf numFmtId="164" fontId="57" fillId="40" borderId="0" xfId="0" applyNumberFormat="1" applyFont="1" applyFill="1"/>
    <xf numFmtId="0" fontId="57" fillId="40" borderId="0" xfId="0" applyFont="1" applyFill="1"/>
    <xf numFmtId="0" fontId="0" fillId="0" borderId="85" xfId="0" applyBorder="1"/>
    <xf numFmtId="0" fontId="0" fillId="15" borderId="0" xfId="0" applyFill="1"/>
    <xf numFmtId="0" fontId="59" fillId="15" borderId="0" xfId="0" applyFont="1" applyFill="1" applyAlignment="1">
      <alignment horizontal="right"/>
    </xf>
    <xf numFmtId="0" fontId="0" fillId="15" borderId="87" xfId="0" applyFill="1" applyBorder="1"/>
    <xf numFmtId="0" fontId="0" fillId="15" borderId="88" xfId="0" applyFill="1" applyBorder="1"/>
    <xf numFmtId="0" fontId="59" fillId="15" borderId="87" xfId="0" applyFont="1" applyFill="1" applyBorder="1" applyAlignment="1">
      <alignment horizontal="right"/>
    </xf>
    <xf numFmtId="0" fontId="0" fillId="15" borderId="89" xfId="0" applyFill="1" applyBorder="1"/>
    <xf numFmtId="0" fontId="0" fillId="15" borderId="90" xfId="0" applyFill="1" applyBorder="1"/>
    <xf numFmtId="0" fontId="0" fillId="15" borderId="91" xfId="0" applyFill="1" applyBorder="1"/>
    <xf numFmtId="0" fontId="58" fillId="17" borderId="96" xfId="0" applyFont="1" applyFill="1" applyBorder="1" applyAlignment="1">
      <alignment vertical="center"/>
    </xf>
    <xf numFmtId="0" fontId="58" fillId="17" borderId="99" xfId="0" applyFont="1" applyFill="1" applyBorder="1" applyAlignment="1">
      <alignment vertical="center"/>
    </xf>
    <xf numFmtId="0" fontId="56" fillId="53" borderId="100" xfId="0" applyFont="1" applyFill="1" applyBorder="1" applyAlignment="1" applyProtection="1">
      <alignment horizontal="center" vertical="center"/>
      <protection locked="0"/>
    </xf>
    <xf numFmtId="0" fontId="58" fillId="17" borderId="84" xfId="0" applyFont="1" applyFill="1" applyBorder="1" applyAlignment="1">
      <alignment vertical="center"/>
    </xf>
    <xf numFmtId="0" fontId="25" fillId="53" borderId="101" xfId="0" applyFont="1" applyFill="1" applyBorder="1" applyAlignment="1" applyProtection="1">
      <alignment horizontal="center" vertical="center"/>
      <protection locked="0"/>
    </xf>
    <xf numFmtId="0" fontId="29" fillId="53" borderId="101" xfId="0" applyFont="1" applyFill="1" applyBorder="1" applyAlignment="1" applyProtection="1">
      <alignment horizontal="center" vertical="center"/>
      <protection locked="0"/>
    </xf>
    <xf numFmtId="1" fontId="29" fillId="53" borderId="101" xfId="0" applyNumberFormat="1" applyFont="1" applyFill="1" applyBorder="1" applyAlignment="1" applyProtection="1">
      <alignment horizontal="center" vertical="center"/>
      <protection locked="0"/>
    </xf>
    <xf numFmtId="0" fontId="19" fillId="22" borderId="0" xfId="0" applyFont="1" applyFill="1" applyAlignment="1">
      <alignment horizontal="center"/>
    </xf>
    <xf numFmtId="0" fontId="62" fillId="0" borderId="0" xfId="0" applyFont="1"/>
    <xf numFmtId="0" fontId="19" fillId="22" borderId="35" xfId="0" applyFont="1" applyFill="1" applyBorder="1" applyAlignment="1">
      <alignment horizontal="center"/>
    </xf>
    <xf numFmtId="2" fontId="65" fillId="54" borderId="1" xfId="0" applyNumberFormat="1" applyFont="1" applyFill="1" applyBorder="1"/>
    <xf numFmtId="168" fontId="0" fillId="0" borderId="0" xfId="0" applyNumberFormat="1"/>
    <xf numFmtId="168" fontId="69" fillId="0" borderId="6" xfId="0" applyNumberFormat="1" applyFont="1" applyBorder="1"/>
    <xf numFmtId="172" fontId="0" fillId="0" borderId="0" xfId="0" applyNumberFormat="1" applyAlignment="1">
      <alignment horizontal="left"/>
    </xf>
    <xf numFmtId="172" fontId="69" fillId="0" borderId="106" xfId="0" applyNumberFormat="1" applyFont="1" applyBorder="1" applyAlignment="1">
      <alignment horizontal="left"/>
    </xf>
    <xf numFmtId="0" fontId="2" fillId="0" borderId="0" xfId="0" applyFont="1" applyProtection="1">
      <protection locked="0"/>
    </xf>
    <xf numFmtId="164" fontId="57" fillId="40" borderId="0" xfId="0" applyNumberFormat="1" applyFont="1" applyFill="1" applyProtection="1">
      <protection locked="0"/>
    </xf>
    <xf numFmtId="0" fontId="57" fillId="40" borderId="0" xfId="0" applyFont="1" applyFill="1" applyProtection="1">
      <protection locked="0"/>
    </xf>
    <xf numFmtId="0" fontId="0" fillId="0" borderId="0" xfId="0" applyProtection="1">
      <protection locked="0"/>
    </xf>
    <xf numFmtId="165" fontId="1" fillId="5" borderId="7" xfId="0" applyNumberFormat="1" applyFont="1" applyFill="1" applyBorder="1" applyAlignment="1" applyProtection="1">
      <alignment horizontal="center"/>
      <protection locked="0"/>
    </xf>
    <xf numFmtId="0" fontId="1" fillId="5" borderId="4" xfId="0" applyFont="1" applyFill="1" applyBorder="1" applyAlignment="1" applyProtection="1">
      <alignment horizontal="center"/>
      <protection locked="0"/>
    </xf>
    <xf numFmtId="1" fontId="1" fillId="5" borderId="4" xfId="0" applyNumberFormat="1" applyFont="1" applyFill="1" applyBorder="1" applyAlignment="1" applyProtection="1">
      <alignment horizontal="center"/>
      <protection locked="0"/>
    </xf>
    <xf numFmtId="1" fontId="1" fillId="5" borderId="8" xfId="0" applyNumberFormat="1" applyFont="1" applyFill="1" applyBorder="1" applyAlignment="1" applyProtection="1">
      <alignment horizontal="center"/>
      <protection locked="0"/>
    </xf>
    <xf numFmtId="0" fontId="1" fillId="5" borderId="8" xfId="0" applyFont="1" applyFill="1" applyBorder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8" borderId="13" xfId="0" applyFont="1" applyFill="1" applyBorder="1" applyAlignment="1" applyProtection="1">
      <alignment horizontal="center" vertical="center" wrapText="1"/>
      <protection locked="0"/>
    </xf>
    <xf numFmtId="0" fontId="1" fillId="8" borderId="14" xfId="0" applyFont="1" applyFill="1" applyBorder="1" applyAlignment="1" applyProtection="1">
      <alignment horizontal="center" vertical="center" wrapText="1"/>
      <protection locked="0"/>
    </xf>
    <xf numFmtId="0" fontId="1" fillId="10" borderId="14" xfId="0" applyFont="1" applyFill="1" applyBorder="1" applyAlignment="1" applyProtection="1">
      <alignment horizontal="center" vertical="center" wrapText="1"/>
      <protection locked="0"/>
    </xf>
    <xf numFmtId="0" fontId="11" fillId="10" borderId="14" xfId="0" applyFont="1" applyFill="1" applyBorder="1" applyAlignment="1" applyProtection="1">
      <alignment horizontal="center" vertical="center" wrapText="1"/>
      <protection locked="0"/>
    </xf>
    <xf numFmtId="0" fontId="1" fillId="8" borderId="15" xfId="0" applyFont="1" applyFill="1" applyBorder="1" applyAlignment="1" applyProtection="1">
      <alignment horizontal="center" vertical="center" wrapText="1"/>
      <protection locked="0"/>
    </xf>
    <xf numFmtId="1" fontId="1" fillId="5" borderId="45" xfId="0" applyNumberFormat="1" applyFont="1" applyFill="1" applyBorder="1" applyAlignment="1" applyProtection="1">
      <alignment horizontal="center"/>
      <protection locked="0"/>
    </xf>
    <xf numFmtId="0" fontId="54" fillId="17" borderId="105" xfId="0" applyFont="1" applyFill="1" applyBorder="1" applyAlignment="1">
      <alignment horizontal="left" vertical="center"/>
    </xf>
    <xf numFmtId="0" fontId="54" fillId="17" borderId="91" xfId="0" applyFont="1" applyFill="1" applyBorder="1" applyAlignment="1">
      <alignment horizontal="left" vertical="center"/>
    </xf>
    <xf numFmtId="0" fontId="58" fillId="17" borderId="89" xfId="0" applyFont="1" applyFill="1" applyBorder="1" applyAlignment="1">
      <alignment horizontal="right" vertical="center"/>
    </xf>
    <xf numFmtId="0" fontId="58" fillId="17" borderId="90" xfId="0" applyFont="1" applyFill="1" applyBorder="1" applyAlignment="1">
      <alignment horizontal="right" vertical="center"/>
    </xf>
    <xf numFmtId="0" fontId="25" fillId="53" borderId="102" xfId="0" applyFont="1" applyFill="1" applyBorder="1" applyAlignment="1" applyProtection="1">
      <alignment horizontal="center" vertical="center"/>
      <protection locked="0"/>
    </xf>
    <xf numFmtId="0" fontId="25" fillId="53" borderId="103" xfId="0" applyFont="1" applyFill="1" applyBorder="1" applyAlignment="1" applyProtection="1">
      <alignment horizontal="center" vertical="center"/>
      <protection locked="0"/>
    </xf>
    <xf numFmtId="0" fontId="58" fillId="17" borderId="84" xfId="0" applyFont="1" applyFill="1" applyBorder="1" applyAlignment="1">
      <alignment horizontal="right" vertical="center"/>
    </xf>
    <xf numFmtId="0" fontId="58" fillId="17" borderId="85" xfId="0" applyFont="1" applyFill="1" applyBorder="1" applyAlignment="1">
      <alignment horizontal="right" vertical="center"/>
    </xf>
    <xf numFmtId="0" fontId="58" fillId="17" borderId="95" xfId="0" applyFont="1" applyFill="1" applyBorder="1" applyAlignment="1">
      <alignment horizontal="right" vertical="center"/>
    </xf>
    <xf numFmtId="0" fontId="58" fillId="17" borderId="93" xfId="0" applyFont="1" applyFill="1" applyBorder="1" applyAlignment="1">
      <alignment horizontal="right" vertical="center"/>
    </xf>
    <xf numFmtId="0" fontId="58" fillId="17" borderId="97" xfId="0" applyFont="1" applyFill="1" applyBorder="1" applyAlignment="1">
      <alignment horizontal="right" vertical="center"/>
    </xf>
    <xf numFmtId="0" fontId="58" fillId="17" borderId="98" xfId="0" applyFont="1" applyFill="1" applyBorder="1" applyAlignment="1">
      <alignment horizontal="right" vertical="center"/>
    </xf>
    <xf numFmtId="0" fontId="58" fillId="17" borderId="91" xfId="0" applyFont="1" applyFill="1" applyBorder="1" applyAlignment="1">
      <alignment horizontal="right" vertical="center"/>
    </xf>
    <xf numFmtId="0" fontId="56" fillId="53" borderId="1" xfId="0" applyFont="1" applyFill="1" applyBorder="1" applyAlignment="1" applyProtection="1">
      <alignment horizontal="center" vertical="center"/>
      <protection locked="0"/>
    </xf>
    <xf numFmtId="0" fontId="54" fillId="17" borderId="104" xfId="0" applyFont="1" applyFill="1" applyBorder="1" applyAlignment="1">
      <alignment horizontal="left" vertical="center"/>
    </xf>
    <xf numFmtId="0" fontId="54" fillId="17" borderId="86" xfId="0" applyFont="1" applyFill="1" applyBorder="1" applyAlignment="1">
      <alignment horizontal="left" vertical="center"/>
    </xf>
    <xf numFmtId="0" fontId="60" fillId="15" borderId="84" xfId="0" applyFont="1" applyFill="1" applyBorder="1" applyAlignment="1">
      <alignment horizontal="center" vertical="center"/>
    </xf>
    <xf numFmtId="0" fontId="60" fillId="15" borderId="85" xfId="0" applyFont="1" applyFill="1" applyBorder="1" applyAlignment="1">
      <alignment horizontal="center" vertical="center"/>
    </xf>
    <xf numFmtId="0" fontId="60" fillId="15" borderId="86" xfId="0" applyFont="1" applyFill="1" applyBorder="1" applyAlignment="1">
      <alignment horizontal="center" vertical="center"/>
    </xf>
    <xf numFmtId="0" fontId="60" fillId="15" borderId="89" xfId="0" applyFont="1" applyFill="1" applyBorder="1" applyAlignment="1">
      <alignment horizontal="center" vertical="center"/>
    </xf>
    <xf numFmtId="0" fontId="60" fillId="15" borderId="90" xfId="0" applyFont="1" applyFill="1" applyBorder="1" applyAlignment="1">
      <alignment horizontal="center" vertical="center"/>
    </xf>
    <xf numFmtId="0" fontId="60" fillId="15" borderId="91" xfId="0" applyFont="1" applyFill="1" applyBorder="1" applyAlignment="1">
      <alignment horizontal="center" vertical="center"/>
    </xf>
    <xf numFmtId="0" fontId="59" fillId="15" borderId="87" xfId="0" applyFont="1" applyFill="1" applyBorder="1" applyAlignment="1">
      <alignment horizontal="center"/>
    </xf>
    <xf numFmtId="0" fontId="59" fillId="15" borderId="0" xfId="0" applyFont="1" applyFill="1" applyAlignment="1">
      <alignment horizontal="center"/>
    </xf>
    <xf numFmtId="0" fontId="59" fillId="15" borderId="88" xfId="0" applyFont="1" applyFill="1" applyBorder="1" applyAlignment="1">
      <alignment horizontal="center"/>
    </xf>
    <xf numFmtId="0" fontId="58" fillId="17" borderId="92" xfId="0" applyFont="1" applyFill="1" applyBorder="1" applyAlignment="1">
      <alignment horizontal="right" vertical="center"/>
    </xf>
    <xf numFmtId="0" fontId="58" fillId="17" borderId="94" xfId="0" applyFont="1" applyFill="1" applyBorder="1" applyAlignment="1">
      <alignment horizontal="right" vertical="center"/>
    </xf>
    <xf numFmtId="0" fontId="58" fillId="17" borderId="86" xfId="0" applyFont="1" applyFill="1" applyBorder="1" applyAlignment="1">
      <alignment horizontal="right" vertical="center"/>
    </xf>
    <xf numFmtId="0" fontId="52" fillId="37" borderId="0" xfId="0" applyFont="1" applyFill="1" applyAlignment="1">
      <alignment horizontal="left" vertical="center"/>
    </xf>
    <xf numFmtId="0" fontId="34" fillId="45" borderId="0" xfId="0" applyFont="1" applyFill="1" applyAlignment="1">
      <alignment horizontal="left" vertical="top" wrapText="1"/>
    </xf>
    <xf numFmtId="170" fontId="28" fillId="45" borderId="0" xfId="0" applyNumberFormat="1" applyFont="1" applyFill="1" applyAlignment="1">
      <alignment horizontal="center" vertical="center"/>
    </xf>
    <xf numFmtId="0" fontId="34" fillId="45" borderId="0" xfId="0" applyFont="1" applyFill="1" applyAlignment="1">
      <alignment horizontal="center" vertical="top" wrapText="1"/>
    </xf>
    <xf numFmtId="0" fontId="25" fillId="2" borderId="42" xfId="0" applyFont="1" applyFill="1" applyBorder="1" applyAlignment="1" applyProtection="1">
      <alignment horizontal="center" vertical="center"/>
      <protection locked="0"/>
    </xf>
    <xf numFmtId="0" fontId="25" fillId="2" borderId="43" xfId="0" applyFont="1" applyFill="1" applyBorder="1" applyAlignment="1" applyProtection="1">
      <alignment horizontal="center" vertical="center"/>
      <protection locked="0"/>
    </xf>
    <xf numFmtId="0" fontId="55" fillId="25" borderId="0" xfId="0" applyFont="1" applyFill="1" applyAlignment="1">
      <alignment horizontal="right" vertical="center"/>
    </xf>
    <xf numFmtId="0" fontId="55" fillId="25" borderId="0" xfId="0" applyFont="1" applyFill="1" applyAlignment="1">
      <alignment horizontal="center" vertical="center"/>
    </xf>
    <xf numFmtId="0" fontId="51" fillId="32" borderId="71" xfId="0" applyFont="1" applyFill="1" applyBorder="1" applyAlignment="1">
      <alignment horizontal="center" vertical="center"/>
    </xf>
    <xf numFmtId="0" fontId="51" fillId="32" borderId="72" xfId="0" applyFont="1" applyFill="1" applyBorder="1" applyAlignment="1">
      <alignment horizontal="center" vertical="center"/>
    </xf>
    <xf numFmtId="0" fontId="50" fillId="3" borderId="73" xfId="0" applyFont="1" applyFill="1" applyBorder="1" applyAlignment="1">
      <alignment horizontal="center" vertical="center"/>
    </xf>
    <xf numFmtId="0" fontId="50" fillId="3" borderId="74" xfId="0" applyFont="1" applyFill="1" applyBorder="1" applyAlignment="1">
      <alignment horizontal="center" vertical="center"/>
    </xf>
    <xf numFmtId="0" fontId="20" fillId="15" borderId="59" xfId="0" applyFont="1" applyFill="1" applyBorder="1" applyAlignment="1">
      <alignment horizontal="center" vertical="center"/>
    </xf>
    <xf numFmtId="0" fontId="20" fillId="15" borderId="62" xfId="0" applyFont="1" applyFill="1" applyBorder="1" applyAlignment="1">
      <alignment horizontal="center" vertical="center"/>
    </xf>
    <xf numFmtId="0" fontId="20" fillId="3" borderId="59" xfId="0" applyFont="1" applyFill="1" applyBorder="1" applyAlignment="1">
      <alignment horizontal="center" vertical="center"/>
    </xf>
    <xf numFmtId="0" fontId="20" fillId="3" borderId="60" xfId="0" applyFont="1" applyFill="1" applyBorder="1" applyAlignment="1">
      <alignment horizontal="center" vertical="center"/>
    </xf>
    <xf numFmtId="0" fontId="33" fillId="31" borderId="44" xfId="0" applyFont="1" applyFill="1" applyBorder="1" applyAlignment="1">
      <alignment horizontal="center" vertical="center"/>
    </xf>
    <xf numFmtId="0" fontId="33" fillId="31" borderId="0" xfId="0" applyFont="1" applyFill="1" applyAlignment="1">
      <alignment horizontal="center" vertical="center"/>
    </xf>
    <xf numFmtId="0" fontId="33" fillId="31" borderId="66" xfId="0" applyFont="1" applyFill="1" applyBorder="1" applyAlignment="1">
      <alignment horizontal="center" vertical="center"/>
    </xf>
    <xf numFmtId="0" fontId="33" fillId="19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8" fillId="25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170" fontId="28" fillId="0" borderId="0" xfId="0" applyNumberFormat="1" applyFont="1" applyAlignment="1">
      <alignment horizontal="center" vertical="center"/>
    </xf>
    <xf numFmtId="167" fontId="35" fillId="42" borderId="63" xfId="3" applyNumberFormat="1" applyFont="1" applyFill="1" applyBorder="1" applyAlignment="1" applyProtection="1">
      <alignment horizontal="center" vertical="center"/>
    </xf>
    <xf numFmtId="0" fontId="53" fillId="18" borderId="63" xfId="0" applyFont="1" applyFill="1" applyBorder="1" applyAlignment="1">
      <alignment horizontal="center" vertical="center"/>
    </xf>
    <xf numFmtId="0" fontId="34" fillId="19" borderId="69" xfId="3" applyFont="1" applyFill="1" applyBorder="1" applyAlignment="1" applyProtection="1">
      <alignment horizontal="center" vertical="center"/>
    </xf>
    <xf numFmtId="0" fontId="34" fillId="19" borderId="70" xfId="3" applyFont="1" applyFill="1" applyBorder="1" applyAlignment="1" applyProtection="1">
      <alignment horizontal="center" vertical="center"/>
    </xf>
    <xf numFmtId="166" fontId="35" fillId="42" borderId="63" xfId="3" applyNumberFormat="1" applyFont="1" applyFill="1" applyBorder="1" applyAlignment="1" applyProtection="1">
      <alignment horizontal="center" vertical="center"/>
    </xf>
    <xf numFmtId="0" fontId="35" fillId="42" borderId="64" xfId="3" applyFont="1" applyFill="1" applyBorder="1" applyAlignment="1" applyProtection="1">
      <alignment horizontal="center" vertical="center"/>
    </xf>
    <xf numFmtId="0" fontId="35" fillId="42" borderId="65" xfId="3" applyFont="1" applyFill="1" applyBorder="1" applyAlignment="1" applyProtection="1">
      <alignment horizontal="center" vertical="center"/>
    </xf>
    <xf numFmtId="0" fontId="3" fillId="5" borderId="84" xfId="0" applyFont="1" applyFill="1" applyBorder="1" applyAlignment="1">
      <alignment horizontal="center"/>
    </xf>
    <xf numFmtId="0" fontId="3" fillId="5" borderId="85" xfId="0" applyFont="1" applyFill="1" applyBorder="1" applyAlignment="1">
      <alignment horizontal="center"/>
    </xf>
    <xf numFmtId="0" fontId="3" fillId="5" borderId="86" xfId="0" applyFont="1" applyFill="1" applyBorder="1" applyAlignment="1">
      <alignment horizontal="center"/>
    </xf>
    <xf numFmtId="49" fontId="68" fillId="5" borderId="8" xfId="0" applyNumberFormat="1" applyFont="1" applyFill="1" applyBorder="1" applyAlignment="1" applyProtection="1">
      <alignment wrapText="1"/>
      <protection locked="0"/>
    </xf>
    <xf numFmtId="49" fontId="68" fillId="5" borderId="7" xfId="0" applyNumberFormat="1" applyFont="1" applyFill="1" applyBorder="1" applyAlignment="1" applyProtection="1">
      <alignment wrapText="1"/>
      <protection locked="0"/>
    </xf>
    <xf numFmtId="1" fontId="1" fillId="5" borderId="107" xfId="0" applyNumberFormat="1" applyFont="1" applyFill="1" applyBorder="1" applyAlignment="1" applyProtection="1">
      <alignment horizontal="center"/>
      <protection locked="0"/>
    </xf>
    <xf numFmtId="1" fontId="1" fillId="5" borderId="108" xfId="0" applyNumberFormat="1" applyFont="1" applyFill="1" applyBorder="1" applyAlignment="1" applyProtection="1">
      <alignment horizontal="center"/>
      <protection locked="0"/>
    </xf>
    <xf numFmtId="1" fontId="1" fillId="5" borderId="86" xfId="0" applyNumberFormat="1" applyFont="1" applyFill="1" applyBorder="1" applyAlignment="1" applyProtection="1">
      <alignment horizontal="center"/>
      <protection locked="0"/>
    </xf>
  </cellXfs>
  <cellStyles count="4">
    <cellStyle name="Calculation" xfId="1" builtinId="22"/>
    <cellStyle name="Check Cell" xfId="2" builtinId="23"/>
    <cellStyle name="Good" xfId="3" builtinId="26"/>
    <cellStyle name="Normal" xfId="0" builtinId="0"/>
  </cellStyles>
  <dxfs count="60"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strike val="0"/>
        <color theme="0"/>
      </font>
      <fill>
        <patternFill>
          <bgColor rgb="FF9A03FF"/>
        </patternFill>
      </fill>
    </dxf>
    <dxf>
      <font>
        <b/>
        <i val="0"/>
        <color theme="0"/>
      </font>
      <fill>
        <patternFill>
          <bgColor rgb="FFFF00FF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3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theme="7" tint="0.39997558519241921"/>
        </right>
        <top style="thin">
          <color theme="7" tint="0.39997558519241921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3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top style="thin">
          <color theme="7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3"/>
        <scheme val="none"/>
      </font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theme="0" tint="-0.249977111117893"/>
        </top>
      </border>
    </dxf>
    <dxf>
      <border outline="0">
        <bottom style="thin">
          <color theme="0" tint="-0.249977111117893"/>
        </bottom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/>
        <horizontal/>
      </border>
    </dxf>
    <dxf>
      <border outline="0">
        <left style="thin">
          <color theme="0" tint="-0.249977111117893"/>
        </left>
      </border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UBG88-The Real Skinny "/>
        <family val="2"/>
        <scheme val="minor"/>
      </font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UBG88 Font"/>
        <family val="2"/>
        <scheme val="none"/>
      </font>
      <numFmt numFmtId="165" formatCode="0&quot; cm&quot;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thick">
          <color theme="9" tint="-0.499984740745262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dashDot">
          <color theme="7"/>
        </right>
        <top style="dashDot">
          <color theme="7"/>
        </top>
        <bottom style="dashDot">
          <color theme="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66" formatCode="0.0&quot;kg&quot;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64" formatCode="0.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" formatCode="#,##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UBG88-The Real Skinny "/>
        <family val="2"/>
        <scheme val="minor"/>
      </font>
      <numFmt numFmtId="1" formatCode="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color auto="1"/>
      </font>
      <numFmt numFmtId="1" formatCode="0"/>
      <alignment horizontal="center" vertical="center" textRotation="0" wrapText="0" indent="0" justifyLastLine="0" shrinkToFit="0" readingOrder="0"/>
      <border outline="0">
        <left style="thin">
          <color rgb="FF7F7F7F"/>
        </left>
      </border>
    </dxf>
    <dxf>
      <numFmt numFmtId="164" formatCode="0.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numFmt numFmtId="166" formatCode="0.0&quot;kg&quot;"/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outline="0">
        <right style="thin">
          <color rgb="FF7F7F7F"/>
        </right>
      </border>
    </dxf>
    <dxf>
      <numFmt numFmtId="166" formatCode="0.0&quot;kg&quot;"/>
      <alignment horizontal="center" vertical="center" textRotation="0" wrapText="0" indent="0" justifyLastLine="0" shrinkToFit="0" readingOrder="0"/>
      <border outline="0">
        <right style="thin">
          <color rgb="FF7F7F7F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theme="9" tint="-0.499984740745262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border outline="0">
        <top style="thin">
          <color theme="4"/>
        </top>
      </border>
    </dxf>
    <dxf>
      <border outline="0">
        <top style="thin">
          <color theme="4" tint="0.39997558519241921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</dxf>
    <dxf>
      <border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theme="4"/>
          <bgColor rgb="FF00B050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theme="0"/>
        </left>
        <right style="thick">
          <color theme="0"/>
        </right>
        <top/>
        <bottom/>
      </border>
      <protection locked="0" hidden="0"/>
    </dxf>
  </dxfs>
  <tableStyles count="0" defaultTableStyle="TableStyleMedium2" defaultPivotStyle="PivotStyleLight16"/>
  <colors>
    <mruColors>
      <color rgb="FF9A03FF"/>
      <color rgb="FFCCFFCC"/>
      <color rgb="FFFF00FF"/>
      <color rgb="FF33CC33"/>
      <color rgb="FF00FFFF"/>
      <color rgb="FF00FF00"/>
      <color rgb="FF0033CC"/>
      <color rgb="FFFFCCFF"/>
      <color rgb="FF630355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BMI</a:t>
            </a:r>
          </a:p>
        </c:rich>
      </c:tx>
      <c:layout>
        <c:manualLayout>
          <c:xMode val="edge"/>
          <c:yMode val="edge"/>
          <c:x val="0.4624884220063738"/>
          <c:y val="5.73563341520461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50436086793499E-2"/>
          <c:y val="4.2121465586032518E-2"/>
          <c:w val="0.87876971622982403"/>
          <c:h val="0.83872042245201328"/>
        </c:manualLayout>
      </c:layout>
      <c:areaChart>
        <c:grouping val="standard"/>
        <c:varyColors val="0"/>
        <c:ser>
          <c:idx val="5"/>
          <c:order val="0"/>
          <c:tx>
            <c:v>45</c:v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88.2</c:v>
              </c:pt>
              <c:pt idx="1">
                <c:v>89.464500000000001</c:v>
              </c:pt>
              <c:pt idx="2">
                <c:v>90.738</c:v>
              </c:pt>
              <c:pt idx="3">
                <c:v>92.020499999999998</c:v>
              </c:pt>
              <c:pt idx="4">
                <c:v>93.311999999999998</c:v>
              </c:pt>
              <c:pt idx="5">
                <c:v>94.612499999999997</c:v>
              </c:pt>
              <c:pt idx="6">
                <c:v>95.921999999999997</c:v>
              </c:pt>
              <c:pt idx="7">
                <c:v>97.240499999999997</c:v>
              </c:pt>
              <c:pt idx="8">
                <c:v>98.567999999999998</c:v>
              </c:pt>
              <c:pt idx="9">
                <c:v>99.904499999999999</c:v>
              </c:pt>
              <c:pt idx="10">
                <c:v>101.25</c:v>
              </c:pt>
              <c:pt idx="11">
                <c:v>102.6045</c:v>
              </c:pt>
              <c:pt idx="12">
                <c:v>103.968</c:v>
              </c:pt>
              <c:pt idx="13">
                <c:v>105.34050000000001</c:v>
              </c:pt>
              <c:pt idx="14">
                <c:v>106.72199999999999</c:v>
              </c:pt>
              <c:pt idx="15">
                <c:v>108.1125</c:v>
              </c:pt>
              <c:pt idx="16">
                <c:v>109.512</c:v>
              </c:pt>
              <c:pt idx="17">
                <c:v>110.9205</c:v>
              </c:pt>
              <c:pt idx="18">
                <c:v>112.33799999999999</c:v>
              </c:pt>
              <c:pt idx="19">
                <c:v>113.7645</c:v>
              </c:pt>
              <c:pt idx="20">
                <c:v>115.2</c:v>
              </c:pt>
              <c:pt idx="21">
                <c:v>116.64449999999999</c:v>
              </c:pt>
              <c:pt idx="22">
                <c:v>118.098</c:v>
              </c:pt>
              <c:pt idx="23">
                <c:v>119.5605</c:v>
              </c:pt>
              <c:pt idx="24">
                <c:v>121.032</c:v>
              </c:pt>
              <c:pt idx="25">
                <c:v>122.5125</c:v>
              </c:pt>
              <c:pt idx="26">
                <c:v>124.002</c:v>
              </c:pt>
              <c:pt idx="27">
                <c:v>125.5005</c:v>
              </c:pt>
              <c:pt idx="28">
                <c:v>127.008</c:v>
              </c:pt>
              <c:pt idx="29">
                <c:v>128.52449999999999</c:v>
              </c:pt>
              <c:pt idx="30">
                <c:v>130.05000000000001</c:v>
              </c:pt>
              <c:pt idx="31">
                <c:v>131.58449999999999</c:v>
              </c:pt>
              <c:pt idx="32">
                <c:v>133.12799999999999</c:v>
              </c:pt>
              <c:pt idx="33">
                <c:v>134.68049999999999</c:v>
              </c:pt>
              <c:pt idx="34">
                <c:v>136.24199999999999</c:v>
              </c:pt>
              <c:pt idx="35">
                <c:v>137.8125</c:v>
              </c:pt>
              <c:pt idx="36">
                <c:v>139.392</c:v>
              </c:pt>
              <c:pt idx="37">
                <c:v>140.98050000000001</c:v>
              </c:pt>
              <c:pt idx="38">
                <c:v>142.578</c:v>
              </c:pt>
              <c:pt idx="39">
                <c:v>144.18450000000001</c:v>
              </c:pt>
              <c:pt idx="40">
                <c:v>145.80000000000001</c:v>
              </c:pt>
              <c:pt idx="41">
                <c:v>147.42449999999999</c:v>
              </c:pt>
              <c:pt idx="42">
                <c:v>149.05799999999999</c:v>
              </c:pt>
              <c:pt idx="43">
                <c:v>150.70050000000001</c:v>
              </c:pt>
              <c:pt idx="44">
                <c:v>152.352</c:v>
              </c:pt>
              <c:pt idx="45">
                <c:v>154.01249999999999</c:v>
              </c:pt>
              <c:pt idx="46">
                <c:v>155.68199999999999</c:v>
              </c:pt>
              <c:pt idx="47">
                <c:v>157.3605</c:v>
              </c:pt>
              <c:pt idx="48">
                <c:v>159.048</c:v>
              </c:pt>
              <c:pt idx="49">
                <c:v>160.74449999999999</c:v>
              </c:pt>
              <c:pt idx="50">
                <c:v>162.44999999999999</c:v>
              </c:pt>
              <c:pt idx="51">
                <c:v>164.1645</c:v>
              </c:pt>
              <c:pt idx="52">
                <c:v>165.88800000000001</c:v>
              </c:pt>
              <c:pt idx="53">
                <c:v>167.62049999999999</c:v>
              </c:pt>
              <c:pt idx="54">
                <c:v>169.36199999999999</c:v>
              </c:pt>
              <c:pt idx="55">
                <c:v>171.11250000000001</c:v>
              </c:pt>
              <c:pt idx="56">
                <c:v>172.87200000000001</c:v>
              </c:pt>
              <c:pt idx="57">
                <c:v>174.6405</c:v>
              </c:pt>
              <c:pt idx="58">
                <c:v>176.41800000000001</c:v>
              </c:pt>
              <c:pt idx="59">
                <c:v>178.2045</c:v>
              </c:pt>
              <c:pt idx="60">
                <c:v>180</c:v>
              </c:pt>
              <c:pt idx="61">
                <c:v>181.80449999999999</c:v>
              </c:pt>
              <c:pt idx="62">
                <c:v>183.61799999999999</c:v>
              </c:pt>
              <c:pt idx="63">
                <c:v>185.44049999999999</c:v>
              </c:pt>
              <c:pt idx="64">
                <c:v>187.27199999999999</c:v>
              </c:pt>
              <c:pt idx="65">
                <c:v>189.11250000000001</c:v>
              </c:pt>
            </c:numLit>
          </c:val>
          <c:extLst>
            <c:ext xmlns:c16="http://schemas.microsoft.com/office/drawing/2014/chart" uri="{C3380CC4-5D6E-409C-BE32-E72D297353CC}">
              <c16:uniqueId val="{00000000-816D-475B-B1EA-FDA8134354AB}"/>
            </c:ext>
          </c:extLst>
        </c:ser>
        <c:ser>
          <c:idx val="4"/>
          <c:order val="1"/>
          <c:tx>
            <c:v>40</c:v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78.400000000000006</c:v>
              </c:pt>
              <c:pt idx="1">
                <c:v>79.524000000000001</c:v>
              </c:pt>
              <c:pt idx="2">
                <c:v>80.656000000000006</c:v>
              </c:pt>
              <c:pt idx="3">
                <c:v>81.796000000000006</c:v>
              </c:pt>
              <c:pt idx="4">
                <c:v>82.944000000000003</c:v>
              </c:pt>
              <c:pt idx="5">
                <c:v>84.1</c:v>
              </c:pt>
              <c:pt idx="6">
                <c:v>85.263999999999996</c:v>
              </c:pt>
              <c:pt idx="7">
                <c:v>86.436000000000007</c:v>
              </c:pt>
              <c:pt idx="8">
                <c:v>87.616</c:v>
              </c:pt>
              <c:pt idx="9">
                <c:v>88.804000000000002</c:v>
              </c:pt>
              <c:pt idx="10">
                <c:v>90</c:v>
              </c:pt>
              <c:pt idx="11">
                <c:v>91.203999999999994</c:v>
              </c:pt>
              <c:pt idx="12">
                <c:v>92.415999999999997</c:v>
              </c:pt>
              <c:pt idx="13">
                <c:v>93.635999999999996</c:v>
              </c:pt>
              <c:pt idx="14">
                <c:v>94.864000000000004</c:v>
              </c:pt>
              <c:pt idx="15">
                <c:v>96.1</c:v>
              </c:pt>
              <c:pt idx="16">
                <c:v>97.343999999999994</c:v>
              </c:pt>
              <c:pt idx="17">
                <c:v>98.596000000000004</c:v>
              </c:pt>
              <c:pt idx="18">
                <c:v>99.855999999999995</c:v>
              </c:pt>
              <c:pt idx="19">
                <c:v>101.124</c:v>
              </c:pt>
              <c:pt idx="20">
                <c:v>102.4</c:v>
              </c:pt>
              <c:pt idx="21">
                <c:v>103.684</c:v>
              </c:pt>
              <c:pt idx="22">
                <c:v>104.976</c:v>
              </c:pt>
              <c:pt idx="23">
                <c:v>106.276</c:v>
              </c:pt>
              <c:pt idx="24">
                <c:v>107.584</c:v>
              </c:pt>
              <c:pt idx="25">
                <c:v>108.9</c:v>
              </c:pt>
              <c:pt idx="26">
                <c:v>110.224</c:v>
              </c:pt>
              <c:pt idx="27">
                <c:v>111.556</c:v>
              </c:pt>
              <c:pt idx="28">
                <c:v>112.896</c:v>
              </c:pt>
              <c:pt idx="29">
                <c:v>114.244</c:v>
              </c:pt>
              <c:pt idx="30">
                <c:v>115.6</c:v>
              </c:pt>
              <c:pt idx="31">
                <c:v>116.964</c:v>
              </c:pt>
              <c:pt idx="32">
                <c:v>118.336</c:v>
              </c:pt>
              <c:pt idx="33">
                <c:v>119.71599999999999</c:v>
              </c:pt>
              <c:pt idx="34">
                <c:v>121.104</c:v>
              </c:pt>
              <c:pt idx="35">
                <c:v>122.5</c:v>
              </c:pt>
              <c:pt idx="36">
                <c:v>123.904</c:v>
              </c:pt>
              <c:pt idx="37">
                <c:v>125.316</c:v>
              </c:pt>
              <c:pt idx="38">
                <c:v>126.736</c:v>
              </c:pt>
              <c:pt idx="39">
                <c:v>128.16399999999999</c:v>
              </c:pt>
              <c:pt idx="40">
                <c:v>129.6</c:v>
              </c:pt>
              <c:pt idx="41">
                <c:v>131.04400000000001</c:v>
              </c:pt>
              <c:pt idx="42">
                <c:v>132.49600000000001</c:v>
              </c:pt>
              <c:pt idx="43">
                <c:v>133.95599999999999</c:v>
              </c:pt>
              <c:pt idx="44">
                <c:v>135.42400000000001</c:v>
              </c:pt>
              <c:pt idx="45">
                <c:v>136.9</c:v>
              </c:pt>
              <c:pt idx="46">
                <c:v>138.38399999999999</c:v>
              </c:pt>
              <c:pt idx="47">
                <c:v>139.876</c:v>
              </c:pt>
              <c:pt idx="48">
                <c:v>141.376</c:v>
              </c:pt>
              <c:pt idx="49">
                <c:v>142.88399999999999</c:v>
              </c:pt>
              <c:pt idx="50">
                <c:v>144.4</c:v>
              </c:pt>
              <c:pt idx="51">
                <c:v>145.92400000000001</c:v>
              </c:pt>
              <c:pt idx="52">
                <c:v>147.45599999999999</c:v>
              </c:pt>
              <c:pt idx="53">
                <c:v>148.99600000000001</c:v>
              </c:pt>
              <c:pt idx="54">
                <c:v>150.54400000000001</c:v>
              </c:pt>
              <c:pt idx="55">
                <c:v>152.1</c:v>
              </c:pt>
              <c:pt idx="56">
                <c:v>153.66399999999999</c:v>
              </c:pt>
              <c:pt idx="57">
                <c:v>155.23599999999999</c:v>
              </c:pt>
              <c:pt idx="58">
                <c:v>156.816</c:v>
              </c:pt>
              <c:pt idx="59">
                <c:v>158.404</c:v>
              </c:pt>
              <c:pt idx="60">
                <c:v>160</c:v>
              </c:pt>
              <c:pt idx="61">
                <c:v>161.60400000000001</c:v>
              </c:pt>
              <c:pt idx="62">
                <c:v>163.21600000000001</c:v>
              </c:pt>
              <c:pt idx="63">
                <c:v>164.83600000000001</c:v>
              </c:pt>
              <c:pt idx="64">
                <c:v>166.464</c:v>
              </c:pt>
              <c:pt idx="65">
                <c:v>168.1</c:v>
              </c:pt>
            </c:numLit>
          </c:val>
          <c:extLst>
            <c:ext xmlns:c16="http://schemas.microsoft.com/office/drawing/2014/chart" uri="{C3380CC4-5D6E-409C-BE32-E72D297353CC}">
              <c16:uniqueId val="{00000001-816D-475B-B1EA-FDA8134354AB}"/>
            </c:ext>
          </c:extLst>
        </c:ser>
        <c:ser>
          <c:idx val="3"/>
          <c:order val="2"/>
          <c:tx>
            <c:v>35</c:v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68.599999999999994</c:v>
              </c:pt>
              <c:pt idx="1">
                <c:v>69.583500000000001</c:v>
              </c:pt>
              <c:pt idx="2">
                <c:v>70.573999999999998</c:v>
              </c:pt>
              <c:pt idx="3">
                <c:v>71.5715</c:v>
              </c:pt>
              <c:pt idx="4">
                <c:v>72.575999999999993</c:v>
              </c:pt>
              <c:pt idx="5">
                <c:v>73.587500000000006</c:v>
              </c:pt>
              <c:pt idx="6">
                <c:v>74.605999999999995</c:v>
              </c:pt>
              <c:pt idx="7">
                <c:v>75.631500000000003</c:v>
              </c:pt>
              <c:pt idx="8">
                <c:v>76.664000000000001</c:v>
              </c:pt>
              <c:pt idx="9">
                <c:v>77.703500000000005</c:v>
              </c:pt>
              <c:pt idx="10">
                <c:v>78.75</c:v>
              </c:pt>
              <c:pt idx="11">
                <c:v>79.8035</c:v>
              </c:pt>
              <c:pt idx="12">
                <c:v>80.864000000000004</c:v>
              </c:pt>
              <c:pt idx="13">
                <c:v>81.9315</c:v>
              </c:pt>
              <c:pt idx="14">
                <c:v>83.006</c:v>
              </c:pt>
              <c:pt idx="15">
                <c:v>84.087500000000006</c:v>
              </c:pt>
              <c:pt idx="16">
                <c:v>85.176000000000002</c:v>
              </c:pt>
              <c:pt idx="17">
                <c:v>86.271500000000003</c:v>
              </c:pt>
              <c:pt idx="18">
                <c:v>87.373999999999995</c:v>
              </c:pt>
              <c:pt idx="19">
                <c:v>88.483500000000006</c:v>
              </c:pt>
              <c:pt idx="20">
                <c:v>89.6</c:v>
              </c:pt>
              <c:pt idx="21">
                <c:v>90.723500000000001</c:v>
              </c:pt>
              <c:pt idx="22">
                <c:v>91.853999999999999</c:v>
              </c:pt>
              <c:pt idx="23">
                <c:v>92.991500000000002</c:v>
              </c:pt>
              <c:pt idx="24">
                <c:v>94.135999999999996</c:v>
              </c:pt>
              <c:pt idx="25">
                <c:v>95.287499999999994</c:v>
              </c:pt>
              <c:pt idx="26">
                <c:v>96.445999999999998</c:v>
              </c:pt>
              <c:pt idx="27">
                <c:v>97.611500000000007</c:v>
              </c:pt>
              <c:pt idx="28">
                <c:v>98.784000000000006</c:v>
              </c:pt>
              <c:pt idx="29">
                <c:v>99.963499999999996</c:v>
              </c:pt>
              <c:pt idx="30">
                <c:v>101.15</c:v>
              </c:pt>
              <c:pt idx="31">
                <c:v>102.34350000000001</c:v>
              </c:pt>
              <c:pt idx="32">
                <c:v>103.544</c:v>
              </c:pt>
              <c:pt idx="33">
                <c:v>104.75149999999999</c:v>
              </c:pt>
              <c:pt idx="34">
                <c:v>105.96599999999999</c:v>
              </c:pt>
              <c:pt idx="35">
                <c:v>107.1875</c:v>
              </c:pt>
              <c:pt idx="36">
                <c:v>108.416</c:v>
              </c:pt>
              <c:pt idx="37">
                <c:v>109.6515</c:v>
              </c:pt>
              <c:pt idx="38">
                <c:v>110.89400000000001</c:v>
              </c:pt>
              <c:pt idx="39">
                <c:v>112.1435</c:v>
              </c:pt>
              <c:pt idx="40">
                <c:v>113.4</c:v>
              </c:pt>
              <c:pt idx="41">
                <c:v>114.6635</c:v>
              </c:pt>
              <c:pt idx="42">
                <c:v>115.934</c:v>
              </c:pt>
              <c:pt idx="43">
                <c:v>117.2115</c:v>
              </c:pt>
              <c:pt idx="44">
                <c:v>118.496</c:v>
              </c:pt>
              <c:pt idx="45">
                <c:v>119.78749999999999</c:v>
              </c:pt>
              <c:pt idx="46">
                <c:v>121.086</c:v>
              </c:pt>
              <c:pt idx="47">
                <c:v>122.39149999999999</c:v>
              </c:pt>
              <c:pt idx="48">
                <c:v>123.70399999999999</c:v>
              </c:pt>
              <c:pt idx="49">
                <c:v>125.0235</c:v>
              </c:pt>
              <c:pt idx="50">
                <c:v>126.35</c:v>
              </c:pt>
              <c:pt idx="51">
                <c:v>127.6835</c:v>
              </c:pt>
              <c:pt idx="52">
                <c:v>129.024</c:v>
              </c:pt>
              <c:pt idx="53">
                <c:v>130.3715</c:v>
              </c:pt>
              <c:pt idx="54">
                <c:v>131.726</c:v>
              </c:pt>
              <c:pt idx="55">
                <c:v>133.08750000000001</c:v>
              </c:pt>
              <c:pt idx="56">
                <c:v>134.45599999999999</c:v>
              </c:pt>
              <c:pt idx="57">
                <c:v>135.83150000000001</c:v>
              </c:pt>
              <c:pt idx="58">
                <c:v>137.214</c:v>
              </c:pt>
              <c:pt idx="59">
                <c:v>138.6035</c:v>
              </c:pt>
              <c:pt idx="60">
                <c:v>140</c:v>
              </c:pt>
              <c:pt idx="61">
                <c:v>141.40350000000001</c:v>
              </c:pt>
              <c:pt idx="62">
                <c:v>142.81399999999999</c:v>
              </c:pt>
              <c:pt idx="63">
                <c:v>144.23150000000001</c:v>
              </c:pt>
              <c:pt idx="64">
                <c:v>145.65600000000001</c:v>
              </c:pt>
              <c:pt idx="65">
                <c:v>147.08750000000001</c:v>
              </c:pt>
            </c:numLit>
          </c:val>
          <c:extLst>
            <c:ext xmlns:c16="http://schemas.microsoft.com/office/drawing/2014/chart" uri="{C3380CC4-5D6E-409C-BE32-E72D297353CC}">
              <c16:uniqueId val="{00000002-816D-475B-B1EA-FDA8134354AB}"/>
            </c:ext>
          </c:extLst>
        </c:ser>
        <c:ser>
          <c:idx val="2"/>
          <c:order val="3"/>
          <c:tx>
            <c:v>30</c:v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58.8</c:v>
              </c:pt>
              <c:pt idx="1">
                <c:v>59.643000000000001</c:v>
              </c:pt>
              <c:pt idx="2">
                <c:v>60.491999999999997</c:v>
              </c:pt>
              <c:pt idx="3">
                <c:v>61.347000000000001</c:v>
              </c:pt>
              <c:pt idx="4">
                <c:v>62.207999999999998</c:v>
              </c:pt>
              <c:pt idx="5">
                <c:v>63.075000000000003</c:v>
              </c:pt>
              <c:pt idx="6">
                <c:v>63.948</c:v>
              </c:pt>
              <c:pt idx="7">
                <c:v>64.826999999999998</c:v>
              </c:pt>
              <c:pt idx="8">
                <c:v>65.712000000000003</c:v>
              </c:pt>
              <c:pt idx="9">
                <c:v>66.602999999999994</c:v>
              </c:pt>
              <c:pt idx="10">
                <c:v>67.5</c:v>
              </c:pt>
              <c:pt idx="11">
                <c:v>68.403000000000006</c:v>
              </c:pt>
              <c:pt idx="12">
                <c:v>69.311999999999998</c:v>
              </c:pt>
              <c:pt idx="13">
                <c:v>70.227000000000004</c:v>
              </c:pt>
              <c:pt idx="14">
                <c:v>71.147999999999996</c:v>
              </c:pt>
              <c:pt idx="15">
                <c:v>72.075000000000003</c:v>
              </c:pt>
              <c:pt idx="16">
                <c:v>73.007999999999996</c:v>
              </c:pt>
              <c:pt idx="17">
                <c:v>73.947000000000003</c:v>
              </c:pt>
              <c:pt idx="18">
                <c:v>74.891999999999996</c:v>
              </c:pt>
              <c:pt idx="19">
                <c:v>75.843000000000004</c:v>
              </c:pt>
              <c:pt idx="20">
                <c:v>76.8</c:v>
              </c:pt>
              <c:pt idx="21">
                <c:v>77.763000000000005</c:v>
              </c:pt>
              <c:pt idx="22">
                <c:v>78.731999999999999</c:v>
              </c:pt>
              <c:pt idx="23">
                <c:v>79.706999999999994</c:v>
              </c:pt>
              <c:pt idx="24">
                <c:v>80.688000000000002</c:v>
              </c:pt>
              <c:pt idx="25">
                <c:v>81.674999999999997</c:v>
              </c:pt>
              <c:pt idx="26">
                <c:v>82.668000000000006</c:v>
              </c:pt>
              <c:pt idx="27">
                <c:v>83.667000000000002</c:v>
              </c:pt>
              <c:pt idx="28">
                <c:v>84.671999999999997</c:v>
              </c:pt>
              <c:pt idx="29">
                <c:v>85.683000000000007</c:v>
              </c:pt>
              <c:pt idx="30">
                <c:v>86.7</c:v>
              </c:pt>
              <c:pt idx="31">
                <c:v>87.722999999999999</c:v>
              </c:pt>
              <c:pt idx="32">
                <c:v>88.751999999999995</c:v>
              </c:pt>
              <c:pt idx="33">
                <c:v>89.787000000000006</c:v>
              </c:pt>
              <c:pt idx="34">
                <c:v>90.828000000000003</c:v>
              </c:pt>
              <c:pt idx="35">
                <c:v>91.875</c:v>
              </c:pt>
              <c:pt idx="36">
                <c:v>92.927999999999997</c:v>
              </c:pt>
              <c:pt idx="37">
                <c:v>93.986999999999995</c:v>
              </c:pt>
              <c:pt idx="38">
                <c:v>95.052000000000007</c:v>
              </c:pt>
              <c:pt idx="39">
                <c:v>96.123000000000005</c:v>
              </c:pt>
              <c:pt idx="40">
                <c:v>97.2</c:v>
              </c:pt>
              <c:pt idx="41">
                <c:v>98.283000000000001</c:v>
              </c:pt>
              <c:pt idx="42">
                <c:v>99.372</c:v>
              </c:pt>
              <c:pt idx="43">
                <c:v>100.467</c:v>
              </c:pt>
              <c:pt idx="44">
                <c:v>101.568</c:v>
              </c:pt>
              <c:pt idx="45">
                <c:v>102.675</c:v>
              </c:pt>
              <c:pt idx="46">
                <c:v>103.788</c:v>
              </c:pt>
              <c:pt idx="47">
                <c:v>104.907</c:v>
              </c:pt>
              <c:pt idx="48">
                <c:v>106.032</c:v>
              </c:pt>
              <c:pt idx="49">
                <c:v>107.163</c:v>
              </c:pt>
              <c:pt idx="50">
                <c:v>108.3</c:v>
              </c:pt>
              <c:pt idx="51">
                <c:v>109.443</c:v>
              </c:pt>
              <c:pt idx="52">
                <c:v>110.592</c:v>
              </c:pt>
              <c:pt idx="53">
                <c:v>111.747</c:v>
              </c:pt>
              <c:pt idx="54">
                <c:v>112.908</c:v>
              </c:pt>
              <c:pt idx="55">
                <c:v>114.075</c:v>
              </c:pt>
              <c:pt idx="56">
                <c:v>115.248</c:v>
              </c:pt>
              <c:pt idx="57">
                <c:v>116.42700000000001</c:v>
              </c:pt>
              <c:pt idx="58">
                <c:v>117.61199999999999</c:v>
              </c:pt>
              <c:pt idx="59">
                <c:v>118.803</c:v>
              </c:pt>
              <c:pt idx="60">
                <c:v>120</c:v>
              </c:pt>
              <c:pt idx="61">
                <c:v>121.203</c:v>
              </c:pt>
              <c:pt idx="62">
                <c:v>122.41200000000001</c:v>
              </c:pt>
              <c:pt idx="63">
                <c:v>123.627</c:v>
              </c:pt>
              <c:pt idx="64">
                <c:v>124.848</c:v>
              </c:pt>
              <c:pt idx="65">
                <c:v>126.075</c:v>
              </c:pt>
            </c:numLit>
          </c:val>
          <c:extLst>
            <c:ext xmlns:c16="http://schemas.microsoft.com/office/drawing/2014/chart" uri="{C3380CC4-5D6E-409C-BE32-E72D297353CC}">
              <c16:uniqueId val="{00000003-816D-475B-B1EA-FDA8134354AB}"/>
            </c:ext>
          </c:extLst>
        </c:ser>
        <c:ser>
          <c:idx val="1"/>
          <c:order val="4"/>
          <c:tx>
            <c:v>25</c:v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49</c:v>
              </c:pt>
              <c:pt idx="1">
                <c:v>49.702500000000001</c:v>
              </c:pt>
              <c:pt idx="2">
                <c:v>50.41</c:v>
              </c:pt>
              <c:pt idx="3">
                <c:v>51.122500000000002</c:v>
              </c:pt>
              <c:pt idx="4">
                <c:v>51.84</c:v>
              </c:pt>
              <c:pt idx="5">
                <c:v>52.5625</c:v>
              </c:pt>
              <c:pt idx="6">
                <c:v>53.29</c:v>
              </c:pt>
              <c:pt idx="7">
                <c:v>54.022500000000001</c:v>
              </c:pt>
              <c:pt idx="8">
                <c:v>54.76</c:v>
              </c:pt>
              <c:pt idx="9">
                <c:v>55.502499999999998</c:v>
              </c:pt>
              <c:pt idx="10">
                <c:v>56.25</c:v>
              </c:pt>
              <c:pt idx="11">
                <c:v>57.002499999999998</c:v>
              </c:pt>
              <c:pt idx="12">
                <c:v>57.76</c:v>
              </c:pt>
              <c:pt idx="13">
                <c:v>58.522500000000001</c:v>
              </c:pt>
              <c:pt idx="14">
                <c:v>59.29</c:v>
              </c:pt>
              <c:pt idx="15">
                <c:v>60.0625</c:v>
              </c:pt>
              <c:pt idx="16">
                <c:v>60.84</c:v>
              </c:pt>
              <c:pt idx="17">
                <c:v>61.622500000000002</c:v>
              </c:pt>
              <c:pt idx="18">
                <c:v>62.41</c:v>
              </c:pt>
              <c:pt idx="19">
                <c:v>63.202500000000001</c:v>
              </c:pt>
              <c:pt idx="20">
                <c:v>64</c:v>
              </c:pt>
              <c:pt idx="21">
                <c:v>64.802499999999995</c:v>
              </c:pt>
              <c:pt idx="22">
                <c:v>65.61</c:v>
              </c:pt>
              <c:pt idx="23">
                <c:v>66.422499999999999</c:v>
              </c:pt>
              <c:pt idx="24">
                <c:v>67.239999999999995</c:v>
              </c:pt>
              <c:pt idx="25">
                <c:v>68.0625</c:v>
              </c:pt>
              <c:pt idx="26">
                <c:v>68.89</c:v>
              </c:pt>
              <c:pt idx="27">
                <c:v>69.722499999999997</c:v>
              </c:pt>
              <c:pt idx="28">
                <c:v>70.56</c:v>
              </c:pt>
              <c:pt idx="29">
                <c:v>71.402500000000003</c:v>
              </c:pt>
              <c:pt idx="30">
                <c:v>72.25</c:v>
              </c:pt>
              <c:pt idx="31">
                <c:v>73.102500000000006</c:v>
              </c:pt>
              <c:pt idx="32">
                <c:v>73.959999999999994</c:v>
              </c:pt>
              <c:pt idx="33">
                <c:v>74.822500000000005</c:v>
              </c:pt>
              <c:pt idx="34">
                <c:v>75.69</c:v>
              </c:pt>
              <c:pt idx="35">
                <c:v>76.5625</c:v>
              </c:pt>
              <c:pt idx="36">
                <c:v>77.44</c:v>
              </c:pt>
              <c:pt idx="37">
                <c:v>78.322500000000005</c:v>
              </c:pt>
              <c:pt idx="38">
                <c:v>79.209999999999994</c:v>
              </c:pt>
              <c:pt idx="39">
                <c:v>80.102500000000006</c:v>
              </c:pt>
              <c:pt idx="40">
                <c:v>81</c:v>
              </c:pt>
              <c:pt idx="41">
                <c:v>81.902500000000003</c:v>
              </c:pt>
              <c:pt idx="42">
                <c:v>82.81</c:v>
              </c:pt>
              <c:pt idx="43">
                <c:v>83.722499999999997</c:v>
              </c:pt>
              <c:pt idx="44">
                <c:v>84.64</c:v>
              </c:pt>
              <c:pt idx="45">
                <c:v>85.5625</c:v>
              </c:pt>
              <c:pt idx="46">
                <c:v>86.49</c:v>
              </c:pt>
              <c:pt idx="47">
                <c:v>87.422499999999999</c:v>
              </c:pt>
              <c:pt idx="48">
                <c:v>88.36</c:v>
              </c:pt>
              <c:pt idx="49">
                <c:v>89.302499999999995</c:v>
              </c:pt>
              <c:pt idx="50">
                <c:v>90.25</c:v>
              </c:pt>
              <c:pt idx="51">
                <c:v>91.202500000000001</c:v>
              </c:pt>
              <c:pt idx="52">
                <c:v>92.16</c:v>
              </c:pt>
              <c:pt idx="53">
                <c:v>93.122500000000002</c:v>
              </c:pt>
              <c:pt idx="54">
                <c:v>94.09</c:v>
              </c:pt>
              <c:pt idx="55">
                <c:v>95.0625</c:v>
              </c:pt>
              <c:pt idx="56">
                <c:v>96.04</c:v>
              </c:pt>
              <c:pt idx="57">
                <c:v>97.022499999999994</c:v>
              </c:pt>
              <c:pt idx="58">
                <c:v>98.01</c:v>
              </c:pt>
              <c:pt idx="59">
                <c:v>99.002499999999998</c:v>
              </c:pt>
              <c:pt idx="60">
                <c:v>100</c:v>
              </c:pt>
              <c:pt idx="61">
                <c:v>101.0025</c:v>
              </c:pt>
              <c:pt idx="62">
                <c:v>102.01</c:v>
              </c:pt>
              <c:pt idx="63">
                <c:v>103.02249999999999</c:v>
              </c:pt>
              <c:pt idx="64">
                <c:v>104.04</c:v>
              </c:pt>
              <c:pt idx="65">
                <c:v>105.0625</c:v>
              </c:pt>
            </c:numLit>
          </c:val>
          <c:extLst>
            <c:ext xmlns:c16="http://schemas.microsoft.com/office/drawing/2014/chart" uri="{C3380CC4-5D6E-409C-BE32-E72D297353CC}">
              <c16:uniqueId val="{00000004-816D-475B-B1EA-FDA8134354AB}"/>
            </c:ext>
          </c:extLst>
        </c:ser>
        <c:ser>
          <c:idx val="0"/>
          <c:order val="5"/>
          <c:tx>
            <c:v>20</c:v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39</c:v>
              </c:pt>
              <c:pt idx="1">
                <c:v>39.762</c:v>
              </c:pt>
              <c:pt idx="2">
                <c:v>40.328000000000003</c:v>
              </c:pt>
              <c:pt idx="3">
                <c:v>40.898000000000003</c:v>
              </c:pt>
              <c:pt idx="4">
                <c:v>41.472000000000001</c:v>
              </c:pt>
              <c:pt idx="5">
                <c:v>42.05</c:v>
              </c:pt>
              <c:pt idx="6">
                <c:v>42.631999999999998</c:v>
              </c:pt>
              <c:pt idx="7">
                <c:v>43.218000000000004</c:v>
              </c:pt>
              <c:pt idx="8">
                <c:v>43.808</c:v>
              </c:pt>
              <c:pt idx="9">
                <c:v>44.402000000000001</c:v>
              </c:pt>
              <c:pt idx="10">
                <c:v>45</c:v>
              </c:pt>
              <c:pt idx="11">
                <c:v>45.601999999999997</c:v>
              </c:pt>
              <c:pt idx="12">
                <c:v>46.207999999999998</c:v>
              </c:pt>
              <c:pt idx="13">
                <c:v>46.817999999999998</c:v>
              </c:pt>
              <c:pt idx="14">
                <c:v>47.432000000000002</c:v>
              </c:pt>
              <c:pt idx="15">
                <c:v>48.05</c:v>
              </c:pt>
              <c:pt idx="16">
                <c:v>48.671999999999997</c:v>
              </c:pt>
              <c:pt idx="17">
                <c:v>49.298000000000002</c:v>
              </c:pt>
              <c:pt idx="18">
                <c:v>49.927999999999997</c:v>
              </c:pt>
              <c:pt idx="19">
                <c:v>50.561999999999998</c:v>
              </c:pt>
              <c:pt idx="20">
                <c:v>51.2</c:v>
              </c:pt>
              <c:pt idx="21">
                <c:v>51.841999999999999</c:v>
              </c:pt>
              <c:pt idx="22">
                <c:v>52.488</c:v>
              </c:pt>
              <c:pt idx="23">
                <c:v>53.137999999999998</c:v>
              </c:pt>
              <c:pt idx="24">
                <c:v>53.792000000000002</c:v>
              </c:pt>
              <c:pt idx="25">
                <c:v>54.45</c:v>
              </c:pt>
              <c:pt idx="26">
                <c:v>55.112000000000002</c:v>
              </c:pt>
              <c:pt idx="27">
                <c:v>55.777999999999999</c:v>
              </c:pt>
              <c:pt idx="28">
                <c:v>56.448</c:v>
              </c:pt>
              <c:pt idx="29">
                <c:v>57.122</c:v>
              </c:pt>
              <c:pt idx="30">
                <c:v>57.8</c:v>
              </c:pt>
              <c:pt idx="31">
                <c:v>58.481999999999999</c:v>
              </c:pt>
              <c:pt idx="32">
                <c:v>59.167999999999999</c:v>
              </c:pt>
              <c:pt idx="33">
                <c:v>59.857999999999997</c:v>
              </c:pt>
              <c:pt idx="34">
                <c:v>60.552</c:v>
              </c:pt>
              <c:pt idx="35">
                <c:v>61.25</c:v>
              </c:pt>
              <c:pt idx="36">
                <c:v>61.951999999999998</c:v>
              </c:pt>
              <c:pt idx="37">
                <c:v>62.658000000000001</c:v>
              </c:pt>
              <c:pt idx="38">
                <c:v>63.368000000000002</c:v>
              </c:pt>
              <c:pt idx="39">
                <c:v>64.081999999999994</c:v>
              </c:pt>
              <c:pt idx="40">
                <c:v>64.8</c:v>
              </c:pt>
              <c:pt idx="41">
                <c:v>65.522000000000006</c:v>
              </c:pt>
              <c:pt idx="42">
                <c:v>66.248000000000005</c:v>
              </c:pt>
              <c:pt idx="43">
                <c:v>66.977999999999994</c:v>
              </c:pt>
              <c:pt idx="44">
                <c:v>67.712000000000003</c:v>
              </c:pt>
              <c:pt idx="45">
                <c:v>68.45</c:v>
              </c:pt>
              <c:pt idx="46">
                <c:v>69.191999999999993</c:v>
              </c:pt>
              <c:pt idx="47">
                <c:v>69.938000000000002</c:v>
              </c:pt>
              <c:pt idx="48">
                <c:v>70.688000000000002</c:v>
              </c:pt>
              <c:pt idx="49">
                <c:v>71.441999999999993</c:v>
              </c:pt>
              <c:pt idx="50">
                <c:v>72.2</c:v>
              </c:pt>
              <c:pt idx="51">
                <c:v>72.962000000000003</c:v>
              </c:pt>
              <c:pt idx="52">
                <c:v>73.727999999999994</c:v>
              </c:pt>
              <c:pt idx="53">
                <c:v>74.498000000000005</c:v>
              </c:pt>
              <c:pt idx="54">
                <c:v>75.272000000000006</c:v>
              </c:pt>
              <c:pt idx="55">
                <c:v>76.05</c:v>
              </c:pt>
              <c:pt idx="56">
                <c:v>76.831999999999994</c:v>
              </c:pt>
              <c:pt idx="57">
                <c:v>77.617999999999995</c:v>
              </c:pt>
              <c:pt idx="58">
                <c:v>78.408000000000001</c:v>
              </c:pt>
              <c:pt idx="59">
                <c:v>79.201999999999998</c:v>
              </c:pt>
              <c:pt idx="60">
                <c:v>80</c:v>
              </c:pt>
              <c:pt idx="61">
                <c:v>80.802000000000007</c:v>
              </c:pt>
              <c:pt idx="62">
                <c:v>81.608000000000004</c:v>
              </c:pt>
              <c:pt idx="63">
                <c:v>82.418000000000006</c:v>
              </c:pt>
              <c:pt idx="64">
                <c:v>83.231999999999999</c:v>
              </c:pt>
              <c:pt idx="65">
                <c:v>84.05</c:v>
              </c:pt>
            </c:numLit>
          </c:val>
          <c:extLst>
            <c:ext xmlns:c16="http://schemas.microsoft.com/office/drawing/2014/chart" uri="{C3380CC4-5D6E-409C-BE32-E72D297353CC}">
              <c16:uniqueId val="{00000005-816D-475B-B1EA-FDA813435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84224"/>
        <c:axId val="109639152"/>
      </c:areaChart>
      <c:lineChart>
        <c:grouping val="stacked"/>
        <c:varyColors val="0"/>
        <c:ser>
          <c:idx val="6"/>
          <c:order val="6"/>
          <c:tx>
            <c:strRef>
              <c:f>Stats_Tables!$U$4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innerShdw blurRad="63500" dist="50800" dir="13500000">
                <a:prstClr val="black"/>
              </a:innerShdw>
              <a:softEdge rad="38100"/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15000"/>
                      <a:satMod val="180000"/>
                    </a:schemeClr>
                  </a:gs>
                  <a:gs pos="50000">
                    <a:schemeClr val="accent1">
                      <a:lumMod val="60000"/>
                      <a:shade val="45000"/>
                      <a:satMod val="170000"/>
                    </a:schemeClr>
                  </a:gs>
                  <a:gs pos="70000">
                    <a:schemeClr val="accent1">
                      <a:lumMod val="60000"/>
                      <a:tint val="99000"/>
                      <a:shade val="65000"/>
                      <a:satMod val="155000"/>
                    </a:schemeClr>
                  </a:gs>
                  <a:gs pos="100000">
                    <a:schemeClr val="accent1">
                      <a:lumMod val="60000"/>
                      <a:tint val="95500"/>
                      <a:shade val="100000"/>
                      <a:satMod val="155000"/>
                    </a:schemeClr>
                  </a:gs>
                </a:gsLst>
                <a:lin ang="162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innerShdw blurRad="63500" dist="50800" dir="13500000">
                  <a:prstClr val="black"/>
                </a:innerShdw>
                <a:softEdge rad="38100"/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</c:marker>
          <c:dPt>
            <c:idx val="3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lumMod val="60000"/>
                        <a:shade val="15000"/>
                        <a:satMod val="180000"/>
                      </a:schemeClr>
                    </a:gs>
                    <a:gs pos="50000">
                      <a:schemeClr val="accent1">
                        <a:lumMod val="60000"/>
                        <a:shade val="45000"/>
                        <a:satMod val="170000"/>
                      </a:schemeClr>
                    </a:gs>
                    <a:gs pos="70000">
                      <a:schemeClr val="accent1">
                        <a:lumMod val="60000"/>
                        <a:tint val="99000"/>
                        <a:shade val="65000"/>
                        <a:satMod val="155000"/>
                      </a:schemeClr>
                    </a:gs>
                    <a:gs pos="100000">
                      <a:schemeClr val="accent1">
                        <a:lumMod val="60000"/>
                        <a:tint val="95500"/>
                        <a:shade val="100000"/>
                        <a:satMod val="15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glow rad="635000">
                    <a:schemeClr val="accent5">
                      <a:satMod val="175000"/>
                    </a:schemeClr>
                  </a:glow>
                  <a:innerShdw blurRad="63500" dist="50800" dir="13500000">
                    <a:prstClr val="black"/>
                  </a:innerShdw>
                  <a:softEdge rad="38100"/>
                </a:effectLst>
                <a:scene3d>
                  <a:camera prst="orthographicFront"/>
                  <a:lightRig rig="freezing" dir="t">
                    <a:rot lat="0" lon="0" rev="6600000"/>
                  </a:lightRig>
                </a:scene3d>
                <a:sp3d prstMaterial="dkEdge">
                  <a:bevelT w="95250" h="101600"/>
                  <a:bevelB/>
                  <a:contourClr>
                    <a:srgbClr val="000000"/>
                  </a:contourClr>
                </a:sp3d>
              </c:spPr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>
                <a:glow rad="635000">
                  <a:schemeClr val="accent5">
                    <a:satMod val="175000"/>
                  </a:schemeClr>
                </a:glow>
                <a:innerShdw blurRad="63500" dist="50800" dir="13500000">
                  <a:prstClr val="black"/>
                </a:innerShdw>
                <a:softEdge rad="38100"/>
              </a:effectLst>
            </c:spPr>
            <c:extLst>
              <c:ext xmlns:c16="http://schemas.microsoft.com/office/drawing/2014/chart" uri="{C3380CC4-5D6E-409C-BE32-E72D297353CC}">
                <c16:uniqueId val="{00000001-6E41-48D7-B08C-5D34B96D3DC1}"/>
              </c:ext>
            </c:extLst>
          </c:dPt>
          <c:val>
            <c:numRef>
              <c:f>Stats_Tables!$U$4:$U$70</c:f>
              <c:numCache>
                <c:formatCode>0.0"kg"</c:formatCode>
                <c:ptCount val="67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BB-45AE-9AA3-9C3EB3B44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684224"/>
        <c:axId val="109639152"/>
      </c:lineChart>
      <c:catAx>
        <c:axId val="1091684224"/>
        <c:scaling>
          <c:orientation val="minMax"/>
        </c:scaling>
        <c:delete val="0"/>
        <c:axPos val="b"/>
        <c:numFmt formatCode="0&quot;cm&quot;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36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39152"/>
        <c:crosses val="autoZero"/>
        <c:auto val="0"/>
        <c:lblAlgn val="ctr"/>
        <c:lblOffset val="100"/>
        <c:tickLblSkip val="2"/>
        <c:noMultiLvlLbl val="0"/>
      </c:catAx>
      <c:valAx>
        <c:axId val="109639152"/>
        <c:scaling>
          <c:orientation val="minMax"/>
          <c:max val="250"/>
          <c:min val="4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&quot;kg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84224"/>
        <c:crosses val="autoZero"/>
        <c:crossBetween val="midCat"/>
        <c:majorUnit val="10"/>
        <c:minorUnit val="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chart" Target="../charts/chart1.xml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13</xdr:row>
      <xdr:rowOff>28575</xdr:rowOff>
    </xdr:from>
    <xdr:to>
      <xdr:col>6</xdr:col>
      <xdr:colOff>685800</xdr:colOff>
      <xdr:row>14</xdr:row>
      <xdr:rowOff>171450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BE32A98-37D8-A855-A1BA-A2DA6D49D294}"/>
            </a:ext>
          </a:extLst>
        </xdr:cNvPr>
        <xdr:cNvSpPr/>
      </xdr:nvSpPr>
      <xdr:spPr>
        <a:xfrm>
          <a:off x="3543300" y="3076575"/>
          <a:ext cx="1876425" cy="333375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>
              <a:latin typeface="+mj-lt"/>
            </a:rPr>
            <a:t>submit</a:t>
          </a:r>
          <a:endParaRPr lang="en-GB" sz="1100">
            <a:latin typeface="+mj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9</xdr:row>
      <xdr:rowOff>171450</xdr:rowOff>
    </xdr:from>
    <xdr:to>
      <xdr:col>22</xdr:col>
      <xdr:colOff>27516</xdr:colOff>
      <xdr:row>32</xdr:row>
      <xdr:rowOff>85725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7D19E9E-272B-E5E0-1176-3934748B2825}"/>
            </a:ext>
          </a:extLst>
        </xdr:cNvPr>
        <xdr:cNvGrpSpPr/>
      </xdr:nvGrpSpPr>
      <xdr:grpSpPr>
        <a:xfrm>
          <a:off x="7374890" y="405130"/>
          <a:ext cx="6693746" cy="4902835"/>
          <a:chOff x="266701" y="8142854"/>
          <a:chExt cx="7134224" cy="4163446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9F57A4BC-0C4E-4CC8-79CA-C9ED9F81E7EA}"/>
              </a:ext>
            </a:extLst>
          </xdr:cNvPr>
          <xdr:cNvSpPr/>
        </xdr:nvSpPr>
        <xdr:spPr>
          <a:xfrm>
            <a:off x="886737" y="8303885"/>
            <a:ext cx="6181724" cy="2783681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>
              <a:latin typeface="UBG88 Font" panose="020B0300030004020804" pitchFamily="34" charset="0"/>
            </a:endParaRPr>
          </a:p>
        </xdr:txBody>
      </xdr:sp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52CFFE41-6918-4CDA-9F20-EFE7B5944A1F}"/>
              </a:ext>
            </a:extLst>
          </xdr:cNvPr>
          <xdr:cNvGraphicFramePr>
            <a:graphicFrameLocks/>
          </xdr:cNvGraphicFramePr>
        </xdr:nvGraphicFramePr>
        <xdr:xfrm>
          <a:off x="266701" y="8142854"/>
          <a:ext cx="7134224" cy="41634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28576</xdr:colOff>
          <xdr:row>14</xdr:row>
          <xdr:rowOff>9526</xdr:rowOff>
        </xdr:from>
        <xdr:to>
          <xdr:col>8</xdr:col>
          <xdr:colOff>1962</xdr:colOff>
          <xdr:row>23</xdr:row>
          <xdr:rowOff>29308</xdr:rowOff>
        </xdr:to>
        <xdr:pic>
          <xdr:nvPicPr>
            <xdr:cNvPr id="6775" name="Picture 945">
              <a:extLst>
                <a:ext uri="{FF2B5EF4-FFF2-40B4-BE49-F238E27FC236}">
                  <a16:creationId xmlns:a16="http://schemas.microsoft.com/office/drawing/2014/main" id="{BAF239F2-83B5-3EDC-7BEF-14CF7C82B8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546"/>
                </a:ext>
              </a:extLst>
            </xdr:cNvPicPr>
          </xdr:nvPicPr>
          <xdr:blipFill>
            <a:blip xmlns:r="http://schemas.openxmlformats.org/officeDocument/2006/relationships" r:embed="rId2"/>
            <a:srcRect l="3059" r="7835"/>
            <a:stretch>
              <a:fillRect/>
            </a:stretch>
          </xdr:blipFill>
          <xdr:spPr bwMode="auto">
            <a:xfrm>
              <a:off x="4286251" y="3086101"/>
              <a:ext cx="1535486" cy="1867632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  <xdr:twoCellAnchor>
    <xdr:from>
      <xdr:col>8</xdr:col>
      <xdr:colOff>44303</xdr:colOff>
      <xdr:row>25</xdr:row>
      <xdr:rowOff>177207</xdr:rowOff>
    </xdr:from>
    <xdr:to>
      <xdr:col>11</xdr:col>
      <xdr:colOff>874971</xdr:colOff>
      <xdr:row>32</xdr:row>
      <xdr:rowOff>199644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E39A4C8F-0A23-48FB-BFA5-4549EF0A1EB3}"/>
            </a:ext>
          </a:extLst>
        </xdr:cNvPr>
        <xdr:cNvGrpSpPr/>
      </xdr:nvGrpSpPr>
      <xdr:grpSpPr>
        <a:xfrm>
          <a:off x="4616303" y="3865287"/>
          <a:ext cx="2740748" cy="1556597"/>
          <a:chOff x="6371033" y="4075719"/>
          <a:chExt cx="3329717" cy="1765455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51CD408C-62B5-26FD-D3BE-5B5EEC4F9E2C}"/>
              </a:ext>
            </a:extLst>
          </xdr:cNvPr>
          <xdr:cNvSpPr/>
        </xdr:nvSpPr>
        <xdr:spPr>
          <a:xfrm>
            <a:off x="6729322" y="4075719"/>
            <a:ext cx="2971428" cy="1765455"/>
          </a:xfrm>
          <a:prstGeom prst="roundRect">
            <a:avLst>
              <a:gd name="adj" fmla="val 15446"/>
            </a:avLst>
          </a:prstGeom>
          <a:ln>
            <a:solidFill>
              <a:srgbClr val="9A03FF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lIns="360000" rtlCol="0" anchor="t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0" i="0" cap="none" spc="0">
                <a:ln w="0"/>
                <a:solidFill>
                  <a:srgbClr val="9A03FF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rPr>
              <a:t>The general guidance is that a waist-to-height ratio between 0.41 and 0.49 is considered healthy. It may suggest that you're underweight if it's below 0.4. On the other hand, values exceeding 0.5 indicate a greater probability of health issues related to excess body weight.</a:t>
            </a:r>
            <a:endParaRPr lang="en-GB" sz="1100" b="0" cap="none" spc="0">
              <a:ln w="0"/>
              <a:solidFill>
                <a:srgbClr val="9A03FF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AAD1D60A-2C5F-8091-24CC-932858F53C68}"/>
              </a:ext>
            </a:extLst>
          </xdr:cNvPr>
          <xdr:cNvSpPr/>
        </xdr:nvSpPr>
        <xdr:spPr>
          <a:xfrm>
            <a:off x="6371033" y="4091235"/>
            <a:ext cx="635284" cy="1671732"/>
          </a:xfrm>
          <a:prstGeom prst="roundRect">
            <a:avLst>
              <a:gd name="adj" fmla="val 45590"/>
            </a:avLst>
          </a:prstGeom>
          <a:ln>
            <a:solidFill>
              <a:srgbClr val="9A03FF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vert270" wrap="square" rtlCol="0" anchor="ctr">
            <a:noAutofit/>
          </a:bodyPr>
          <a:lstStyle/>
          <a:p>
            <a:pPr algn="ctr"/>
            <a: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  <a:t>Waist-To</a:t>
            </a:r>
            <a:b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</a:br>
            <a: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  <a:t>-Height-Ratio</a:t>
            </a:r>
            <a:endParaRPr lang="en-GB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endParaRPr>
          </a:p>
        </xdr:txBody>
      </xdr:sp>
    </xdr:grpSp>
    <xdr:clientData/>
  </xdr:twoCellAnchor>
  <xdr:oneCellAnchor>
    <xdr:from>
      <xdr:col>7</xdr:col>
      <xdr:colOff>746729</xdr:colOff>
      <xdr:row>8</xdr:row>
      <xdr:rowOff>199362</xdr:rowOff>
    </xdr:from>
    <xdr:ext cx="3198834" cy="1749942"/>
    <xdr:grpSp>
      <xdr:nvGrpSpPr>
        <xdr:cNvPr id="12" name="Group 11">
          <a:extLst>
            <a:ext uri="{FF2B5EF4-FFF2-40B4-BE49-F238E27FC236}">
              <a16:creationId xmlns:a16="http://schemas.microsoft.com/office/drawing/2014/main" id="{B0B72E96-A959-6351-35FC-E69DD27CB2E0}"/>
            </a:ext>
          </a:extLst>
        </xdr:cNvPr>
        <xdr:cNvGrpSpPr/>
      </xdr:nvGrpSpPr>
      <xdr:grpSpPr>
        <a:xfrm>
          <a:off x="4571969" y="199362"/>
          <a:ext cx="3198834" cy="1749942"/>
          <a:chOff x="5850972" y="4081824"/>
          <a:chExt cx="2348151" cy="2819749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4CE24332-8ABA-F1C6-31EA-3231EF8DD9A2}"/>
              </a:ext>
            </a:extLst>
          </xdr:cNvPr>
          <xdr:cNvSpPr/>
        </xdr:nvSpPr>
        <xdr:spPr>
          <a:xfrm>
            <a:off x="5908626" y="4081824"/>
            <a:ext cx="2290497" cy="2819749"/>
          </a:xfrm>
          <a:prstGeom prst="round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lIns="396000" rtlCol="0" anchor="t">
            <a:no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BMR Definition:</a:t>
            </a:r>
            <a:r>
              <a:rPr lang="en-GB" sz="100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Your Basal Metabolic Rate (BMR) is the number of calories you burn as your body performs basic (basal) life-sustaining functions, an example of BASE BMR is the calories burned if you stayed in bed and didn't do any</a:t>
            </a:r>
            <a:r>
              <a:rPr lang="en-GB" sz="1000" b="1" i="0" baseline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movement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all day.</a:t>
            </a:r>
            <a:r>
              <a:rPr lang="en-GB" sz="100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Commonly also known as Resting Metabolic Rate (RMR). </a:t>
            </a:r>
            <a:endParaRPr lang="en-GB" sz="1000">
              <a:solidFill>
                <a:schemeClr val="accent5"/>
              </a:solidFill>
              <a:effectLst/>
              <a:latin typeface="+mn-lt"/>
            </a:endParaRPr>
          </a:p>
          <a:p>
            <a:pPr algn="l"/>
            <a:endParaRPr lang="en-GB" sz="1100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2F3D2E9-744D-FCD4-19DB-F6F14E104D85}"/>
              </a:ext>
            </a:extLst>
          </xdr:cNvPr>
          <xdr:cNvSpPr/>
        </xdr:nvSpPr>
        <xdr:spPr>
          <a:xfrm>
            <a:off x="5850972" y="4552044"/>
            <a:ext cx="402416" cy="2060809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vert="vert270" rtlCol="0" anchor="ctr">
            <a:spAutoFit/>
          </a:bodyPr>
          <a:lstStyle/>
          <a:p>
            <a:pPr algn="ctr"/>
            <a:r>
              <a:rPr lang="en-GB" sz="1600">
                <a:effectLst>
                  <a:reflection stA="45000" endPos="1000" dist="50800" dir="5400000" sy="-100000" algn="bl" rotWithShape="0"/>
                </a:effectLst>
                <a:latin typeface="+mj-lt"/>
              </a:rPr>
              <a:t>BMr</a:t>
            </a:r>
            <a:endParaRPr lang="en-GB" sz="1100">
              <a:effectLst>
                <a:reflection stA="45000" endPos="1000" dist="50800" dir="5400000" sy="-100000" algn="bl" rotWithShape="0"/>
              </a:effectLst>
              <a:latin typeface="+mj-lt"/>
            </a:endParaRPr>
          </a:p>
        </xdr:txBody>
      </xdr:sp>
    </xdr:grpSp>
    <xdr:clientData/>
  </xdr:oneCellAnchor>
  <xdr:twoCellAnchor>
    <xdr:from>
      <xdr:col>8</xdr:col>
      <xdr:colOff>2922</xdr:colOff>
      <xdr:row>17</xdr:row>
      <xdr:rowOff>132907</xdr:rowOff>
    </xdr:from>
    <xdr:to>
      <xdr:col>11</xdr:col>
      <xdr:colOff>786367</xdr:colOff>
      <xdr:row>25</xdr:row>
      <xdr:rowOff>113250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E16B3674-A954-4CC4-9358-5E4F61F2B523}"/>
            </a:ext>
          </a:extLst>
        </xdr:cNvPr>
        <xdr:cNvGrpSpPr/>
      </xdr:nvGrpSpPr>
      <xdr:grpSpPr>
        <a:xfrm>
          <a:off x="4574922" y="2053147"/>
          <a:ext cx="2782425" cy="1748183"/>
          <a:chOff x="6016303" y="4469502"/>
          <a:chExt cx="3300574" cy="1633247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A522F84F-3269-0593-2EB3-6CF3F452D2FF}"/>
              </a:ext>
            </a:extLst>
          </xdr:cNvPr>
          <xdr:cNvSpPr/>
        </xdr:nvSpPr>
        <xdr:spPr>
          <a:xfrm>
            <a:off x="6187338" y="4469502"/>
            <a:ext cx="3129539" cy="1633247"/>
          </a:xfrm>
          <a:prstGeom prst="round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lIns="396000" rtlCol="0" anchor="t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0" i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rPr>
              <a:t>The limitation of BMI is that this measurement does not distinguish fat from muscle. According to some research, more than half of Americans have a normal BMI but a high body fat percentage, which is known as normal weight obesity. A person who has normal weight obesity is just as unhealthy as someone with a high BMI.</a:t>
            </a:r>
            <a:endParaRPr lang="en-GB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5BAF7EBA-B9EC-C595-A9DF-6E6A2EE174FC}"/>
              </a:ext>
            </a:extLst>
          </xdr:cNvPr>
          <xdr:cNvSpPr/>
        </xdr:nvSpPr>
        <xdr:spPr>
          <a:xfrm>
            <a:off x="6016303" y="4544601"/>
            <a:ext cx="479723" cy="1449155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vert="vert270" wrap="square" rtlCol="0" anchor="ctr">
            <a:spAutoFit/>
          </a:bodyPr>
          <a:lstStyle/>
          <a:p>
            <a:pPr algn="ctr"/>
            <a:r>
              <a:rPr lang="en-GB" sz="1200">
                <a:effectLst>
                  <a:reflection stA="45000" endPos="1000" dist="50800" dir="5400000" sy="-100000" algn="bl" rotWithShape="0"/>
                </a:effectLst>
                <a:latin typeface="+mj-lt"/>
              </a:rPr>
              <a:t>BMI LIMITS</a:t>
            </a:r>
            <a:endParaRPr lang="en-GB" sz="1000">
              <a:effectLst>
                <a:reflection stA="45000" endPos="1000" dist="50800" dir="5400000" sy="-100000" algn="bl" rotWithShape="0"/>
              </a:effectLst>
              <a:latin typeface="+mj-lt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</xdr:colOff>
          <xdr:row>14</xdr:row>
          <xdr:rowOff>9525</xdr:rowOff>
        </xdr:from>
        <xdr:to>
          <xdr:col>8</xdr:col>
          <xdr:colOff>0</xdr:colOff>
          <xdr:row>23</xdr:row>
          <xdr:rowOff>28575</xdr:rowOff>
        </xdr:to>
        <xdr:pic>
          <xdr:nvPicPr>
            <xdr:cNvPr id="10752" name="Picture 945">
              <a:extLst>
                <a:ext uri="{FF2B5EF4-FFF2-40B4-BE49-F238E27FC236}">
                  <a16:creationId xmlns:a16="http://schemas.microsoft.com/office/drawing/2014/main" id="{A4CA2ADA-709B-EEB8-7861-AFD9EBD59BF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547"/>
                </a:ext>
              </a:extLst>
            </xdr:cNvPicPr>
          </xdr:nvPicPr>
          <xdr:blipFill>
            <a:blip xmlns:r="http://schemas.openxmlformats.org/officeDocument/2006/relationships" r:embed="rId3"/>
            <a:srcRect l="3059" r="7835"/>
            <a:stretch>
              <a:fillRect/>
            </a:stretch>
          </xdr:blipFill>
          <xdr:spPr bwMode="auto">
            <a:xfrm>
              <a:off x="3762375" y="2933700"/>
              <a:ext cx="1619250" cy="1914525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</xdr:colOff>
          <xdr:row>14</xdr:row>
          <xdr:rowOff>9525</xdr:rowOff>
        </xdr:from>
        <xdr:to>
          <xdr:col>8</xdr:col>
          <xdr:colOff>0</xdr:colOff>
          <xdr:row>23</xdr:row>
          <xdr:rowOff>28575</xdr:rowOff>
        </xdr:to>
        <xdr:pic>
          <xdr:nvPicPr>
            <xdr:cNvPr id="10786" name="Picture 2594">
              <a:extLst>
                <a:ext uri="{FF2B5EF4-FFF2-40B4-BE49-F238E27FC236}">
                  <a16:creationId xmlns:a16="http://schemas.microsoft.com/office/drawing/2014/main" id="{1A673F3E-F938-D0D8-0FA3-7D211EA190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548"/>
                </a:ext>
              </a:extLst>
            </xdr:cNvPicPr>
          </xdr:nvPicPr>
          <xdr:blipFill>
            <a:blip xmlns:r="http://schemas.openxmlformats.org/officeDocument/2006/relationships" r:embed="rId4"/>
            <a:srcRect l="3059" r="7835"/>
            <a:stretch>
              <a:fillRect/>
            </a:stretch>
          </xdr:blipFill>
          <xdr:spPr bwMode="auto">
            <a:xfrm>
              <a:off x="3011598" y="1264758"/>
              <a:ext cx="1300495" cy="1997887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158748</xdr:colOff>
          <xdr:row>2</xdr:row>
          <xdr:rowOff>72159</xdr:rowOff>
        </xdr:from>
        <xdr:to>
          <xdr:col>11</xdr:col>
          <xdr:colOff>1463386</xdr:colOff>
          <xdr:row>3</xdr:row>
          <xdr:rowOff>43295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DC3DE5AB-D727-AB82-D677-251ACE8BE14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icture" spid="_x0000_s4842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08407" y="447386"/>
              <a:ext cx="1746251" cy="301625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  <v>A person's body in underwear
Description automatically generated</v>
  </rv>
  <rv s="1">
    <v>1</v>
    <v>5</v>
  </rv>
  <rv s="1">
    <v>2</v>
    <v>5</v>
  </rv>
  <rv s="1">
    <v>3</v>
    <v>5</v>
  </rv>
  <rv s="0">
    <v>4</v>
    <v>5</v>
    <v>A person in underwear with his hands on his hips
Description automatically generated</v>
  </rv>
  <rv s="1">
    <v>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465960-4097-48F0-B602-2BE93E365F0C}" name="Table2" displayName="Table2" ref="W4:AN58" totalsRowShown="0" headerRowDxfId="59" dataDxfId="57" headerRowBorderDxfId="58" tableBorderDxfId="56" totalsRowBorderDxfId="55">
  <autoFilter ref="W4:AN58" xr:uid="{84465960-4097-48F0-B602-2BE93E365F0C}"/>
  <tableColumns count="18">
    <tableColumn id="1" xr3:uid="{38AEB198-432A-41EA-9AC0-13CC429A841B}" name="Calories_x000a_Consumed_x000a_X 7 DAYS" dataDxfId="54">
      <calculatedColumnFormula>SUM(Weight_Calculator!#REF!*$AM5)</calculatedColumnFormula>
    </tableColumn>
    <tableColumn id="2" xr3:uid="{0A3B4F9D-5A11-404E-9A2E-E59E8F24EB4E}" name="True_x000a_BMR_x000a_X7" dataDxfId="53">
      <calculatedColumnFormula>SUM(Weight_Calculator!$F$20*$AM5)</calculatedColumnFormula>
    </tableColumn>
    <tableColumn id="3" xr3:uid="{F2FA9AC2-1A4D-4EDE-A590-0F6AA3D7D143}" name="Consumed_x000a_- BMR" dataDxfId="52">
      <calculatedColumnFormula>SUM(W5-X5)</calculatedColumnFormula>
    </tableColumn>
    <tableColumn id="4" xr3:uid="{E869E921-8A7F-49AE-B2B6-51454EED9A22}" name="7 Day_x000a_Change" dataDxfId="51">
      <calculatedColumnFormula>SUM(Y5/7700)</calculatedColumnFormula>
    </tableColumn>
    <tableColumn id="10" xr3:uid="{A3A99A32-5B26-4F5B-A49F-C384804AEEDB}" name="Weight_x000a_Projection_x000a_Kg" dataDxfId="50" dataCellStyle="Calculation">
      <calculatedColumnFormula>SUM(Weight_Calculator!$E$18,Table2[[#This Row],[7 Day
Change]])</calculatedColumnFormula>
    </tableColumn>
    <tableColumn id="20" xr3:uid="{B97EC644-20C8-4418-BF2C-2974CDFEC406}" name="Adjuste pounds" dataDxfId="49" dataCellStyle="Calculation">
      <calculatedColumnFormula>CONCATENATE(ROUND(CONVERT($AL5,"kg","lbm"),0),"lbs")</calculatedColumnFormula>
    </tableColumn>
    <tableColumn id="5" xr3:uid="{B0785AF0-8E3A-4E1E-84C8-CF803C34C96E}" name="Adjusted_x000a_ Projection_x000a_Stone" dataDxfId="48" dataCellStyle="Calculation">
      <calculatedColumnFormula>CONCATENATE(ROUNDDOWN($AD5/14,0),"st ",TEXT(MOD($AD5,14),"#0"),"lbs")</calculatedColumnFormula>
    </tableColumn>
    <tableColumn id="13" xr3:uid="{6796C5A8-1851-4426-A1A7-02B764C51FC8}" name="Adjusted_x000a_Projection_x000a_lb" dataDxfId="47" dataCellStyle="Calculation">
      <calculatedColumnFormula>CONVERT($AL5,"kg","lbm")</calculatedColumnFormula>
    </tableColumn>
    <tableColumn id="14" xr3:uid="{D80986FE-D713-4872-9575-1619817EA8AA}" name="Adjusted_x000a_Projected_x000a_BMI" dataDxfId="46" dataCellStyle="Calculation">
      <calculatedColumnFormula>+$AL5/(Weight_Calculator!$E$17*(Weight_Calculator!$E$17/10000))</calculatedColumnFormula>
    </tableColumn>
    <tableColumn id="15" xr3:uid="{FBD76BBD-F369-4072-BC74-58266D2396AB}" name="Adjusted_x000a_Projected_x000a_BMR" dataDxfId="45" dataCellStyle="Calculation">
      <calculatedColumnFormula>SUM(66.5+(13.75*$AA5)+(5.003*Weight_Calculator!$E$17)-(6.75*Weight_Calculator!$D$4))</calculatedColumnFormula>
    </tableColumn>
    <tableColumn id="11" xr3:uid="{7414462F-B20E-4ED1-A5FC-7FB1C770B010}" name="Adjusted_x000a_True BMR_x000a_Excecise " dataDxfId="44" dataCellStyle="Calculation">
      <calculatedColumnFormula>VLOOKUP(Stats_Tables!$D$12,Stats_Tables!$C$13:$F$16,4,0)*AF5</calculatedColumnFormula>
    </tableColumn>
    <tableColumn id="8" xr3:uid="{B2FD14B3-5EAD-4ACE-9C61-893EB768A653}" name="Adjusted_x000a_BMR x7" dataDxfId="43" dataCellStyle="Calculation">
      <calculatedColumnFormula>AG5*7</calculatedColumnFormula>
    </tableColumn>
    <tableColumn id="9" xr3:uid="{5B88C401-A3ED-434D-91DA-4555A477FAB3}" name="Adjusted True BMR 52 weeks" dataDxfId="42" dataCellStyle="Calculation"/>
    <tableColumn id="16" xr3:uid="{A29DF04D-EF0E-448B-AF8C-0F84E723F7DF}" name="Adjusted _x000a_Consumed-BMR" dataDxfId="41" dataCellStyle="Calculation">
      <calculatedColumnFormula>SUM($W5-$AI5)</calculatedColumnFormula>
    </tableColumn>
    <tableColumn id="17" xr3:uid="{21D7AC77-E0D9-432C-83AF-5134BA0418E7}" name="Adjusted_x000a_7 day_x000a_change" dataDxfId="40" dataCellStyle="Calculation">
      <calculatedColumnFormula>SUM(AJ5/7700)</calculatedColumnFormula>
    </tableColumn>
    <tableColumn id="18" xr3:uid="{A8A3E745-716F-46D4-99C4-4BD3E5838356}" name="Adjusted _x000a_Projected_x000a_KG" dataDxfId="39" dataCellStyle="Calculation">
      <calculatedColumnFormula>SUM(Weight_Calculator!$E$18,AK5)</calculatedColumnFormula>
    </tableColumn>
    <tableColumn id="6" xr3:uid="{A1A66887-AE2E-43E0-B016-08252AB8F6C3}" name="Days_x000a_Per_x000a_Week" dataDxfId="38">
      <calculatedColumnFormula>SUM(AM4+7)</calculatedColumnFormula>
    </tableColumn>
    <tableColumn id="7" xr3:uid="{4512237E-C510-422F-AC92-4EE63424BFAC}" name="Week_x000a_No.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728480-D345-43DF-B3B1-5A798E686F6F}" name="Table1" displayName="Table1" ref="M4:U70" totalsRowShown="0" headerRowDxfId="36" dataDxfId="34" headerRowBorderDxfId="35" tableBorderDxfId="33" totalsRowBorderDxfId="32">
  <tableColumns count="9">
    <tableColumn id="1" xr3:uid="{E8A3B18E-FF84-435F-BB8D-D496328ECD5B}" name="cm" dataDxfId="31"/>
    <tableColumn id="2" xr3:uid="{3C1B4169-97C7-4C10-BD0A-DEC9DEA7B5F0}" name="20" dataDxfId="30">
      <calculatedColumnFormula>$N$4*M5^2/10000</calculatedColumnFormula>
    </tableColumn>
    <tableColumn id="3" xr3:uid="{87B845D9-47C7-4108-B45E-C4DBFFA20969}" name="25" dataDxfId="29">
      <calculatedColumnFormula>$O$4*M5^2/10000</calculatedColumnFormula>
    </tableColumn>
    <tableColumn id="4" xr3:uid="{CC48F19D-E06B-4CF4-9EFF-D73B5B5A95CD}" name="30" dataDxfId="28">
      <calculatedColumnFormula>$P$4*M5^2/10000</calculatedColumnFormula>
    </tableColumn>
    <tableColumn id="5" xr3:uid="{E5FA894E-F39E-4706-B7CA-9CA11B0CD2D1}" name="35" dataDxfId="27">
      <calculatedColumnFormula>$Q$4*M5^2/10000</calculatedColumnFormula>
    </tableColumn>
    <tableColumn id="6" xr3:uid="{8F51C25B-E951-4F54-83C9-48D839495148}" name="40" dataDxfId="26">
      <calculatedColumnFormula>$R$4*M5^2/10000</calculatedColumnFormula>
    </tableColumn>
    <tableColumn id="7" xr3:uid="{171AE9A0-950D-40CA-81D8-844AC462F6BB}" name="45" dataDxfId="25">
      <calculatedColumnFormula>$S$4*M5^2/10000</calculatedColumnFormula>
    </tableColumn>
    <tableColumn id="9" xr3:uid="{AD6050B7-3216-4920-A292-878F21C627B7}" name="100" dataDxfId="24">
      <calculatedColumnFormula>$T$4*$M5^2/10000</calculatedColumnFormula>
    </tableColumn>
    <tableColumn id="8" xr3:uid="{ABE61BDA-7BD2-45F7-82B7-3AA31C4CFFFA}" name="You" dataDxfId="23">
      <calculatedColumnFormula>IF($E$22=M5,Weight_Calculator!E$18,"")</calculatedColumnFormula>
    </tableColumn>
  </tableColumns>
  <tableStyleInfo name="TableStyleMedium15" showFirstColumn="1" showLastColumn="0" showRowStripes="0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B8A278-C1C2-4A0E-8C27-D12F456C4C10}" name="Table6" displayName="Table6" ref="F1:G6" totalsRowCount="1" totalsRowDxfId="22">
  <autoFilter ref="F1:G5" xr:uid="{3BB8A278-C1C2-4A0E-8C27-D12F456C4C10}"/>
  <tableColumns count="2">
    <tableColumn id="1" xr3:uid="{C45061B7-B2E1-43CF-881B-3A1B47AA1BC9}" name="title" totalsRowDxfId="21"/>
    <tableColumn id="2" xr3:uid="{3448185D-3B1B-43CC-839A-13345F93F946}" name="metric" dataDxfId="20" totalsRowDxfId="19">
      <calculatedColumnFormula>IF(Weight_Calculator!#REF!="in",CONVERT(Weight_Calculator!D4, "in","cm"),(Weight_Calculator!D4))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01214D-6442-4B69-AA02-A7E7CEC9E80B}" name="Table14" displayName="Table14" ref="B1:D96" totalsRowShown="0" headerRowDxfId="18" tableBorderDxfId="17">
  <autoFilter ref="B1:D96" xr:uid="{88E7E420-76CD-4FEB-9312-4D53B9CA6ECD}"/>
  <tableColumns count="3">
    <tableColumn id="1" xr3:uid="{1084FEBB-7054-432C-8341-A27DF89110C4}" name="Centimeter" dataDxfId="16"/>
    <tableColumn id="2" xr3:uid="{3D84B760-24A5-4247-8EB2-BE05E194E308}" name="Inches"/>
    <tableColumn id="3" xr3:uid="{A6A2EF22-171C-4EF6-9D70-23CEFF943BE5}" name="Fee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6D0E11-B8E4-405E-9242-25755CA7A3E3}" name="Table5" displayName="Table5" ref="L1:M379" totalsRowShown="0" headerRowBorderDxfId="15" tableBorderDxfId="14">
  <autoFilter ref="L1:M379" xr:uid="{3A7DC8B5-2E77-4E5F-9021-EF8E39463D68}"/>
  <tableColumns count="2">
    <tableColumn id="1" xr3:uid="{0D748C0C-19F8-4418-9C5E-B7E4F4C4C35B}" name="cm" dataDxfId="13">
      <calculatedColumnFormula>#REF! &amp;#REF!</calculatedColumnFormula>
    </tableColumn>
    <tableColumn id="2" xr3:uid="{B054EDD2-3B02-4967-8F01-66871978208F}" name="I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FA042F-0A38-42D9-B23C-6D1ABC983A39}" name="Table7" displayName="Table7" ref="G1:J368" totalsRowShown="0" headerRowDxfId="12" tableBorderDxfId="11">
  <autoFilter ref="G1:J368" xr:uid="{68FA042F-0A38-42D9-B23C-6D1ABC983A39}"/>
  <tableColumns count="4">
    <tableColumn id="1" xr3:uid="{BC5ECAF9-96AB-4C37-8C0F-884276C05CCB}" name="Kilograms" dataDxfId="10"/>
    <tableColumn id="2" xr3:uid="{51825937-82F5-42A4-A98B-870F8591D7D0}" name="Pound" dataDxfId="9"/>
    <tableColumn id="3" xr3:uid="{C09BDD5E-FD53-4AB2-BE02-273771D8C5CD}" name="Stone" dataDxfId="8"/>
    <tableColumn id="4" xr3:uid="{E9F38DDD-A257-43E2-AA35-E02BBA1A575E}" name="Lbs" dataDxfId="7"/>
  </tableColumns>
  <tableStyleInfo name="TableStyleMedium2" showFirstColumn="0" showLastColumn="0" showRowStripes="1" showColumnStripes="1"/>
</table>
</file>

<file path=xl/theme/theme1.xml><?xml version="1.0" encoding="utf-8"?>
<a:theme xmlns:a="http://schemas.openxmlformats.org/drawingml/2006/main" name="Vapor Trail">
  <a:themeElements>
    <a:clrScheme name="Vapor Trail">
      <a:dk1>
        <a:sysClr val="windowText" lastClr="000000"/>
      </a:dk1>
      <a:lt1>
        <a:sysClr val="window" lastClr="FFFFFF"/>
      </a:lt1>
      <a:dk2>
        <a:srgbClr val="454545"/>
      </a:dk2>
      <a:lt2>
        <a:srgbClr val="DADADA"/>
      </a:lt2>
      <a:accent1>
        <a:srgbClr val="DF2E28"/>
      </a:accent1>
      <a:accent2>
        <a:srgbClr val="FE801A"/>
      </a:accent2>
      <a:accent3>
        <a:srgbClr val="E9BF35"/>
      </a:accent3>
      <a:accent4>
        <a:srgbClr val="81BB42"/>
      </a:accent4>
      <a:accent5>
        <a:srgbClr val="32C7A9"/>
      </a:accent5>
      <a:accent6>
        <a:srgbClr val="4A9BDC"/>
      </a:accent6>
      <a:hlink>
        <a:srgbClr val="F0532B"/>
      </a:hlink>
      <a:folHlink>
        <a:srgbClr val="F38B53"/>
      </a:folHlink>
    </a:clrScheme>
    <a:fontScheme name="UBG88 1">
      <a:majorFont>
        <a:latin typeface="UBG88-The Fat One"/>
        <a:ea typeface=""/>
        <a:cs typeface=""/>
      </a:majorFont>
      <a:minorFont>
        <a:latin typeface="UBG88-The Real Skinny 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74A1-2DF5-4118-9B96-8529A0B5429A}">
  <dimension ref="A1:G18"/>
  <sheetViews>
    <sheetView showGridLines="0" zoomScale="150" zoomScaleNormal="150" workbookViewId="0">
      <selection activeCell="D5" sqref="D5"/>
    </sheetView>
  </sheetViews>
  <sheetFormatPr baseColWidth="10" defaultColWidth="8.83203125" defaultRowHeight="14" zeroHeight="1"/>
  <cols>
    <col min="4" max="4" width="11.6640625" customWidth="1"/>
    <col min="6" max="6" width="2.6640625" customWidth="1"/>
    <col min="7" max="7" width="8.6640625" customWidth="1"/>
  </cols>
  <sheetData>
    <row r="1" spans="1:7" ht="48" customHeight="1" thickBot="1">
      <c r="B1" s="222"/>
      <c r="C1" s="222"/>
      <c r="D1" s="222"/>
      <c r="E1" s="222"/>
      <c r="F1" s="222"/>
      <c r="G1" s="222"/>
    </row>
    <row r="2" spans="1:7">
      <c r="A2" s="199"/>
      <c r="B2" s="278" t="s">
        <v>0</v>
      </c>
      <c r="C2" s="279"/>
      <c r="D2" s="279"/>
      <c r="E2" s="279"/>
      <c r="F2" s="279"/>
      <c r="G2" s="280"/>
    </row>
    <row r="3" spans="1:7" ht="15" thickBot="1">
      <c r="A3" s="199"/>
      <c r="B3" s="281"/>
      <c r="C3" s="282"/>
      <c r="D3" s="282"/>
      <c r="E3" s="282"/>
      <c r="F3" s="282"/>
      <c r="G3" s="283"/>
    </row>
    <row r="4" spans="1:7" ht="17" thickBot="1">
      <c r="A4" s="199"/>
      <c r="B4" s="268" t="s">
        <v>1</v>
      </c>
      <c r="C4" s="269"/>
      <c r="D4" s="233">
        <v>32</v>
      </c>
      <c r="E4" s="234"/>
      <c r="F4" s="232"/>
      <c r="G4" s="231"/>
    </row>
    <row r="5" spans="1:7" ht="17" thickBot="1">
      <c r="A5" s="199"/>
      <c r="B5" s="270" t="s">
        <v>2</v>
      </c>
      <c r="C5" s="271"/>
      <c r="D5" s="235" t="s">
        <v>75</v>
      </c>
      <c r="E5" s="236" t="s">
        <v>120</v>
      </c>
      <c r="F5" s="287"/>
      <c r="G5" s="288" t="str">
        <f>D5</f>
        <v>Feet</v>
      </c>
    </row>
    <row r="6" spans="1:7" ht="17" thickBot="1">
      <c r="A6" s="199"/>
      <c r="B6" s="272" t="s">
        <v>4</v>
      </c>
      <c r="C6" s="273"/>
      <c r="D6" s="235" t="s">
        <v>78</v>
      </c>
      <c r="E6" s="236" t="s">
        <v>208</v>
      </c>
      <c r="F6" s="265"/>
      <c r="G6" s="274" t="str">
        <f>D6</f>
        <v>Stone</v>
      </c>
    </row>
    <row r="7" spans="1:7" ht="16" thickBot="1">
      <c r="A7" s="199"/>
      <c r="B7" s="284"/>
      <c r="C7" s="285"/>
      <c r="D7" s="285"/>
      <c r="E7" s="285"/>
      <c r="F7" s="285"/>
      <c r="G7" s="286"/>
    </row>
    <row r="8" spans="1:7" ht="17" thickBot="1">
      <c r="A8" s="199"/>
      <c r="B8" s="268" t="s">
        <v>7</v>
      </c>
      <c r="C8" s="269"/>
      <c r="D8" s="235" t="s">
        <v>79</v>
      </c>
      <c r="E8" s="237">
        <v>32</v>
      </c>
      <c r="F8" s="269"/>
      <c r="G8" s="289" t="str">
        <f>D8</f>
        <v>In</v>
      </c>
    </row>
    <row r="9" spans="1:7" ht="17" thickBot="1">
      <c r="A9" s="199"/>
      <c r="B9" s="264" t="s">
        <v>9</v>
      </c>
      <c r="C9" s="265"/>
      <c r="D9" s="266" t="s">
        <v>32</v>
      </c>
      <c r="E9" s="267"/>
      <c r="F9" s="265"/>
      <c r="G9" s="274"/>
    </row>
    <row r="10" spans="1:7" ht="16" thickBot="1">
      <c r="A10" s="199"/>
      <c r="B10" s="227"/>
      <c r="C10" s="224"/>
      <c r="D10" s="223"/>
      <c r="E10" s="223"/>
      <c r="F10" s="223"/>
      <c r="G10" s="226"/>
    </row>
    <row r="11" spans="1:7" ht="17" thickBot="1">
      <c r="A11" s="199"/>
      <c r="B11" s="268" t="s">
        <v>10</v>
      </c>
      <c r="C11" s="269"/>
      <c r="D11" s="275">
        <v>0</v>
      </c>
      <c r="E11" s="275"/>
      <c r="F11" s="276" t="s">
        <v>11</v>
      </c>
      <c r="G11" s="277"/>
    </row>
    <row r="12" spans="1:7" ht="17" thickBot="1">
      <c r="A12" s="199"/>
      <c r="B12" s="264" t="s">
        <v>12</v>
      </c>
      <c r="C12" s="265"/>
      <c r="D12" s="266" t="s">
        <v>13</v>
      </c>
      <c r="E12" s="267"/>
      <c r="F12" s="262" t="s">
        <v>14</v>
      </c>
      <c r="G12" s="263"/>
    </row>
    <row r="13" spans="1:7">
      <c r="A13" s="199"/>
      <c r="B13" s="225"/>
      <c r="C13" s="223"/>
      <c r="D13" s="223"/>
      <c r="E13" s="223"/>
      <c r="F13" s="223"/>
      <c r="G13" s="226"/>
    </row>
    <row r="14" spans="1:7">
      <c r="A14" s="199"/>
      <c r="B14" s="225"/>
      <c r="C14" s="223"/>
      <c r="D14" s="223"/>
      <c r="E14" s="223"/>
      <c r="F14" s="223"/>
      <c r="G14" s="226"/>
    </row>
    <row r="15" spans="1:7">
      <c r="A15" s="199"/>
      <c r="B15" s="225"/>
      <c r="C15" s="223"/>
      <c r="D15" s="223"/>
      <c r="E15" s="223"/>
      <c r="F15" s="223"/>
      <c r="G15" s="226"/>
    </row>
    <row r="16" spans="1:7" ht="15" thickBot="1">
      <c r="A16" s="199"/>
      <c r="B16" s="228"/>
      <c r="C16" s="229"/>
      <c r="D16" s="229"/>
      <c r="E16" s="229"/>
      <c r="F16" s="229"/>
      <c r="G16" s="230"/>
    </row>
    <row r="17"/>
    <row r="18"/>
  </sheetData>
  <mergeCells count="18">
    <mergeCell ref="B2:G3"/>
    <mergeCell ref="B7:G7"/>
    <mergeCell ref="B8:C8"/>
    <mergeCell ref="F5:G5"/>
    <mergeCell ref="F6:G6"/>
    <mergeCell ref="F8:G8"/>
    <mergeCell ref="F12:G12"/>
    <mergeCell ref="B12:C12"/>
    <mergeCell ref="D12:E12"/>
    <mergeCell ref="B4:C4"/>
    <mergeCell ref="B5:C5"/>
    <mergeCell ref="B6:C6"/>
    <mergeCell ref="F9:G9"/>
    <mergeCell ref="B9:C9"/>
    <mergeCell ref="D9:E9"/>
    <mergeCell ref="B11:C11"/>
    <mergeCell ref="D11:E11"/>
    <mergeCell ref="F11:G11"/>
  </mergeCells>
  <dataValidations count="4">
    <dataValidation type="list" allowBlank="1" showInputMessage="1" showErrorMessage="1" sqref="E5" xr:uid="{3E7BA8D2-60BA-49CE-998A-6E94B90D6AB3}">
      <formula1>INDIRECT($D$5)</formula1>
    </dataValidation>
    <dataValidation type="list" allowBlank="1" showInputMessage="1" showErrorMessage="1" sqref="E6" xr:uid="{4874C92A-4C85-435C-9ADA-B87E5C32D849}">
      <formula1>INDIRECT($D$6)</formula1>
    </dataValidation>
    <dataValidation type="list" allowBlank="1" showInputMessage="1" showErrorMessage="1" sqref="E8" xr:uid="{5E542196-B8D0-415E-B0A5-CB88A89E1088}">
      <formula1>INDIRECT($D$8)</formula1>
    </dataValidation>
    <dataValidation type="list" allowBlank="1" showInputMessage="1" showErrorMessage="1" sqref="D12:E12" xr:uid="{847F239F-9231-4811-96A8-40DFB1647C7F}">
      <formula1>"Select, No Exercise, Light (1-2 days), Moderate (3-5 days), High (6-7 days)"</formula1>
    </dataValidation>
  </dataValidations>
  <pageMargins left="0.70866141732283472" right="0.70866141732283472" top="0.74803149606299213" bottom="0.74803149606299213" header="0.31496062992125984" footer="0.31496062992125984"/>
  <pageSetup paperSize="1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CE0D321-0DF3-43BB-8630-E88DF21F0F6E}">
          <x14:formula1>
            <xm:f>'Dependent Drop Down'!$A$1:$D$1</xm:f>
          </x14:formula1>
          <xm:sqref>D5</xm:sqref>
        </x14:dataValidation>
        <x14:dataValidation type="list" allowBlank="1" showInputMessage="1" showErrorMessage="1" xr:uid="{4FBFC920-124E-43E9-AD04-D24F3E837BC8}">
          <x14:formula1>
            <xm:f>'Dependent Drop Down'!$F$1:$J$1</xm:f>
          </x14:formula1>
          <xm:sqref>D6</xm:sqref>
        </x14:dataValidation>
        <x14:dataValidation type="list" allowBlank="1" showInputMessage="1" showErrorMessage="1" xr:uid="{FAAD7E6D-422D-4EDE-B752-9EFFF840FDFC}">
          <x14:formula1>
            <xm:f>'Dependent Drop Down'!$K$1:$M$1</xm:f>
          </x14:formula1>
          <xm:sqref>D8</xm:sqref>
        </x14:dataValidation>
        <x14:dataValidation type="list" allowBlank="1" showInputMessage="1" showErrorMessage="1" xr:uid="{4B814568-E713-4915-B380-BF2DB47E27D8}">
          <x14:formula1>
            <xm:f>Stats_Tables!$A$2:$A$4</xm:f>
          </x14:formula1>
          <xm:sqref>D9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W149"/>
  <sheetViews>
    <sheetView topLeftCell="A9" zoomScale="125" zoomScaleNormal="125" workbookViewId="0">
      <selection activeCell="C25" sqref="C25:I25"/>
    </sheetView>
  </sheetViews>
  <sheetFormatPr baseColWidth="10" defaultColWidth="8.6640625" defaultRowHeight="16" zeroHeight="1"/>
  <cols>
    <col min="1" max="2" width="2.1640625" style="88" customWidth="1"/>
    <col min="3" max="3" width="8.83203125" style="88" bestFit="1" customWidth="1"/>
    <col min="4" max="4" width="9.83203125" style="88" bestFit="1" customWidth="1"/>
    <col min="5" max="5" width="9.6640625" style="88" bestFit="1" customWidth="1"/>
    <col min="6" max="6" width="9.83203125" style="88" bestFit="1" customWidth="1"/>
    <col min="7" max="7" width="8.6640625" style="88" customWidth="1"/>
    <col min="8" max="11" width="8.83203125" style="88" bestFit="1" customWidth="1"/>
    <col min="12" max="12" width="10.1640625" style="88" customWidth="1"/>
    <col min="13" max="13" width="8.83203125" style="92" bestFit="1" customWidth="1"/>
    <col min="14" max="14" width="8.83203125" style="93" bestFit="1" customWidth="1"/>
    <col min="15" max="16" width="8.83203125" style="94" bestFit="1" customWidth="1"/>
    <col min="17" max="17" width="8.6640625" style="95"/>
    <col min="18" max="21" width="8.83203125" style="95" bestFit="1" customWidth="1"/>
    <col min="22" max="16384" width="8.6640625" style="88"/>
  </cols>
  <sheetData>
    <row r="2" spans="2:23" ht="15" hidden="1" customHeight="1">
      <c r="B2" s="311" t="s">
        <v>15</v>
      </c>
      <c r="C2" s="311"/>
      <c r="D2" s="311"/>
      <c r="E2" s="311"/>
      <c r="F2" s="311"/>
      <c r="G2" s="311"/>
      <c r="H2" s="311"/>
      <c r="I2" s="311"/>
      <c r="J2" s="311"/>
      <c r="K2" s="311"/>
      <c r="L2" s="87"/>
      <c r="M2" s="292"/>
      <c r="N2" s="291" t="s">
        <v>16</v>
      </c>
      <c r="O2" s="291"/>
      <c r="P2" s="291"/>
      <c r="Q2" s="291"/>
      <c r="R2" s="291"/>
      <c r="S2" s="291"/>
      <c r="T2" s="291"/>
      <c r="U2" s="291"/>
      <c r="V2" s="293"/>
      <c r="W2" s="87"/>
    </row>
    <row r="3" spans="2:23" ht="31.5" hidden="1" customHeight="1" thickBot="1"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89"/>
      <c r="M3" s="292"/>
      <c r="N3" s="291"/>
      <c r="O3" s="291"/>
      <c r="P3" s="291"/>
      <c r="Q3" s="291"/>
      <c r="R3" s="291"/>
      <c r="S3" s="291"/>
      <c r="T3" s="291"/>
      <c r="U3" s="291"/>
      <c r="V3" s="293"/>
      <c r="W3" s="310"/>
    </row>
    <row r="4" spans="2:23" ht="17.25" hidden="1" customHeight="1" thickTop="1" thickBot="1">
      <c r="B4" s="90"/>
      <c r="C4" s="190" t="s">
        <v>1</v>
      </c>
      <c r="D4" s="191">
        <f>Sheet1!D4</f>
        <v>32</v>
      </c>
      <c r="E4" s="90"/>
      <c r="F4" s="90"/>
      <c r="G4" s="296" t="s">
        <v>17</v>
      </c>
      <c r="H4" s="296"/>
      <c r="I4" s="191" t="str">
        <f>Sheet1!D9</f>
        <v xml:space="preserve">MALE </v>
      </c>
      <c r="J4" s="90"/>
      <c r="K4" s="91"/>
      <c r="L4" s="89"/>
      <c r="M4" s="292"/>
      <c r="N4" s="291"/>
      <c r="O4" s="291"/>
      <c r="P4" s="291"/>
      <c r="Q4" s="291"/>
      <c r="R4" s="291"/>
      <c r="S4" s="291"/>
      <c r="T4" s="291"/>
      <c r="U4" s="291"/>
      <c r="V4" s="293"/>
      <c r="W4" s="310"/>
    </row>
    <row r="5" spans="2:23" ht="17.25" hidden="1" customHeight="1" thickTop="1" thickBot="1">
      <c r="B5" s="90"/>
      <c r="C5" s="190" t="s">
        <v>2</v>
      </c>
      <c r="D5" s="189" t="str">
        <f>Sheet1!D5</f>
        <v>Feet</v>
      </c>
      <c r="E5" s="189" t="str">
        <f>Sheet1!E5</f>
        <v>5' 11"</v>
      </c>
      <c r="F5" s="187" t="str">
        <f>D5</f>
        <v>Feet</v>
      </c>
      <c r="G5" s="297" t="s">
        <v>18</v>
      </c>
      <c r="H5" s="297"/>
      <c r="I5" s="294">
        <f>Sheet1!D11</f>
        <v>0</v>
      </c>
      <c r="J5" s="295"/>
      <c r="K5" s="187" t="s">
        <v>11</v>
      </c>
      <c r="L5" s="89"/>
      <c r="M5" s="292"/>
      <c r="N5" s="291"/>
      <c r="O5" s="291"/>
      <c r="P5" s="291"/>
      <c r="Q5" s="291"/>
      <c r="R5" s="291"/>
      <c r="S5" s="291"/>
      <c r="T5" s="291"/>
      <c r="U5" s="291"/>
      <c r="V5" s="293"/>
      <c r="W5" s="310"/>
    </row>
    <row r="6" spans="2:23" ht="17.25" hidden="1" customHeight="1" thickTop="1" thickBot="1">
      <c r="B6" s="90"/>
      <c r="C6" s="190" t="s">
        <v>4</v>
      </c>
      <c r="D6" s="189" t="str">
        <f>Sheet1!D6</f>
        <v>Stone</v>
      </c>
      <c r="E6" s="189" t="str">
        <f>Sheet1!E6</f>
        <v>11st 7lbs</v>
      </c>
      <c r="F6" s="187" t="str">
        <f>D6</f>
        <v>Stone</v>
      </c>
      <c r="G6" s="296" t="s">
        <v>19</v>
      </c>
      <c r="H6" s="296"/>
      <c r="I6" s="294" t="str">
        <f>Sheet1!D12</f>
        <v>Select</v>
      </c>
      <c r="J6" s="295"/>
      <c r="K6" s="188" t="s">
        <v>14</v>
      </c>
      <c r="L6" s="89"/>
      <c r="M6" s="292"/>
      <c r="N6" s="291"/>
      <c r="O6" s="291"/>
      <c r="P6" s="291"/>
      <c r="Q6" s="291"/>
      <c r="R6" s="291"/>
      <c r="S6" s="291"/>
      <c r="T6" s="291"/>
      <c r="U6" s="291"/>
      <c r="V6" s="293"/>
      <c r="W6" s="310"/>
    </row>
    <row r="7" spans="2:23" ht="17.25" hidden="1" customHeight="1" thickTop="1" thickBot="1">
      <c r="B7" s="90"/>
      <c r="C7" s="190" t="s">
        <v>20</v>
      </c>
      <c r="D7" s="189" t="str">
        <f>Sheet1!D8</f>
        <v>In</v>
      </c>
      <c r="E7" s="189">
        <f>Sheet1!E8</f>
        <v>32</v>
      </c>
      <c r="F7" s="187" t="str">
        <f>D7</f>
        <v>In</v>
      </c>
      <c r="G7" s="90"/>
      <c r="H7" s="90"/>
      <c r="I7" s="90"/>
      <c r="J7" s="90"/>
      <c r="K7" s="90"/>
      <c r="L7" s="89"/>
      <c r="M7" s="292"/>
      <c r="N7" s="291"/>
      <c r="O7" s="291"/>
      <c r="P7" s="291"/>
      <c r="Q7" s="291"/>
      <c r="R7" s="291"/>
      <c r="S7" s="291"/>
      <c r="T7" s="291"/>
      <c r="U7" s="291"/>
      <c r="V7" s="293"/>
      <c r="W7" s="310"/>
    </row>
    <row r="8" spans="2:23" ht="18" hidden="1" customHeight="1" thickTop="1">
      <c r="B8" s="90"/>
      <c r="C8" s="90"/>
      <c r="D8" s="90"/>
      <c r="E8" s="90"/>
      <c r="F8" s="90"/>
      <c r="G8" s="90"/>
      <c r="H8" s="90"/>
      <c r="I8" s="90"/>
      <c r="J8" s="90"/>
      <c r="K8" s="90"/>
      <c r="L8" s="89"/>
      <c r="M8" s="292"/>
      <c r="N8" s="291"/>
      <c r="O8" s="291"/>
      <c r="P8" s="291"/>
      <c r="Q8" s="291"/>
      <c r="R8" s="291"/>
      <c r="S8" s="291"/>
      <c r="T8" s="291"/>
      <c r="U8" s="291"/>
      <c r="V8" s="293"/>
      <c r="W8" s="310"/>
    </row>
    <row r="9" spans="2:23" s="198" customFormat="1" ht="18" customHeight="1" thickBot="1">
      <c r="B9" s="193"/>
      <c r="C9" s="193"/>
      <c r="D9" s="193"/>
      <c r="E9" s="193"/>
      <c r="F9" s="193"/>
      <c r="G9" s="193"/>
      <c r="H9" s="193"/>
      <c r="I9" s="193"/>
      <c r="J9" s="193"/>
      <c r="K9" s="193"/>
      <c r="L9" s="194"/>
      <c r="M9" s="195"/>
      <c r="N9" s="196"/>
      <c r="O9" s="196"/>
      <c r="P9" s="196"/>
      <c r="Q9" s="196"/>
      <c r="R9" s="196"/>
      <c r="S9" s="196"/>
      <c r="T9" s="196"/>
      <c r="U9" s="196"/>
      <c r="V9" s="197"/>
      <c r="W9" s="194"/>
    </row>
    <row r="10" spans="2:23" ht="17" thickTop="1">
      <c r="H10" s="192"/>
      <c r="R10" s="92"/>
      <c r="S10" s="96"/>
    </row>
    <row r="11" spans="2:23" ht="15.75" customHeight="1">
      <c r="B11" s="290" t="s">
        <v>21</v>
      </c>
      <c r="C11" s="290"/>
      <c r="D11" s="290"/>
      <c r="E11" s="290"/>
      <c r="F11" s="290"/>
      <c r="G11" s="290"/>
      <c r="H11" s="290"/>
      <c r="I11" s="290"/>
      <c r="J11" s="97"/>
      <c r="K11" s="97"/>
      <c r="L11" s="98"/>
      <c r="M11" s="99"/>
      <c r="N11" s="100"/>
      <c r="O11" s="100"/>
      <c r="P11" s="100"/>
      <c r="Q11" s="99"/>
      <c r="R11" s="99"/>
      <c r="S11" s="99"/>
      <c r="T11" s="99"/>
      <c r="U11" s="99"/>
      <c r="V11" s="99"/>
    </row>
    <row r="12" spans="2:23" ht="15.75" customHeight="1">
      <c r="B12" s="290"/>
      <c r="C12" s="290"/>
      <c r="D12" s="290"/>
      <c r="E12" s="290"/>
      <c r="F12" s="290"/>
      <c r="G12" s="290"/>
      <c r="H12" s="290"/>
      <c r="I12" s="290"/>
      <c r="J12" s="97"/>
      <c r="K12" s="97"/>
      <c r="L12" s="98"/>
      <c r="M12" s="99"/>
      <c r="N12" s="100"/>
      <c r="O12" s="100"/>
      <c r="P12" s="100"/>
      <c r="Q12" s="99"/>
      <c r="R12" s="99"/>
      <c r="S12" s="99"/>
      <c r="T12" s="99"/>
      <c r="U12" s="99"/>
      <c r="V12" s="99"/>
    </row>
    <row r="13" spans="2:23" ht="16.5" customHeight="1" thickBot="1">
      <c r="B13" s="290"/>
      <c r="C13" s="290"/>
      <c r="D13" s="290"/>
      <c r="E13" s="290"/>
      <c r="F13" s="290"/>
      <c r="G13" s="290"/>
      <c r="H13" s="290"/>
      <c r="I13" s="290"/>
      <c r="J13" s="101"/>
      <c r="K13" s="101"/>
      <c r="L13" s="98"/>
      <c r="M13" s="99"/>
      <c r="N13" s="100"/>
      <c r="O13" s="100"/>
      <c r="P13" s="100"/>
      <c r="Q13" s="99"/>
      <c r="R13" s="99"/>
      <c r="S13" s="99"/>
      <c r="T13" s="99"/>
      <c r="U13" s="99"/>
      <c r="V13" s="99"/>
    </row>
    <row r="14" spans="2:23" ht="18" thickTop="1" thickBot="1">
      <c r="B14" s="186"/>
      <c r="C14" s="186"/>
      <c r="D14" s="186"/>
      <c r="E14" s="186"/>
      <c r="F14" s="186"/>
      <c r="G14" s="298" t="e">
        <f>E21</f>
        <v>#VALUE!</v>
      </c>
      <c r="H14" s="299"/>
      <c r="I14" s="186"/>
      <c r="J14" s="102"/>
      <c r="K14" s="102"/>
      <c r="M14" s="99"/>
      <c r="N14" s="100"/>
      <c r="O14" s="100"/>
      <c r="P14" s="100"/>
      <c r="Q14" s="99"/>
      <c r="R14" s="99"/>
      <c r="S14" s="99"/>
      <c r="T14" s="99"/>
      <c r="U14" s="99"/>
      <c r="V14" s="99"/>
    </row>
    <row r="15" spans="2:23" ht="18" thickBot="1">
      <c r="B15" s="103"/>
      <c r="C15" s="104" t="s">
        <v>1</v>
      </c>
      <c r="D15" s="105">
        <f>D4</f>
        <v>32</v>
      </c>
      <c r="E15" s="106" t="s">
        <v>9</v>
      </c>
      <c r="F15" s="107" t="str">
        <f>I4</f>
        <v xml:space="preserve">MALE </v>
      </c>
      <c r="G15" s="108"/>
      <c r="H15" s="109"/>
      <c r="I15" s="103"/>
      <c r="J15" s="103"/>
      <c r="K15" s="103"/>
      <c r="L15" s="98"/>
      <c r="M15" s="99"/>
      <c r="N15" s="100"/>
      <c r="O15" s="100"/>
      <c r="P15" s="100"/>
      <c r="Q15" s="99"/>
      <c r="R15" s="99"/>
      <c r="S15" s="99"/>
      <c r="T15" s="99"/>
      <c r="U15" s="99"/>
      <c r="V15" s="99"/>
      <c r="W15" s="95"/>
    </row>
    <row r="16" spans="2:23" ht="17" thickBot="1">
      <c r="B16" s="110"/>
      <c r="C16" s="110"/>
      <c r="D16" s="110"/>
      <c r="E16" s="110"/>
      <c r="F16" s="110"/>
      <c r="G16" s="108"/>
      <c r="H16" s="109"/>
      <c r="I16" s="110"/>
      <c r="J16" s="110"/>
      <c r="K16" s="110"/>
      <c r="M16" s="99"/>
      <c r="N16" s="100"/>
      <c r="O16" s="100"/>
      <c r="P16" s="100"/>
      <c r="Q16" s="99"/>
      <c r="R16" s="99"/>
      <c r="S16" s="99"/>
      <c r="T16" s="99"/>
      <c r="U16" s="99"/>
      <c r="V16" s="99"/>
    </row>
    <row r="17" spans="2:23">
      <c r="B17" s="111"/>
      <c r="C17" s="112" t="s">
        <v>2</v>
      </c>
      <c r="D17" s="113" t="e">
        <f ca="1">CONVERT(E17,"cm","in")</f>
        <v>#VALUE!</v>
      </c>
      <c r="E17" s="114" t="e">
        <f ca="1">IF(D5="Inches",E5*2.54,IF(D5="Feet",Stats_Tables!F20,IF(D5="Centimeter",E5,"")))</f>
        <v>#VALUE!</v>
      </c>
      <c r="F17" s="115" t="e">
        <f ca="1">INT(D17/12)&amp;"' "&amp;ROUNDUP(MOD(D17,12),0)&amp;""""</f>
        <v>#VALUE!</v>
      </c>
      <c r="G17" s="108"/>
      <c r="H17" s="109"/>
      <c r="I17" s="116"/>
      <c r="J17" s="116"/>
      <c r="K17" s="116"/>
      <c r="M17" s="99"/>
      <c r="N17" s="100"/>
      <c r="O17" s="100"/>
      <c r="P17" s="100"/>
      <c r="Q17" s="99"/>
      <c r="R17" s="99"/>
      <c r="S17" s="99"/>
      <c r="T17" s="99"/>
      <c r="U17" s="99"/>
      <c r="V17" s="99"/>
    </row>
    <row r="18" spans="2:23" ht="17" thickBot="1">
      <c r="B18" s="117"/>
      <c r="C18" s="118" t="s">
        <v>4</v>
      </c>
      <c r="D18" s="119">
        <f ca="1">CONVERT(E18,"kg","lbm")</f>
        <v>161</v>
      </c>
      <c r="E18" s="120">
        <f ca="1">IF(D6="Pounds", CONVERT(E6, "lbm", "kg"), IF(D6="Stone",Stats_Tables!F18, IF(D6="Kilograms", E6, "")))</f>
        <v>73.028371570000004</v>
      </c>
      <c r="F18" s="120" t="str">
        <f ca="1">CONCATENATE(ROUNDDOWN(D18/14,0),"st ",TEXT(MOD(D18,14),"#0"),"lbs")</f>
        <v>11st 7lbs</v>
      </c>
      <c r="G18" s="121"/>
      <c r="H18" s="122"/>
      <c r="I18" s="123"/>
      <c r="J18" s="123"/>
      <c r="K18" s="123"/>
      <c r="L18" s="124"/>
      <c r="M18" s="123"/>
      <c r="N18" s="123"/>
      <c r="O18" s="123"/>
      <c r="P18" s="123"/>
      <c r="Q18" s="99"/>
      <c r="R18" s="99"/>
      <c r="S18" s="99"/>
      <c r="T18" s="99"/>
      <c r="U18" s="99"/>
      <c r="V18" s="99"/>
    </row>
    <row r="19" spans="2:23" ht="17" thickBot="1">
      <c r="B19" s="125"/>
      <c r="C19" s="126"/>
      <c r="D19" s="126"/>
      <c r="E19" s="127"/>
      <c r="F19" s="126"/>
      <c r="G19" s="108"/>
      <c r="H19" s="109"/>
      <c r="I19" s="128"/>
      <c r="J19" s="128"/>
      <c r="K19" s="128"/>
      <c r="M19" s="99"/>
      <c r="N19" s="100"/>
      <c r="O19" s="100"/>
      <c r="P19" s="100"/>
      <c r="Q19" s="99"/>
      <c r="R19" s="99"/>
      <c r="S19" s="99"/>
      <c r="T19" s="99"/>
      <c r="U19" s="99"/>
      <c r="V19" s="99"/>
    </row>
    <row r="20" spans="2:23" ht="18">
      <c r="B20" s="129"/>
      <c r="C20" s="130" t="s">
        <v>22</v>
      </c>
      <c r="D20" s="131" t="e">
        <f ca="1">+$E$18/($E$17*($E$17/10000))</f>
        <v>#VALUE!</v>
      </c>
      <c r="E20" s="132" t="s">
        <v>23</v>
      </c>
      <c r="F20" s="133" t="e">
        <f>(Stats_Tables!D8)</f>
        <v>#VALUE!</v>
      </c>
      <c r="G20" s="108"/>
      <c r="H20" s="109"/>
      <c r="I20" s="134"/>
      <c r="J20" s="135"/>
      <c r="K20" s="135"/>
      <c r="M20" s="99"/>
      <c r="N20" s="100"/>
      <c r="O20" s="100"/>
      <c r="P20" s="100"/>
      <c r="Q20" s="99"/>
      <c r="R20" s="99"/>
      <c r="S20" s="99"/>
      <c r="T20" s="99"/>
      <c r="U20" s="99"/>
      <c r="V20" s="99"/>
    </row>
    <row r="21" spans="2:23" ht="17" thickBot="1">
      <c r="B21" s="129"/>
      <c r="C21" s="304" t="e">
        <f ca="1">IF(D20&gt;=Stats_Tables!D26,IF(D20&lt;=Stats_Tables!E26,Stats_Tables!C26,IF(D20&gt;=Stats_Tables!D27,IF(D20&lt;=Stats_Tables!E27,Stats_Tables!C27,IF(D20&gt;=Stats_Tables!D28,IF(D20&lt;=Stats_Tables!E28,Stats_Tables!C28,IF(D20&gt;=Stats_Tables!D29,IF(D20&lt;=Stats_Tables!E29,Stats_Tables!C29,IF(D20&gt;=Stats_Tables!D30,IF(D20&lt;=Stats_Tables!E30,Stats_Tables!C30,IF(D20&gt;=Stats_Tables!D31,IF(D20&lt;=Stats_Tables!E31,Stats_Tables!C31,IF(D20&gt;=Stats_Tables!D32,IF(D20&lt;=Stats_Tables!E32,Stats_Tables!C32))))))))))))))</f>
        <v>#VALUE!</v>
      </c>
      <c r="D21" s="305"/>
      <c r="E21" s="302" t="e">
        <f>IF(F20&gt;=Stats_Tables!F26,IF(F20&lt;=Stats_Tables!G26,Stats_Tables!C26,IF(F20&gt;=Stats_Tables!F27,IF(F20&lt;=Stats_Tables!G27,Stats_Tables!C27,IF(F20&gt;=Stats_Tables!F28,IF(F20&lt;=Stats_Tables!G28,Stats_Tables!C28,IF(F20&gt;=Stats_Tables!F29,IF(F20&lt;=Stats_Tables!G29,Stats_Tables!C29,IF(F20&gt;=Stats_Tables!F30,IF(F20&lt;=Stats_Tables!G30,Stats_Tables!C30,IF(F20&gt;=Stats_Tables!F31,IF(F20&lt;=Stats_Tables!G31,Stats_Tables!C31,IF(F20&gt;=Stats_Tables!F32,IF(F20&lt;=Stats_Tables!G32,Stats_Tables!C32))))))))))))))</f>
        <v>#VALUE!</v>
      </c>
      <c r="F21" s="303"/>
      <c r="G21" s="108"/>
      <c r="H21" s="109"/>
      <c r="I21" s="136"/>
      <c r="J21" s="129"/>
      <c r="K21" s="129"/>
      <c r="M21" s="99"/>
      <c r="N21" s="100"/>
      <c r="O21" s="100"/>
      <c r="P21" s="100"/>
      <c r="Q21" s="99"/>
      <c r="R21" s="99"/>
      <c r="S21" s="99"/>
      <c r="T21" s="99"/>
      <c r="U21" s="99"/>
      <c r="V21" s="99"/>
    </row>
    <row r="22" spans="2:23" ht="17" thickBot="1">
      <c r="B22" s="137"/>
      <c r="C22" s="137"/>
      <c r="D22" s="137"/>
      <c r="E22" s="137"/>
      <c r="F22" s="137"/>
      <c r="G22" s="108"/>
      <c r="H22" s="109"/>
      <c r="I22" s="137"/>
      <c r="J22" s="137"/>
      <c r="K22" s="137"/>
      <c r="M22" s="99"/>
      <c r="N22" s="100"/>
      <c r="O22" s="100"/>
      <c r="P22" s="100"/>
      <c r="Q22" s="99"/>
      <c r="R22" s="99"/>
      <c r="S22" s="99"/>
      <c r="T22" s="99"/>
      <c r="U22" s="99"/>
      <c r="V22" s="99"/>
    </row>
    <row r="23" spans="2:23" ht="18" thickTop="1" thickBot="1">
      <c r="B23" s="138"/>
      <c r="C23" s="139" t="s">
        <v>24</v>
      </c>
      <c r="D23" s="140"/>
      <c r="E23" s="141" t="e">
        <f ca="1">Stats_Tables!D7</f>
        <v>#VALUE!</v>
      </c>
      <c r="F23" s="142" t="s">
        <v>25</v>
      </c>
      <c r="G23" s="108"/>
      <c r="H23" s="109"/>
      <c r="I23" s="138"/>
      <c r="J23" s="138"/>
      <c r="K23" s="138"/>
      <c r="M23" s="99"/>
      <c r="N23" s="100"/>
      <c r="O23" s="100"/>
      <c r="P23" s="100"/>
      <c r="Q23" s="99"/>
      <c r="R23" s="99"/>
      <c r="S23" s="99"/>
      <c r="T23" s="99"/>
      <c r="U23" s="99"/>
      <c r="V23" s="99"/>
    </row>
    <row r="24" spans="2:23" ht="18" thickTop="1" thickBot="1">
      <c r="B24" s="143"/>
      <c r="C24" s="143"/>
      <c r="D24" s="143"/>
      <c r="E24" s="143"/>
      <c r="F24" s="143"/>
      <c r="G24" s="300" t="e">
        <f ca="1">C21</f>
        <v>#VALUE!</v>
      </c>
      <c r="H24" s="301"/>
      <c r="I24" s="143"/>
      <c r="J24" s="143"/>
      <c r="K24" s="143"/>
      <c r="M24" s="99"/>
      <c r="N24" s="100"/>
      <c r="O24" s="100"/>
      <c r="P24" s="100"/>
      <c r="Q24" s="99"/>
      <c r="R24" s="99"/>
      <c r="S24" s="99"/>
      <c r="T24" s="99"/>
      <c r="U24" s="99"/>
      <c r="V24" s="99"/>
    </row>
    <row r="25" spans="2:23" ht="17" thickTop="1">
      <c r="B25" s="144"/>
      <c r="C25" s="309"/>
      <c r="D25" s="309"/>
      <c r="E25" s="309"/>
      <c r="F25" s="309"/>
      <c r="G25" s="309"/>
      <c r="H25" s="309"/>
      <c r="I25" s="309"/>
      <c r="J25" s="144"/>
      <c r="K25" s="144"/>
      <c r="M25" s="99"/>
      <c r="N25" s="100"/>
      <c r="O25" s="100"/>
      <c r="P25" s="100"/>
      <c r="Q25" s="99"/>
      <c r="R25" s="99"/>
      <c r="S25" s="99"/>
      <c r="T25" s="99"/>
      <c r="U25" s="99"/>
      <c r="V25" s="99"/>
    </row>
    <row r="26" spans="2:23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95"/>
      <c r="M26" s="99"/>
      <c r="N26" s="100"/>
      <c r="O26" s="100"/>
      <c r="P26" s="100"/>
      <c r="Q26" s="99"/>
      <c r="R26" s="99"/>
      <c r="S26" s="99"/>
      <c r="T26" s="99"/>
      <c r="U26" s="99"/>
      <c r="V26" s="99"/>
    </row>
    <row r="27" spans="2:23" ht="17" thickBot="1">
      <c r="B27" s="306"/>
      <c r="C27" s="307"/>
      <c r="D27" s="307"/>
      <c r="E27" s="307"/>
      <c r="F27" s="307"/>
      <c r="G27" s="307"/>
      <c r="H27" s="307"/>
      <c r="I27" s="308"/>
      <c r="J27" s="145"/>
      <c r="K27" s="145"/>
      <c r="L27" s="95"/>
      <c r="M27" s="99"/>
      <c r="N27" s="100"/>
      <c r="O27" s="100"/>
      <c r="P27" s="100"/>
      <c r="Q27" s="99"/>
      <c r="R27" s="99"/>
      <c r="S27" s="99"/>
      <c r="T27" s="99"/>
      <c r="U27" s="99"/>
      <c r="V27" s="99"/>
    </row>
    <row r="28" spans="2:23" ht="18" thickTop="1" thickBot="1">
      <c r="B28" s="146"/>
      <c r="C28" s="315" t="s">
        <v>26</v>
      </c>
      <c r="D28" s="315"/>
      <c r="E28" s="315"/>
      <c r="F28" s="315"/>
      <c r="G28" s="315"/>
      <c r="H28" s="315"/>
      <c r="I28" s="147"/>
      <c r="J28" s="146"/>
      <c r="K28" s="146"/>
      <c r="L28" s="95"/>
      <c r="M28" s="99"/>
      <c r="N28" s="100"/>
      <c r="O28" s="100"/>
      <c r="P28" s="100"/>
      <c r="Q28" s="99"/>
      <c r="R28" s="99"/>
      <c r="S28" s="99"/>
      <c r="T28" s="99"/>
      <c r="U28" s="99"/>
      <c r="V28" s="99"/>
    </row>
    <row r="29" spans="2:23" ht="18" thickTop="1" thickBot="1">
      <c r="B29" s="146"/>
      <c r="C29" s="314" t="e">
        <f ca="1">CONVERT(E29,"kg","lbm")</f>
        <v>#VALUE!</v>
      </c>
      <c r="D29" s="314"/>
      <c r="E29" s="318" t="e">
        <f ca="1">VLOOKUP(E23,Stats_Tables!M8:U75,2,TRUE)</f>
        <v>#VALUE!</v>
      </c>
      <c r="F29" s="318"/>
      <c r="G29" s="319" t="e">
        <f ca="1">CONCATENATE(ROUNDDOWN(C29/14,0),"st ",ROUNDUP((MOD(C29,14)),0),"lbs")</f>
        <v>#VALUE!</v>
      </c>
      <c r="H29" s="320"/>
      <c r="I29" s="147"/>
      <c r="J29" s="146"/>
      <c r="K29" s="146"/>
      <c r="L29" s="95"/>
      <c r="M29" s="99"/>
      <c r="N29" s="100"/>
      <c r="O29" s="100"/>
      <c r="P29" s="100"/>
      <c r="Q29" s="99"/>
      <c r="R29" s="99"/>
      <c r="S29" s="99"/>
      <c r="T29" s="99"/>
      <c r="U29" s="99"/>
      <c r="V29" s="99"/>
    </row>
    <row r="30" spans="2:23" ht="18" thickTop="1" thickBot="1">
      <c r="B30" s="146"/>
      <c r="C30" s="148" t="s">
        <v>22</v>
      </c>
      <c r="D30" s="316">
        <v>21.7</v>
      </c>
      <c r="E30" s="317"/>
      <c r="F30" s="148" t="s">
        <v>27</v>
      </c>
      <c r="G30" s="149" t="e">
        <f>IF(D7="cm",Stats_Tables!D10, IF(Weight_Calculator!D7="in",Stats_Tables!E10,"-"))</f>
        <v>#VALUE!</v>
      </c>
      <c r="H30" s="150" t="str">
        <f>F7</f>
        <v>In</v>
      </c>
      <c r="I30" s="147"/>
      <c r="J30" s="146"/>
      <c r="K30" s="146"/>
      <c r="M30" s="99"/>
      <c r="N30" s="100"/>
      <c r="O30" s="100"/>
      <c r="P30" s="100"/>
      <c r="Q30" s="99"/>
      <c r="R30" s="99"/>
      <c r="S30" s="99"/>
      <c r="T30" s="99"/>
      <c r="U30" s="99"/>
      <c r="V30" s="99"/>
      <c r="W30" s="95"/>
    </row>
    <row r="31" spans="2:23" ht="17" thickTop="1">
      <c r="B31" s="151"/>
      <c r="C31" s="152"/>
      <c r="D31" s="152"/>
      <c r="E31" s="152"/>
      <c r="F31" s="152"/>
      <c r="G31" s="152"/>
      <c r="H31" s="152"/>
      <c r="I31" s="152"/>
      <c r="J31" s="152"/>
      <c r="K31" s="152"/>
      <c r="L31" s="95"/>
      <c r="M31" s="99"/>
      <c r="N31" s="100"/>
      <c r="O31" s="100"/>
      <c r="P31" s="100"/>
      <c r="Q31" s="99"/>
      <c r="R31" s="99"/>
      <c r="S31" s="99"/>
      <c r="T31" s="99"/>
      <c r="U31" s="99"/>
      <c r="V31" s="99"/>
    </row>
    <row r="32" spans="2:23">
      <c r="B32" s="151"/>
      <c r="C32" s="152"/>
      <c r="D32" s="152"/>
      <c r="E32" s="152"/>
      <c r="F32" s="152"/>
      <c r="G32" s="152"/>
      <c r="H32" s="152"/>
      <c r="I32" s="152"/>
      <c r="J32" s="152"/>
      <c r="K32" s="152"/>
      <c r="L32" s="95"/>
      <c r="M32" s="99"/>
      <c r="N32" s="100"/>
      <c r="O32" s="100"/>
      <c r="P32" s="100"/>
      <c r="Q32" s="99"/>
      <c r="R32" s="99"/>
      <c r="S32" s="99"/>
      <c r="T32" s="99"/>
      <c r="U32" s="99"/>
      <c r="V32" s="99"/>
    </row>
    <row r="33" spans="2:21" ht="17" thickBot="1">
      <c r="C33" s="153"/>
      <c r="G33" s="154"/>
      <c r="H33" s="95"/>
      <c r="I33" s="95"/>
      <c r="J33" s="95"/>
      <c r="K33" s="95"/>
      <c r="L33" s="95"/>
    </row>
    <row r="34" spans="2:21" s="162" customFormat="1" ht="29" thickTop="1">
      <c r="B34" s="155"/>
      <c r="C34" s="156" t="str">
        <f>"Week "&amp; Stats_Tables!$AN5</f>
        <v>Week 1</v>
      </c>
      <c r="D34" s="157" t="s">
        <v>4</v>
      </c>
      <c r="E34" s="158" t="s">
        <v>22</v>
      </c>
      <c r="F34" s="159" t="s">
        <v>28</v>
      </c>
      <c r="G34" s="160"/>
      <c r="H34" s="156" t="str">
        <f>"Week "&amp; Stats_Tables!$AN6</f>
        <v>Week 2</v>
      </c>
      <c r="I34" s="157" t="s">
        <v>4</v>
      </c>
      <c r="J34" s="158" t="s">
        <v>22</v>
      </c>
      <c r="K34" s="159" t="s">
        <v>28</v>
      </c>
      <c r="L34" s="161"/>
      <c r="M34" s="156" t="str">
        <f>"Week " &amp;Stats_Tables!AN31</f>
        <v>Week 27</v>
      </c>
      <c r="N34" s="157" t="s">
        <v>4</v>
      </c>
      <c r="O34" s="158" t="s">
        <v>22</v>
      </c>
      <c r="P34" s="159" t="s">
        <v>28</v>
      </c>
      <c r="Q34" s="160"/>
      <c r="R34" s="156" t="str">
        <f>"Week " &amp;Stats_Tables!$AN32</f>
        <v>Week 28</v>
      </c>
      <c r="S34" s="157" t="s">
        <v>4</v>
      </c>
      <c r="T34" s="158" t="s">
        <v>22</v>
      </c>
      <c r="U34" s="159" t="s">
        <v>28</v>
      </c>
    </row>
    <row r="35" spans="2:21" s="162" customFormat="1" ht="17" thickBot="1">
      <c r="B35" s="155"/>
      <c r="C35" s="163">
        <f ca="1">TODAY()+Stats_Tables!$AM5</f>
        <v>45488</v>
      </c>
      <c r="D35" s="164" t="e">
        <f ca="1">IF($D$6="Kilograms",Stats_Tables!$AL5, IF($D$6="Pounds",Stats_Tables!$AB5, IF($D$6="Stone",Stats_Tables!$AC5, "")))</f>
        <v>#N/A</v>
      </c>
      <c r="E35" s="165" t="e">
        <f ca="1">Stats_Tables!$AE5</f>
        <v>#N/A</v>
      </c>
      <c r="F35" s="166" t="e">
        <f ca="1">VLOOKUP(Stats_Tables!$D$12,Stats_Tables!$C$13:$F$16,4,0)*Stats_Tables!$AF5</f>
        <v>#N/A</v>
      </c>
      <c r="G35" s="167"/>
      <c r="H35" s="163">
        <f ca="1">TODAY()+Stats_Tables!$AM6</f>
        <v>45495</v>
      </c>
      <c r="I35" s="164" t="e">
        <f ca="1">IF($D$6="Kilograms",Stats_Tables!$AL6, IF($D$6="Pounds",Stats_Tables!$AB6, IF($D$6="Stone",Stats_Tables!$AC6, "")))</f>
        <v>#N/A</v>
      </c>
      <c r="J35" s="165" t="e">
        <f ca="1">Stats_Tables!$AE6</f>
        <v>#N/A</v>
      </c>
      <c r="K35" s="166" t="e">
        <f ca="1">VLOOKUP(Stats_Tables!$D$12,Stats_Tables!$C$13:$F$16,4,0)*Stats_Tables!$AF6</f>
        <v>#N/A</v>
      </c>
      <c r="L35" s="167"/>
      <c r="M35" s="163">
        <f ca="1">TODAY()+Stats_Tables!$AM31</f>
        <v>45670</v>
      </c>
      <c r="N35" s="164" t="e">
        <f ca="1">IF($D$6="Kilograms",Stats_Tables!$AL31, IF($D$6="Pounds",Stats_Tables!$AB31, IF($D$6="Stone",Stats_Tables!$AC31, "")))</f>
        <v>#N/A</v>
      </c>
      <c r="O35" s="165" t="e">
        <f ca="1">Stats_Tables!$AE31</f>
        <v>#N/A</v>
      </c>
      <c r="P35" s="166" t="e">
        <f ca="1">VLOOKUP(Stats_Tables!$D$12,Stats_Tables!$C$13:$F$16,4,0)*Stats_Tables!$AF31</f>
        <v>#N/A</v>
      </c>
      <c r="Q35" s="167"/>
      <c r="R35" s="163">
        <f ca="1">TODAY()+Stats_Tables!$AM32</f>
        <v>45677</v>
      </c>
      <c r="S35" s="164" t="e">
        <f ca="1">IF($D$6="Kilograms",Stats_Tables!$AL32, IF($D$6="Pounds",Stats_Tables!$AB32, IF($D$6="Stone",Stats_Tables!$AC32, "")))</f>
        <v>#N/A</v>
      </c>
      <c r="T35" s="165" t="e">
        <f ca="1">Stats_Tables!$AE32</f>
        <v>#N/A</v>
      </c>
      <c r="U35" s="166" t="e">
        <f ca="1">VLOOKUP(Stats_Tables!$D$12,Stats_Tables!$C$13:$F$16,4,0)*Stats_Tables!$AF32</f>
        <v>#N/A</v>
      </c>
    </row>
    <row r="36" spans="2:21" s="162" customFormat="1" ht="18" thickTop="1" thickBot="1">
      <c r="B36" s="155"/>
      <c r="C36" s="167"/>
      <c r="D36" s="167"/>
      <c r="E36" s="167"/>
      <c r="F36" s="167"/>
      <c r="G36" s="168"/>
      <c r="H36" s="161"/>
      <c r="I36" s="161"/>
      <c r="J36" s="161"/>
      <c r="K36" s="161"/>
      <c r="L36" s="167"/>
      <c r="M36" s="167"/>
      <c r="N36" s="167"/>
      <c r="O36" s="167"/>
      <c r="P36" s="167"/>
      <c r="Q36" s="168"/>
      <c r="R36" s="161"/>
      <c r="S36" s="161"/>
      <c r="T36" s="161"/>
      <c r="U36" s="161"/>
    </row>
    <row r="37" spans="2:21" s="162" customFormat="1" ht="29" thickTop="1">
      <c r="B37" s="155"/>
      <c r="C37" s="156" t="str">
        <f>"Week " &amp;Stats_Tables!AN7</f>
        <v>Week 3</v>
      </c>
      <c r="D37" s="157" t="s">
        <v>4</v>
      </c>
      <c r="E37" s="158" t="s">
        <v>22</v>
      </c>
      <c r="F37" s="159" t="s">
        <v>28</v>
      </c>
      <c r="G37" s="160"/>
      <c r="H37" s="156" t="str">
        <f>"Week " &amp;Stats_Tables!$AN8</f>
        <v>Week 4</v>
      </c>
      <c r="I37" s="157" t="s">
        <v>4</v>
      </c>
      <c r="J37" s="158" t="s">
        <v>22</v>
      </c>
      <c r="K37" s="159" t="s">
        <v>28</v>
      </c>
      <c r="L37" s="167"/>
      <c r="M37" s="156" t="str">
        <f>"Week "&amp; Stats_Tables!$AN33</f>
        <v>Week 29</v>
      </c>
      <c r="N37" s="157" t="s">
        <v>4</v>
      </c>
      <c r="O37" s="158" t="s">
        <v>22</v>
      </c>
      <c r="P37" s="159" t="s">
        <v>28</v>
      </c>
      <c r="Q37" s="160"/>
      <c r="R37" s="156" t="str">
        <f>"Week "&amp; Stats_Tables!$AN34</f>
        <v>Week 30</v>
      </c>
      <c r="S37" s="157" t="s">
        <v>4</v>
      </c>
      <c r="T37" s="158" t="s">
        <v>22</v>
      </c>
      <c r="U37" s="159" t="s">
        <v>28</v>
      </c>
    </row>
    <row r="38" spans="2:21" s="162" customFormat="1" ht="17" thickBot="1">
      <c r="B38" s="155"/>
      <c r="C38" s="163">
        <f ca="1">TODAY()+Stats_Tables!$AM7</f>
        <v>45502</v>
      </c>
      <c r="D38" s="164" t="e">
        <f ca="1">IF($D$6="Kilograms",Stats_Tables!$AL7, IF($D$6="Pounds",Stats_Tables!$AB7, IF($D$6="Stone",Stats_Tables!$AC7, "")))</f>
        <v>#N/A</v>
      </c>
      <c r="E38" s="165" t="e">
        <f ca="1">Stats_Tables!$AE7</f>
        <v>#N/A</v>
      </c>
      <c r="F38" s="166" t="e">
        <f ca="1">VLOOKUP(Stats_Tables!$D$12,Stats_Tables!$C$13:$F$16,4,0)*Stats_Tables!$AF7</f>
        <v>#N/A</v>
      </c>
      <c r="G38" s="167"/>
      <c r="H38" s="163">
        <f ca="1">TODAY()+Stats_Tables!$AM8</f>
        <v>45509</v>
      </c>
      <c r="I38" s="164" t="e">
        <f ca="1">IF($D$6="Kilograms",Stats_Tables!$AL8, IF($D$6="Pounds",Stats_Tables!$AB8, IF($D$6="Stone",Stats_Tables!$AC8, "")))</f>
        <v>#N/A</v>
      </c>
      <c r="J38" s="165" t="e">
        <f ca="1">Stats_Tables!$AE8</f>
        <v>#N/A</v>
      </c>
      <c r="K38" s="166" t="e">
        <f ca="1">VLOOKUP(Stats_Tables!$D$12,Stats_Tables!$C$13:$F$16,4,0)*Stats_Tables!$AF8</f>
        <v>#N/A</v>
      </c>
      <c r="L38" s="167"/>
      <c r="M38" s="163">
        <f ca="1">TODAY()+Stats_Tables!$AM33</f>
        <v>45684</v>
      </c>
      <c r="N38" s="164" t="e">
        <f ca="1">IF($D$6="Kilograms",Stats_Tables!$AL33, IF($D$6="Pounds",Stats_Tables!$AB33, IF($D$6="Stone",Stats_Tables!$AC33, "")))</f>
        <v>#N/A</v>
      </c>
      <c r="O38" s="165" t="e">
        <f ca="1">Stats_Tables!$AE33</f>
        <v>#N/A</v>
      </c>
      <c r="P38" s="166" t="e">
        <f ca="1">VLOOKUP(Stats_Tables!$D$12,Stats_Tables!$C$13:$F$16,4,0)*Stats_Tables!$AF33</f>
        <v>#N/A</v>
      </c>
      <c r="Q38" s="167"/>
      <c r="R38" s="163">
        <f ca="1">TODAY()+Stats_Tables!$AM34</f>
        <v>45691</v>
      </c>
      <c r="S38" s="164" t="e">
        <f ca="1">IF($D$6="Kilograms",Stats_Tables!$AL34, IF($D$6="Pounds",Stats_Tables!$AB34, IF($D$6="Stone",Stats_Tables!$AC34, "")))</f>
        <v>#N/A</v>
      </c>
      <c r="T38" s="165" t="e">
        <f ca="1">Stats_Tables!$AE34</f>
        <v>#N/A</v>
      </c>
      <c r="U38" s="166" t="e">
        <f ca="1">VLOOKUP(Stats_Tables!$D$12,Stats_Tables!$C$13:$F$16,4,0)*Stats_Tables!$AF34</f>
        <v>#N/A</v>
      </c>
    </row>
    <row r="39" spans="2:21" s="162" customFormat="1" ht="18" thickTop="1" thickBot="1">
      <c r="B39" s="155"/>
      <c r="C39" s="167"/>
      <c r="D39" s="167"/>
      <c r="E39" s="167"/>
      <c r="F39" s="167"/>
      <c r="G39" s="168"/>
      <c r="H39" s="161"/>
      <c r="I39" s="161"/>
      <c r="J39" s="161"/>
      <c r="K39" s="161"/>
      <c r="L39" s="167"/>
      <c r="M39" s="167"/>
      <c r="N39" s="167"/>
      <c r="O39" s="167"/>
      <c r="P39" s="167"/>
      <c r="Q39" s="168"/>
      <c r="R39" s="161"/>
      <c r="S39" s="161"/>
      <c r="T39" s="161"/>
      <c r="U39" s="161"/>
    </row>
    <row r="40" spans="2:21" s="162" customFormat="1" ht="29" thickTop="1">
      <c r="B40" s="155"/>
      <c r="C40" s="156" t="str">
        <f>"Week "&amp; Stats_Tables!$AN9</f>
        <v>Week 5</v>
      </c>
      <c r="D40" s="157" t="s">
        <v>4</v>
      </c>
      <c r="E40" s="158" t="s">
        <v>22</v>
      </c>
      <c r="F40" s="159" t="s">
        <v>28</v>
      </c>
      <c r="G40" s="160"/>
      <c r="H40" s="156" t="str">
        <f>"Week "&amp; Stats_Tables!$AN10</f>
        <v>Week 6</v>
      </c>
      <c r="I40" s="157" t="s">
        <v>4</v>
      </c>
      <c r="J40" s="158" t="s">
        <v>22</v>
      </c>
      <c r="K40" s="159" t="s">
        <v>28</v>
      </c>
      <c r="L40" s="167"/>
      <c r="M40" s="156" t="str">
        <f>"Week " &amp;Stats_Tables!AN35</f>
        <v>Week 31</v>
      </c>
      <c r="N40" s="157" t="s">
        <v>4</v>
      </c>
      <c r="O40" s="158" t="s">
        <v>22</v>
      </c>
      <c r="P40" s="159" t="s">
        <v>28</v>
      </c>
      <c r="Q40" s="160"/>
      <c r="R40" s="156" t="str">
        <f>"Week " &amp;Stats_Tables!$AN36</f>
        <v>Week 32</v>
      </c>
      <c r="S40" s="157" t="s">
        <v>4</v>
      </c>
      <c r="T40" s="158" t="s">
        <v>22</v>
      </c>
      <c r="U40" s="159" t="s">
        <v>28</v>
      </c>
    </row>
    <row r="41" spans="2:21" s="162" customFormat="1" ht="17" thickBot="1">
      <c r="B41" s="155"/>
      <c r="C41" s="163">
        <f ca="1">TODAY()+Stats_Tables!$AM9</f>
        <v>45516</v>
      </c>
      <c r="D41" s="164" t="e">
        <f ca="1">IF($D$6="Kilograms",Stats_Tables!$AL9, IF($D$6="Pounds",Stats_Tables!$AB9, IF($D$6="Stone",Stats_Tables!$AC9, "")))</f>
        <v>#N/A</v>
      </c>
      <c r="E41" s="165" t="e">
        <f ca="1">Stats_Tables!$AE9</f>
        <v>#N/A</v>
      </c>
      <c r="F41" s="166" t="e">
        <f ca="1">VLOOKUP(Stats_Tables!$D$12,Stats_Tables!$C$13:$F$16,4,0)*Stats_Tables!$AF9</f>
        <v>#N/A</v>
      </c>
      <c r="G41" s="167"/>
      <c r="H41" s="163">
        <f ca="1">TODAY()+Stats_Tables!$AM10</f>
        <v>45523</v>
      </c>
      <c r="I41" s="164" t="e">
        <f ca="1">IF($D$6="Kilograms",Stats_Tables!$AL10, IF($D$6="Pounds",Stats_Tables!$AB10, IF($D$6="Stone",Stats_Tables!$AC10, "")))</f>
        <v>#N/A</v>
      </c>
      <c r="J41" s="165" t="e">
        <f ca="1">Stats_Tables!$AE10</f>
        <v>#N/A</v>
      </c>
      <c r="K41" s="166" t="e">
        <f ca="1">VLOOKUP(Stats_Tables!$D$12,Stats_Tables!$C$13:$F$16,4,0)*Stats_Tables!$AF10</f>
        <v>#N/A</v>
      </c>
      <c r="L41" s="167"/>
      <c r="M41" s="163">
        <f ca="1">TODAY()+Stats_Tables!$AM35</f>
        <v>45698</v>
      </c>
      <c r="N41" s="164" t="e">
        <f ca="1">IF($D$6="Kilograms",Stats_Tables!$AL35, IF($D$6="Pounds",Stats_Tables!$AB35, IF($D$6="Stone",Stats_Tables!$AC35, "")))</f>
        <v>#N/A</v>
      </c>
      <c r="O41" s="165" t="e">
        <f ca="1">Stats_Tables!$AE35</f>
        <v>#N/A</v>
      </c>
      <c r="P41" s="166" t="e">
        <f ca="1">VLOOKUP(Stats_Tables!$D$12,Stats_Tables!$C$13:$F$16,4,0)*Stats_Tables!$AF35</f>
        <v>#N/A</v>
      </c>
      <c r="Q41" s="167"/>
      <c r="R41" s="163">
        <f ca="1">TODAY()+Stats_Tables!$AM36</f>
        <v>45705</v>
      </c>
      <c r="S41" s="164" t="e">
        <f ca="1">IF($D$6="Kilograms",Stats_Tables!$AL36, IF($D$6="Pounds",Stats_Tables!$AB36, IF($D$6="Stone",Stats_Tables!$AC36, "")))</f>
        <v>#N/A</v>
      </c>
      <c r="T41" s="165" t="e">
        <f ca="1">Stats_Tables!$AE36</f>
        <v>#N/A</v>
      </c>
      <c r="U41" s="166" t="e">
        <f ca="1">VLOOKUP(Stats_Tables!$D$12,Stats_Tables!$C$13:$F$16,4,0)*Stats_Tables!$AF36</f>
        <v>#N/A</v>
      </c>
    </row>
    <row r="42" spans="2:21" s="162" customFormat="1" ht="18" thickTop="1" thickBot="1">
      <c r="B42" s="155"/>
      <c r="C42" s="167"/>
      <c r="D42" s="167"/>
      <c r="E42" s="167"/>
      <c r="F42" s="167"/>
      <c r="G42" s="168"/>
      <c r="H42" s="161"/>
      <c r="I42" s="161"/>
      <c r="J42" s="161"/>
      <c r="K42" s="161"/>
      <c r="L42" s="167"/>
      <c r="M42" s="167"/>
      <c r="N42" s="167"/>
      <c r="O42" s="167"/>
      <c r="P42" s="167"/>
      <c r="Q42" s="168"/>
      <c r="R42" s="161"/>
      <c r="S42" s="161"/>
      <c r="T42" s="161"/>
      <c r="U42" s="161"/>
    </row>
    <row r="43" spans="2:21" s="162" customFormat="1" ht="29" thickTop="1">
      <c r="B43" s="155"/>
      <c r="C43" s="156" t="str">
        <f>"Week " &amp;Stats_Tables!AN11</f>
        <v>Week 7</v>
      </c>
      <c r="D43" s="157" t="s">
        <v>4</v>
      </c>
      <c r="E43" s="158" t="s">
        <v>22</v>
      </c>
      <c r="F43" s="159" t="s">
        <v>28</v>
      </c>
      <c r="G43" s="160"/>
      <c r="H43" s="156" t="str">
        <f>"Week " &amp;Stats_Tables!$AN12</f>
        <v>Week 8</v>
      </c>
      <c r="I43" s="157" t="s">
        <v>4</v>
      </c>
      <c r="J43" s="158" t="s">
        <v>22</v>
      </c>
      <c r="K43" s="159" t="s">
        <v>28</v>
      </c>
      <c r="L43" s="167"/>
      <c r="M43" s="156" t="str">
        <f>"Week "&amp; Stats_Tables!$AN37</f>
        <v>Week 33</v>
      </c>
      <c r="N43" s="157" t="s">
        <v>4</v>
      </c>
      <c r="O43" s="158" t="s">
        <v>22</v>
      </c>
      <c r="P43" s="159" t="s">
        <v>28</v>
      </c>
      <c r="Q43" s="160"/>
      <c r="R43" s="156" t="str">
        <f>"Week "&amp; Stats_Tables!$AN38</f>
        <v>Week 34</v>
      </c>
      <c r="S43" s="157" t="s">
        <v>4</v>
      </c>
      <c r="T43" s="158" t="s">
        <v>22</v>
      </c>
      <c r="U43" s="159" t="s">
        <v>28</v>
      </c>
    </row>
    <row r="44" spans="2:21" s="162" customFormat="1" ht="17" thickBot="1">
      <c r="B44" s="155"/>
      <c r="C44" s="163">
        <f ca="1">TODAY()+Stats_Tables!$AM11</f>
        <v>45530</v>
      </c>
      <c r="D44" s="164" t="e">
        <f ca="1">IF($D$6="Kilograms",Stats_Tables!$AL11, IF($D$6="Pounds",Stats_Tables!$AB11, IF($D$6="Stone",Stats_Tables!$AC11, "")))</f>
        <v>#N/A</v>
      </c>
      <c r="E44" s="165" t="e">
        <f ca="1">Stats_Tables!$AE11</f>
        <v>#N/A</v>
      </c>
      <c r="F44" s="166" t="e">
        <f ca="1">VLOOKUP(Stats_Tables!$D$12,Stats_Tables!$C$13:$F$16,4,0)*Stats_Tables!$AF11</f>
        <v>#N/A</v>
      </c>
      <c r="G44" s="167"/>
      <c r="H44" s="163">
        <f ca="1">TODAY()+Stats_Tables!$AM12</f>
        <v>45537</v>
      </c>
      <c r="I44" s="164" t="e">
        <f ca="1">IF($D$6="Kilograms",Stats_Tables!$AL12, IF($D$6="Pounds",Stats_Tables!$AB12, IF($D$6="Stone",Stats_Tables!$AC12, "")))</f>
        <v>#N/A</v>
      </c>
      <c r="J44" s="165" t="e">
        <f ca="1">Stats_Tables!$AE12</f>
        <v>#N/A</v>
      </c>
      <c r="K44" s="166" t="e">
        <f ca="1">VLOOKUP(Stats_Tables!$D$12,Stats_Tables!$C$13:$F$16,4,0)*Stats_Tables!$AF12</f>
        <v>#N/A</v>
      </c>
      <c r="L44" s="167"/>
      <c r="M44" s="163">
        <f ca="1">TODAY()+Stats_Tables!$AM37</f>
        <v>45712</v>
      </c>
      <c r="N44" s="164" t="e">
        <f ca="1">IF($D$6="Kilograms",Stats_Tables!$AL37, IF($D$6="Pounds",Stats_Tables!$AB37, IF($D$6="Stone",Stats_Tables!$AC37, "")))</f>
        <v>#N/A</v>
      </c>
      <c r="O44" s="165" t="e">
        <f ca="1">Stats_Tables!$AE37</f>
        <v>#N/A</v>
      </c>
      <c r="P44" s="166" t="e">
        <f ca="1">VLOOKUP(Stats_Tables!$D$12,Stats_Tables!$C$13:$F$16,4,0)*Stats_Tables!$AF37</f>
        <v>#N/A</v>
      </c>
      <c r="Q44" s="167"/>
      <c r="R44" s="163">
        <f ca="1">TODAY()+Stats_Tables!$AM38</f>
        <v>45719</v>
      </c>
      <c r="S44" s="164" t="e">
        <f ca="1">IF($D$6="Kilograms",Stats_Tables!$AL38, IF($D$6="Pounds",Stats_Tables!$AB38, IF($D$6="Stone",Stats_Tables!$AC38, "")))</f>
        <v>#N/A</v>
      </c>
      <c r="T44" s="165" t="e">
        <f ca="1">Stats_Tables!$AE38</f>
        <v>#N/A</v>
      </c>
      <c r="U44" s="166" t="e">
        <f ca="1">VLOOKUP(Stats_Tables!$D$12,Stats_Tables!$C$13:$F$16,4,0)*Stats_Tables!$AF38</f>
        <v>#N/A</v>
      </c>
    </row>
    <row r="45" spans="2:21" s="162" customFormat="1" ht="18" thickTop="1" thickBot="1">
      <c r="B45" s="155"/>
      <c r="C45" s="167"/>
      <c r="D45" s="167"/>
      <c r="E45" s="167"/>
      <c r="F45" s="167"/>
      <c r="G45" s="168"/>
      <c r="H45" s="161"/>
      <c r="I45" s="161"/>
      <c r="J45" s="161"/>
      <c r="K45" s="161"/>
      <c r="L45" s="167"/>
      <c r="M45" s="167"/>
      <c r="N45" s="167"/>
      <c r="O45" s="167"/>
      <c r="P45" s="167"/>
      <c r="Q45" s="168"/>
      <c r="R45" s="161"/>
      <c r="S45" s="161"/>
      <c r="T45" s="161"/>
      <c r="U45" s="161"/>
    </row>
    <row r="46" spans="2:21" s="162" customFormat="1" ht="29" thickTop="1">
      <c r="B46" s="155"/>
      <c r="C46" s="156" t="str">
        <f>"Week "&amp; Stats_Tables!$AN13</f>
        <v>Week 9</v>
      </c>
      <c r="D46" s="157" t="s">
        <v>4</v>
      </c>
      <c r="E46" s="158" t="s">
        <v>22</v>
      </c>
      <c r="F46" s="159" t="s">
        <v>28</v>
      </c>
      <c r="G46" s="160"/>
      <c r="H46" s="156" t="str">
        <f>"Week "&amp; Stats_Tables!$AN14</f>
        <v>Week 10</v>
      </c>
      <c r="I46" s="157" t="s">
        <v>4</v>
      </c>
      <c r="J46" s="158" t="s">
        <v>22</v>
      </c>
      <c r="K46" s="159" t="s">
        <v>28</v>
      </c>
      <c r="L46" s="167"/>
      <c r="M46" s="156" t="str">
        <f>"Week " &amp;Stats_Tables!AN39</f>
        <v>Week 35</v>
      </c>
      <c r="N46" s="157" t="s">
        <v>4</v>
      </c>
      <c r="O46" s="158" t="s">
        <v>22</v>
      </c>
      <c r="P46" s="159" t="s">
        <v>28</v>
      </c>
      <c r="Q46" s="160"/>
      <c r="R46" s="156" t="str">
        <f>"Week " &amp;Stats_Tables!$AN40</f>
        <v>Week 36</v>
      </c>
      <c r="S46" s="157" t="s">
        <v>4</v>
      </c>
      <c r="T46" s="158" t="s">
        <v>22</v>
      </c>
      <c r="U46" s="159" t="s">
        <v>28</v>
      </c>
    </row>
    <row r="47" spans="2:21" s="162" customFormat="1" ht="17" thickBot="1">
      <c r="B47" s="155"/>
      <c r="C47" s="163">
        <f ca="1">TODAY()+Stats_Tables!$AM13</f>
        <v>45544</v>
      </c>
      <c r="D47" s="164" t="e">
        <f ca="1">IF($D$6="Kilograms",Stats_Tables!$AL13, IF($D$6="Pounds",Stats_Tables!$AB13, IF($D$6="Stone",Stats_Tables!$AC13, "")))</f>
        <v>#N/A</v>
      </c>
      <c r="E47" s="165" t="e">
        <f ca="1">Stats_Tables!$AE13</f>
        <v>#N/A</v>
      </c>
      <c r="F47" s="166" t="e">
        <f ca="1">VLOOKUP(Stats_Tables!$D$12,Stats_Tables!$C$13:$F$16,4,0)*Stats_Tables!$AF13</f>
        <v>#N/A</v>
      </c>
      <c r="G47" s="167"/>
      <c r="H47" s="163">
        <f ca="1">TODAY()+Stats_Tables!$AM14</f>
        <v>45551</v>
      </c>
      <c r="I47" s="164" t="e">
        <f ca="1">IF($D$6="Kilograms",Stats_Tables!$AL14, IF($D$6="Pounds",Stats_Tables!$AB14, IF($D$6="Stone",Stats_Tables!$AC14, "")))</f>
        <v>#N/A</v>
      </c>
      <c r="J47" s="165" t="e">
        <f ca="1">Stats_Tables!$AE14</f>
        <v>#N/A</v>
      </c>
      <c r="K47" s="166" t="e">
        <f ca="1">VLOOKUP(Stats_Tables!$D$12,Stats_Tables!$C$13:$F$16,4,0)*Stats_Tables!$AF14</f>
        <v>#N/A</v>
      </c>
      <c r="L47" s="167"/>
      <c r="M47" s="163">
        <f ca="1">TODAY()+Stats_Tables!$AM39</f>
        <v>45726</v>
      </c>
      <c r="N47" s="164" t="e">
        <f ca="1">IF($D$6="Kilograms",Stats_Tables!$AL39, IF($D$6="Pounds",Stats_Tables!$AB39, IF($D$6="Stone",Stats_Tables!$AC39, "")))</f>
        <v>#N/A</v>
      </c>
      <c r="O47" s="165" t="e">
        <f ca="1">Stats_Tables!$AE39</f>
        <v>#N/A</v>
      </c>
      <c r="P47" s="166" t="e">
        <f ca="1">VLOOKUP(Stats_Tables!$D$12,Stats_Tables!$C$13:$F$16,4,0)*Stats_Tables!$AF39</f>
        <v>#N/A</v>
      </c>
      <c r="Q47" s="167"/>
      <c r="R47" s="163">
        <f ca="1">TODAY()+Stats_Tables!$AM40</f>
        <v>45733</v>
      </c>
      <c r="S47" s="164" t="e">
        <f ca="1">IF($D$6="Kilograms",Stats_Tables!$AL40, IF($D$6="Pounds",Stats_Tables!$AB40, IF($D$6="Stone",Stats_Tables!$AC40, "")))</f>
        <v>#N/A</v>
      </c>
      <c r="T47" s="165" t="e">
        <f ca="1">Stats_Tables!$AE40</f>
        <v>#N/A</v>
      </c>
      <c r="U47" s="166" t="e">
        <f ca="1">VLOOKUP(Stats_Tables!$D$12,Stats_Tables!$C$13:$F$16,4,0)*Stats_Tables!$AF40</f>
        <v>#N/A</v>
      </c>
    </row>
    <row r="48" spans="2:21" s="162" customFormat="1" ht="18" thickTop="1" thickBot="1">
      <c r="B48" s="155"/>
      <c r="C48" s="167"/>
      <c r="D48" s="167"/>
      <c r="E48" s="167"/>
      <c r="F48" s="167"/>
      <c r="G48" s="168"/>
      <c r="H48" s="161"/>
      <c r="I48" s="161"/>
      <c r="J48" s="161"/>
      <c r="K48" s="161"/>
      <c r="L48" s="167"/>
      <c r="M48" s="167"/>
      <c r="N48" s="167"/>
      <c r="O48" s="167"/>
      <c r="P48" s="167"/>
      <c r="Q48" s="168"/>
      <c r="R48" s="161"/>
      <c r="S48" s="161"/>
      <c r="T48" s="161"/>
      <c r="U48" s="161"/>
    </row>
    <row r="49" spans="2:21" s="162" customFormat="1" ht="29" thickTop="1">
      <c r="B49" s="155"/>
      <c r="C49" s="156" t="str">
        <f>"Week " &amp;Stats_Tables!AN15</f>
        <v>Week 11</v>
      </c>
      <c r="D49" s="157" t="s">
        <v>4</v>
      </c>
      <c r="E49" s="158" t="s">
        <v>22</v>
      </c>
      <c r="F49" s="159" t="s">
        <v>28</v>
      </c>
      <c r="G49" s="160"/>
      <c r="H49" s="156" t="str">
        <f>"Week " &amp;Stats_Tables!$AN16</f>
        <v>Week 12</v>
      </c>
      <c r="I49" s="157" t="s">
        <v>4</v>
      </c>
      <c r="J49" s="158" t="s">
        <v>22</v>
      </c>
      <c r="K49" s="159" t="s">
        <v>28</v>
      </c>
      <c r="L49" s="167"/>
      <c r="M49" s="156" t="str">
        <f>"Week "&amp; Stats_Tables!$AN41</f>
        <v>Week 37</v>
      </c>
      <c r="N49" s="157" t="s">
        <v>4</v>
      </c>
      <c r="O49" s="158" t="s">
        <v>22</v>
      </c>
      <c r="P49" s="159" t="s">
        <v>28</v>
      </c>
      <c r="Q49" s="160"/>
      <c r="R49" s="156" t="str">
        <f>"Week "&amp; Stats_Tables!$AN42</f>
        <v>Week 38</v>
      </c>
      <c r="S49" s="157" t="s">
        <v>4</v>
      </c>
      <c r="T49" s="158" t="s">
        <v>22</v>
      </c>
      <c r="U49" s="159" t="s">
        <v>28</v>
      </c>
    </row>
    <row r="50" spans="2:21" s="162" customFormat="1" ht="17" thickBot="1">
      <c r="B50" s="155"/>
      <c r="C50" s="163">
        <f ca="1">TODAY()+Stats_Tables!$AM15</f>
        <v>45558</v>
      </c>
      <c r="D50" s="164" t="e">
        <f ca="1">IF($D$6="Kilograms",Stats_Tables!$AL15, IF($D$6="Pounds",Stats_Tables!$AB15, IF($D$6="Stone",Stats_Tables!$AC15, "")))</f>
        <v>#N/A</v>
      </c>
      <c r="E50" s="165" t="e">
        <f ca="1">Stats_Tables!$AE15</f>
        <v>#N/A</v>
      </c>
      <c r="F50" s="166" t="e">
        <f ca="1">VLOOKUP(Stats_Tables!$D$12,Stats_Tables!$C$13:$F$16,4,0)*Stats_Tables!$AF15</f>
        <v>#N/A</v>
      </c>
      <c r="G50" s="167"/>
      <c r="H50" s="163">
        <f ca="1">TODAY()+Stats_Tables!$AM16</f>
        <v>45565</v>
      </c>
      <c r="I50" s="164" t="e">
        <f ca="1">IF($D$6="Kilograms",Stats_Tables!$AL16, IF($D$6="Pounds",Stats_Tables!$AB16, IF($D$6="Stone",Stats_Tables!$AC16, "")))</f>
        <v>#N/A</v>
      </c>
      <c r="J50" s="165" t="e">
        <f ca="1">Stats_Tables!$AE16</f>
        <v>#N/A</v>
      </c>
      <c r="K50" s="166" t="e">
        <f ca="1">VLOOKUP(Stats_Tables!$D$12,Stats_Tables!$C$13:$F$16,4,0)*Stats_Tables!$AF16</f>
        <v>#N/A</v>
      </c>
      <c r="L50" s="167"/>
      <c r="M50" s="163">
        <f ca="1">TODAY()+Stats_Tables!$AM41</f>
        <v>45740</v>
      </c>
      <c r="N50" s="164" t="e">
        <f ca="1">IF($D$6="Kilograms",Stats_Tables!$AL41, IF($D$6="Pounds",Stats_Tables!$AB41, IF($D$6="Stone",Stats_Tables!$AC41, "")))</f>
        <v>#N/A</v>
      </c>
      <c r="O50" s="165" t="e">
        <f ca="1">Stats_Tables!$AE41</f>
        <v>#N/A</v>
      </c>
      <c r="P50" s="166" t="e">
        <f ca="1">VLOOKUP(Stats_Tables!$D$12,Stats_Tables!$C$13:$F$16,4,0)*Stats_Tables!$AF41</f>
        <v>#N/A</v>
      </c>
      <c r="Q50" s="167"/>
      <c r="R50" s="163">
        <f ca="1">TODAY()+Stats_Tables!$AM42</f>
        <v>45747</v>
      </c>
      <c r="S50" s="164" t="e">
        <f ca="1">IF($D$6="Kilograms",Stats_Tables!$AL42, IF($D$6="Pounds",Stats_Tables!$AB42, IF($D$6="Stone",Stats_Tables!$AC42, "")))</f>
        <v>#N/A</v>
      </c>
      <c r="T50" s="165" t="e">
        <f ca="1">Stats_Tables!$AE42</f>
        <v>#N/A</v>
      </c>
      <c r="U50" s="166" t="e">
        <f ca="1">VLOOKUP(Stats_Tables!$D$12,Stats_Tables!$C$13:$F$16,4,0)*Stats_Tables!$AF42</f>
        <v>#N/A</v>
      </c>
    </row>
    <row r="51" spans="2:21" s="162" customFormat="1" ht="18" thickTop="1" thickBot="1">
      <c r="B51" s="155"/>
      <c r="C51" s="167"/>
      <c r="D51" s="167"/>
      <c r="E51" s="167"/>
      <c r="F51" s="167"/>
      <c r="G51" s="168"/>
      <c r="H51" s="161"/>
      <c r="I51" s="161"/>
      <c r="J51" s="161"/>
      <c r="K51" s="161"/>
      <c r="L51" s="167"/>
      <c r="M51" s="167"/>
      <c r="N51" s="167"/>
      <c r="O51" s="167"/>
      <c r="P51" s="167"/>
      <c r="Q51" s="168"/>
      <c r="R51" s="161"/>
      <c r="S51" s="161"/>
      <c r="T51" s="161"/>
      <c r="U51" s="161"/>
    </row>
    <row r="52" spans="2:21" s="162" customFormat="1" ht="29" thickTop="1">
      <c r="B52" s="155"/>
      <c r="C52" s="156" t="str">
        <f>"Week "&amp; Stats_Tables!$AN17</f>
        <v>Week 13</v>
      </c>
      <c r="D52" s="157" t="s">
        <v>4</v>
      </c>
      <c r="E52" s="158" t="s">
        <v>22</v>
      </c>
      <c r="F52" s="159" t="s">
        <v>28</v>
      </c>
      <c r="G52" s="160"/>
      <c r="H52" s="156" t="str">
        <f>"Week "&amp; Stats_Tables!$AN18</f>
        <v>Week 14</v>
      </c>
      <c r="I52" s="157" t="s">
        <v>4</v>
      </c>
      <c r="J52" s="158" t="s">
        <v>22</v>
      </c>
      <c r="K52" s="159" t="s">
        <v>28</v>
      </c>
      <c r="L52" s="167"/>
      <c r="M52" s="156" t="str">
        <f>"Week " &amp;Stats_Tables!AN43</f>
        <v>Week 39</v>
      </c>
      <c r="N52" s="157" t="s">
        <v>4</v>
      </c>
      <c r="O52" s="158" t="s">
        <v>22</v>
      </c>
      <c r="P52" s="159" t="s">
        <v>28</v>
      </c>
      <c r="Q52" s="160"/>
      <c r="R52" s="156" t="str">
        <f>"Week " &amp;Stats_Tables!AN44</f>
        <v>Week 40</v>
      </c>
      <c r="S52" s="157" t="s">
        <v>4</v>
      </c>
      <c r="T52" s="158" t="s">
        <v>22</v>
      </c>
      <c r="U52" s="159" t="s">
        <v>28</v>
      </c>
    </row>
    <row r="53" spans="2:21" s="162" customFormat="1" ht="17" thickBot="1">
      <c r="B53" s="155"/>
      <c r="C53" s="163">
        <f ca="1">TODAY()+Stats_Tables!$AM17</f>
        <v>45572</v>
      </c>
      <c r="D53" s="164" t="e">
        <f ca="1">IF($D$6="Kilograms",Stats_Tables!$AL17, IF($D$6="Pounds",Stats_Tables!$AB17, IF($D$6="Stone",Stats_Tables!$AC17, "")))</f>
        <v>#N/A</v>
      </c>
      <c r="E53" s="165" t="e">
        <f ca="1">Stats_Tables!$AE17</f>
        <v>#N/A</v>
      </c>
      <c r="F53" s="166" t="e">
        <f ca="1">VLOOKUP(Stats_Tables!$D$12,Stats_Tables!$C$13:$F$16,4,0)*Stats_Tables!$AF17</f>
        <v>#N/A</v>
      </c>
      <c r="G53" s="167"/>
      <c r="H53" s="163">
        <f ca="1">TODAY()+Stats_Tables!$AM18</f>
        <v>45579</v>
      </c>
      <c r="I53" s="164" t="e">
        <f ca="1">IF($D$6="Kilograms",Stats_Tables!$AL18, IF($D$6="Pounds",Stats_Tables!$AB18, IF($D$6="Stone",Stats_Tables!$AC18, "")))</f>
        <v>#N/A</v>
      </c>
      <c r="J53" s="165" t="e">
        <f ca="1">Stats_Tables!$AE18</f>
        <v>#N/A</v>
      </c>
      <c r="K53" s="166" t="e">
        <f ca="1">VLOOKUP(Stats_Tables!$D$12,Stats_Tables!$C$13:$F$16,4,0)*Stats_Tables!$AF18</f>
        <v>#N/A</v>
      </c>
      <c r="L53" s="167"/>
      <c r="M53" s="163">
        <f ca="1">TODAY()+Stats_Tables!$AM43</f>
        <v>45754</v>
      </c>
      <c r="N53" s="164" t="e">
        <f ca="1">IF($D$6="Kilograms",Stats_Tables!$AL43, IF($D$6="Pounds",Stats_Tables!$AB43, IF($D$6="Stone",Stats_Tables!$AC43, "")))</f>
        <v>#N/A</v>
      </c>
      <c r="O53" s="165" t="e">
        <f ca="1">Stats_Tables!$AE43</f>
        <v>#N/A</v>
      </c>
      <c r="P53" s="166" t="e">
        <f ca="1">VLOOKUP(Stats_Tables!$D$12,Stats_Tables!$C$13:$F$16,4,0)*Stats_Tables!$AF43</f>
        <v>#N/A</v>
      </c>
      <c r="Q53" s="167"/>
      <c r="R53" s="163">
        <f ca="1">TODAY()+Stats_Tables!$AM44</f>
        <v>45761</v>
      </c>
      <c r="S53" s="164" t="e">
        <f ca="1">IF($D$6="Kilograms",Stats_Tables!$AL44, IF($D$6="Pounds",Stats_Tables!$AB44, IF($D$6="Stone",Stats_Tables!$AC44, "")))</f>
        <v>#N/A</v>
      </c>
      <c r="T53" s="165" t="e">
        <f ca="1">Stats_Tables!$AE44</f>
        <v>#N/A</v>
      </c>
      <c r="U53" s="166" t="e">
        <f ca="1">VLOOKUP(Stats_Tables!$D$12,Stats_Tables!$C$13:$F$16,4,0)*Stats_Tables!$AF44</f>
        <v>#N/A</v>
      </c>
    </row>
    <row r="54" spans="2:21" s="162" customFormat="1" ht="18" thickTop="1" thickBot="1">
      <c r="B54" s="155"/>
      <c r="C54" s="167"/>
      <c r="D54" s="167"/>
      <c r="E54" s="167"/>
      <c r="F54" s="167"/>
      <c r="G54" s="168"/>
      <c r="H54" s="161"/>
      <c r="I54" s="161"/>
      <c r="J54" s="161"/>
      <c r="K54" s="161"/>
      <c r="L54" s="167"/>
      <c r="M54" s="167"/>
      <c r="N54" s="167"/>
      <c r="O54" s="167"/>
      <c r="P54" s="167"/>
      <c r="Q54" s="168"/>
      <c r="R54" s="161"/>
      <c r="S54" s="161"/>
      <c r="T54" s="161"/>
      <c r="U54" s="161"/>
    </row>
    <row r="55" spans="2:21" s="162" customFormat="1" ht="29" thickTop="1">
      <c r="B55" s="155"/>
      <c r="C55" s="156" t="str">
        <f>"Week " &amp;Stats_Tables!AN19</f>
        <v>Week 15</v>
      </c>
      <c r="D55" s="157" t="s">
        <v>4</v>
      </c>
      <c r="E55" s="158" t="s">
        <v>22</v>
      </c>
      <c r="F55" s="159" t="s">
        <v>28</v>
      </c>
      <c r="G55" s="160"/>
      <c r="H55" s="156" t="str">
        <f>"Week " &amp;Stats_Tables!$AN20</f>
        <v>Week 16</v>
      </c>
      <c r="I55" s="157" t="s">
        <v>4</v>
      </c>
      <c r="J55" s="158" t="s">
        <v>22</v>
      </c>
      <c r="K55" s="159" t="s">
        <v>28</v>
      </c>
      <c r="L55" s="167"/>
      <c r="M55" s="156" t="str">
        <f>"Week "&amp; Stats_Tables!$AN45</f>
        <v>Week 41</v>
      </c>
      <c r="N55" s="157" t="s">
        <v>4</v>
      </c>
      <c r="O55" s="158" t="s">
        <v>22</v>
      </c>
      <c r="P55" s="159" t="s">
        <v>28</v>
      </c>
      <c r="Q55" s="160"/>
      <c r="R55" s="156" t="str">
        <f>"Week "&amp; Stats_Tables!$AN46</f>
        <v>Week 42</v>
      </c>
      <c r="S55" s="157" t="s">
        <v>4</v>
      </c>
      <c r="T55" s="158" t="s">
        <v>22</v>
      </c>
      <c r="U55" s="159" t="s">
        <v>28</v>
      </c>
    </row>
    <row r="56" spans="2:21" s="162" customFormat="1" ht="17" thickBot="1">
      <c r="B56" s="155"/>
      <c r="C56" s="163">
        <f ca="1">TODAY()+Stats_Tables!$AM19</f>
        <v>45586</v>
      </c>
      <c r="D56" s="164" t="e">
        <f ca="1">IF($D$6="Kilograms",Stats_Tables!$AL19, IF($D$6="Pounds",Stats_Tables!$AB19, IF($D$6="Stone",Stats_Tables!$AC19, "")))</f>
        <v>#N/A</v>
      </c>
      <c r="E56" s="165" t="e">
        <f ca="1">Stats_Tables!$AE19</f>
        <v>#N/A</v>
      </c>
      <c r="F56" s="166" t="e">
        <f ca="1">VLOOKUP(Stats_Tables!$D$12,Stats_Tables!$C$13:$F$16,4,0)*Stats_Tables!$AF19</f>
        <v>#N/A</v>
      </c>
      <c r="G56" s="167"/>
      <c r="H56" s="163">
        <f ca="1">TODAY()+Stats_Tables!$AM20</f>
        <v>45593</v>
      </c>
      <c r="I56" s="164" t="e">
        <f ca="1">IF($D$6="Kilograms",Stats_Tables!$AL20, IF($D$6="Pounds",Stats_Tables!$AB20, IF($D$6="Stone",Stats_Tables!$AC20, "")))</f>
        <v>#N/A</v>
      </c>
      <c r="J56" s="165" t="e">
        <f ca="1">Stats_Tables!$AE20</f>
        <v>#N/A</v>
      </c>
      <c r="K56" s="166" t="e">
        <f ca="1">VLOOKUP(Stats_Tables!$D$12,Stats_Tables!$C$13:$F$16,4,0)*Stats_Tables!$AF20</f>
        <v>#N/A</v>
      </c>
      <c r="L56" s="167"/>
      <c r="M56" s="163">
        <f ca="1">TODAY()+Stats_Tables!$AM45</f>
        <v>45768</v>
      </c>
      <c r="N56" s="164" t="e">
        <f ca="1">IF($D$6="Kilograms",Stats_Tables!$AL45, IF($D$6="Pounds",Stats_Tables!$AB45, IF($D$6="Stone",Stats_Tables!$AC45, "")))</f>
        <v>#N/A</v>
      </c>
      <c r="O56" s="165" t="e">
        <f ca="1">Stats_Tables!$AE45</f>
        <v>#N/A</v>
      </c>
      <c r="P56" s="166" t="e">
        <f ca="1">VLOOKUP(Stats_Tables!$D$12,Stats_Tables!$C$13:$F$16,4,0)*Stats_Tables!$AF45</f>
        <v>#N/A</v>
      </c>
      <c r="Q56" s="167"/>
      <c r="R56" s="163">
        <f ca="1">TODAY()+Stats_Tables!$AM46</f>
        <v>45775</v>
      </c>
      <c r="S56" s="164" t="e">
        <f ca="1">IF($D$6="Kilograms",Stats_Tables!$AL46, IF($D$6="Pounds",Stats_Tables!$AB46, IF($D$6="Stone",Stats_Tables!$AC46, "")))</f>
        <v>#N/A</v>
      </c>
      <c r="T56" s="165" t="e">
        <f ca="1">Stats_Tables!$AE46</f>
        <v>#N/A</v>
      </c>
      <c r="U56" s="166" t="e">
        <f ca="1">VLOOKUP(Stats_Tables!$D$12,Stats_Tables!$C$13:$F$16,4,0)*Stats_Tables!$AF46</f>
        <v>#N/A</v>
      </c>
    </row>
    <row r="57" spans="2:21" s="162" customFormat="1" ht="18" thickTop="1" thickBot="1">
      <c r="B57" s="155"/>
      <c r="C57" s="167"/>
      <c r="D57" s="167"/>
      <c r="E57" s="167"/>
      <c r="F57" s="167"/>
      <c r="G57" s="168"/>
      <c r="H57" s="161"/>
      <c r="I57" s="161"/>
      <c r="J57" s="161"/>
      <c r="K57" s="161"/>
      <c r="L57" s="167"/>
      <c r="M57" s="167"/>
      <c r="N57" s="167"/>
      <c r="O57" s="167"/>
      <c r="P57" s="167"/>
      <c r="Q57" s="168"/>
      <c r="R57" s="161"/>
      <c r="S57" s="161"/>
      <c r="T57" s="161"/>
      <c r="U57" s="161"/>
    </row>
    <row r="58" spans="2:21" s="162" customFormat="1" ht="29" thickTop="1">
      <c r="B58" s="155"/>
      <c r="C58" s="156" t="str">
        <f>"Week "&amp; Stats_Tables!$AN21</f>
        <v>Week 17</v>
      </c>
      <c r="D58" s="157" t="s">
        <v>4</v>
      </c>
      <c r="E58" s="158" t="s">
        <v>22</v>
      </c>
      <c r="F58" s="159" t="s">
        <v>28</v>
      </c>
      <c r="G58" s="160"/>
      <c r="H58" s="156" t="str">
        <f>"Week "&amp; Stats_Tables!$AN22</f>
        <v>Week 18</v>
      </c>
      <c r="I58" s="157" t="s">
        <v>4</v>
      </c>
      <c r="J58" s="158" t="s">
        <v>22</v>
      </c>
      <c r="K58" s="159" t="s">
        <v>28</v>
      </c>
      <c r="L58" s="167"/>
      <c r="M58" s="156" t="str">
        <f>"Week " &amp;Stats_Tables!AN47</f>
        <v>Week 43</v>
      </c>
      <c r="N58" s="157" t="s">
        <v>4</v>
      </c>
      <c r="O58" s="158" t="s">
        <v>22</v>
      </c>
      <c r="P58" s="159" t="s">
        <v>28</v>
      </c>
      <c r="Q58" s="160"/>
      <c r="R58" s="156" t="str">
        <f>"Week " &amp;Stats_Tables!$AN48</f>
        <v>Week 44</v>
      </c>
      <c r="S58" s="157" t="s">
        <v>4</v>
      </c>
      <c r="T58" s="158" t="s">
        <v>22</v>
      </c>
      <c r="U58" s="159" t="s">
        <v>28</v>
      </c>
    </row>
    <row r="59" spans="2:21" s="162" customFormat="1" ht="17" thickBot="1">
      <c r="B59" s="155"/>
      <c r="C59" s="163">
        <f ca="1">TODAY()+Stats_Tables!$AM21</f>
        <v>45600</v>
      </c>
      <c r="D59" s="164" t="e">
        <f ca="1">IF($D$6="Kilograms",Stats_Tables!$AL21, IF($D$6="Pounds",Stats_Tables!$AB21, IF($D$6="Stone",Stats_Tables!$AC21, "")))</f>
        <v>#N/A</v>
      </c>
      <c r="E59" s="165" t="e">
        <f ca="1">Stats_Tables!$AE21</f>
        <v>#N/A</v>
      </c>
      <c r="F59" s="166" t="e">
        <f ca="1">VLOOKUP(Stats_Tables!$D$12,Stats_Tables!$C$13:$F$16,4,0)*Stats_Tables!$AF21</f>
        <v>#N/A</v>
      </c>
      <c r="G59" s="167"/>
      <c r="H59" s="163">
        <f ca="1">TODAY()+Stats_Tables!$AM22</f>
        <v>45607</v>
      </c>
      <c r="I59" s="164" t="e">
        <f ca="1">IF($D$6="Kilograms",Stats_Tables!$AL22, IF($D$6="Pounds",Stats_Tables!$AB22, IF($D$6="Stone",Stats_Tables!$AC22, "")))</f>
        <v>#N/A</v>
      </c>
      <c r="J59" s="165" t="e">
        <f ca="1">Stats_Tables!$AE22</f>
        <v>#N/A</v>
      </c>
      <c r="K59" s="166" t="e">
        <f ca="1">VLOOKUP(Stats_Tables!$D$12,Stats_Tables!$C$13:$F$16,4,0)*Stats_Tables!$AF22</f>
        <v>#N/A</v>
      </c>
      <c r="L59" s="167"/>
      <c r="M59" s="163">
        <f ca="1">TODAY()+Stats_Tables!$AM47</f>
        <v>45782</v>
      </c>
      <c r="N59" s="164" t="e">
        <f ca="1">IF($D$6="Kilograms",Stats_Tables!$AL47, IF($D$6="Pounds",Stats_Tables!$AB47, IF($D$6="Stone",Stats_Tables!$AC47, "")))</f>
        <v>#N/A</v>
      </c>
      <c r="O59" s="165" t="e">
        <f ca="1">Stats_Tables!$AE47</f>
        <v>#N/A</v>
      </c>
      <c r="P59" s="166" t="e">
        <f ca="1">VLOOKUP(Stats_Tables!$D$12,Stats_Tables!$C$13:$F$16,4,0)*Stats_Tables!$AF47</f>
        <v>#N/A</v>
      </c>
      <c r="Q59" s="167"/>
      <c r="R59" s="163">
        <f ca="1">TODAY()+Stats_Tables!$AM48</f>
        <v>45789</v>
      </c>
      <c r="S59" s="164" t="e">
        <f ca="1">IF($D$6="Kilograms",Stats_Tables!$AL48, IF($D$6="Pounds",Stats_Tables!$AB48, IF($D$6="Stone",Stats_Tables!$AC48, "")))</f>
        <v>#N/A</v>
      </c>
      <c r="T59" s="165" t="e">
        <f ca="1">Stats_Tables!$AE48</f>
        <v>#N/A</v>
      </c>
      <c r="U59" s="166" t="e">
        <f ca="1">VLOOKUP(Stats_Tables!$D$12,Stats_Tables!$C$13:$F$16,4,0)*Stats_Tables!$AF48</f>
        <v>#N/A</v>
      </c>
    </row>
    <row r="60" spans="2:21" s="162" customFormat="1" ht="18" thickTop="1" thickBot="1">
      <c r="B60" s="155"/>
      <c r="C60" s="167"/>
      <c r="D60" s="167"/>
      <c r="E60" s="167"/>
      <c r="F60" s="167"/>
      <c r="G60" s="168"/>
      <c r="H60" s="161"/>
      <c r="I60" s="161"/>
      <c r="J60" s="161"/>
      <c r="K60" s="161"/>
      <c r="L60" s="167"/>
      <c r="M60" s="167"/>
      <c r="N60" s="167"/>
      <c r="O60" s="167"/>
      <c r="P60" s="167"/>
      <c r="Q60" s="168"/>
      <c r="R60" s="161"/>
      <c r="S60" s="161"/>
      <c r="T60" s="161"/>
      <c r="U60" s="161"/>
    </row>
    <row r="61" spans="2:21" s="162" customFormat="1" ht="29" thickTop="1">
      <c r="B61" s="155"/>
      <c r="C61" s="156" t="str">
        <f>"Week " &amp;Stats_Tables!AN23</f>
        <v>Week 19</v>
      </c>
      <c r="D61" s="157" t="s">
        <v>4</v>
      </c>
      <c r="E61" s="158" t="s">
        <v>22</v>
      </c>
      <c r="F61" s="159" t="s">
        <v>28</v>
      </c>
      <c r="G61" s="160"/>
      <c r="H61" s="156" t="str">
        <f>"Week " &amp;Stats_Tables!AN24</f>
        <v>Week 20</v>
      </c>
      <c r="I61" s="157" t="s">
        <v>4</v>
      </c>
      <c r="J61" s="158" t="s">
        <v>22</v>
      </c>
      <c r="K61" s="159" t="s">
        <v>28</v>
      </c>
      <c r="L61" s="167"/>
      <c r="M61" s="156" t="str">
        <f>"Week "&amp; Stats_Tables!$AN49</f>
        <v>Week 45</v>
      </c>
      <c r="N61" s="157" t="s">
        <v>4</v>
      </c>
      <c r="O61" s="158" t="s">
        <v>22</v>
      </c>
      <c r="P61" s="159" t="s">
        <v>28</v>
      </c>
      <c r="Q61" s="160"/>
      <c r="R61" s="156" t="str">
        <f>"Week "&amp; Stats_Tables!$AN50</f>
        <v>Week 46</v>
      </c>
      <c r="S61" s="157" t="s">
        <v>4</v>
      </c>
      <c r="T61" s="158" t="s">
        <v>22</v>
      </c>
      <c r="U61" s="159" t="s">
        <v>28</v>
      </c>
    </row>
    <row r="62" spans="2:21" s="162" customFormat="1" ht="17" thickBot="1">
      <c r="B62" s="155"/>
      <c r="C62" s="163">
        <f ca="1">TODAY()+Stats_Tables!$AM23</f>
        <v>45614</v>
      </c>
      <c r="D62" s="164" t="e">
        <f ca="1">IF($D$6="Kilograms",Stats_Tables!$AL23, IF($D$6="Pounds",Stats_Tables!$AB23, IF($D$6="Stone",Stats_Tables!$AC23, "")))</f>
        <v>#N/A</v>
      </c>
      <c r="E62" s="165" t="e">
        <f ca="1">Stats_Tables!$AE23</f>
        <v>#N/A</v>
      </c>
      <c r="F62" s="166" t="e">
        <f ca="1">VLOOKUP(Stats_Tables!$D$12,Stats_Tables!$C$13:$F$16,4,0)*Stats_Tables!$AF23</f>
        <v>#N/A</v>
      </c>
      <c r="G62" s="167"/>
      <c r="H62" s="163">
        <f ca="1">TODAY()+Stats_Tables!$AM24</f>
        <v>45621</v>
      </c>
      <c r="I62" s="164" t="e">
        <f ca="1">IF($D$6="Kilograms",Stats_Tables!$AL24, IF($D$6="Pounds",Stats_Tables!$AB24, IF($D$6="Stone",Stats_Tables!$AC24, "")))</f>
        <v>#N/A</v>
      </c>
      <c r="J62" s="165" t="e">
        <f ca="1">Stats_Tables!$AE24</f>
        <v>#N/A</v>
      </c>
      <c r="K62" s="166" t="e">
        <f ca="1">VLOOKUP(Stats_Tables!$D$12,Stats_Tables!$C$13:$F$16,4,0)*Stats_Tables!$AF24</f>
        <v>#N/A</v>
      </c>
      <c r="L62" s="167"/>
      <c r="M62" s="163">
        <f ca="1">TODAY()+Stats_Tables!$AM49</f>
        <v>45796</v>
      </c>
      <c r="N62" s="164" t="e">
        <f ca="1">IF($D$6="Kilograms",Stats_Tables!$AL49, IF($D$6="Pounds",Stats_Tables!$AB49, IF($D$6="Stone",Stats_Tables!$AC49, "")))</f>
        <v>#N/A</v>
      </c>
      <c r="O62" s="165" t="e">
        <f ca="1">Stats_Tables!$AE49</f>
        <v>#N/A</v>
      </c>
      <c r="P62" s="166" t="e">
        <f ca="1">VLOOKUP(Stats_Tables!$D$12,Stats_Tables!$C$13:$F$16,4,0)*Stats_Tables!$AF49</f>
        <v>#N/A</v>
      </c>
      <c r="Q62" s="167"/>
      <c r="R62" s="163">
        <f ca="1">TODAY()+Stats_Tables!$AM50</f>
        <v>45803</v>
      </c>
      <c r="S62" s="164" t="e">
        <f ca="1">IF($D$6="Kilograms",Stats_Tables!$AL50, IF($D$6="Pounds",Stats_Tables!$AB50, IF($D$6="Stone",Stats_Tables!$AC50, "")))</f>
        <v>#N/A</v>
      </c>
      <c r="T62" s="165" t="e">
        <f ca="1">Stats_Tables!$AE50</f>
        <v>#N/A</v>
      </c>
      <c r="U62" s="166" t="e">
        <f ca="1">VLOOKUP(Stats_Tables!$D$12,Stats_Tables!$C$13:$F$16,4,0)*Stats_Tables!$AF50</f>
        <v>#N/A</v>
      </c>
    </row>
    <row r="63" spans="2:21" s="162" customFormat="1" ht="18" thickTop="1" thickBot="1">
      <c r="B63" s="155"/>
      <c r="C63" s="167"/>
      <c r="D63" s="167"/>
      <c r="E63" s="167"/>
      <c r="F63" s="167"/>
      <c r="G63" s="168"/>
      <c r="H63" s="161"/>
      <c r="I63" s="161"/>
      <c r="J63" s="161"/>
      <c r="K63" s="161"/>
      <c r="L63" s="167"/>
      <c r="M63" s="167"/>
      <c r="N63" s="167"/>
      <c r="O63" s="167"/>
      <c r="P63" s="167"/>
      <c r="Q63" s="168"/>
      <c r="R63" s="161"/>
      <c r="S63" s="161"/>
      <c r="T63" s="161"/>
      <c r="U63" s="161"/>
    </row>
    <row r="64" spans="2:21" s="162" customFormat="1" ht="29" thickTop="1">
      <c r="B64" s="155"/>
      <c r="C64" s="156" t="str">
        <f>"Week "&amp; Stats_Tables!$AN25</f>
        <v>Week 21</v>
      </c>
      <c r="D64" s="157" t="s">
        <v>4</v>
      </c>
      <c r="E64" s="158" t="s">
        <v>22</v>
      </c>
      <c r="F64" s="159" t="s">
        <v>28</v>
      </c>
      <c r="G64" s="160"/>
      <c r="H64" s="156" t="str">
        <f>"Week "&amp; Stats_Tables!$AN26</f>
        <v>Week 22</v>
      </c>
      <c r="I64" s="157" t="s">
        <v>4</v>
      </c>
      <c r="J64" s="158" t="s">
        <v>22</v>
      </c>
      <c r="K64" s="159" t="s">
        <v>28</v>
      </c>
      <c r="L64" s="167"/>
      <c r="M64" s="156" t="str">
        <f>"Week " &amp;Stats_Tables!AN51</f>
        <v>Week 47</v>
      </c>
      <c r="N64" s="157" t="s">
        <v>4</v>
      </c>
      <c r="O64" s="158" t="s">
        <v>22</v>
      </c>
      <c r="P64" s="159" t="s">
        <v>28</v>
      </c>
      <c r="Q64" s="160"/>
      <c r="R64" s="156" t="str">
        <f>"Week " &amp;Stats_Tables!$AN52</f>
        <v>Week 48</v>
      </c>
      <c r="S64" s="157" t="s">
        <v>4</v>
      </c>
      <c r="T64" s="158" t="s">
        <v>22</v>
      </c>
      <c r="U64" s="159" t="s">
        <v>28</v>
      </c>
    </row>
    <row r="65" spans="2:21" s="162" customFormat="1" ht="17" thickBot="1">
      <c r="B65" s="155"/>
      <c r="C65" s="163">
        <f ca="1">TODAY()+Stats_Tables!$AM25</f>
        <v>45628</v>
      </c>
      <c r="D65" s="164" t="e">
        <f ca="1">IF($D$6="Kilograms",Stats_Tables!$AL25, IF($D$6="Pounds",Stats_Tables!$AB25, IF($D$6="Stone",Stats_Tables!$AC25, "")))</f>
        <v>#N/A</v>
      </c>
      <c r="E65" s="165" t="e">
        <f ca="1">Stats_Tables!$AE25</f>
        <v>#N/A</v>
      </c>
      <c r="F65" s="166" t="e">
        <f ca="1">VLOOKUP(Stats_Tables!$D$12,Stats_Tables!$C$13:$F$16,4,0)*Stats_Tables!$AF25</f>
        <v>#N/A</v>
      </c>
      <c r="G65" s="167"/>
      <c r="H65" s="163">
        <f ca="1">TODAY()+Stats_Tables!$AM26</f>
        <v>45635</v>
      </c>
      <c r="I65" s="164" t="e">
        <f ca="1">IF($D$6="Kilograms",Stats_Tables!$AL26, IF($D$6="Pounds",Stats_Tables!$AB26, IF($D$6="Stone",Stats_Tables!$AC26, "")))</f>
        <v>#N/A</v>
      </c>
      <c r="J65" s="165" t="e">
        <f ca="1">Stats_Tables!$AE26</f>
        <v>#N/A</v>
      </c>
      <c r="K65" s="166" t="e">
        <f ca="1">VLOOKUP(Stats_Tables!$D$12,Stats_Tables!$C$13:$F$16,4,0)*Stats_Tables!$AF26</f>
        <v>#N/A</v>
      </c>
      <c r="L65" s="167"/>
      <c r="M65" s="163">
        <f ca="1">TODAY()+Stats_Tables!$AM51</f>
        <v>45810</v>
      </c>
      <c r="N65" s="164" t="e">
        <f ca="1">IF($D$6="Kilograms",Stats_Tables!$AL51, IF($D$6="Pounds",Stats_Tables!$AB51, IF($D$6="Stone",Stats_Tables!$AC51, "")))</f>
        <v>#N/A</v>
      </c>
      <c r="O65" s="165" t="e">
        <f ca="1">Stats_Tables!$AE51</f>
        <v>#N/A</v>
      </c>
      <c r="P65" s="166" t="e">
        <f ca="1">VLOOKUP(Stats_Tables!$D$12,Stats_Tables!$C$13:$F$16,4,0)*Stats_Tables!$AF51</f>
        <v>#N/A</v>
      </c>
      <c r="Q65" s="167"/>
      <c r="R65" s="163">
        <f ca="1">TODAY()+Stats_Tables!$AM52</f>
        <v>45817</v>
      </c>
      <c r="S65" s="164" t="e">
        <f ca="1">IF($D$6="Kilograms",Stats_Tables!$AL52, IF($D$6="Pounds",Stats_Tables!$AB52, IF($D$6="Stone",Stats_Tables!$AC52, "")))</f>
        <v>#N/A</v>
      </c>
      <c r="T65" s="165" t="e">
        <f ca="1">Stats_Tables!$AE52</f>
        <v>#N/A</v>
      </c>
      <c r="U65" s="166" t="e">
        <f ca="1">VLOOKUP(Stats_Tables!$D$12,Stats_Tables!$C$13:$F$16,4,0)*Stats_Tables!$AF52</f>
        <v>#N/A</v>
      </c>
    </row>
    <row r="66" spans="2:21" s="162" customFormat="1" ht="18" thickTop="1" thickBot="1">
      <c r="B66" s="155"/>
      <c r="C66" s="167"/>
      <c r="D66" s="167"/>
      <c r="E66" s="167"/>
      <c r="F66" s="167"/>
      <c r="G66" s="168"/>
      <c r="H66" s="161"/>
      <c r="I66" s="161"/>
      <c r="J66" s="161"/>
      <c r="K66" s="161"/>
      <c r="L66" s="167"/>
      <c r="M66" s="167"/>
      <c r="N66" s="167"/>
      <c r="O66" s="167"/>
      <c r="P66" s="167"/>
      <c r="Q66" s="168"/>
      <c r="R66" s="161"/>
      <c r="S66" s="161"/>
      <c r="T66" s="161"/>
      <c r="U66" s="161"/>
    </row>
    <row r="67" spans="2:21" s="162" customFormat="1" ht="29" thickTop="1">
      <c r="B67" s="155"/>
      <c r="C67" s="156" t="str">
        <f>"Week " &amp;Stats_Tables!AN27</f>
        <v>Week 23</v>
      </c>
      <c r="D67" s="157" t="s">
        <v>4</v>
      </c>
      <c r="E67" s="158" t="s">
        <v>22</v>
      </c>
      <c r="F67" s="159" t="s">
        <v>28</v>
      </c>
      <c r="G67" s="160"/>
      <c r="H67" s="156" t="str">
        <f>"Week " &amp;Stats_Tables!$AN28</f>
        <v>Week 24</v>
      </c>
      <c r="I67" s="157" t="s">
        <v>4</v>
      </c>
      <c r="J67" s="158" t="s">
        <v>22</v>
      </c>
      <c r="K67" s="159" t="s">
        <v>28</v>
      </c>
      <c r="L67" s="167"/>
      <c r="M67" s="156" t="str">
        <f>"Week "&amp; Stats_Tables!$AN53</f>
        <v>Week 49</v>
      </c>
      <c r="N67" s="157" t="s">
        <v>4</v>
      </c>
      <c r="O67" s="158" t="s">
        <v>22</v>
      </c>
      <c r="P67" s="159" t="s">
        <v>28</v>
      </c>
      <c r="Q67" s="160"/>
      <c r="R67" s="156" t="str">
        <f>"Week "&amp; Stats_Tables!$AN54</f>
        <v>Week 50</v>
      </c>
      <c r="S67" s="157" t="s">
        <v>4</v>
      </c>
      <c r="T67" s="158" t="s">
        <v>22</v>
      </c>
      <c r="U67" s="159" t="s">
        <v>28</v>
      </c>
    </row>
    <row r="68" spans="2:21" s="162" customFormat="1" ht="17" thickBot="1">
      <c r="B68" s="155"/>
      <c r="C68" s="163">
        <f ca="1">TODAY()+Stats_Tables!$AM27</f>
        <v>45642</v>
      </c>
      <c r="D68" s="164" t="e">
        <f ca="1">IF($D$6="Kilograms",Stats_Tables!$AL27, IF($D$6="Pounds",Stats_Tables!$AB27, IF($D$6="Stone",Stats_Tables!$AC27, "")))</f>
        <v>#N/A</v>
      </c>
      <c r="E68" s="165" t="e">
        <f ca="1">Stats_Tables!$AE27</f>
        <v>#N/A</v>
      </c>
      <c r="F68" s="166" t="e">
        <f ca="1">VLOOKUP(Stats_Tables!$D$12,Stats_Tables!$C$13:$F$16,4,0)*Stats_Tables!$AF27</f>
        <v>#N/A</v>
      </c>
      <c r="G68" s="167"/>
      <c r="H68" s="163">
        <f ca="1">TODAY()+Stats_Tables!$AM28</f>
        <v>45649</v>
      </c>
      <c r="I68" s="164" t="e">
        <f ca="1">IF($D$6="Kilograms",Stats_Tables!$AL28, IF($D$6="Pounds",Stats_Tables!$AB28, IF($D$6="Stone",Stats_Tables!$AC28, "")))</f>
        <v>#N/A</v>
      </c>
      <c r="J68" s="165" t="e">
        <f ca="1">Stats_Tables!$AE28</f>
        <v>#N/A</v>
      </c>
      <c r="K68" s="166" t="e">
        <f ca="1">VLOOKUP(Stats_Tables!$D$12,Stats_Tables!$C$13:$F$16,4,0)*Stats_Tables!$AF28</f>
        <v>#N/A</v>
      </c>
      <c r="L68" s="167"/>
      <c r="M68" s="163">
        <f ca="1">TODAY()+Stats_Tables!$AM53</f>
        <v>45824</v>
      </c>
      <c r="N68" s="164" t="e">
        <f ca="1">IF($D$6="Kilograms",Stats_Tables!$AL53, IF($D$6="Pounds",Stats_Tables!$AB53, IF($D$6="Stone",Stats_Tables!$AC53, "")))</f>
        <v>#N/A</v>
      </c>
      <c r="O68" s="165" t="e">
        <f ca="1">Stats_Tables!$AE53</f>
        <v>#N/A</v>
      </c>
      <c r="P68" s="166" t="e">
        <f ca="1">VLOOKUP(Stats_Tables!$D$12,Stats_Tables!$C$13:$F$16,4,0)*Stats_Tables!$AF53</f>
        <v>#N/A</v>
      </c>
      <c r="Q68" s="167"/>
      <c r="R68" s="163">
        <f ca="1">TODAY()+Stats_Tables!$AM54</f>
        <v>45831</v>
      </c>
      <c r="S68" s="164" t="e">
        <f ca="1">IF($D$6="Kilograms",Stats_Tables!$AL54, IF($D$6="Pounds",Stats_Tables!$AB54, IF($D$6="Stone",Stats_Tables!$AC54, "")))</f>
        <v>#N/A</v>
      </c>
      <c r="T68" s="165" t="e">
        <f ca="1">Stats_Tables!$AE54</f>
        <v>#N/A</v>
      </c>
      <c r="U68" s="166" t="e">
        <f ca="1">VLOOKUP(Stats_Tables!$D$12,Stats_Tables!$C$13:$F$16,4,0)*Stats_Tables!$AF54</f>
        <v>#N/A</v>
      </c>
    </row>
    <row r="69" spans="2:21" s="162" customFormat="1" ht="18" thickTop="1" thickBot="1">
      <c r="B69" s="155"/>
      <c r="C69" s="167"/>
      <c r="D69" s="167"/>
      <c r="E69" s="167"/>
      <c r="F69" s="167"/>
      <c r="G69" s="168"/>
      <c r="H69" s="161"/>
      <c r="I69" s="161"/>
      <c r="J69" s="161"/>
      <c r="K69" s="161"/>
      <c r="L69" s="167"/>
      <c r="M69" s="167"/>
      <c r="N69" s="167"/>
      <c r="O69" s="167"/>
      <c r="P69" s="167"/>
      <c r="Q69" s="168"/>
      <c r="R69" s="161"/>
      <c r="S69" s="161"/>
      <c r="T69" s="161"/>
      <c r="U69" s="161"/>
    </row>
    <row r="70" spans="2:21" s="162" customFormat="1" ht="29" thickTop="1">
      <c r="B70" s="155"/>
      <c r="C70" s="156" t="str">
        <f>"Week "&amp; Stats_Tables!$AN29</f>
        <v>Week 25</v>
      </c>
      <c r="D70" s="157" t="s">
        <v>4</v>
      </c>
      <c r="E70" s="158" t="s">
        <v>22</v>
      </c>
      <c r="F70" s="159" t="s">
        <v>28</v>
      </c>
      <c r="G70" s="160"/>
      <c r="H70" s="156" t="str">
        <f>"Week "&amp; Stats_Tables!$AN30</f>
        <v>Week 26</v>
      </c>
      <c r="I70" s="157" t="s">
        <v>4</v>
      </c>
      <c r="J70" s="158" t="s">
        <v>22</v>
      </c>
      <c r="K70" s="159" t="s">
        <v>28</v>
      </c>
      <c r="L70" s="167"/>
      <c r="M70" s="156" t="str">
        <f>"Week " &amp;Stats_Tables!AN55</f>
        <v>Week 51</v>
      </c>
      <c r="N70" s="157" t="s">
        <v>4</v>
      </c>
      <c r="O70" s="158" t="s">
        <v>22</v>
      </c>
      <c r="P70" s="159" t="s">
        <v>28</v>
      </c>
      <c r="Q70" s="160"/>
      <c r="R70" s="156" t="str">
        <f>"Week " &amp;Stats_Tables!$AN56</f>
        <v>Week 52</v>
      </c>
      <c r="S70" s="157" t="s">
        <v>4</v>
      </c>
      <c r="T70" s="158" t="s">
        <v>22</v>
      </c>
      <c r="U70" s="159" t="s">
        <v>28</v>
      </c>
    </row>
    <row r="71" spans="2:21" s="162" customFormat="1" ht="17" thickBot="1">
      <c r="B71" s="155"/>
      <c r="C71" s="163">
        <f ca="1">TODAY()+Stats_Tables!$AM29</f>
        <v>45656</v>
      </c>
      <c r="D71" s="164" t="e">
        <f ca="1">IF($D$6="Kilograms",Stats_Tables!$AL29, IF($D$6="Pounds",Stats_Tables!$AB29, IF($D$6="Stone",Stats_Tables!$AC29, "")))</f>
        <v>#N/A</v>
      </c>
      <c r="E71" s="165" t="e">
        <f ca="1">Stats_Tables!$AE29</f>
        <v>#N/A</v>
      </c>
      <c r="F71" s="166" t="e">
        <f ca="1">VLOOKUP(Stats_Tables!$D$12,Stats_Tables!$C$13:$F$16,4,0)*Stats_Tables!$AF29</f>
        <v>#N/A</v>
      </c>
      <c r="G71" s="167"/>
      <c r="H71" s="163">
        <f ca="1">TODAY()+Stats_Tables!$AM30</f>
        <v>45663</v>
      </c>
      <c r="I71" s="164" t="e">
        <f ca="1">IF($D$6="Kilograms",Stats_Tables!$AL30, IF($D$6="Pounds",Stats_Tables!$AB30, IF($D$6="Stone",Stats_Tables!$AC30, "")))</f>
        <v>#N/A</v>
      </c>
      <c r="J71" s="165" t="e">
        <f ca="1">Stats_Tables!$AE30</f>
        <v>#N/A</v>
      </c>
      <c r="K71" s="166" t="e">
        <f ca="1">VLOOKUP(Stats_Tables!$D$12,Stats_Tables!$C$13:$F$16,4,0)*Stats_Tables!$AF30</f>
        <v>#N/A</v>
      </c>
      <c r="L71" s="167"/>
      <c r="M71" s="163">
        <f ca="1">TODAY()+Stats_Tables!$AM55</f>
        <v>45838</v>
      </c>
      <c r="N71" s="164" t="e">
        <f ca="1">IF($D$6="Kilograms",Stats_Tables!$AL55, IF($D$6="Pounds",Stats_Tables!$AB55, IF($D$6="Stone",Stats_Tables!$AC55, "")))</f>
        <v>#N/A</v>
      </c>
      <c r="O71" s="165" t="e">
        <f ca="1">Stats_Tables!$AE55</f>
        <v>#N/A</v>
      </c>
      <c r="P71" s="166" t="e">
        <f ca="1">VLOOKUP(Stats_Tables!$D$12,Stats_Tables!$C$13:$F$16,4,0)*Stats_Tables!$AF55</f>
        <v>#N/A</v>
      </c>
      <c r="Q71" s="167"/>
      <c r="R71" s="163">
        <f ca="1">TODAY()+Stats_Tables!$AM56</f>
        <v>45845</v>
      </c>
      <c r="S71" s="164" t="e">
        <f ca="1">IF($D$6="Kilograms",Stats_Tables!$AL56, IF($D$6="Pounds",Stats_Tables!$AB56, IF($D$6="Stone",Stats_Tables!$AC56, "")))</f>
        <v>#N/A</v>
      </c>
      <c r="T71" s="165" t="e">
        <f ca="1">Stats_Tables!$AE56</f>
        <v>#N/A</v>
      </c>
      <c r="U71" s="166" t="e">
        <f ca="1">VLOOKUP(Stats_Tables!$D$12,Stats_Tables!$C$13:$F$16,4,0)*Stats_Tables!$AF56</f>
        <v>#N/A</v>
      </c>
    </row>
    <row r="72" spans="2:21" ht="17" thickTop="1">
      <c r="B72" s="169"/>
      <c r="C72" s="169"/>
      <c r="D72" s="169"/>
      <c r="E72" s="169"/>
      <c r="F72" s="169"/>
      <c r="G72" s="169"/>
      <c r="H72" s="169"/>
      <c r="I72" s="169"/>
      <c r="J72" s="169"/>
      <c r="K72" s="169"/>
      <c r="L72" s="169"/>
      <c r="M72" s="170"/>
      <c r="N72" s="171"/>
      <c r="O72" s="161"/>
      <c r="P72" s="161"/>
      <c r="Q72" s="172"/>
      <c r="R72" s="172"/>
      <c r="S72" s="172"/>
      <c r="T72" s="172"/>
      <c r="U72" s="172"/>
    </row>
    <row r="81" spans="13:21"/>
    <row r="89" spans="13:21" hidden="1">
      <c r="M89" s="173"/>
      <c r="N89" s="174"/>
      <c r="O89" s="175"/>
      <c r="P89" s="175"/>
      <c r="R89" s="176"/>
      <c r="S89" s="177"/>
      <c r="T89" s="178"/>
      <c r="U89" s="178"/>
    </row>
    <row r="90" spans="13:21" hidden="1">
      <c r="M90" s="173"/>
      <c r="R90" s="173"/>
      <c r="S90" s="96"/>
    </row>
    <row r="91" spans="13:21" hidden="1">
      <c r="M91" s="179"/>
      <c r="N91" s="174"/>
      <c r="O91" s="175"/>
      <c r="P91" s="175"/>
      <c r="R91" s="179"/>
      <c r="S91" s="177"/>
      <c r="T91" s="178"/>
      <c r="U91" s="178"/>
    </row>
    <row r="92" spans="13:21" hidden="1">
      <c r="R92" s="180"/>
      <c r="S92" s="180"/>
      <c r="T92" s="180"/>
      <c r="U92" s="180"/>
    </row>
    <row r="93" spans="13:21" hidden="1">
      <c r="M93" s="181"/>
      <c r="R93" s="180"/>
      <c r="S93" s="180"/>
      <c r="T93" s="180"/>
      <c r="U93" s="180"/>
    </row>
    <row r="94" spans="13:21" hidden="1">
      <c r="R94" s="180"/>
      <c r="S94" s="180"/>
      <c r="T94" s="180"/>
      <c r="U94" s="180"/>
    </row>
    <row r="95" spans="13:21" hidden="1">
      <c r="M95" s="181"/>
      <c r="R95" s="312"/>
    </row>
    <row r="96" spans="13:21" hidden="1">
      <c r="Q96" s="178"/>
      <c r="R96" s="312"/>
    </row>
    <row r="97" spans="13:18" hidden="1">
      <c r="M97" s="181"/>
      <c r="Q97" s="178"/>
    </row>
    <row r="98" spans="13:18" hidden="1">
      <c r="Q98" s="178"/>
      <c r="R98" s="312"/>
    </row>
    <row r="99" spans="13:18" hidden="1">
      <c r="M99" s="181"/>
      <c r="Q99" s="178"/>
      <c r="R99" s="312"/>
    </row>
    <row r="100" spans="13:18" hidden="1">
      <c r="Q100" s="178"/>
    </row>
    <row r="101" spans="13:18" hidden="1">
      <c r="M101" s="181"/>
      <c r="Q101" s="178"/>
      <c r="R101" s="312"/>
    </row>
    <row r="102" spans="13:18" hidden="1">
      <c r="Q102" s="178"/>
      <c r="R102" s="312"/>
    </row>
    <row r="103" spans="13:18" hidden="1">
      <c r="M103" s="181"/>
      <c r="Q103" s="178"/>
    </row>
    <row r="104" spans="13:18" hidden="1">
      <c r="Q104" s="178"/>
      <c r="R104" s="312"/>
    </row>
    <row r="105" spans="13:18" hidden="1">
      <c r="M105" s="181"/>
      <c r="Q105" s="178"/>
      <c r="R105" s="312"/>
    </row>
    <row r="106" spans="13:18" hidden="1">
      <c r="Q106" s="178"/>
    </row>
    <row r="107" spans="13:18" hidden="1">
      <c r="M107" s="181"/>
      <c r="Q107" s="178"/>
      <c r="R107" s="312"/>
    </row>
    <row r="108" spans="13:18" hidden="1">
      <c r="Q108" s="178"/>
      <c r="R108" s="312"/>
    </row>
    <row r="109" spans="13:18" hidden="1">
      <c r="M109" s="181"/>
      <c r="Q109" s="178"/>
    </row>
    <row r="110" spans="13:18" hidden="1">
      <c r="Q110" s="178"/>
    </row>
    <row r="111" spans="13:18" hidden="1">
      <c r="M111" s="181"/>
      <c r="Q111" s="178"/>
    </row>
    <row r="112" spans="13:18" hidden="1">
      <c r="Q112" s="178"/>
    </row>
    <row r="113" spans="4:17" hidden="1">
      <c r="D113" s="182"/>
      <c r="M113" s="181"/>
      <c r="Q113" s="178"/>
    </row>
    <row r="114" spans="4:17" hidden="1">
      <c r="D114" s="182"/>
      <c r="Q114" s="178"/>
    </row>
    <row r="115" spans="4:17" hidden="1">
      <c r="D115" s="182"/>
      <c r="Q115" s="178"/>
    </row>
    <row r="116" spans="4:17" hidden="1">
      <c r="D116" s="182"/>
      <c r="Q116" s="178"/>
    </row>
    <row r="117" spans="4:17" hidden="1">
      <c r="D117" s="182"/>
      <c r="Q117" s="178"/>
    </row>
    <row r="118" spans="4:17" hidden="1">
      <c r="D118" s="182"/>
      <c r="Q118" s="178"/>
    </row>
    <row r="119" spans="4:17" hidden="1">
      <c r="D119" s="182"/>
      <c r="Q119" s="178"/>
    </row>
    <row r="120" spans="4:17" hidden="1">
      <c r="Q120" s="178"/>
    </row>
    <row r="121" spans="4:17" hidden="1">
      <c r="N121" s="174"/>
      <c r="O121" s="175"/>
      <c r="P121" s="175"/>
    </row>
    <row r="122" spans="4:17" hidden="1">
      <c r="M122" s="313"/>
      <c r="N122" s="174"/>
      <c r="O122" s="175"/>
      <c r="P122" s="175"/>
    </row>
    <row r="123" spans="4:17" hidden="1">
      <c r="M123" s="313"/>
      <c r="N123" s="174"/>
      <c r="O123" s="175"/>
      <c r="P123" s="175"/>
    </row>
    <row r="124" spans="4:17" hidden="1">
      <c r="M124" s="313"/>
      <c r="N124" s="174"/>
      <c r="O124" s="175"/>
      <c r="P124" s="175"/>
      <c r="Q124" s="183"/>
    </row>
    <row r="125" spans="4:17" hidden="1">
      <c r="M125" s="313"/>
      <c r="N125" s="174"/>
      <c r="O125" s="175"/>
      <c r="P125" s="175"/>
    </row>
    <row r="126" spans="4:17" hidden="1">
      <c r="M126" s="313"/>
      <c r="N126" s="174"/>
      <c r="O126" s="175"/>
      <c r="P126" s="175"/>
    </row>
    <row r="127" spans="4:17" hidden="1">
      <c r="M127" s="313"/>
      <c r="N127" s="174"/>
      <c r="O127" s="175"/>
      <c r="P127" s="175"/>
    </row>
    <row r="128" spans="4:17" hidden="1">
      <c r="M128" s="313"/>
      <c r="N128" s="174"/>
      <c r="O128" s="175"/>
      <c r="P128" s="175"/>
    </row>
    <row r="129" spans="13:16" hidden="1">
      <c r="M129" s="313"/>
      <c r="N129" s="174"/>
      <c r="O129" s="175"/>
      <c r="P129" s="175"/>
    </row>
    <row r="130" spans="13:16" hidden="1">
      <c r="M130" s="313"/>
      <c r="N130" s="174"/>
      <c r="O130" s="175"/>
      <c r="P130" s="175"/>
    </row>
    <row r="131" spans="13:16" hidden="1">
      <c r="M131" s="313"/>
      <c r="N131" s="174"/>
      <c r="O131" s="175"/>
      <c r="P131" s="175"/>
    </row>
    <row r="132" spans="13:16" hidden="1">
      <c r="M132" s="313"/>
      <c r="N132" s="174"/>
      <c r="O132" s="175"/>
      <c r="P132" s="175"/>
    </row>
    <row r="133" spans="13:16" hidden="1">
      <c r="M133" s="313"/>
      <c r="N133" s="174"/>
      <c r="O133" s="175"/>
      <c r="P133" s="175"/>
    </row>
    <row r="134" spans="13:16" hidden="1">
      <c r="M134" s="313"/>
      <c r="N134" s="174"/>
      <c r="O134" s="175"/>
      <c r="P134" s="175"/>
    </row>
    <row r="135" spans="13:16" hidden="1">
      <c r="M135" s="313"/>
      <c r="N135" s="174"/>
      <c r="O135" s="175"/>
      <c r="P135" s="175"/>
    </row>
    <row r="136" spans="13:16" hidden="1">
      <c r="M136" s="313"/>
      <c r="N136" s="174"/>
      <c r="O136" s="175"/>
      <c r="P136" s="175"/>
    </row>
    <row r="137" spans="13:16" hidden="1">
      <c r="M137" s="313"/>
      <c r="N137" s="174"/>
      <c r="O137" s="175"/>
      <c r="P137" s="175"/>
    </row>
    <row r="138" spans="13:16" hidden="1">
      <c r="M138" s="313"/>
      <c r="N138" s="174"/>
      <c r="O138" s="175"/>
      <c r="P138" s="175"/>
    </row>
    <row r="139" spans="13:16" hidden="1">
      <c r="M139" s="313"/>
      <c r="N139" s="174"/>
      <c r="O139" s="175"/>
      <c r="P139" s="175"/>
    </row>
    <row r="140" spans="13:16" hidden="1">
      <c r="M140" s="313"/>
      <c r="N140" s="174"/>
      <c r="O140" s="175"/>
      <c r="P140" s="175"/>
    </row>
    <row r="141" spans="13:16" hidden="1">
      <c r="M141" s="313"/>
      <c r="N141" s="174"/>
      <c r="O141" s="175"/>
      <c r="P141" s="175"/>
    </row>
    <row r="142" spans="13:16" hidden="1">
      <c r="M142" s="313"/>
      <c r="N142" s="174"/>
      <c r="O142" s="175"/>
      <c r="P142" s="175"/>
    </row>
    <row r="143" spans="13:16" hidden="1">
      <c r="M143" s="313"/>
      <c r="N143" s="174"/>
      <c r="O143" s="175"/>
      <c r="P143" s="175"/>
    </row>
    <row r="144" spans="13:16" hidden="1">
      <c r="M144" s="313"/>
      <c r="N144" s="174"/>
      <c r="O144" s="175"/>
      <c r="P144" s="175"/>
    </row>
    <row r="145" spans="13:16" hidden="1">
      <c r="M145" s="313"/>
      <c r="N145" s="174"/>
      <c r="O145" s="175"/>
      <c r="P145" s="175"/>
    </row>
    <row r="149" spans="13:16" hidden="1">
      <c r="O149" s="184"/>
      <c r="P149" s="185"/>
    </row>
  </sheetData>
  <sheetProtection selectLockedCells="1"/>
  <dataConsolidate/>
  <mergeCells count="39">
    <mergeCell ref="C28:H28"/>
    <mergeCell ref="D30:E30"/>
    <mergeCell ref="R104:R105"/>
    <mergeCell ref="R95:R96"/>
    <mergeCell ref="R98:R99"/>
    <mergeCell ref="R101:R102"/>
    <mergeCell ref="E29:F29"/>
    <mergeCell ref="G29:H29"/>
    <mergeCell ref="W3:W8"/>
    <mergeCell ref="B2:K3"/>
    <mergeCell ref="R107:R108"/>
    <mergeCell ref="M142:M143"/>
    <mergeCell ref="M144:M145"/>
    <mergeCell ref="M128:M129"/>
    <mergeCell ref="M130:M131"/>
    <mergeCell ref="M132:M133"/>
    <mergeCell ref="M134:M135"/>
    <mergeCell ref="M136:M137"/>
    <mergeCell ref="M138:M139"/>
    <mergeCell ref="M140:M141"/>
    <mergeCell ref="M122:M123"/>
    <mergeCell ref="M124:M125"/>
    <mergeCell ref="M126:M127"/>
    <mergeCell ref="C29:D29"/>
    <mergeCell ref="G14:H14"/>
    <mergeCell ref="G24:H24"/>
    <mergeCell ref="E21:F21"/>
    <mergeCell ref="C21:D21"/>
    <mergeCell ref="B27:I27"/>
    <mergeCell ref="C25:I25"/>
    <mergeCell ref="B11:I13"/>
    <mergeCell ref="N2:U8"/>
    <mergeCell ref="M2:M8"/>
    <mergeCell ref="V2:V8"/>
    <mergeCell ref="I5:J5"/>
    <mergeCell ref="G4:H4"/>
    <mergeCell ref="I6:J6"/>
    <mergeCell ref="G5:H5"/>
    <mergeCell ref="G6:H6"/>
  </mergeCells>
  <conditionalFormatting sqref="E21 G14 C21 G24">
    <cfRule type="containsText" dxfId="6" priority="8" operator="containsText" text="Underweight">
      <formula>NOT(ISERROR(SEARCH("Underweight",C14)))</formula>
    </cfRule>
  </conditionalFormatting>
  <conditionalFormatting sqref="E21">
    <cfRule type="cellIs" dxfId="5" priority="7" operator="equal">
      <formula>"Underweight"</formula>
    </cfRule>
  </conditionalFormatting>
  <conditionalFormatting sqref="G14 C21 E21 G24">
    <cfRule type="containsText" dxfId="4" priority="9" operator="containsText" text="Normal">
      <formula>NOT(ISERROR(SEARCH("Normal",C14)))</formula>
    </cfRule>
    <cfRule type="containsText" dxfId="3" priority="10" operator="containsText" text="Overweight">
      <formula>NOT(ISERROR(SEARCH("Overweight",C14)))</formula>
    </cfRule>
    <cfRule type="containsText" dxfId="2" priority="11" operator="containsText" text="Obese Class 1">
      <formula>NOT(ISERROR(SEARCH("Obese Class 1",C14)))</formula>
    </cfRule>
    <cfRule type="containsText" dxfId="1" priority="12" operator="containsText" text="Obese Class 2">
      <formula>NOT(ISERROR(SEARCH("Obese Class 2",C14)))</formula>
    </cfRule>
    <cfRule type="containsText" dxfId="0" priority="13" operator="containsText" text="Obese Class 3">
      <formula>NOT(ISERROR(SEARCH("Obese Class 3",C14)))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4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415D0AB-95A1-426E-BCA8-6D2AF2F4483C}">
          <x14:formula1>
            <xm:f>'Dependent Drop Down'!$K$1:$M$1</xm:f>
          </x14:formula1>
          <xm:sqref>D7</xm:sqref>
        </x14:dataValidation>
        <x14:dataValidation type="list" allowBlank="1" showInputMessage="1" showErrorMessage="1" xr:uid="{E9233100-B1A1-46B3-B1AA-0708994616E5}">
          <x14:formula1>
            <xm:f>'Dependent Drop Down'!$F$1:$I$1</xm:f>
          </x14:formula1>
          <xm:sqref>D6</xm:sqref>
        </x14:dataValidation>
        <x14:dataValidation type="list" allowBlank="1" showInputMessage="1" showErrorMessage="1" xr:uid="{1449DE9E-F37F-4A0A-B0C4-B590E5BC6C79}">
          <x14:formula1>
            <xm:f>'Dependent Drop Down'!$A$1:$D$1</xm:f>
          </x14:formula1>
          <xm:sqref>D5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70"/>
  <sheetViews>
    <sheetView showGridLines="0" tabSelected="1" workbookViewId="0">
      <selection activeCell="M4" sqref="M4"/>
    </sheetView>
  </sheetViews>
  <sheetFormatPr baseColWidth="10" defaultColWidth="9" defaultRowHeight="14"/>
  <cols>
    <col min="1" max="1" width="9" customWidth="1"/>
    <col min="3" max="3" width="13.5" customWidth="1"/>
    <col min="4" max="4" width="11.1640625" customWidth="1"/>
    <col min="5" max="5" width="7.6640625" customWidth="1"/>
    <col min="6" max="6" width="9.1640625" customWidth="1"/>
    <col min="7" max="7" width="8.6640625" customWidth="1"/>
    <col min="8" max="8" width="8" customWidth="1"/>
    <col min="9" max="9" width="2.6640625" style="242" bestFit="1" customWidth="1"/>
    <col min="10" max="10" width="4.1640625" style="244" customWidth="1"/>
    <col min="11" max="11" width="11.33203125" bestFit="1" customWidth="1"/>
    <col min="12" max="12" width="13.33203125" style="73" bestFit="1" customWidth="1"/>
    <col min="13" max="13" width="11.1640625" style="53" customWidth="1"/>
    <col min="17" max="19" width="9" style="2"/>
    <col min="20" max="20" width="9" style="2" customWidth="1"/>
    <col min="23" max="23" width="15.1640625" customWidth="1"/>
    <col min="24" max="24" width="9.6640625" customWidth="1"/>
    <col min="25" max="25" width="14.1640625" customWidth="1"/>
    <col min="26" max="34" width="10.6640625" customWidth="1"/>
    <col min="35" max="39" width="9.6640625" customWidth="1"/>
  </cols>
  <sheetData>
    <row r="1" spans="1:40">
      <c r="F1" t="s">
        <v>29</v>
      </c>
      <c r="G1" t="s">
        <v>30</v>
      </c>
    </row>
    <row r="2" spans="1:40" ht="27" thickBot="1">
      <c r="A2" s="239" t="s">
        <v>31</v>
      </c>
      <c r="G2" t="e">
        <f>IF(Weight_Calculator!#REF!="in",CONVERT(Weight_Calculator!D4, "in","cm"),(Weight_Calculator!D4))</f>
        <v>#REF!</v>
      </c>
    </row>
    <row r="3" spans="1:40" ht="19" thickBot="1">
      <c r="A3" s="1" t="s">
        <v>32</v>
      </c>
      <c r="B3" s="1"/>
      <c r="C3" s="220">
        <f>IF(Weight_Calculator!D7="Inches",Weight_Calculator!E7,Stats_Tables!C4)</f>
        <v>12.598425196850394</v>
      </c>
      <c r="D3" s="220" t="e">
        <f ca="1">Weight_Calculator!D17</f>
        <v>#VALUE!</v>
      </c>
      <c r="E3" s="221"/>
      <c r="F3" t="s">
        <v>33</v>
      </c>
      <c r="G3" t="str">
        <f>IF(Weight_Calculator!D5="in",CONVERT(Weight_Calculator!E5, "in","cm"),(Weight_Calculator!E5))</f>
        <v>5' 11"</v>
      </c>
      <c r="I3" s="326" t="s">
        <v>2</v>
      </c>
      <c r="J3" s="327"/>
      <c r="K3" s="327"/>
      <c r="L3" s="327"/>
      <c r="M3" s="328"/>
      <c r="N3" s="321" t="s">
        <v>22</v>
      </c>
      <c r="O3" s="322"/>
      <c r="P3" s="322"/>
      <c r="Q3" s="322"/>
      <c r="R3" s="322"/>
      <c r="S3" s="322"/>
      <c r="T3" s="322"/>
      <c r="U3" s="323"/>
      <c r="V3" s="52"/>
    </row>
    <row r="4" spans="1:40" s="249" customFormat="1" ht="49" thickBot="1">
      <c r="A4" s="246" t="s">
        <v>34</v>
      </c>
      <c r="B4" s="246"/>
      <c r="C4" s="247">
        <f>CONVERT(Weight_Calculator!E7,"cm","in")</f>
        <v>12.598425196850394</v>
      </c>
      <c r="D4" s="248"/>
      <c r="E4" s="248"/>
      <c r="F4" s="249" t="s">
        <v>35</v>
      </c>
      <c r="G4" s="249" t="str">
        <f>IF(Weight_Calculator!D6="in",CONVERT(Weight_Calculator!E6, "in","cm"),(Weight_Calculator!E6))</f>
        <v>11st 7lbs</v>
      </c>
      <c r="I4" s="324" t="s">
        <v>481</v>
      </c>
      <c r="J4" s="325"/>
      <c r="K4" s="261" t="s">
        <v>75</v>
      </c>
      <c r="L4" s="252" t="s">
        <v>74</v>
      </c>
      <c r="M4" s="250" t="s">
        <v>8</v>
      </c>
      <c r="N4" s="251" t="s">
        <v>36</v>
      </c>
      <c r="O4" s="251" t="s">
        <v>37</v>
      </c>
      <c r="P4" s="251" t="s">
        <v>38</v>
      </c>
      <c r="Q4" s="252" t="s">
        <v>39</v>
      </c>
      <c r="R4" s="251" t="s">
        <v>40</v>
      </c>
      <c r="S4" s="252" t="s">
        <v>41</v>
      </c>
      <c r="T4" s="253" t="s">
        <v>42</v>
      </c>
      <c r="U4" s="254" t="s">
        <v>43</v>
      </c>
      <c r="V4" s="255"/>
      <c r="W4" s="256" t="s">
        <v>44</v>
      </c>
      <c r="X4" s="257" t="s">
        <v>45</v>
      </c>
      <c r="Y4" s="257" t="s">
        <v>46</v>
      </c>
      <c r="Z4" s="257" t="s">
        <v>47</v>
      </c>
      <c r="AA4" s="257" t="s">
        <v>48</v>
      </c>
      <c r="AB4" s="258" t="s">
        <v>49</v>
      </c>
      <c r="AC4" s="258" t="s">
        <v>50</v>
      </c>
      <c r="AD4" s="258" t="s">
        <v>51</v>
      </c>
      <c r="AE4" s="258" t="s">
        <v>52</v>
      </c>
      <c r="AF4" s="259" t="s">
        <v>53</v>
      </c>
      <c r="AG4" s="259" t="s">
        <v>54</v>
      </c>
      <c r="AH4" s="259" t="s">
        <v>55</v>
      </c>
      <c r="AI4" s="259" t="s">
        <v>56</v>
      </c>
      <c r="AJ4" s="259" t="s">
        <v>57</v>
      </c>
      <c r="AK4" s="259" t="s">
        <v>58</v>
      </c>
      <c r="AL4" s="259" t="s">
        <v>59</v>
      </c>
      <c r="AM4" s="257" t="s">
        <v>60</v>
      </c>
      <c r="AN4" s="260" t="s">
        <v>61</v>
      </c>
    </row>
    <row r="5" spans="1:40" ht="16" thickTop="1">
      <c r="C5" s="221"/>
      <c r="D5" s="221"/>
      <c r="E5" s="221"/>
      <c r="F5" s="215" t="s">
        <v>27</v>
      </c>
      <c r="G5" s="216">
        <f>IF(Weight_Calculator!D7="in",CONVERT(Weight_Calculator!E7, "in","cm"),(Weight_Calculator!E7))</f>
        <v>81.28</v>
      </c>
      <c r="I5" s="243">
        <f>K5-MOD(K5,1)</f>
        <v>4</v>
      </c>
      <c r="J5" s="245">
        <f>L5-(12*(K5-MOD(K5,1)))</f>
        <v>7.118110236220474</v>
      </c>
      <c r="K5" s="241">
        <f>L5/12</f>
        <v>4.5931758530183728</v>
      </c>
      <c r="L5" s="241">
        <f>Table1[[#This Row],[cm]]/2.54</f>
        <v>55.118110236220474</v>
      </c>
      <c r="M5" s="54">
        <v>140</v>
      </c>
      <c r="N5" s="3">
        <v>39</v>
      </c>
      <c r="O5" s="3">
        <f t="shared" ref="O5:O36" si="0">$O$4*M5^2/10000</f>
        <v>49</v>
      </c>
      <c r="P5" s="3">
        <f>$P$4*M5^2/10000</f>
        <v>58.8</v>
      </c>
      <c r="Q5" s="7">
        <f t="shared" ref="Q5:Q36" si="1">$Q$4*M5^2/10000</f>
        <v>68.599999999999994</v>
      </c>
      <c r="R5" s="3">
        <f>$R$4*M5^2/10000</f>
        <v>78.400000000000006</v>
      </c>
      <c r="S5" s="3">
        <f t="shared" ref="S5:S36" si="2">$S$4*M5^2/10000</f>
        <v>88.2</v>
      </c>
      <c r="T5" s="3">
        <f t="shared" ref="T5:T36" si="3">$T$4*$M5^2/10000</f>
        <v>196</v>
      </c>
      <c r="U5" s="4" t="e">
        <f ca="1">IF($E$22=M5,Weight_Calculator!E$18,"")</f>
        <v>#VALUE!</v>
      </c>
      <c r="V5" s="2"/>
      <c r="W5" s="31">
        <f>SUM(Weight_Calculator!$I$5*Table2[[#This Row],[Days
Per
Week]])</f>
        <v>0</v>
      </c>
      <c r="X5" s="10" t="e">
        <f>SUM(Weight_Calculator!$F$20*$AM5)</f>
        <v>#VALUE!</v>
      </c>
      <c r="Y5" s="34" t="e">
        <f>SUM($W$5-$X$5)</f>
        <v>#VALUE!</v>
      </c>
      <c r="Z5" s="11" t="e">
        <f t="shared" ref="Z5:Z36" si="4">SUM(Y5/7700)</f>
        <v>#VALUE!</v>
      </c>
      <c r="AA5" s="22" t="e">
        <f ca="1">SUM(Weight_Calculator!$E$18,Table2[[#This Row],[7 Day
Change]])</f>
        <v>#VALUE!</v>
      </c>
      <c r="AB5" s="50" t="e">
        <f t="shared" ref="AB5:AB36" ca="1" si="5">CONCATENATE(ROUND(CONVERT($AL5,"kg","lbm"),0),"lbs")</f>
        <v>#N/A</v>
      </c>
      <c r="AC5" s="51" t="e">
        <f t="shared" ref="AC5:AC36" ca="1" si="6">CONCATENATE(ROUNDDOWN($AD5/14,0),"st ",TEXT(MOD($AD5,14),"#0"),"lbs")</f>
        <v>#N/A</v>
      </c>
      <c r="AD5" s="38" t="e">
        <f t="shared" ref="AD5:AD36" ca="1" si="7">CONVERT($AL5,"kg","lbm")</f>
        <v>#N/A</v>
      </c>
      <c r="AE5" s="45" t="e">
        <f ca="1">+$AL5/(Weight_Calculator!$E$17*(Weight_Calculator!$E$17/10000))</f>
        <v>#N/A</v>
      </c>
      <c r="AF5" s="49" t="e">
        <f ca="1">SUM(66.5+(13.75*$AA5)+(5.003*Weight_Calculator!$E$17)-(6.75*Weight_Calculator!$D$4))</f>
        <v>#VALUE!</v>
      </c>
      <c r="AG5" s="43" t="e">
        <f ca="1">VLOOKUP(Stats_Tables!$D$12,Stats_Tables!$C$13:$F$16,4,0)*AF5</f>
        <v>#N/A</v>
      </c>
      <c r="AH5" s="43" t="e">
        <f t="shared" ref="AH5:AH36" ca="1" si="8">AG5*7</f>
        <v>#N/A</v>
      </c>
      <c r="AI5" s="44" t="e">
        <f ca="1">Table2[[#This Row],[Adjusted
BMR x7]]</f>
        <v>#N/A</v>
      </c>
      <c r="AJ5" s="44" t="e">
        <f t="shared" ref="AJ5:AJ36" ca="1" si="9">SUM($W5-$AI5)</f>
        <v>#N/A</v>
      </c>
      <c r="AK5" s="46" t="e">
        <f t="shared" ref="AK5:AK36" ca="1" si="10">SUM(AJ5/7700)</f>
        <v>#N/A</v>
      </c>
      <c r="AL5" s="47" t="e">
        <f ca="1">SUM(Weight_Calculator!$E$18,AK5)</f>
        <v>#N/A</v>
      </c>
      <c r="AM5" s="39">
        <f>SUM(1*7)</f>
        <v>7</v>
      </c>
      <c r="AN5" s="12">
        <v>1</v>
      </c>
    </row>
    <row r="6" spans="1:40" ht="15">
      <c r="F6" s="217"/>
      <c r="G6" s="217"/>
      <c r="I6" s="243">
        <f t="shared" ref="I6:I69" si="11">K6-MOD(K6,1)</f>
        <v>4</v>
      </c>
      <c r="J6" s="245">
        <f t="shared" ref="J6:J69" si="12">L6-(12*(K6-MOD(K6,1)))</f>
        <v>7.5118110236220446</v>
      </c>
      <c r="K6" s="241">
        <f t="shared" ref="K6:K69" si="13">L6/12</f>
        <v>4.6259842519685037</v>
      </c>
      <c r="L6" s="241">
        <f>Table1[[#This Row],[cm]]/2.54</f>
        <v>55.511811023622045</v>
      </c>
      <c r="M6" s="54">
        <v>141</v>
      </c>
      <c r="N6" s="3">
        <f t="shared" ref="N6:N36" si="14">$N$4*M6^2/10000</f>
        <v>39.762</v>
      </c>
      <c r="O6" s="3">
        <f t="shared" si="0"/>
        <v>49.702500000000001</v>
      </c>
      <c r="P6" s="3">
        <f t="shared" ref="P6:P36" si="15">$P$4*M6^2/10000</f>
        <v>59.643000000000001</v>
      </c>
      <c r="Q6" s="7">
        <f t="shared" si="1"/>
        <v>69.583500000000001</v>
      </c>
      <c r="R6" s="3">
        <f t="shared" ref="R6:R69" si="16">$R$4*M6^2/10000</f>
        <v>79.524000000000001</v>
      </c>
      <c r="S6" s="3">
        <f t="shared" si="2"/>
        <v>89.464500000000001</v>
      </c>
      <c r="T6" s="4">
        <f t="shared" si="3"/>
        <v>198.81</v>
      </c>
      <c r="U6" s="4" t="e">
        <f ca="1">IF($E$22=M6,Weight_Calculator!E$18,"")</f>
        <v>#VALUE!</v>
      </c>
      <c r="V6" s="2"/>
      <c r="W6" s="32">
        <f>SUM(Weight_Calculator!$I$5*Table2[[#This Row],[Days
Per
Week]])</f>
        <v>0</v>
      </c>
      <c r="X6" s="13" t="e">
        <f>SUM(Weight_Calculator!$F$20*$AM6)</f>
        <v>#VALUE!</v>
      </c>
      <c r="Y6" s="35" t="e">
        <f t="shared" ref="Y6:Y37" si="17">SUM(W6-X6)</f>
        <v>#VALUE!</v>
      </c>
      <c r="Z6" s="14" t="e">
        <f t="shared" si="4"/>
        <v>#VALUE!</v>
      </c>
      <c r="AA6" s="22" t="e">
        <f ca="1">SUM(Weight_Calculator!$E$18,Table2[[#This Row],[7 Day
Change]])</f>
        <v>#VALUE!</v>
      </c>
      <c r="AB6" s="50" t="e">
        <f t="shared" ca="1" si="5"/>
        <v>#N/A</v>
      </c>
      <c r="AC6" s="51" t="e">
        <f t="shared" ca="1" si="6"/>
        <v>#N/A</v>
      </c>
      <c r="AD6" s="38" t="e">
        <f t="shared" ca="1" si="7"/>
        <v>#N/A</v>
      </c>
      <c r="AE6" s="48" t="e">
        <f ca="1">+$AL6/(Weight_Calculator!$E$17*(Weight_Calculator!$E$17/10000))</f>
        <v>#N/A</v>
      </c>
      <c r="AF6" s="49" t="e">
        <f ca="1">SUM(66.5+(13.75*$AL5)+(5.003*Weight_Calculator!$E$17)-(6.75*Weight_Calculator!$D$4))</f>
        <v>#N/A</v>
      </c>
      <c r="AG6" s="44" t="e">
        <f ca="1">VLOOKUP(Stats_Tables!$D$12,Stats_Tables!$C$13:$F$16,4,0)*AF6</f>
        <v>#N/A</v>
      </c>
      <c r="AH6" s="43" t="e">
        <f t="shared" ca="1" si="8"/>
        <v>#N/A</v>
      </c>
      <c r="AI6" s="44" t="e">
        <f ca="1">SUM(AI5+AH6)</f>
        <v>#N/A</v>
      </c>
      <c r="AJ6" s="44" t="e">
        <f t="shared" ca="1" si="9"/>
        <v>#N/A</v>
      </c>
      <c r="AK6" s="46" t="e">
        <f t="shared" ca="1" si="10"/>
        <v>#N/A</v>
      </c>
      <c r="AL6" s="47" t="e">
        <f ca="1">SUM(Weight_Calculator!$E$18,AK6)</f>
        <v>#N/A</v>
      </c>
      <c r="AM6" s="40">
        <f>SUM(2*7)</f>
        <v>14</v>
      </c>
      <c r="AN6" s="15">
        <v>2</v>
      </c>
    </row>
    <row r="7" spans="1:40" ht="18">
      <c r="C7" s="212" t="s">
        <v>62</v>
      </c>
      <c r="D7" s="213" t="e">
        <f ca="1">10*Weight_Calculator!E18+6.25*Weight_Calculator!E17-5*Weight_Calculator!D4+IF(Weight_Calculator!I4=Stats_Tables!A7,5,-161)</f>
        <v>#VALUE!</v>
      </c>
      <c r="E7" s="213"/>
      <c r="F7" s="214" t="s">
        <v>11</v>
      </c>
      <c r="I7" s="243">
        <f t="shared" si="11"/>
        <v>4</v>
      </c>
      <c r="J7" s="245">
        <f t="shared" si="12"/>
        <v>7.9055118110236222</v>
      </c>
      <c r="K7" s="241">
        <f t="shared" si="13"/>
        <v>4.6587926509186355</v>
      </c>
      <c r="L7" s="241">
        <f>Table1[[#This Row],[cm]]/2.54</f>
        <v>55.905511811023622</v>
      </c>
      <c r="M7" s="54">
        <v>142</v>
      </c>
      <c r="N7" s="3">
        <f t="shared" si="14"/>
        <v>40.328000000000003</v>
      </c>
      <c r="O7" s="3">
        <f t="shared" si="0"/>
        <v>50.41</v>
      </c>
      <c r="P7" s="3">
        <f t="shared" si="15"/>
        <v>60.491999999999997</v>
      </c>
      <c r="Q7" s="7">
        <f t="shared" si="1"/>
        <v>70.573999999999998</v>
      </c>
      <c r="R7" s="3">
        <f t="shared" si="16"/>
        <v>80.656000000000006</v>
      </c>
      <c r="S7" s="3">
        <f t="shared" si="2"/>
        <v>90.738</v>
      </c>
      <c r="T7" s="4">
        <f t="shared" si="3"/>
        <v>201.64</v>
      </c>
      <c r="U7" s="4" t="e">
        <f ca="1">IF($E$22=M7,Weight_Calculator!E$18,"")</f>
        <v>#VALUE!</v>
      </c>
      <c r="V7" s="2"/>
      <c r="W7" s="32">
        <f>SUM(Weight_Calculator!$I$5*Table2[[#This Row],[Days
Per
Week]])</f>
        <v>0</v>
      </c>
      <c r="X7" s="16" t="e">
        <f>SUM(Weight_Calculator!$F$20*$AM7)</f>
        <v>#VALUE!</v>
      </c>
      <c r="Y7" s="36" t="e">
        <f t="shared" si="17"/>
        <v>#VALUE!</v>
      </c>
      <c r="Z7" s="17" t="e">
        <f t="shared" si="4"/>
        <v>#VALUE!</v>
      </c>
      <c r="AA7" s="22" t="e">
        <f ca="1">SUM(Weight_Calculator!$E$18,Table2[[#This Row],[7 Day
Change]])</f>
        <v>#VALUE!</v>
      </c>
      <c r="AB7" s="50" t="e">
        <f t="shared" ca="1" si="5"/>
        <v>#N/A</v>
      </c>
      <c r="AC7" s="51" t="e">
        <f t="shared" ca="1" si="6"/>
        <v>#N/A</v>
      </c>
      <c r="AD7" s="38" t="e">
        <f t="shared" ca="1" si="7"/>
        <v>#N/A</v>
      </c>
      <c r="AE7" s="48" t="e">
        <f ca="1">+$AL7/(Weight_Calculator!$E$17*(Weight_Calculator!$E$17/10000))</f>
        <v>#N/A</v>
      </c>
      <c r="AF7" s="49" t="e">
        <f ca="1">SUM(66.5+(13.75*$AL6)+(5.003*Weight_Calculator!$E$17)-(6.75*Weight_Calculator!$D$4))</f>
        <v>#N/A</v>
      </c>
      <c r="AG7" s="44" t="e">
        <f ca="1">VLOOKUP(Stats_Tables!$D$12,Stats_Tables!$C$13:$F$16,4,0)*AF7</f>
        <v>#N/A</v>
      </c>
      <c r="AH7" s="43" t="e">
        <f t="shared" ca="1" si="8"/>
        <v>#N/A</v>
      </c>
      <c r="AI7" s="44" t="e">
        <f ca="1">SUM(AI6+AH7)</f>
        <v>#N/A</v>
      </c>
      <c r="AJ7" s="44" t="e">
        <f t="shared" ca="1" si="9"/>
        <v>#N/A</v>
      </c>
      <c r="AK7" s="46" t="e">
        <f t="shared" ca="1" si="10"/>
        <v>#N/A</v>
      </c>
      <c r="AL7" s="47" t="e">
        <f ca="1">SUM(Weight_Calculator!$E$18,AK7)</f>
        <v>#N/A</v>
      </c>
      <c r="AM7" s="41">
        <f>SUM(3*7)</f>
        <v>21</v>
      </c>
      <c r="AN7" s="18">
        <v>3</v>
      </c>
    </row>
    <row r="8" spans="1:40" ht="15">
      <c r="C8" s="207" t="s">
        <v>63</v>
      </c>
      <c r="D8" s="208" t="e">
        <f>SUM(G5/G3)</f>
        <v>#VALUE!</v>
      </c>
      <c r="E8" s="209"/>
      <c r="I8" s="243">
        <f t="shared" si="11"/>
        <v>4</v>
      </c>
      <c r="J8" s="245">
        <f t="shared" si="12"/>
        <v>8.2992125984251928</v>
      </c>
      <c r="K8" s="241">
        <f t="shared" si="13"/>
        <v>4.6916010498687664</v>
      </c>
      <c r="L8" s="241">
        <f>Table1[[#This Row],[cm]]/2.54</f>
        <v>56.299212598425193</v>
      </c>
      <c r="M8" s="54">
        <v>143</v>
      </c>
      <c r="N8" s="3">
        <f t="shared" si="14"/>
        <v>40.898000000000003</v>
      </c>
      <c r="O8" s="3">
        <f t="shared" si="0"/>
        <v>51.122500000000002</v>
      </c>
      <c r="P8" s="3">
        <f t="shared" si="15"/>
        <v>61.347000000000001</v>
      </c>
      <c r="Q8" s="7">
        <f t="shared" si="1"/>
        <v>71.5715</v>
      </c>
      <c r="R8" s="3">
        <f t="shared" si="16"/>
        <v>81.796000000000006</v>
      </c>
      <c r="S8" s="3">
        <f t="shared" si="2"/>
        <v>92.020499999999998</v>
      </c>
      <c r="T8" s="4">
        <f t="shared" si="3"/>
        <v>204.49</v>
      </c>
      <c r="U8" s="4" t="e">
        <f ca="1">IF($E$22=M8,Weight_Calculator!E$18,"")</f>
        <v>#VALUE!</v>
      </c>
      <c r="V8" s="2"/>
      <c r="W8" s="32">
        <f>SUM(Weight_Calculator!$I$5*Table2[[#This Row],[Days
Per
Week]])</f>
        <v>0</v>
      </c>
      <c r="X8" s="13" t="e">
        <f>SUM(Weight_Calculator!$F$20*$AM8)</f>
        <v>#VALUE!</v>
      </c>
      <c r="Y8" s="35" t="e">
        <f t="shared" si="17"/>
        <v>#VALUE!</v>
      </c>
      <c r="Z8" s="14" t="e">
        <f t="shared" si="4"/>
        <v>#VALUE!</v>
      </c>
      <c r="AA8" s="22" t="e">
        <f ca="1">SUM(Weight_Calculator!$E$18,Table2[[#This Row],[7 Day
Change]])</f>
        <v>#VALUE!</v>
      </c>
      <c r="AB8" s="50" t="e">
        <f t="shared" ca="1" si="5"/>
        <v>#N/A</v>
      </c>
      <c r="AC8" s="51" t="e">
        <f t="shared" ca="1" si="6"/>
        <v>#N/A</v>
      </c>
      <c r="AD8" s="38" t="e">
        <f t="shared" ca="1" si="7"/>
        <v>#N/A</v>
      </c>
      <c r="AE8" s="48" t="e">
        <f ca="1">+$AL8/(Weight_Calculator!$E$17*(Weight_Calculator!$E$17/10000))</f>
        <v>#N/A</v>
      </c>
      <c r="AF8" s="49" t="e">
        <f ca="1">SUM(66.5+(13.75*$AL7)+(5.003*Weight_Calculator!$E$17)-(6.75*Weight_Calculator!$D$4))</f>
        <v>#N/A</v>
      </c>
      <c r="AG8" s="44" t="e">
        <f ca="1">VLOOKUP(Stats_Tables!$D$12,Stats_Tables!$C$13:$F$16,4,0)*AF8</f>
        <v>#N/A</v>
      </c>
      <c r="AH8" s="43" t="e">
        <f t="shared" ca="1" si="8"/>
        <v>#N/A</v>
      </c>
      <c r="AI8" s="44" t="e">
        <f ca="1">SUM(AI7+AH8)</f>
        <v>#N/A</v>
      </c>
      <c r="AJ8" s="44" t="e">
        <f t="shared" ca="1" si="9"/>
        <v>#N/A</v>
      </c>
      <c r="AK8" s="46" t="e">
        <f t="shared" ca="1" si="10"/>
        <v>#N/A</v>
      </c>
      <c r="AL8" s="47" t="e">
        <f ca="1">SUM(Weight_Calculator!$E$18,AK8)</f>
        <v>#N/A</v>
      </c>
      <c r="AM8" s="40">
        <v>28</v>
      </c>
      <c r="AN8" s="15">
        <v>4</v>
      </c>
    </row>
    <row r="9" spans="1:40" ht="15">
      <c r="C9" s="210"/>
      <c r="D9" s="210" t="e" cm="1">
        <f t="array" ref="D9:E9">IF(#REF!=F27:G27,C27,IF(#REF!=F28:G28,C28,IF(#REF!=F29:G29,C29,IF(#REF!=F30:G30,C30,IF(#REF!=F32:G32,C31,IF(#REF!=#REF!,C32," "))))))</f>
        <v>#REF!</v>
      </c>
      <c r="E9" s="210" t="e">
        <v>#REF!</v>
      </c>
      <c r="I9" s="243">
        <f t="shared" si="11"/>
        <v>4</v>
      </c>
      <c r="J9" s="245">
        <f t="shared" si="12"/>
        <v>8.6929133858267704</v>
      </c>
      <c r="K9" s="241">
        <f t="shared" si="13"/>
        <v>4.7244094488188972</v>
      </c>
      <c r="L9" s="241">
        <f>Table1[[#This Row],[cm]]/2.54</f>
        <v>56.69291338582677</v>
      </c>
      <c r="M9" s="54">
        <v>144</v>
      </c>
      <c r="N9" s="3">
        <f t="shared" si="14"/>
        <v>41.472000000000001</v>
      </c>
      <c r="O9" s="3">
        <f t="shared" si="0"/>
        <v>51.84</v>
      </c>
      <c r="P9" s="3">
        <f t="shared" si="15"/>
        <v>62.207999999999998</v>
      </c>
      <c r="Q9" s="7">
        <f t="shared" si="1"/>
        <v>72.575999999999993</v>
      </c>
      <c r="R9" s="3">
        <f t="shared" si="16"/>
        <v>82.944000000000003</v>
      </c>
      <c r="S9" s="3">
        <f t="shared" si="2"/>
        <v>93.311999999999998</v>
      </c>
      <c r="T9" s="4">
        <f t="shared" si="3"/>
        <v>207.36</v>
      </c>
      <c r="U9" s="4" t="e">
        <f ca="1">IF($E$22=M9,Weight_Calculator!E$18,"")</f>
        <v>#VALUE!</v>
      </c>
      <c r="V9" s="2"/>
      <c r="W9" s="32">
        <f>SUM(Weight_Calculator!$I$5*Table2[[#This Row],[Days
Per
Week]])</f>
        <v>0</v>
      </c>
      <c r="X9" s="16" t="e">
        <f>SUM(Weight_Calculator!$F$20*$AM9)</f>
        <v>#VALUE!</v>
      </c>
      <c r="Y9" s="36" t="e">
        <f t="shared" si="17"/>
        <v>#VALUE!</v>
      </c>
      <c r="Z9" s="17" t="e">
        <f t="shared" si="4"/>
        <v>#VALUE!</v>
      </c>
      <c r="AA9" s="22" t="e">
        <f ca="1">SUM(Weight_Calculator!$E$18,Table2[[#This Row],[7 Day
Change]])</f>
        <v>#VALUE!</v>
      </c>
      <c r="AB9" s="50" t="e">
        <f t="shared" ca="1" si="5"/>
        <v>#N/A</v>
      </c>
      <c r="AC9" s="51" t="e">
        <f t="shared" ca="1" si="6"/>
        <v>#N/A</v>
      </c>
      <c r="AD9" s="38" t="e">
        <f t="shared" ca="1" si="7"/>
        <v>#N/A</v>
      </c>
      <c r="AE9" s="48" t="e">
        <f ca="1">+$AL9/(Weight_Calculator!$E$17*(Weight_Calculator!$E$17/10000))</f>
        <v>#N/A</v>
      </c>
      <c r="AF9" s="49" t="e">
        <f ca="1">SUM(66.5+(13.75*$AL8)+(5.003*Weight_Calculator!$E$17)-(6.75*Weight_Calculator!$D$4))</f>
        <v>#N/A</v>
      </c>
      <c r="AG9" s="44" t="e">
        <f ca="1">VLOOKUP(Stats_Tables!$D$12,Stats_Tables!$C$13:$F$16,4,0)*AF9</f>
        <v>#N/A</v>
      </c>
      <c r="AH9" s="43" t="e">
        <f t="shared" ca="1" si="8"/>
        <v>#N/A</v>
      </c>
      <c r="AI9" s="44" t="e">
        <f ca="1">SUM(AI8+AH9)</f>
        <v>#N/A</v>
      </c>
      <c r="AJ9" s="44" t="e">
        <f t="shared" ca="1" si="9"/>
        <v>#N/A</v>
      </c>
      <c r="AK9" s="46" t="e">
        <f t="shared" ca="1" si="10"/>
        <v>#N/A</v>
      </c>
      <c r="AL9" s="47" t="e">
        <f ca="1">SUM(Weight_Calculator!$E$18,AK9)</f>
        <v>#N/A</v>
      </c>
      <c r="AM9" s="41">
        <v>35</v>
      </c>
      <c r="AN9" s="18">
        <v>5</v>
      </c>
    </row>
    <row r="10" spans="1:40" ht="15">
      <c r="C10" s="80" t="s">
        <v>64</v>
      </c>
      <c r="D10" s="81" t="e">
        <f>G3*0.48</f>
        <v>#VALUE!</v>
      </c>
      <c r="E10" s="82" t="e">
        <f>CONVERT(D10,"cm","in")</f>
        <v>#VALUE!</v>
      </c>
      <c r="I10" s="243">
        <f t="shared" si="11"/>
        <v>4</v>
      </c>
      <c r="J10" s="245">
        <f t="shared" si="12"/>
        <v>9.0866141732283481</v>
      </c>
      <c r="K10" s="241">
        <f t="shared" si="13"/>
        <v>4.757217847769029</v>
      </c>
      <c r="L10" s="241">
        <f>Table1[[#This Row],[cm]]/2.54</f>
        <v>57.086614173228348</v>
      </c>
      <c r="M10" s="54">
        <v>145</v>
      </c>
      <c r="N10" s="3">
        <f t="shared" si="14"/>
        <v>42.05</v>
      </c>
      <c r="O10" s="3">
        <f t="shared" si="0"/>
        <v>52.5625</v>
      </c>
      <c r="P10" s="3">
        <f t="shared" si="15"/>
        <v>63.075000000000003</v>
      </c>
      <c r="Q10" s="7">
        <f t="shared" si="1"/>
        <v>73.587500000000006</v>
      </c>
      <c r="R10" s="3">
        <f t="shared" si="16"/>
        <v>84.1</v>
      </c>
      <c r="S10" s="3">
        <f t="shared" si="2"/>
        <v>94.612499999999997</v>
      </c>
      <c r="T10" s="4">
        <f t="shared" si="3"/>
        <v>210.25</v>
      </c>
      <c r="U10" s="4" t="e">
        <f ca="1">IF($E$22=M10,Weight_Calculator!E$18,"")</f>
        <v>#VALUE!</v>
      </c>
      <c r="V10" s="2"/>
      <c r="W10" s="32">
        <f>SUM(Weight_Calculator!$I$5*Table2[[#This Row],[Days
Per
Week]])</f>
        <v>0</v>
      </c>
      <c r="X10" s="13" t="e">
        <f>SUM(Weight_Calculator!$F$20*$AM10)</f>
        <v>#VALUE!</v>
      </c>
      <c r="Y10" s="35" t="e">
        <f t="shared" si="17"/>
        <v>#VALUE!</v>
      </c>
      <c r="Z10" s="14" t="e">
        <f t="shared" si="4"/>
        <v>#VALUE!</v>
      </c>
      <c r="AA10" s="22" t="e">
        <f ca="1">SUM(Weight_Calculator!$E$18,Table2[[#This Row],[7 Day
Change]])</f>
        <v>#VALUE!</v>
      </c>
      <c r="AB10" s="50" t="e">
        <f t="shared" ca="1" si="5"/>
        <v>#N/A</v>
      </c>
      <c r="AC10" s="51" t="e">
        <f t="shared" ca="1" si="6"/>
        <v>#N/A</v>
      </c>
      <c r="AD10" s="38" t="e">
        <f t="shared" ca="1" si="7"/>
        <v>#N/A</v>
      </c>
      <c r="AE10" s="48" t="e">
        <f ca="1">+$AL10/(Weight_Calculator!$E$17*(Weight_Calculator!$E$17/10000))</f>
        <v>#N/A</v>
      </c>
      <c r="AF10" s="49" t="e">
        <f ca="1">SUM(66.5+(13.75*$AL9)+(5.003*Weight_Calculator!$E$17)-(6.75*Weight_Calculator!$D$4))</f>
        <v>#N/A</v>
      </c>
      <c r="AG10" s="44" t="e">
        <f ca="1">VLOOKUP(Stats_Tables!$D$12,Stats_Tables!$C$13:$F$16,4,0)*AF10</f>
        <v>#N/A</v>
      </c>
      <c r="AH10" s="43" t="e">
        <f t="shared" ca="1" si="8"/>
        <v>#N/A</v>
      </c>
      <c r="AI10" s="44" t="e">
        <f t="shared" ref="AI10:AI58" ca="1" si="18">SUM(AI9+AH10)</f>
        <v>#N/A</v>
      </c>
      <c r="AJ10" s="44" t="e">
        <f t="shared" ca="1" si="9"/>
        <v>#N/A</v>
      </c>
      <c r="AK10" s="46" t="e">
        <f t="shared" ca="1" si="10"/>
        <v>#N/A</v>
      </c>
      <c r="AL10" s="47" t="e">
        <f ca="1">SUM(Weight_Calculator!$E$18,AK10)</f>
        <v>#N/A</v>
      </c>
      <c r="AM10" s="40">
        <v>42</v>
      </c>
      <c r="AN10" s="15">
        <v>6</v>
      </c>
    </row>
    <row r="11" spans="1:40" ht="15">
      <c r="I11" s="243">
        <f t="shared" si="11"/>
        <v>4</v>
      </c>
      <c r="J11" s="245">
        <f t="shared" si="12"/>
        <v>9.4803149606299186</v>
      </c>
      <c r="K11" s="241">
        <f t="shared" si="13"/>
        <v>4.7900262467191599</v>
      </c>
      <c r="L11" s="241">
        <f>Table1[[#This Row],[cm]]/2.54</f>
        <v>57.480314960629919</v>
      </c>
      <c r="M11" s="54">
        <v>146</v>
      </c>
      <c r="N11" s="3">
        <f t="shared" si="14"/>
        <v>42.631999999999998</v>
      </c>
      <c r="O11" s="3">
        <f t="shared" si="0"/>
        <v>53.29</v>
      </c>
      <c r="P11" s="3">
        <f t="shared" si="15"/>
        <v>63.948</v>
      </c>
      <c r="Q11" s="7">
        <f t="shared" si="1"/>
        <v>74.605999999999995</v>
      </c>
      <c r="R11" s="3">
        <f t="shared" si="16"/>
        <v>85.263999999999996</v>
      </c>
      <c r="S11" s="3">
        <f t="shared" si="2"/>
        <v>95.921999999999997</v>
      </c>
      <c r="T11" s="4">
        <f t="shared" si="3"/>
        <v>213.16</v>
      </c>
      <c r="U11" s="4" t="e">
        <f ca="1">IF($E$22=M11,Weight_Calculator!E$18,"")</f>
        <v>#VALUE!</v>
      </c>
      <c r="V11" s="2"/>
      <c r="W11" s="32">
        <f>SUM(Weight_Calculator!$I$5*Table2[[#This Row],[Days
Per
Week]])</f>
        <v>0</v>
      </c>
      <c r="X11" s="16" t="e">
        <f>SUM(Weight_Calculator!$F$20*$AM11)</f>
        <v>#VALUE!</v>
      </c>
      <c r="Y11" s="36" t="e">
        <f t="shared" si="17"/>
        <v>#VALUE!</v>
      </c>
      <c r="Z11" s="17" t="e">
        <f t="shared" si="4"/>
        <v>#VALUE!</v>
      </c>
      <c r="AA11" s="22" t="e">
        <f ca="1">SUM(Weight_Calculator!$E$18,Table2[[#This Row],[7 Day
Change]])</f>
        <v>#VALUE!</v>
      </c>
      <c r="AB11" s="50" t="e">
        <f t="shared" ca="1" si="5"/>
        <v>#N/A</v>
      </c>
      <c r="AC11" s="51" t="e">
        <f t="shared" ca="1" si="6"/>
        <v>#N/A</v>
      </c>
      <c r="AD11" s="38" t="e">
        <f t="shared" ca="1" si="7"/>
        <v>#N/A</v>
      </c>
      <c r="AE11" s="48" t="e">
        <f ca="1">+$AL11/(Weight_Calculator!$E$17*(Weight_Calculator!$E$17/10000))</f>
        <v>#N/A</v>
      </c>
      <c r="AF11" s="49" t="e">
        <f ca="1">SUM(66.5+(13.75*$AL10)+(5.003*Weight_Calculator!$E$17)-(6.75*Weight_Calculator!$D$4))</f>
        <v>#N/A</v>
      </c>
      <c r="AG11" s="44" t="e">
        <f ca="1">VLOOKUP(Stats_Tables!$D$12,Stats_Tables!$C$13:$F$16,4,0)*AF11</f>
        <v>#N/A</v>
      </c>
      <c r="AH11" s="43" t="e">
        <f t="shared" ca="1" si="8"/>
        <v>#N/A</v>
      </c>
      <c r="AI11" s="44" t="e">
        <f t="shared" ca="1" si="18"/>
        <v>#N/A</v>
      </c>
      <c r="AJ11" s="44" t="e">
        <f t="shared" ca="1" si="9"/>
        <v>#N/A</v>
      </c>
      <c r="AK11" s="46" t="e">
        <f t="shared" ca="1" si="10"/>
        <v>#N/A</v>
      </c>
      <c r="AL11" s="47" t="e">
        <f ca="1">SUM(Weight_Calculator!$E$18,AK11)</f>
        <v>#N/A</v>
      </c>
      <c r="AM11" s="41">
        <v>49</v>
      </c>
      <c r="AN11" s="18">
        <v>7</v>
      </c>
    </row>
    <row r="12" spans="1:40" ht="18">
      <c r="C12" s="211" t="s">
        <v>65</v>
      </c>
      <c r="D12" s="9" t="str">
        <f>IF(Weight_Calculator!I6="No Exercise", 1, IF(Weight_Calculator!I6="Light (1-2 days)", 2, IF(Weight_Calculator!I6="Moderate (3-5 days)", 3, IF(Weight_Calculator!I6="High (6-7 days)", 4, ""))))</f>
        <v/>
      </c>
      <c r="E12" s="60"/>
      <c r="I12" s="243">
        <f t="shared" si="11"/>
        <v>4</v>
      </c>
      <c r="J12" s="245">
        <f t="shared" si="12"/>
        <v>9.8740157480314963</v>
      </c>
      <c r="K12" s="241">
        <f t="shared" si="13"/>
        <v>4.8228346456692917</v>
      </c>
      <c r="L12" s="241">
        <f>Table1[[#This Row],[cm]]/2.54</f>
        <v>57.874015748031496</v>
      </c>
      <c r="M12" s="54">
        <v>147</v>
      </c>
      <c r="N12" s="3">
        <f t="shared" si="14"/>
        <v>43.218000000000004</v>
      </c>
      <c r="O12" s="3">
        <f t="shared" si="0"/>
        <v>54.022500000000001</v>
      </c>
      <c r="P12" s="3">
        <f t="shared" si="15"/>
        <v>64.826999999999998</v>
      </c>
      <c r="Q12" s="7">
        <f t="shared" si="1"/>
        <v>75.631500000000003</v>
      </c>
      <c r="R12" s="3">
        <f t="shared" si="16"/>
        <v>86.436000000000007</v>
      </c>
      <c r="S12" s="3">
        <f t="shared" si="2"/>
        <v>97.240499999999997</v>
      </c>
      <c r="T12" s="4">
        <f t="shared" si="3"/>
        <v>216.09</v>
      </c>
      <c r="U12" s="4" t="e">
        <f ca="1">IF($E$22=M12,Weight_Calculator!E$18,"")</f>
        <v>#VALUE!</v>
      </c>
      <c r="V12" s="2"/>
      <c r="W12" s="32">
        <f>SUM(Weight_Calculator!$I$5*Table2[[#This Row],[Days
Per
Week]])</f>
        <v>0</v>
      </c>
      <c r="X12" s="13" t="e">
        <f>SUM(Weight_Calculator!$F$20*$AM12)</f>
        <v>#VALUE!</v>
      </c>
      <c r="Y12" s="35" t="e">
        <f t="shared" si="17"/>
        <v>#VALUE!</v>
      </c>
      <c r="Z12" s="14" t="e">
        <f t="shared" si="4"/>
        <v>#VALUE!</v>
      </c>
      <c r="AA12" s="22" t="e">
        <f ca="1">SUM(Weight_Calculator!$E$18,Table2[[#This Row],[7 Day
Change]])</f>
        <v>#VALUE!</v>
      </c>
      <c r="AB12" s="50" t="e">
        <f t="shared" ca="1" si="5"/>
        <v>#N/A</v>
      </c>
      <c r="AC12" s="51" t="e">
        <f t="shared" ca="1" si="6"/>
        <v>#N/A</v>
      </c>
      <c r="AD12" s="38" t="e">
        <f t="shared" ca="1" si="7"/>
        <v>#N/A</v>
      </c>
      <c r="AE12" s="48" t="e">
        <f ca="1">+$AL12/(Weight_Calculator!$E$17*(Weight_Calculator!$E$17/10000))</f>
        <v>#N/A</v>
      </c>
      <c r="AF12" s="49" t="e">
        <f ca="1">SUM(66.5+(13.75*$AL11)+(5.003*Weight_Calculator!$E$17)-(6.75*Weight_Calculator!$D$4))</f>
        <v>#N/A</v>
      </c>
      <c r="AG12" s="44" t="e">
        <f ca="1">VLOOKUP(Stats_Tables!$D$12,Stats_Tables!$C$13:$F$16,4,0)*AF12</f>
        <v>#N/A</v>
      </c>
      <c r="AH12" s="43" t="e">
        <f t="shared" ca="1" si="8"/>
        <v>#N/A</v>
      </c>
      <c r="AI12" s="44" t="e">
        <f t="shared" ca="1" si="18"/>
        <v>#N/A</v>
      </c>
      <c r="AJ12" s="44" t="e">
        <f t="shared" ca="1" si="9"/>
        <v>#N/A</v>
      </c>
      <c r="AK12" s="46" t="e">
        <f t="shared" ca="1" si="10"/>
        <v>#N/A</v>
      </c>
      <c r="AL12" s="47" t="e">
        <f ca="1">SUM(Weight_Calculator!$E$18,AK12)</f>
        <v>#N/A</v>
      </c>
      <c r="AM12" s="40">
        <f t="shared" ref="AM12:AM58" si="19">SUM(AM11+7)</f>
        <v>56</v>
      </c>
      <c r="AN12" s="15">
        <v>8</v>
      </c>
    </row>
    <row r="13" spans="1:40" ht="15">
      <c r="C13" s="204">
        <v>1</v>
      </c>
      <c r="D13" s="205"/>
      <c r="E13" s="205"/>
      <c r="F13" s="205">
        <v>1.2</v>
      </c>
      <c r="I13" s="243">
        <f t="shared" si="11"/>
        <v>4</v>
      </c>
      <c r="J13" s="245">
        <f t="shared" si="12"/>
        <v>10.267716535433067</v>
      </c>
      <c r="K13" s="241">
        <f t="shared" si="13"/>
        <v>4.8556430446194225</v>
      </c>
      <c r="L13" s="241">
        <f>Table1[[#This Row],[cm]]/2.54</f>
        <v>58.267716535433067</v>
      </c>
      <c r="M13" s="54">
        <v>148</v>
      </c>
      <c r="N13" s="3">
        <f t="shared" si="14"/>
        <v>43.808</v>
      </c>
      <c r="O13" s="3">
        <f t="shared" si="0"/>
        <v>54.76</v>
      </c>
      <c r="P13" s="3">
        <f t="shared" si="15"/>
        <v>65.712000000000003</v>
      </c>
      <c r="Q13" s="7">
        <f t="shared" si="1"/>
        <v>76.664000000000001</v>
      </c>
      <c r="R13" s="3">
        <f t="shared" si="16"/>
        <v>87.616</v>
      </c>
      <c r="S13" s="3">
        <f t="shared" si="2"/>
        <v>98.567999999999998</v>
      </c>
      <c r="T13" s="4">
        <f t="shared" si="3"/>
        <v>219.04</v>
      </c>
      <c r="U13" s="4" t="e">
        <f ca="1">IF($E$22=M13,Weight_Calculator!E$18,"")</f>
        <v>#VALUE!</v>
      </c>
      <c r="V13" s="2"/>
      <c r="W13" s="32">
        <f>SUM(Weight_Calculator!$I$5*Table2[[#This Row],[Days
Per
Week]])</f>
        <v>0</v>
      </c>
      <c r="X13" s="16" t="e">
        <f>SUM(Weight_Calculator!$F$20*$AM13)</f>
        <v>#VALUE!</v>
      </c>
      <c r="Y13" s="36" t="e">
        <f t="shared" si="17"/>
        <v>#VALUE!</v>
      </c>
      <c r="Z13" s="17" t="e">
        <f t="shared" si="4"/>
        <v>#VALUE!</v>
      </c>
      <c r="AA13" s="22" t="e">
        <f ca="1">SUM(Weight_Calculator!$E$18,Table2[[#This Row],[7 Day
Change]])</f>
        <v>#VALUE!</v>
      </c>
      <c r="AB13" s="50" t="e">
        <f t="shared" ca="1" si="5"/>
        <v>#N/A</v>
      </c>
      <c r="AC13" s="51" t="e">
        <f t="shared" ca="1" si="6"/>
        <v>#N/A</v>
      </c>
      <c r="AD13" s="38" t="e">
        <f t="shared" ca="1" si="7"/>
        <v>#N/A</v>
      </c>
      <c r="AE13" s="48" t="e">
        <f ca="1">+$AL13/(Weight_Calculator!$E$17*(Weight_Calculator!$E$17/10000))</f>
        <v>#N/A</v>
      </c>
      <c r="AF13" s="49" t="e">
        <f ca="1">SUM(66.5+(13.75*$AL12)+(5.003*Weight_Calculator!$E$17)-(6.75*Weight_Calculator!$D$4))</f>
        <v>#N/A</v>
      </c>
      <c r="AG13" s="44" t="e">
        <f ca="1">VLOOKUP(Stats_Tables!$D$12,Stats_Tables!$C$13:$F$16,4,0)*AF13</f>
        <v>#N/A</v>
      </c>
      <c r="AH13" s="43" t="e">
        <f t="shared" ca="1" si="8"/>
        <v>#N/A</v>
      </c>
      <c r="AI13" s="44" t="e">
        <f t="shared" ca="1" si="18"/>
        <v>#N/A</v>
      </c>
      <c r="AJ13" s="44" t="e">
        <f t="shared" ca="1" si="9"/>
        <v>#N/A</v>
      </c>
      <c r="AK13" s="46" t="e">
        <f t="shared" ca="1" si="10"/>
        <v>#N/A</v>
      </c>
      <c r="AL13" s="47" t="e">
        <f ca="1">SUM(Weight_Calculator!$E$18,AK13)</f>
        <v>#N/A</v>
      </c>
      <c r="AM13" s="41">
        <f t="shared" si="19"/>
        <v>63</v>
      </c>
      <c r="AN13" s="18">
        <v>9</v>
      </c>
    </row>
    <row r="14" spans="1:40" ht="15">
      <c r="C14" s="204">
        <v>2</v>
      </c>
      <c r="D14" s="206"/>
      <c r="E14" s="206"/>
      <c r="F14" s="206">
        <v>1.375</v>
      </c>
      <c r="I14" s="243">
        <f t="shared" si="11"/>
        <v>4</v>
      </c>
      <c r="J14" s="245">
        <f t="shared" si="12"/>
        <v>10.661417322834644</v>
      </c>
      <c r="K14" s="241">
        <f t="shared" si="13"/>
        <v>4.8884514435695534</v>
      </c>
      <c r="L14" s="241">
        <f>Table1[[#This Row],[cm]]/2.54</f>
        <v>58.661417322834644</v>
      </c>
      <c r="M14" s="54">
        <v>149</v>
      </c>
      <c r="N14" s="3">
        <f t="shared" si="14"/>
        <v>44.402000000000001</v>
      </c>
      <c r="O14" s="3">
        <f t="shared" si="0"/>
        <v>55.502499999999998</v>
      </c>
      <c r="P14" s="3">
        <f t="shared" si="15"/>
        <v>66.602999999999994</v>
      </c>
      <c r="Q14" s="7">
        <f t="shared" si="1"/>
        <v>77.703500000000005</v>
      </c>
      <c r="R14" s="3">
        <f t="shared" si="16"/>
        <v>88.804000000000002</v>
      </c>
      <c r="S14" s="3">
        <f t="shared" si="2"/>
        <v>99.904499999999999</v>
      </c>
      <c r="T14" s="4">
        <f t="shared" si="3"/>
        <v>222.01</v>
      </c>
      <c r="U14" s="4" t="e">
        <f ca="1">IF($E$22=M14,Weight_Calculator!E$18,"")</f>
        <v>#VALUE!</v>
      </c>
      <c r="V14" s="2"/>
      <c r="W14" s="32">
        <f>SUM(Weight_Calculator!$I$5*Table2[[#This Row],[Days
Per
Week]])</f>
        <v>0</v>
      </c>
      <c r="X14" s="13" t="e">
        <f>SUM(Weight_Calculator!$F$20*$AM14)</f>
        <v>#VALUE!</v>
      </c>
      <c r="Y14" s="35" t="e">
        <f t="shared" si="17"/>
        <v>#VALUE!</v>
      </c>
      <c r="Z14" s="14" t="e">
        <f t="shared" si="4"/>
        <v>#VALUE!</v>
      </c>
      <c r="AA14" s="22" t="e">
        <f ca="1">SUM(Weight_Calculator!$E$18,Table2[[#This Row],[7 Day
Change]])</f>
        <v>#VALUE!</v>
      </c>
      <c r="AB14" s="50" t="e">
        <f t="shared" ca="1" si="5"/>
        <v>#N/A</v>
      </c>
      <c r="AC14" s="51" t="e">
        <f t="shared" ca="1" si="6"/>
        <v>#N/A</v>
      </c>
      <c r="AD14" s="38" t="e">
        <f t="shared" ca="1" si="7"/>
        <v>#N/A</v>
      </c>
      <c r="AE14" s="48" t="e">
        <f ca="1">+$AL14/(Weight_Calculator!$E$17*(Weight_Calculator!$E$17/10000))</f>
        <v>#N/A</v>
      </c>
      <c r="AF14" s="49" t="e">
        <f ca="1">SUM(66.5+(13.75*$AA14)+(5.003*Weight_Calculator!$E$17)-(6.75*Weight_Calculator!$D$4))</f>
        <v>#VALUE!</v>
      </c>
      <c r="AG14" s="44" t="e">
        <f ca="1">VLOOKUP(Stats_Tables!$D$12,Stats_Tables!$C$13:$F$16,4,0)*AF14</f>
        <v>#N/A</v>
      </c>
      <c r="AH14" s="43" t="e">
        <f t="shared" ca="1" si="8"/>
        <v>#N/A</v>
      </c>
      <c r="AI14" s="44" t="e">
        <f t="shared" ca="1" si="18"/>
        <v>#N/A</v>
      </c>
      <c r="AJ14" s="44" t="e">
        <f t="shared" ca="1" si="9"/>
        <v>#N/A</v>
      </c>
      <c r="AK14" s="46" t="e">
        <f t="shared" ca="1" si="10"/>
        <v>#N/A</v>
      </c>
      <c r="AL14" s="47" t="e">
        <f ca="1">SUM(Weight_Calculator!$E$18,AK14)</f>
        <v>#N/A</v>
      </c>
      <c r="AM14" s="40">
        <f t="shared" si="19"/>
        <v>70</v>
      </c>
      <c r="AN14" s="15">
        <v>10</v>
      </c>
    </row>
    <row r="15" spans="1:40" ht="15">
      <c r="C15" s="204">
        <v>3</v>
      </c>
      <c r="D15" s="206"/>
      <c r="E15" s="206"/>
      <c r="F15" s="206">
        <v>1.55</v>
      </c>
      <c r="I15" s="243">
        <f t="shared" si="11"/>
        <v>4</v>
      </c>
      <c r="J15" s="245">
        <f t="shared" si="12"/>
        <v>11.055118110236222</v>
      </c>
      <c r="K15" s="241">
        <f t="shared" si="13"/>
        <v>4.9212598425196852</v>
      </c>
      <c r="L15" s="241">
        <f>Table1[[#This Row],[cm]]/2.54</f>
        <v>59.055118110236222</v>
      </c>
      <c r="M15" s="54">
        <v>150</v>
      </c>
      <c r="N15" s="3">
        <f t="shared" si="14"/>
        <v>45</v>
      </c>
      <c r="O15" s="3">
        <f t="shared" si="0"/>
        <v>56.25</v>
      </c>
      <c r="P15" s="3">
        <f t="shared" si="15"/>
        <v>67.5</v>
      </c>
      <c r="Q15" s="7">
        <f t="shared" si="1"/>
        <v>78.75</v>
      </c>
      <c r="R15" s="3">
        <f>$R$4*M15^2/10000</f>
        <v>90</v>
      </c>
      <c r="S15" s="3">
        <f t="shared" si="2"/>
        <v>101.25</v>
      </c>
      <c r="T15" s="4">
        <f t="shared" si="3"/>
        <v>225</v>
      </c>
      <c r="U15" s="4" t="e">
        <f ca="1">IF($E$22=M15,Weight_Calculator!E$18,"")</f>
        <v>#VALUE!</v>
      </c>
      <c r="V15" s="2"/>
      <c r="W15" s="32">
        <f>SUM(Weight_Calculator!$I$5*Table2[[#This Row],[Days
Per
Week]])</f>
        <v>0</v>
      </c>
      <c r="X15" s="16" t="e">
        <f>SUM(Weight_Calculator!$F$20*$AM15)</f>
        <v>#VALUE!</v>
      </c>
      <c r="Y15" s="36" t="e">
        <f t="shared" si="17"/>
        <v>#VALUE!</v>
      </c>
      <c r="Z15" s="17" t="e">
        <f t="shared" si="4"/>
        <v>#VALUE!</v>
      </c>
      <c r="AA15" s="22" t="e">
        <f ca="1">SUM(Weight_Calculator!$E$18,Table2[[#This Row],[7 Day
Change]])</f>
        <v>#VALUE!</v>
      </c>
      <c r="AB15" s="50" t="e">
        <f t="shared" ca="1" si="5"/>
        <v>#N/A</v>
      </c>
      <c r="AC15" s="51" t="e">
        <f t="shared" ca="1" si="6"/>
        <v>#N/A</v>
      </c>
      <c r="AD15" s="38" t="e">
        <f t="shared" ca="1" si="7"/>
        <v>#N/A</v>
      </c>
      <c r="AE15" s="48" t="e">
        <f ca="1">+$AL15/(Weight_Calculator!$E$17*(Weight_Calculator!$E$17/10000))</f>
        <v>#N/A</v>
      </c>
      <c r="AF15" s="49" t="e">
        <f ca="1">SUM(66.5+(13.75*$AL14)+(5.003*Weight_Calculator!$E$17)-(6.75*Weight_Calculator!$D$4))</f>
        <v>#N/A</v>
      </c>
      <c r="AG15" s="44" t="e">
        <f ca="1">VLOOKUP(Stats_Tables!$D$12,Stats_Tables!$C$13:$F$16,4,0)*AF15</f>
        <v>#N/A</v>
      </c>
      <c r="AH15" s="43" t="e">
        <f t="shared" ca="1" si="8"/>
        <v>#N/A</v>
      </c>
      <c r="AI15" s="44" t="e">
        <f t="shared" ca="1" si="18"/>
        <v>#N/A</v>
      </c>
      <c r="AJ15" s="44" t="e">
        <f t="shared" ca="1" si="9"/>
        <v>#N/A</v>
      </c>
      <c r="AK15" s="46" t="e">
        <f t="shared" ca="1" si="10"/>
        <v>#N/A</v>
      </c>
      <c r="AL15" s="47" t="e">
        <f ca="1">SUM(Weight_Calculator!$E$18,AK15)</f>
        <v>#N/A</v>
      </c>
      <c r="AM15" s="41">
        <f t="shared" si="19"/>
        <v>77</v>
      </c>
      <c r="AN15" s="18">
        <v>11</v>
      </c>
    </row>
    <row r="16" spans="1:40" ht="15">
      <c r="C16" s="204">
        <v>4</v>
      </c>
      <c r="D16" s="206"/>
      <c r="E16" s="206"/>
      <c r="F16" s="206">
        <v>1.7250000000000001</v>
      </c>
      <c r="I16" s="243">
        <f t="shared" si="11"/>
        <v>4</v>
      </c>
      <c r="J16" s="245">
        <f t="shared" si="12"/>
        <v>11.448818897637793</v>
      </c>
      <c r="K16" s="241">
        <f t="shared" si="13"/>
        <v>4.9540682414698161</v>
      </c>
      <c r="L16" s="241">
        <f>Table1[[#This Row],[cm]]/2.54</f>
        <v>59.448818897637793</v>
      </c>
      <c r="M16" s="54">
        <v>151</v>
      </c>
      <c r="N16" s="3">
        <f t="shared" si="14"/>
        <v>45.601999999999997</v>
      </c>
      <c r="O16" s="3">
        <f t="shared" si="0"/>
        <v>57.002499999999998</v>
      </c>
      <c r="P16" s="3">
        <f t="shared" si="15"/>
        <v>68.403000000000006</v>
      </c>
      <c r="Q16" s="7">
        <f t="shared" si="1"/>
        <v>79.8035</v>
      </c>
      <c r="R16" s="3">
        <f t="shared" si="16"/>
        <v>91.203999999999994</v>
      </c>
      <c r="S16" s="3">
        <f t="shared" si="2"/>
        <v>102.6045</v>
      </c>
      <c r="T16" s="4">
        <f t="shared" si="3"/>
        <v>228.01</v>
      </c>
      <c r="U16" s="4" t="e">
        <f ca="1">IF($E$22=M16,Weight_Calculator!E$18,"")</f>
        <v>#VALUE!</v>
      </c>
      <c r="V16" s="2"/>
      <c r="W16" s="32">
        <f>SUM(Weight_Calculator!$I$5*Table2[[#This Row],[Days
Per
Week]])</f>
        <v>0</v>
      </c>
      <c r="X16" s="13" t="e">
        <f>SUM(Weight_Calculator!$F$20*$AM16)</f>
        <v>#VALUE!</v>
      </c>
      <c r="Y16" s="35" t="e">
        <f t="shared" si="17"/>
        <v>#VALUE!</v>
      </c>
      <c r="Z16" s="14" t="e">
        <f t="shared" si="4"/>
        <v>#VALUE!</v>
      </c>
      <c r="AA16" s="22" t="e">
        <f ca="1">SUM(Weight_Calculator!$E$18,Table2[[#This Row],[7 Day
Change]])</f>
        <v>#VALUE!</v>
      </c>
      <c r="AB16" s="50" t="e">
        <f t="shared" ca="1" si="5"/>
        <v>#N/A</v>
      </c>
      <c r="AC16" s="51" t="e">
        <f t="shared" ca="1" si="6"/>
        <v>#N/A</v>
      </c>
      <c r="AD16" s="38" t="e">
        <f t="shared" ca="1" si="7"/>
        <v>#N/A</v>
      </c>
      <c r="AE16" s="48" t="e">
        <f ca="1">+$AL16/(Weight_Calculator!$E$17*(Weight_Calculator!$E$17/10000))</f>
        <v>#N/A</v>
      </c>
      <c r="AF16" s="49" t="e">
        <f ca="1">SUM(66.5+(13.75*$AL15)+(5.003*Weight_Calculator!$E$17)-(6.75*Weight_Calculator!$D$4))</f>
        <v>#N/A</v>
      </c>
      <c r="AG16" s="44" t="e">
        <f ca="1">VLOOKUP(Stats_Tables!$D$12,Stats_Tables!$C$13:$F$16,4,0)*AF16</f>
        <v>#N/A</v>
      </c>
      <c r="AH16" s="43" t="e">
        <f t="shared" ca="1" si="8"/>
        <v>#N/A</v>
      </c>
      <c r="AI16" s="44" t="e">
        <f t="shared" ca="1" si="18"/>
        <v>#N/A</v>
      </c>
      <c r="AJ16" s="44" t="e">
        <f t="shared" ca="1" si="9"/>
        <v>#N/A</v>
      </c>
      <c r="AK16" s="46" t="e">
        <f t="shared" ca="1" si="10"/>
        <v>#N/A</v>
      </c>
      <c r="AL16" s="47" t="e">
        <f ca="1">SUM(Weight_Calculator!$E$18,AK16)</f>
        <v>#N/A</v>
      </c>
      <c r="AM16" s="40">
        <f t="shared" si="19"/>
        <v>84</v>
      </c>
      <c r="AN16" s="15">
        <v>12</v>
      </c>
    </row>
    <row r="17" spans="3:40" ht="15">
      <c r="I17" s="243">
        <f t="shared" si="11"/>
        <v>4</v>
      </c>
      <c r="J17" s="245">
        <f t="shared" si="12"/>
        <v>11.84251968503937</v>
      </c>
      <c r="K17" s="241">
        <f t="shared" si="13"/>
        <v>4.9868766404199478</v>
      </c>
      <c r="L17" s="241">
        <f>Table1[[#This Row],[cm]]/2.54</f>
        <v>59.84251968503937</v>
      </c>
      <c r="M17" s="54">
        <v>152</v>
      </c>
      <c r="N17" s="3">
        <f t="shared" si="14"/>
        <v>46.207999999999998</v>
      </c>
      <c r="O17" s="3">
        <f t="shared" si="0"/>
        <v>57.76</v>
      </c>
      <c r="P17" s="3">
        <f t="shared" si="15"/>
        <v>69.311999999999998</v>
      </c>
      <c r="Q17" s="7">
        <f t="shared" si="1"/>
        <v>80.864000000000004</v>
      </c>
      <c r="R17" s="3">
        <f t="shared" si="16"/>
        <v>92.415999999999997</v>
      </c>
      <c r="S17" s="3">
        <f t="shared" si="2"/>
        <v>103.968</v>
      </c>
      <c r="T17" s="4">
        <f t="shared" si="3"/>
        <v>231.04</v>
      </c>
      <c r="U17" s="4" t="e">
        <f ca="1">IF($E$22=M17,Weight_Calculator!E$18,"")</f>
        <v>#VALUE!</v>
      </c>
      <c r="V17" s="2"/>
      <c r="W17" s="32">
        <f>SUM(Weight_Calculator!$I$5*Table2[[#This Row],[Days
Per
Week]])</f>
        <v>0</v>
      </c>
      <c r="X17" s="16" t="e">
        <f>SUM(Weight_Calculator!$F$20*$AM17)</f>
        <v>#VALUE!</v>
      </c>
      <c r="Y17" s="36" t="e">
        <f t="shared" si="17"/>
        <v>#VALUE!</v>
      </c>
      <c r="Z17" s="17" t="e">
        <f t="shared" si="4"/>
        <v>#VALUE!</v>
      </c>
      <c r="AA17" s="22" t="e">
        <f ca="1">SUM(Weight_Calculator!$E$18,Table2[[#This Row],[7 Day
Change]])</f>
        <v>#VALUE!</v>
      </c>
      <c r="AB17" s="50" t="e">
        <f t="shared" ca="1" si="5"/>
        <v>#N/A</v>
      </c>
      <c r="AC17" s="51" t="e">
        <f t="shared" ca="1" si="6"/>
        <v>#N/A</v>
      </c>
      <c r="AD17" s="38" t="e">
        <f t="shared" ca="1" si="7"/>
        <v>#N/A</v>
      </c>
      <c r="AE17" s="48" t="e">
        <f ca="1">+$AL17/(Weight_Calculator!$E$17*(Weight_Calculator!$E$17/10000))</f>
        <v>#N/A</v>
      </c>
      <c r="AF17" s="49" t="e">
        <f ca="1">SUM(66.5+(13.75*$AL16)+(5.003*Weight_Calculator!$E$17)-(6.75*Weight_Calculator!$D$4))</f>
        <v>#N/A</v>
      </c>
      <c r="AG17" s="44" t="e">
        <f ca="1">VLOOKUP(Stats_Tables!$D$12,Stats_Tables!$C$13:$F$16,4,0)*AF17</f>
        <v>#N/A</v>
      </c>
      <c r="AH17" s="43" t="e">
        <f t="shared" ca="1" si="8"/>
        <v>#N/A</v>
      </c>
      <c r="AI17" s="44" t="e">
        <f t="shared" ca="1" si="18"/>
        <v>#N/A</v>
      </c>
      <c r="AJ17" s="44" t="e">
        <f t="shared" ca="1" si="9"/>
        <v>#N/A</v>
      </c>
      <c r="AK17" s="46" t="e">
        <f t="shared" ca="1" si="10"/>
        <v>#N/A</v>
      </c>
      <c r="AL17" s="47" t="e">
        <f ca="1">SUM(Weight_Calculator!$E$18,AK17)</f>
        <v>#N/A</v>
      </c>
      <c r="AM17" s="41">
        <f t="shared" si="19"/>
        <v>91</v>
      </c>
      <c r="AN17" s="18">
        <v>13</v>
      </c>
    </row>
    <row r="18" spans="3:40" ht="15">
      <c r="C18" s="200" t="str">
        <f>IF(Weight_Calculator!D6="Stone",Weight_Calculator!E6,0)</f>
        <v>11st 7lbs</v>
      </c>
      <c r="D18" s="201">
        <f ca="1">SUM(C19*14)+F19</f>
        <v>161</v>
      </c>
      <c r="E18" s="201"/>
      <c r="F18" s="202">
        <f ca="1">CONVERT(D18,"lbm","kg")</f>
        <v>73.028371570000004</v>
      </c>
      <c r="I18" s="243">
        <f t="shared" si="11"/>
        <v>5</v>
      </c>
      <c r="J18" s="245">
        <f t="shared" si="12"/>
        <v>0.23622047244094091</v>
      </c>
      <c r="K18" s="241">
        <f t="shared" si="13"/>
        <v>5.0196850393700787</v>
      </c>
      <c r="L18" s="241">
        <f>Table1[[#This Row],[cm]]/2.54</f>
        <v>60.236220472440941</v>
      </c>
      <c r="M18" s="54">
        <v>153</v>
      </c>
      <c r="N18" s="3">
        <f t="shared" si="14"/>
        <v>46.817999999999998</v>
      </c>
      <c r="O18" s="3">
        <f t="shared" si="0"/>
        <v>58.522500000000001</v>
      </c>
      <c r="P18" s="3">
        <f t="shared" si="15"/>
        <v>70.227000000000004</v>
      </c>
      <c r="Q18" s="7">
        <f t="shared" si="1"/>
        <v>81.9315</v>
      </c>
      <c r="R18" s="3">
        <f t="shared" si="16"/>
        <v>93.635999999999996</v>
      </c>
      <c r="S18" s="3">
        <f t="shared" si="2"/>
        <v>105.34050000000001</v>
      </c>
      <c r="T18" s="4">
        <f t="shared" si="3"/>
        <v>234.09</v>
      </c>
      <c r="U18" s="4" t="e">
        <f ca="1">IF($E$22=M18,Weight_Calculator!E$18,"")</f>
        <v>#VALUE!</v>
      </c>
      <c r="V18" s="2"/>
      <c r="W18" s="32">
        <f>SUM(Weight_Calculator!$I$5*Table2[[#This Row],[Days
Per
Week]])</f>
        <v>0</v>
      </c>
      <c r="X18" s="13" t="e">
        <f>SUM(Weight_Calculator!$F$20*$AM18)</f>
        <v>#VALUE!</v>
      </c>
      <c r="Y18" s="35" t="e">
        <f t="shared" si="17"/>
        <v>#VALUE!</v>
      </c>
      <c r="Z18" s="14" t="e">
        <f t="shared" si="4"/>
        <v>#VALUE!</v>
      </c>
      <c r="AA18" s="22" t="e">
        <f ca="1">SUM(Weight_Calculator!$E$18,Table2[[#This Row],[7 Day
Change]])</f>
        <v>#VALUE!</v>
      </c>
      <c r="AB18" s="50" t="e">
        <f t="shared" ca="1" si="5"/>
        <v>#N/A</v>
      </c>
      <c r="AC18" s="51" t="e">
        <f t="shared" ca="1" si="6"/>
        <v>#N/A</v>
      </c>
      <c r="AD18" s="38" t="e">
        <f t="shared" ca="1" si="7"/>
        <v>#N/A</v>
      </c>
      <c r="AE18" s="48" t="e">
        <f ca="1">+$AL18/(Weight_Calculator!$E$17*(Weight_Calculator!$E$17/10000))</f>
        <v>#N/A</v>
      </c>
      <c r="AF18" s="49" t="e">
        <f ca="1">SUM(66.5+(13.75*$AL17)+(5.003*Weight_Calculator!$E$17)-(6.75*Weight_Calculator!$D$4))</f>
        <v>#N/A</v>
      </c>
      <c r="AG18" s="44" t="e">
        <f ca="1">VLOOKUP(Stats_Tables!$D$12,Stats_Tables!$C$13:$F$16,4,0)*AF18</f>
        <v>#N/A</v>
      </c>
      <c r="AH18" s="43" t="e">
        <f t="shared" ca="1" si="8"/>
        <v>#N/A</v>
      </c>
      <c r="AI18" s="44" t="e">
        <f t="shared" ca="1" si="18"/>
        <v>#N/A</v>
      </c>
      <c r="AJ18" s="44" t="e">
        <f t="shared" ca="1" si="9"/>
        <v>#N/A</v>
      </c>
      <c r="AK18" s="46" t="e">
        <f t="shared" ca="1" si="10"/>
        <v>#N/A</v>
      </c>
      <c r="AL18" s="47" t="e">
        <f ca="1">SUM(Weight_Calculator!$E$18,AK18)</f>
        <v>#N/A</v>
      </c>
      <c r="AM18" s="40">
        <f t="shared" si="19"/>
        <v>98</v>
      </c>
      <c r="AN18" s="15">
        <v>14</v>
      </c>
    </row>
    <row r="19" spans="3:40" ht="16" thickBot="1">
      <c r="C19" s="203" t="str">
        <f>LEFT(C18,FIND("st",C18)-1)</f>
        <v>11</v>
      </c>
      <c r="D19" s="203" t="str">
        <f>RIGHT(C18,FIND("lbs",C18)-3)</f>
        <v>7lbs</v>
      </c>
      <c r="E19" s="203"/>
      <c r="F19" s="203" cm="1">
        <f t="array" aca="1" ref="F19" ca="1">SUMPRODUCT(MID(0&amp;D19,LARGE(INDEX(ISNUMBER(--MID(D19,ROW(INDIRECT("1:"&amp;LEN(D19))),1))*ROW(INDIRECT("1:"&amp;LEN(D19))),0),ROW(INDIRECT("1:"&amp;LEN(D19))))+1,1)*10^ROW(INDIRECT("1:"&amp;LEN(D19)))/10)</f>
        <v>7</v>
      </c>
      <c r="I19" s="243">
        <f t="shared" si="11"/>
        <v>5</v>
      </c>
      <c r="J19" s="245">
        <f t="shared" si="12"/>
        <v>0.62992125984251857</v>
      </c>
      <c r="K19" s="241">
        <f t="shared" si="13"/>
        <v>5.0524934383202096</v>
      </c>
      <c r="L19" s="241">
        <f>Table1[[#This Row],[cm]]/2.54</f>
        <v>60.629921259842519</v>
      </c>
      <c r="M19" s="54">
        <v>154</v>
      </c>
      <c r="N19" s="3">
        <f t="shared" si="14"/>
        <v>47.432000000000002</v>
      </c>
      <c r="O19" s="3">
        <f t="shared" si="0"/>
        <v>59.29</v>
      </c>
      <c r="P19" s="3">
        <f t="shared" si="15"/>
        <v>71.147999999999996</v>
      </c>
      <c r="Q19" s="7">
        <f t="shared" si="1"/>
        <v>83.006</v>
      </c>
      <c r="R19" s="3">
        <f t="shared" si="16"/>
        <v>94.864000000000004</v>
      </c>
      <c r="S19" s="3">
        <f t="shared" si="2"/>
        <v>106.72199999999999</v>
      </c>
      <c r="T19" s="4">
        <f t="shared" si="3"/>
        <v>237.16</v>
      </c>
      <c r="U19" s="4" t="e">
        <f ca="1">IF($E$22=M19,Weight_Calculator!E$18,"")</f>
        <v>#VALUE!</v>
      </c>
      <c r="V19" s="2"/>
      <c r="W19" s="32">
        <f>SUM(Weight_Calculator!$I$5*Table2[[#This Row],[Days
Per
Week]])</f>
        <v>0</v>
      </c>
      <c r="X19" s="16" t="e">
        <f>SUM(Weight_Calculator!$F$20*$AM19)</f>
        <v>#VALUE!</v>
      </c>
      <c r="Y19" s="36" t="e">
        <f t="shared" si="17"/>
        <v>#VALUE!</v>
      </c>
      <c r="Z19" s="17" t="e">
        <f t="shared" si="4"/>
        <v>#VALUE!</v>
      </c>
      <c r="AA19" s="22" t="e">
        <f ca="1">SUM(Weight_Calculator!$E$18,Table2[[#This Row],[7 Day
Change]])</f>
        <v>#VALUE!</v>
      </c>
      <c r="AB19" s="50" t="e">
        <f t="shared" ca="1" si="5"/>
        <v>#N/A</v>
      </c>
      <c r="AC19" s="51" t="e">
        <f t="shared" ca="1" si="6"/>
        <v>#N/A</v>
      </c>
      <c r="AD19" s="38" t="e">
        <f t="shared" ca="1" si="7"/>
        <v>#N/A</v>
      </c>
      <c r="AE19" s="48" t="e">
        <f ca="1">+$AL19/(Weight_Calculator!$E$17*(Weight_Calculator!$E$17/10000))</f>
        <v>#N/A</v>
      </c>
      <c r="AF19" s="49" t="e">
        <f ca="1">SUM(66.5+(13.75*$AL18)+(5.003*Weight_Calculator!$E$17)-(6.75*Weight_Calculator!$D$4))</f>
        <v>#N/A</v>
      </c>
      <c r="AG19" s="44" t="e">
        <f ca="1">VLOOKUP(Stats_Tables!$D$12,Stats_Tables!$C$13:$F$16,4,0)*AF19</f>
        <v>#N/A</v>
      </c>
      <c r="AH19" s="43" t="e">
        <f t="shared" ca="1" si="8"/>
        <v>#N/A</v>
      </c>
      <c r="AI19" s="44" t="e">
        <f t="shared" ca="1" si="18"/>
        <v>#N/A</v>
      </c>
      <c r="AJ19" s="44" t="e">
        <f t="shared" ca="1" si="9"/>
        <v>#N/A</v>
      </c>
      <c r="AK19" s="46" t="e">
        <f t="shared" ca="1" si="10"/>
        <v>#N/A</v>
      </c>
      <c r="AL19" s="47" t="e">
        <f ca="1">SUM(Weight_Calculator!$E$18,AK19)</f>
        <v>#N/A</v>
      </c>
      <c r="AM19" s="41">
        <f t="shared" si="19"/>
        <v>105</v>
      </c>
      <c r="AN19" s="18">
        <v>15</v>
      </c>
    </row>
    <row r="20" spans="3:40" ht="17" thickTop="1" thickBot="1">
      <c r="C20" s="26" t="str">
        <f>IF(Weight_Calculator!D5="Feet",Weight_Calculator!E5,0)</f>
        <v>5' 11"</v>
      </c>
      <c r="D20" s="26" t="e">
        <f ca="1">SUM(C21*12)+F21</f>
        <v>#VALUE!</v>
      </c>
      <c r="E20" s="26"/>
      <c r="F20" s="27" t="e">
        <f ca="1">D20</f>
        <v>#VALUE!</v>
      </c>
      <c r="I20" s="243">
        <f t="shared" si="11"/>
        <v>5</v>
      </c>
      <c r="J20" s="245">
        <f t="shared" si="12"/>
        <v>1.0236220472440962</v>
      </c>
      <c r="K20" s="241">
        <f t="shared" si="13"/>
        <v>5.0853018372703414</v>
      </c>
      <c r="L20" s="241">
        <f>Table1[[#This Row],[cm]]/2.54</f>
        <v>61.023622047244096</v>
      </c>
      <c r="M20" s="54">
        <v>155</v>
      </c>
      <c r="N20" s="3">
        <f t="shared" si="14"/>
        <v>48.05</v>
      </c>
      <c r="O20" s="3">
        <f t="shared" si="0"/>
        <v>60.0625</v>
      </c>
      <c r="P20" s="3">
        <f t="shared" si="15"/>
        <v>72.075000000000003</v>
      </c>
      <c r="Q20" s="7">
        <f t="shared" si="1"/>
        <v>84.087500000000006</v>
      </c>
      <c r="R20" s="3">
        <f t="shared" si="16"/>
        <v>96.1</v>
      </c>
      <c r="S20" s="3">
        <f t="shared" si="2"/>
        <v>108.1125</v>
      </c>
      <c r="T20" s="4">
        <f t="shared" si="3"/>
        <v>240.25</v>
      </c>
      <c r="U20" s="4" t="e">
        <f ca="1">IF($E$22=M20,Weight_Calculator!E$18,"")</f>
        <v>#VALUE!</v>
      </c>
      <c r="V20" s="2"/>
      <c r="W20" s="32">
        <f>SUM(Weight_Calculator!$I$5*Table2[[#This Row],[Days
Per
Week]])</f>
        <v>0</v>
      </c>
      <c r="X20" s="13" t="e">
        <f>SUM(Weight_Calculator!$F$20*$AM20)</f>
        <v>#VALUE!</v>
      </c>
      <c r="Y20" s="35" t="e">
        <f t="shared" si="17"/>
        <v>#VALUE!</v>
      </c>
      <c r="Z20" s="14" t="e">
        <f t="shared" si="4"/>
        <v>#VALUE!</v>
      </c>
      <c r="AA20" s="22" t="e">
        <f ca="1">SUM(Weight_Calculator!$E$18,Table2[[#This Row],[7 Day
Change]])</f>
        <v>#VALUE!</v>
      </c>
      <c r="AB20" s="50" t="e">
        <f t="shared" ca="1" si="5"/>
        <v>#N/A</v>
      </c>
      <c r="AC20" s="51" t="e">
        <f t="shared" ca="1" si="6"/>
        <v>#N/A</v>
      </c>
      <c r="AD20" s="38" t="e">
        <f t="shared" ca="1" si="7"/>
        <v>#N/A</v>
      </c>
      <c r="AE20" s="48" t="e">
        <f ca="1">+$AL20/(Weight_Calculator!$E$17*(Weight_Calculator!$E$17/10000))</f>
        <v>#N/A</v>
      </c>
      <c r="AF20" s="49" t="e">
        <f ca="1">SUM(66.5+(13.75*$AL19)+(5.003*Weight_Calculator!$E$17)-(6.75*Weight_Calculator!$D$4))</f>
        <v>#N/A</v>
      </c>
      <c r="AG20" s="44" t="e">
        <f ca="1">VLOOKUP(Stats_Tables!$D$12,Stats_Tables!$C$13:$F$16,4,0)*AF20</f>
        <v>#N/A</v>
      </c>
      <c r="AH20" s="43" t="e">
        <f t="shared" ca="1" si="8"/>
        <v>#N/A</v>
      </c>
      <c r="AI20" s="44" t="e">
        <f t="shared" ca="1" si="18"/>
        <v>#N/A</v>
      </c>
      <c r="AJ20" s="44" t="e">
        <f t="shared" ca="1" si="9"/>
        <v>#N/A</v>
      </c>
      <c r="AK20" s="46" t="e">
        <f t="shared" ca="1" si="10"/>
        <v>#N/A</v>
      </c>
      <c r="AL20" s="47" t="e">
        <f ca="1">SUM(Weight_Calculator!$E$18,AK20)</f>
        <v>#N/A</v>
      </c>
      <c r="AM20" s="40">
        <f t="shared" si="19"/>
        <v>112</v>
      </c>
      <c r="AN20" s="15">
        <v>16</v>
      </c>
    </row>
    <row r="21" spans="3:40" ht="17" thickTop="1" thickBot="1">
      <c r="C21" s="28" t="str">
        <f>LEFT(C20,FIND("""",C20)-4)</f>
        <v>5'</v>
      </c>
      <c r="D21" s="29" t="str">
        <f>RIGHT(C20,FIND("""",C20)-3)</f>
        <v>11"</v>
      </c>
      <c r="E21" s="29"/>
      <c r="F21" s="30" cm="1">
        <f t="array" aca="1" ref="F21" ca="1">SUMPRODUCT(MID(0&amp;D21,LARGE(INDEX(ISNUMBER(--MID(D21,ROW(INDIRECT("1:"&amp;LEN(D21))),1))*ROW(INDIRECT("1:"&amp;LEN(D21))),0),ROW(INDIRECT("1:"&amp;LEN(D21))))+1,1)*10^ROW(INDIRECT("1:"&amp;LEN(D21)))/10)</f>
        <v>11</v>
      </c>
      <c r="I21" s="243">
        <f t="shared" si="11"/>
        <v>5</v>
      </c>
      <c r="J21" s="245">
        <f t="shared" si="12"/>
        <v>1.4173228346456668</v>
      </c>
      <c r="K21" s="241">
        <f t="shared" si="13"/>
        <v>5.1181102362204722</v>
      </c>
      <c r="L21" s="241">
        <f>Table1[[#This Row],[cm]]/2.54</f>
        <v>61.417322834645667</v>
      </c>
      <c r="M21" s="54">
        <v>156</v>
      </c>
      <c r="N21" s="3">
        <f t="shared" si="14"/>
        <v>48.671999999999997</v>
      </c>
      <c r="O21" s="3">
        <f t="shared" si="0"/>
        <v>60.84</v>
      </c>
      <c r="P21" s="3">
        <f t="shared" si="15"/>
        <v>73.007999999999996</v>
      </c>
      <c r="Q21" s="7">
        <f t="shared" si="1"/>
        <v>85.176000000000002</v>
      </c>
      <c r="R21" s="3">
        <f t="shared" si="16"/>
        <v>97.343999999999994</v>
      </c>
      <c r="S21" s="3">
        <f t="shared" si="2"/>
        <v>109.512</v>
      </c>
      <c r="T21" s="4">
        <f t="shared" si="3"/>
        <v>243.36</v>
      </c>
      <c r="U21" s="4" t="e">
        <f ca="1">IF($E$22=M21,Weight_Calculator!E$18,"")</f>
        <v>#VALUE!</v>
      </c>
      <c r="V21" s="2"/>
      <c r="W21" s="32">
        <f>SUM(Weight_Calculator!$I$5*Table2[[#This Row],[Days
Per
Week]])</f>
        <v>0</v>
      </c>
      <c r="X21" s="16" t="e">
        <f>SUM(Weight_Calculator!$F$20*$AM21)</f>
        <v>#VALUE!</v>
      </c>
      <c r="Y21" s="36" t="e">
        <f t="shared" si="17"/>
        <v>#VALUE!</v>
      </c>
      <c r="Z21" s="17" t="e">
        <f t="shared" si="4"/>
        <v>#VALUE!</v>
      </c>
      <c r="AA21" s="22" t="e">
        <f ca="1">SUM(Weight_Calculator!$E$18,Table2[[#This Row],[7 Day
Change]])</f>
        <v>#VALUE!</v>
      </c>
      <c r="AB21" s="50" t="e">
        <f t="shared" ca="1" si="5"/>
        <v>#N/A</v>
      </c>
      <c r="AC21" s="51" t="e">
        <f t="shared" ca="1" si="6"/>
        <v>#N/A</v>
      </c>
      <c r="AD21" s="38" t="e">
        <f t="shared" ca="1" si="7"/>
        <v>#N/A</v>
      </c>
      <c r="AE21" s="48" t="e">
        <f ca="1">+$AL21/(Weight_Calculator!$E$17*(Weight_Calculator!$E$17/10000))</f>
        <v>#N/A</v>
      </c>
      <c r="AF21" s="49" t="e">
        <f ca="1">SUM(66.5+(13.75*$AL20)+(5.003*Weight_Calculator!$E$17)-(6.75*Weight_Calculator!$D$4))</f>
        <v>#N/A</v>
      </c>
      <c r="AG21" s="44" t="e">
        <f ca="1">VLOOKUP(Stats_Tables!$D$12,Stats_Tables!$C$13:$F$16,4,0)*AF21</f>
        <v>#N/A</v>
      </c>
      <c r="AH21" s="43" t="e">
        <f t="shared" ca="1" si="8"/>
        <v>#N/A</v>
      </c>
      <c r="AI21" s="44" t="e">
        <f t="shared" ca="1" si="18"/>
        <v>#N/A</v>
      </c>
      <c r="AJ21" s="44" t="e">
        <f t="shared" ca="1" si="9"/>
        <v>#N/A</v>
      </c>
      <c r="AK21" s="46" t="e">
        <f t="shared" ca="1" si="10"/>
        <v>#N/A</v>
      </c>
      <c r="AL21" s="47" t="e">
        <f ca="1">SUM(Weight_Calculator!$E$18,AK21)</f>
        <v>#N/A</v>
      </c>
      <c r="AM21" s="41">
        <f t="shared" si="19"/>
        <v>119</v>
      </c>
      <c r="AN21" s="18">
        <v>17</v>
      </c>
    </row>
    <row r="22" spans="3:40" ht="16" thickTop="1">
      <c r="D22" s="218" cm="1">
        <f t="array" aca="1" ref="D22" ca="1">SUMPRODUCT(MID(0&amp;C18,LARGE(INDEX(ISNUMBER(--MID(C18,ROW(INDIRECT("1:"&amp;LEN(C18))),1))*ROW(INDIRECT("1:"&amp;LEN(C18))),0),ROW(INDIRECT("1:"&amp;LEN(C18))))+1,1)*10^ROW(INDIRECT("1:"&amp;LEN(C18)))/10)</f>
        <v>117</v>
      </c>
      <c r="E22" s="219" t="e">
        <f ca="1">Weight_Calculator!E17</f>
        <v>#VALUE!</v>
      </c>
      <c r="F22" s="53"/>
      <c r="I22" s="243">
        <f t="shared" si="11"/>
        <v>5</v>
      </c>
      <c r="J22" s="245">
        <f t="shared" si="12"/>
        <v>1.8110236220472444</v>
      </c>
      <c r="K22" s="241">
        <f t="shared" si="13"/>
        <v>5.150918635170604</v>
      </c>
      <c r="L22" s="241">
        <f>Table1[[#This Row],[cm]]/2.54</f>
        <v>61.811023622047244</v>
      </c>
      <c r="M22" s="54">
        <v>157</v>
      </c>
      <c r="N22" s="3">
        <f t="shared" si="14"/>
        <v>49.298000000000002</v>
      </c>
      <c r="O22" s="3">
        <f t="shared" si="0"/>
        <v>61.622500000000002</v>
      </c>
      <c r="P22" s="3">
        <f t="shared" si="15"/>
        <v>73.947000000000003</v>
      </c>
      <c r="Q22" s="7">
        <f t="shared" si="1"/>
        <v>86.271500000000003</v>
      </c>
      <c r="R22" s="3">
        <f t="shared" si="16"/>
        <v>98.596000000000004</v>
      </c>
      <c r="S22" s="3">
        <f t="shared" si="2"/>
        <v>110.9205</v>
      </c>
      <c r="T22" s="4">
        <f t="shared" si="3"/>
        <v>246.49</v>
      </c>
      <c r="U22" s="4" t="e">
        <f ca="1">IF($E$22=M22,Weight_Calculator!E$18,"")</f>
        <v>#VALUE!</v>
      </c>
      <c r="V22" s="2"/>
      <c r="W22" s="32">
        <f>SUM(Weight_Calculator!$I$5*Table2[[#This Row],[Days
Per
Week]])</f>
        <v>0</v>
      </c>
      <c r="X22" s="13" t="e">
        <f>SUM(Weight_Calculator!$F$20*$AM22)</f>
        <v>#VALUE!</v>
      </c>
      <c r="Y22" s="35" t="e">
        <f t="shared" si="17"/>
        <v>#VALUE!</v>
      </c>
      <c r="Z22" s="14" t="e">
        <f t="shared" si="4"/>
        <v>#VALUE!</v>
      </c>
      <c r="AA22" s="22" t="e">
        <f ca="1">SUM(Weight_Calculator!$E$18,Table2[[#This Row],[7 Day
Change]])</f>
        <v>#VALUE!</v>
      </c>
      <c r="AB22" s="50" t="e">
        <f t="shared" ca="1" si="5"/>
        <v>#N/A</v>
      </c>
      <c r="AC22" s="51" t="e">
        <f t="shared" ca="1" si="6"/>
        <v>#N/A</v>
      </c>
      <c r="AD22" s="38" t="e">
        <f t="shared" ca="1" si="7"/>
        <v>#N/A</v>
      </c>
      <c r="AE22" s="48" t="e">
        <f ca="1">+$AL22/(Weight_Calculator!$E$17*(Weight_Calculator!$E$17/10000))</f>
        <v>#N/A</v>
      </c>
      <c r="AF22" s="49" t="e">
        <f ca="1">SUM(66.5+(13.75*$AL21)+(5.003*Weight_Calculator!$E$17)-(6.75*Weight_Calculator!$D$4))</f>
        <v>#N/A</v>
      </c>
      <c r="AG22" s="44" t="e">
        <f ca="1">VLOOKUP(Stats_Tables!$D$12,Stats_Tables!$C$13:$F$16,4,0)*AF22</f>
        <v>#N/A</v>
      </c>
      <c r="AH22" s="43" t="e">
        <f t="shared" ca="1" si="8"/>
        <v>#N/A</v>
      </c>
      <c r="AI22" s="44" t="e">
        <f t="shared" ca="1" si="18"/>
        <v>#N/A</v>
      </c>
      <c r="AJ22" s="44" t="e">
        <f t="shared" ca="1" si="9"/>
        <v>#N/A</v>
      </c>
      <c r="AK22" s="46" t="e">
        <f t="shared" ca="1" si="10"/>
        <v>#N/A</v>
      </c>
      <c r="AL22" s="47" t="e">
        <f ca="1">SUM(Weight_Calculator!$E$18,AK22)</f>
        <v>#N/A</v>
      </c>
      <c r="AM22" s="40">
        <f t="shared" si="19"/>
        <v>126</v>
      </c>
      <c r="AN22" s="15">
        <v>18</v>
      </c>
    </row>
    <row r="23" spans="3:40" ht="15">
      <c r="D23" s="218" cm="1">
        <f t="array" aca="1" ref="D23" ca="1">SUMPRODUCT(MID(0&amp;C19,LARGE(INDEX(ISNUMBER(--MID(C19,ROW(INDIRECT("1:"&amp;LEN(C19))),1))*ROW(INDIRECT("1:"&amp;LEN(C19))),0),ROW(INDIRECT("1:"&amp;LEN(C19))))+1,1)*10^ROW(INDIRECT("1:"&amp;LEN(C19)))/10)</f>
        <v>11</v>
      </c>
      <c r="E23" s="218"/>
      <c r="I23" s="243">
        <f t="shared" si="11"/>
        <v>5</v>
      </c>
      <c r="J23" s="245">
        <f t="shared" si="12"/>
        <v>2.204724409448815</v>
      </c>
      <c r="K23" s="241">
        <f t="shared" si="13"/>
        <v>5.1837270341207349</v>
      </c>
      <c r="L23" s="241">
        <f>Table1[[#This Row],[cm]]/2.54</f>
        <v>62.204724409448815</v>
      </c>
      <c r="M23" s="54">
        <v>158</v>
      </c>
      <c r="N23" s="3">
        <f t="shared" si="14"/>
        <v>49.927999999999997</v>
      </c>
      <c r="O23" s="3">
        <f t="shared" si="0"/>
        <v>62.41</v>
      </c>
      <c r="P23" s="3">
        <f t="shared" si="15"/>
        <v>74.891999999999996</v>
      </c>
      <c r="Q23" s="7">
        <f t="shared" si="1"/>
        <v>87.373999999999995</v>
      </c>
      <c r="R23" s="3">
        <f t="shared" si="16"/>
        <v>99.855999999999995</v>
      </c>
      <c r="S23" s="3">
        <f t="shared" si="2"/>
        <v>112.33799999999999</v>
      </c>
      <c r="T23" s="4">
        <f t="shared" si="3"/>
        <v>249.64</v>
      </c>
      <c r="U23" s="4" t="e">
        <f ca="1">IF($E$22=M23,Weight_Calculator!E$18,"")</f>
        <v>#VALUE!</v>
      </c>
      <c r="V23" s="2"/>
      <c r="W23" s="32">
        <f>SUM(Weight_Calculator!$I$5*Table2[[#This Row],[Days
Per
Week]])</f>
        <v>0</v>
      </c>
      <c r="X23" s="16" t="e">
        <f>SUM(Weight_Calculator!$F$20*$AM23)</f>
        <v>#VALUE!</v>
      </c>
      <c r="Y23" s="36" t="e">
        <f t="shared" si="17"/>
        <v>#VALUE!</v>
      </c>
      <c r="Z23" s="17" t="e">
        <f t="shared" si="4"/>
        <v>#VALUE!</v>
      </c>
      <c r="AA23" s="22" t="e">
        <f ca="1">SUM(Weight_Calculator!$E$18,Table2[[#This Row],[7 Day
Change]])</f>
        <v>#VALUE!</v>
      </c>
      <c r="AB23" s="50" t="e">
        <f t="shared" ca="1" si="5"/>
        <v>#N/A</v>
      </c>
      <c r="AC23" s="51" t="e">
        <f t="shared" ca="1" si="6"/>
        <v>#N/A</v>
      </c>
      <c r="AD23" s="38" t="e">
        <f t="shared" ca="1" si="7"/>
        <v>#N/A</v>
      </c>
      <c r="AE23" s="48" t="e">
        <f ca="1">+$AL23/(Weight_Calculator!$E$17*(Weight_Calculator!$E$17/10000))</f>
        <v>#N/A</v>
      </c>
      <c r="AF23" s="49" t="e">
        <f ca="1">SUM(66.5+(13.75*$AA23)+(5.003*Weight_Calculator!$E$17)-(6.75*Weight_Calculator!$D$4))</f>
        <v>#VALUE!</v>
      </c>
      <c r="AG23" s="44" t="e">
        <f ca="1">VLOOKUP(Stats_Tables!$D$12,Stats_Tables!$C$13:$F$16,4,0)*AF23</f>
        <v>#N/A</v>
      </c>
      <c r="AH23" s="43" t="e">
        <f t="shared" ca="1" si="8"/>
        <v>#N/A</v>
      </c>
      <c r="AI23" s="44" t="e">
        <f t="shared" ca="1" si="18"/>
        <v>#N/A</v>
      </c>
      <c r="AJ23" s="44" t="e">
        <f t="shared" ca="1" si="9"/>
        <v>#N/A</v>
      </c>
      <c r="AK23" s="46" t="e">
        <f t="shared" ca="1" si="10"/>
        <v>#N/A</v>
      </c>
      <c r="AL23" s="47" t="e">
        <f ca="1">SUM(Weight_Calculator!$E$18,AK23)</f>
        <v>#N/A</v>
      </c>
      <c r="AM23" s="41">
        <f t="shared" si="19"/>
        <v>133</v>
      </c>
      <c r="AN23" s="18">
        <v>19</v>
      </c>
    </row>
    <row r="24" spans="3:40" ht="15">
      <c r="I24" s="243">
        <f t="shared" si="11"/>
        <v>5</v>
      </c>
      <c r="J24" s="245">
        <f t="shared" si="12"/>
        <v>2.5984251968503926</v>
      </c>
      <c r="K24" s="241">
        <f t="shared" si="13"/>
        <v>5.2165354330708658</v>
      </c>
      <c r="L24" s="241">
        <f>Table1[[#This Row],[cm]]/2.54</f>
        <v>62.598425196850393</v>
      </c>
      <c r="M24" s="54">
        <v>159</v>
      </c>
      <c r="N24" s="3">
        <f t="shared" si="14"/>
        <v>50.561999999999998</v>
      </c>
      <c r="O24" s="3">
        <f t="shared" si="0"/>
        <v>63.202500000000001</v>
      </c>
      <c r="P24" s="3">
        <f t="shared" si="15"/>
        <v>75.843000000000004</v>
      </c>
      <c r="Q24" s="7">
        <f t="shared" si="1"/>
        <v>88.483500000000006</v>
      </c>
      <c r="R24" s="3">
        <f t="shared" si="16"/>
        <v>101.124</v>
      </c>
      <c r="S24" s="3">
        <f t="shared" si="2"/>
        <v>113.7645</v>
      </c>
      <c r="T24" s="4">
        <f t="shared" si="3"/>
        <v>252.81</v>
      </c>
      <c r="U24" s="4" t="e">
        <f ca="1">IF($E$22=M24,Weight_Calculator!E$18,"")</f>
        <v>#VALUE!</v>
      </c>
      <c r="V24" s="2"/>
      <c r="W24" s="32">
        <f>SUM(Weight_Calculator!$I$5*Table2[[#This Row],[Days
Per
Week]])</f>
        <v>0</v>
      </c>
      <c r="X24" s="13" t="e">
        <f>SUM(Weight_Calculator!$F$20*$AM24)</f>
        <v>#VALUE!</v>
      </c>
      <c r="Y24" s="35" t="e">
        <f t="shared" si="17"/>
        <v>#VALUE!</v>
      </c>
      <c r="Z24" s="14" t="e">
        <f t="shared" si="4"/>
        <v>#VALUE!</v>
      </c>
      <c r="AA24" s="22" t="e">
        <f ca="1">SUM(Weight_Calculator!$E$18,Table2[[#This Row],[7 Day
Change]])</f>
        <v>#VALUE!</v>
      </c>
      <c r="AB24" s="50" t="e">
        <f t="shared" ca="1" si="5"/>
        <v>#N/A</v>
      </c>
      <c r="AC24" s="51" t="e">
        <f t="shared" ca="1" si="6"/>
        <v>#N/A</v>
      </c>
      <c r="AD24" s="38" t="e">
        <f t="shared" ca="1" si="7"/>
        <v>#N/A</v>
      </c>
      <c r="AE24" s="48" t="e">
        <f ca="1">+$AL24/(Weight_Calculator!$E$17*(Weight_Calculator!$E$17/10000))</f>
        <v>#N/A</v>
      </c>
      <c r="AF24" s="49" t="e">
        <f ca="1">SUM(66.5+(13.75*$AL23)+(5.003*Weight_Calculator!$E$17)-(6.75*Weight_Calculator!$D$4))</f>
        <v>#N/A</v>
      </c>
      <c r="AG24" s="44" t="e">
        <f ca="1">VLOOKUP(Stats_Tables!$D$12,Stats_Tables!$C$13:$F$16,4,0)*AF24</f>
        <v>#N/A</v>
      </c>
      <c r="AH24" s="43" t="e">
        <f t="shared" ca="1" si="8"/>
        <v>#N/A</v>
      </c>
      <c r="AI24" s="44" t="e">
        <f t="shared" ca="1" si="18"/>
        <v>#N/A</v>
      </c>
      <c r="AJ24" s="44" t="e">
        <f t="shared" ca="1" si="9"/>
        <v>#N/A</v>
      </c>
      <c r="AK24" s="46" t="e">
        <f t="shared" ca="1" si="10"/>
        <v>#N/A</v>
      </c>
      <c r="AL24" s="47" t="e">
        <f ca="1">SUM(Weight_Calculator!$E$18,AK24)</f>
        <v>#N/A</v>
      </c>
      <c r="AM24" s="40">
        <f t="shared" si="19"/>
        <v>140</v>
      </c>
      <c r="AN24" s="15">
        <v>20</v>
      </c>
    </row>
    <row r="25" spans="3:40" ht="15">
      <c r="D25">
        <f>SUM(3500*2.2)</f>
        <v>7700.0000000000009</v>
      </c>
      <c r="F25" s="78">
        <v>0</v>
      </c>
      <c r="G25" s="78">
        <v>0.35</v>
      </c>
      <c r="I25" s="243">
        <f>K25-MOD(K25,1)</f>
        <v>5</v>
      </c>
      <c r="J25" s="245">
        <f t="shared" si="12"/>
        <v>2.9921259842519703</v>
      </c>
      <c r="K25" s="241">
        <f t="shared" si="13"/>
        <v>5.2493438320209975</v>
      </c>
      <c r="L25" s="241">
        <f>Table1[[#This Row],[cm]]/2.54</f>
        <v>62.99212598425197</v>
      </c>
      <c r="M25" s="54">
        <v>160</v>
      </c>
      <c r="N25" s="3">
        <f t="shared" si="14"/>
        <v>51.2</v>
      </c>
      <c r="O25" s="3">
        <f t="shared" si="0"/>
        <v>64</v>
      </c>
      <c r="P25" s="3">
        <f t="shared" si="15"/>
        <v>76.8</v>
      </c>
      <c r="Q25" s="7">
        <f t="shared" si="1"/>
        <v>89.6</v>
      </c>
      <c r="R25" s="3">
        <f t="shared" si="16"/>
        <v>102.4</v>
      </c>
      <c r="S25" s="3">
        <f t="shared" si="2"/>
        <v>115.2</v>
      </c>
      <c r="T25" s="4">
        <f t="shared" si="3"/>
        <v>256</v>
      </c>
      <c r="U25" s="4" t="e">
        <f ca="1">IF($E$22=M25,Weight_Calculator!E$18,"")</f>
        <v>#VALUE!</v>
      </c>
      <c r="V25" s="2"/>
      <c r="W25" s="32">
        <f>SUM(Weight_Calculator!$I$5*Table2[[#This Row],[Days
Per
Week]])</f>
        <v>0</v>
      </c>
      <c r="X25" s="16" t="e">
        <f>SUM(Weight_Calculator!$F$20*$AM25)</f>
        <v>#VALUE!</v>
      </c>
      <c r="Y25" s="36" t="e">
        <f t="shared" si="17"/>
        <v>#VALUE!</v>
      </c>
      <c r="Z25" s="17" t="e">
        <f t="shared" si="4"/>
        <v>#VALUE!</v>
      </c>
      <c r="AA25" s="22" t="e">
        <f ca="1">SUM(Weight_Calculator!$E$18,Table2[[#This Row],[7 Day
Change]])</f>
        <v>#VALUE!</v>
      </c>
      <c r="AB25" s="50" t="e">
        <f t="shared" ca="1" si="5"/>
        <v>#N/A</v>
      </c>
      <c r="AC25" s="51" t="e">
        <f t="shared" ca="1" si="6"/>
        <v>#N/A</v>
      </c>
      <c r="AD25" s="38" t="e">
        <f t="shared" ca="1" si="7"/>
        <v>#N/A</v>
      </c>
      <c r="AE25" s="48" t="e">
        <f ca="1">+$AL25/(Weight_Calculator!$E$17*(Weight_Calculator!$E$17/10000))</f>
        <v>#N/A</v>
      </c>
      <c r="AF25" s="49" t="e">
        <f ca="1">SUM(66.5+(13.75*$AL24)+(5.003*Weight_Calculator!$E$17)-(6.75*Weight_Calculator!$D$4))</f>
        <v>#N/A</v>
      </c>
      <c r="AG25" s="44" t="e">
        <f ca="1">VLOOKUP(Stats_Tables!$D$12,Stats_Tables!$C$13:$F$16,4,0)*AF25</f>
        <v>#N/A</v>
      </c>
      <c r="AH25" s="43" t="e">
        <f t="shared" ca="1" si="8"/>
        <v>#N/A</v>
      </c>
      <c r="AI25" s="44" t="e">
        <f t="shared" ca="1" si="18"/>
        <v>#N/A</v>
      </c>
      <c r="AJ25" s="44" t="e">
        <f t="shared" ca="1" si="9"/>
        <v>#N/A</v>
      </c>
      <c r="AK25" s="46" t="e">
        <f t="shared" ca="1" si="10"/>
        <v>#N/A</v>
      </c>
      <c r="AL25" s="47" t="e">
        <f ca="1">SUM(Weight_Calculator!$E$18,AK25)</f>
        <v>#N/A</v>
      </c>
      <c r="AM25" s="41">
        <f t="shared" si="19"/>
        <v>147</v>
      </c>
      <c r="AN25" s="18">
        <v>21</v>
      </c>
    </row>
    <row r="26" spans="3:40" ht="15">
      <c r="C26" s="25" t="s">
        <v>66</v>
      </c>
      <c r="D26" s="23"/>
      <c r="E26" s="24"/>
      <c r="F26" s="61">
        <v>0</v>
      </c>
      <c r="G26" s="61">
        <v>0.42</v>
      </c>
      <c r="I26" s="243">
        <f t="shared" si="11"/>
        <v>5</v>
      </c>
      <c r="J26" s="245">
        <f t="shared" si="12"/>
        <v>3.3858267716535408</v>
      </c>
      <c r="K26" s="241">
        <f t="shared" si="13"/>
        <v>5.2821522309711284</v>
      </c>
      <c r="L26" s="241">
        <f>Table1[[#This Row],[cm]]/2.54</f>
        <v>63.385826771653541</v>
      </c>
      <c r="M26" s="54">
        <v>161</v>
      </c>
      <c r="N26" s="3">
        <f t="shared" si="14"/>
        <v>51.841999999999999</v>
      </c>
      <c r="O26" s="3">
        <f t="shared" si="0"/>
        <v>64.802499999999995</v>
      </c>
      <c r="P26" s="3">
        <f t="shared" si="15"/>
        <v>77.763000000000005</v>
      </c>
      <c r="Q26" s="7">
        <f t="shared" si="1"/>
        <v>90.723500000000001</v>
      </c>
      <c r="R26" s="3">
        <f t="shared" si="16"/>
        <v>103.684</v>
      </c>
      <c r="S26" s="3">
        <f t="shared" si="2"/>
        <v>116.64449999999999</v>
      </c>
      <c r="T26" s="4">
        <f t="shared" si="3"/>
        <v>259.20999999999998</v>
      </c>
      <c r="U26" s="4" t="e">
        <f ca="1">IF($E$22=M26,Weight_Calculator!E$18,"")</f>
        <v>#VALUE!</v>
      </c>
      <c r="V26" s="2"/>
      <c r="W26" s="32">
        <f>SUM(Weight_Calculator!$I$5*Table2[[#This Row],[Days
Per
Week]])</f>
        <v>0</v>
      </c>
      <c r="X26" s="13" t="e">
        <f>SUM(Weight_Calculator!$F$20*$AM26)</f>
        <v>#VALUE!</v>
      </c>
      <c r="Y26" s="35" t="e">
        <f t="shared" si="17"/>
        <v>#VALUE!</v>
      </c>
      <c r="Z26" s="14" t="e">
        <f t="shared" si="4"/>
        <v>#VALUE!</v>
      </c>
      <c r="AA26" s="22" t="e">
        <f ca="1">SUM(Weight_Calculator!$E$18,Table2[[#This Row],[7 Day
Change]])</f>
        <v>#VALUE!</v>
      </c>
      <c r="AB26" s="50" t="e">
        <f t="shared" ca="1" si="5"/>
        <v>#N/A</v>
      </c>
      <c r="AC26" s="51" t="e">
        <f t="shared" ca="1" si="6"/>
        <v>#N/A</v>
      </c>
      <c r="AD26" s="38" t="e">
        <f t="shared" ca="1" si="7"/>
        <v>#N/A</v>
      </c>
      <c r="AE26" s="48" t="e">
        <f ca="1">+$AL26/(Weight_Calculator!$E$17*(Weight_Calculator!$E$17/10000))</f>
        <v>#N/A</v>
      </c>
      <c r="AF26" s="49" t="e">
        <f ca="1">SUM(66.5+(13.75*$AL25)+(5.003*Weight_Calculator!$E$17)-(6.75*Weight_Calculator!$D$4))</f>
        <v>#N/A</v>
      </c>
      <c r="AG26" s="44" t="e">
        <f ca="1">VLOOKUP(Stats_Tables!$D$12,Stats_Tables!$C$13:$F$16,4,0)*AF26</f>
        <v>#N/A</v>
      </c>
      <c r="AH26" s="43" t="e">
        <f t="shared" ca="1" si="8"/>
        <v>#N/A</v>
      </c>
      <c r="AI26" s="44" t="e">
        <f t="shared" ca="1" si="18"/>
        <v>#N/A</v>
      </c>
      <c r="AJ26" s="44" t="e">
        <f t="shared" ca="1" si="9"/>
        <v>#N/A</v>
      </c>
      <c r="AK26" s="46" t="e">
        <f t="shared" ca="1" si="10"/>
        <v>#N/A</v>
      </c>
      <c r="AL26" s="47" t="e">
        <f ca="1">SUM(Weight_Calculator!$E$18,AK26)</f>
        <v>#N/A</v>
      </c>
      <c r="AM26" s="40">
        <f t="shared" si="19"/>
        <v>154</v>
      </c>
      <c r="AN26" s="15">
        <v>22</v>
      </c>
    </row>
    <row r="27" spans="3:40" ht="15">
      <c r="C27" s="25" t="s">
        <v>67</v>
      </c>
      <c r="D27" s="24">
        <v>0</v>
      </c>
      <c r="E27" s="24">
        <v>18.5</v>
      </c>
      <c r="F27" s="61">
        <v>0.43</v>
      </c>
      <c r="G27" s="61">
        <v>0.46</v>
      </c>
      <c r="I27" s="243">
        <f t="shared" si="11"/>
        <v>5</v>
      </c>
      <c r="J27" s="245">
        <f t="shared" si="12"/>
        <v>3.7795275590551185</v>
      </c>
      <c r="K27" s="241">
        <f t="shared" si="13"/>
        <v>5.3149606299212602</v>
      </c>
      <c r="L27" s="241">
        <f>Table1[[#This Row],[cm]]/2.54</f>
        <v>63.779527559055119</v>
      </c>
      <c r="M27" s="54">
        <v>162</v>
      </c>
      <c r="N27" s="3">
        <f t="shared" si="14"/>
        <v>52.488</v>
      </c>
      <c r="O27" s="3">
        <f t="shared" si="0"/>
        <v>65.61</v>
      </c>
      <c r="P27" s="3">
        <f t="shared" si="15"/>
        <v>78.731999999999999</v>
      </c>
      <c r="Q27" s="7">
        <f t="shared" si="1"/>
        <v>91.853999999999999</v>
      </c>
      <c r="R27" s="3">
        <f t="shared" si="16"/>
        <v>104.976</v>
      </c>
      <c r="S27" s="3">
        <f t="shared" si="2"/>
        <v>118.098</v>
      </c>
      <c r="T27" s="4">
        <f t="shared" si="3"/>
        <v>262.44</v>
      </c>
      <c r="U27" s="4" t="e">
        <f ca="1">IF($E$22=M27,Weight_Calculator!E$18,"")</f>
        <v>#VALUE!</v>
      </c>
      <c r="V27" s="2"/>
      <c r="W27" s="32">
        <f>SUM(Weight_Calculator!$I$5*Table2[[#This Row],[Days
Per
Week]])</f>
        <v>0</v>
      </c>
      <c r="X27" s="16" t="e">
        <f>SUM(Weight_Calculator!$F$20*$AM27)</f>
        <v>#VALUE!</v>
      </c>
      <c r="Y27" s="36" t="e">
        <f t="shared" si="17"/>
        <v>#VALUE!</v>
      </c>
      <c r="Z27" s="17" t="e">
        <f t="shared" si="4"/>
        <v>#VALUE!</v>
      </c>
      <c r="AA27" s="22" t="e">
        <f ca="1">SUM(Weight_Calculator!$E$18,Table2[[#This Row],[7 Day
Change]])</f>
        <v>#VALUE!</v>
      </c>
      <c r="AB27" s="50" t="e">
        <f t="shared" ca="1" si="5"/>
        <v>#N/A</v>
      </c>
      <c r="AC27" s="51" t="e">
        <f t="shared" ca="1" si="6"/>
        <v>#N/A</v>
      </c>
      <c r="AD27" s="38" t="e">
        <f t="shared" ca="1" si="7"/>
        <v>#N/A</v>
      </c>
      <c r="AE27" s="48" t="e">
        <f ca="1">+$AL27/(Weight_Calculator!$E$17*(Weight_Calculator!$E$17/10000))</f>
        <v>#N/A</v>
      </c>
      <c r="AF27" s="49" t="e">
        <f ca="1">SUM(66.5+(13.75*$AL26)+(5.003*Weight_Calculator!$E$17)-(6.75*Weight_Calculator!$D$4))</f>
        <v>#N/A</v>
      </c>
      <c r="AG27" s="44" t="e">
        <f ca="1">VLOOKUP(Stats_Tables!$D$12,Stats_Tables!$C$13:$F$16,4,0)*AF27</f>
        <v>#N/A</v>
      </c>
      <c r="AH27" s="43" t="e">
        <f t="shared" ca="1" si="8"/>
        <v>#N/A</v>
      </c>
      <c r="AI27" s="44" t="e">
        <f t="shared" ca="1" si="18"/>
        <v>#N/A</v>
      </c>
      <c r="AJ27" s="44" t="e">
        <f t="shared" ca="1" si="9"/>
        <v>#N/A</v>
      </c>
      <c r="AK27" s="46" t="e">
        <f t="shared" ca="1" si="10"/>
        <v>#N/A</v>
      </c>
      <c r="AL27" s="47" t="e">
        <f ca="1">SUM(Weight_Calculator!$E$18,AK27)</f>
        <v>#N/A</v>
      </c>
      <c r="AM27" s="41">
        <f t="shared" si="19"/>
        <v>161</v>
      </c>
      <c r="AN27" s="18">
        <v>23</v>
      </c>
    </row>
    <row r="28" spans="3:40" ht="15">
      <c r="C28" s="25" t="s">
        <v>68</v>
      </c>
      <c r="D28" s="24">
        <v>18.600000000000001</v>
      </c>
      <c r="E28" s="24">
        <v>24.9</v>
      </c>
      <c r="F28" s="61">
        <v>0.47</v>
      </c>
      <c r="G28" s="61">
        <v>0.53</v>
      </c>
      <c r="I28" s="243">
        <f t="shared" si="11"/>
        <v>5</v>
      </c>
      <c r="J28" s="245">
        <f t="shared" si="12"/>
        <v>4.1732283464566962</v>
      </c>
      <c r="K28" s="241">
        <f t="shared" si="13"/>
        <v>5.3477690288713911</v>
      </c>
      <c r="L28" s="241">
        <f>Table1[[#This Row],[cm]]/2.54</f>
        <v>64.173228346456696</v>
      </c>
      <c r="M28" s="54">
        <v>163</v>
      </c>
      <c r="N28" s="3">
        <f t="shared" si="14"/>
        <v>53.137999999999998</v>
      </c>
      <c r="O28" s="3">
        <f t="shared" si="0"/>
        <v>66.422499999999999</v>
      </c>
      <c r="P28" s="3">
        <f t="shared" si="15"/>
        <v>79.706999999999994</v>
      </c>
      <c r="Q28" s="7">
        <f t="shared" si="1"/>
        <v>92.991500000000002</v>
      </c>
      <c r="R28" s="3">
        <f t="shared" si="16"/>
        <v>106.276</v>
      </c>
      <c r="S28" s="3">
        <f t="shared" si="2"/>
        <v>119.5605</v>
      </c>
      <c r="T28" s="4">
        <f t="shared" si="3"/>
        <v>265.69</v>
      </c>
      <c r="U28" s="4" t="e">
        <f ca="1">IF($E$22=M28,Weight_Calculator!E$18,"")</f>
        <v>#VALUE!</v>
      </c>
      <c r="V28" s="2"/>
      <c r="W28" s="32">
        <f>SUM(Weight_Calculator!$I$5*Table2[[#This Row],[Days
Per
Week]])</f>
        <v>0</v>
      </c>
      <c r="X28" s="13" t="e">
        <f>SUM(Weight_Calculator!$F$20*$AM28)</f>
        <v>#VALUE!</v>
      </c>
      <c r="Y28" s="35" t="e">
        <f t="shared" si="17"/>
        <v>#VALUE!</v>
      </c>
      <c r="Z28" s="14" t="e">
        <f t="shared" si="4"/>
        <v>#VALUE!</v>
      </c>
      <c r="AA28" s="22" t="e">
        <f ca="1">SUM(Weight_Calculator!$E$18,Table2[[#This Row],[7 Day
Change]])</f>
        <v>#VALUE!</v>
      </c>
      <c r="AB28" s="50" t="e">
        <f t="shared" ca="1" si="5"/>
        <v>#N/A</v>
      </c>
      <c r="AC28" s="51" t="e">
        <f t="shared" ca="1" si="6"/>
        <v>#N/A</v>
      </c>
      <c r="AD28" s="38" t="e">
        <f t="shared" ca="1" si="7"/>
        <v>#N/A</v>
      </c>
      <c r="AE28" s="48" t="e">
        <f ca="1">+$AL28/(Weight_Calculator!$E$17*(Weight_Calculator!$E$17/10000))</f>
        <v>#N/A</v>
      </c>
      <c r="AF28" s="49" t="e">
        <f ca="1">SUM(66.5+(13.75*$AL27)+(5.003*Weight_Calculator!$E$17)-(6.75*Weight_Calculator!$D$4))</f>
        <v>#N/A</v>
      </c>
      <c r="AG28" s="44" t="e">
        <f ca="1">VLOOKUP(Stats_Tables!$D$12,Stats_Tables!$C$13:$F$16,4,0)*AF28</f>
        <v>#N/A</v>
      </c>
      <c r="AH28" s="43" t="e">
        <f t="shared" ca="1" si="8"/>
        <v>#N/A</v>
      </c>
      <c r="AI28" s="44" t="e">
        <f t="shared" ca="1" si="18"/>
        <v>#N/A</v>
      </c>
      <c r="AJ28" s="44" t="e">
        <f t="shared" ca="1" si="9"/>
        <v>#N/A</v>
      </c>
      <c r="AK28" s="46" t="e">
        <f t="shared" ca="1" si="10"/>
        <v>#N/A</v>
      </c>
      <c r="AL28" s="47" t="e">
        <f ca="1">SUM(Weight_Calculator!$E$18,AK28)</f>
        <v>#N/A</v>
      </c>
      <c r="AM28" s="40">
        <f t="shared" si="19"/>
        <v>168</v>
      </c>
      <c r="AN28" s="15">
        <v>24</v>
      </c>
    </row>
    <row r="29" spans="3:40" ht="15">
      <c r="C29" s="25" t="s">
        <v>69</v>
      </c>
      <c r="D29" s="24">
        <v>25</v>
      </c>
      <c r="E29" s="24">
        <v>29.9</v>
      </c>
      <c r="F29" s="61">
        <v>0.54</v>
      </c>
      <c r="G29" s="61">
        <v>0.57999999999999996</v>
      </c>
      <c r="I29" s="243">
        <f t="shared" si="11"/>
        <v>5</v>
      </c>
      <c r="J29" s="245">
        <f t="shared" si="12"/>
        <v>4.5669291338582667</v>
      </c>
      <c r="K29" s="241">
        <f t="shared" si="13"/>
        <v>5.3805774278215219</v>
      </c>
      <c r="L29" s="241">
        <f>Table1[[#This Row],[cm]]/2.54</f>
        <v>64.566929133858267</v>
      </c>
      <c r="M29" s="54">
        <v>164</v>
      </c>
      <c r="N29" s="3">
        <f t="shared" si="14"/>
        <v>53.792000000000002</v>
      </c>
      <c r="O29" s="3">
        <f t="shared" si="0"/>
        <v>67.239999999999995</v>
      </c>
      <c r="P29" s="3">
        <f t="shared" si="15"/>
        <v>80.688000000000002</v>
      </c>
      <c r="Q29" s="7">
        <f t="shared" si="1"/>
        <v>94.135999999999996</v>
      </c>
      <c r="R29" s="3">
        <f t="shared" si="16"/>
        <v>107.584</v>
      </c>
      <c r="S29" s="3">
        <f t="shared" si="2"/>
        <v>121.032</v>
      </c>
      <c r="T29" s="4">
        <f t="shared" si="3"/>
        <v>268.95999999999998</v>
      </c>
      <c r="U29" s="4" t="e">
        <f ca="1">IF($E$22=M29,Weight_Calculator!E$18,"")</f>
        <v>#VALUE!</v>
      </c>
      <c r="V29" s="2"/>
      <c r="W29" s="32">
        <f>SUM(Weight_Calculator!$I$5*Table2[[#This Row],[Days
Per
Week]])</f>
        <v>0</v>
      </c>
      <c r="X29" s="16" t="e">
        <f>SUM(Weight_Calculator!$F$20*$AM29)</f>
        <v>#VALUE!</v>
      </c>
      <c r="Y29" s="36" t="e">
        <f t="shared" si="17"/>
        <v>#VALUE!</v>
      </c>
      <c r="Z29" s="17" t="e">
        <f t="shared" si="4"/>
        <v>#VALUE!</v>
      </c>
      <c r="AA29" s="22" t="e">
        <f ca="1">SUM(Weight_Calculator!$E$18,Table2[[#This Row],[7 Day
Change]])</f>
        <v>#VALUE!</v>
      </c>
      <c r="AB29" s="50" t="e">
        <f t="shared" ca="1" si="5"/>
        <v>#N/A</v>
      </c>
      <c r="AC29" s="51" t="e">
        <f t="shared" ca="1" si="6"/>
        <v>#N/A</v>
      </c>
      <c r="AD29" s="38" t="e">
        <f t="shared" ca="1" si="7"/>
        <v>#N/A</v>
      </c>
      <c r="AE29" s="48" t="e">
        <f ca="1">+$AL29/(Weight_Calculator!$E$17*(Weight_Calculator!$E$17/10000))</f>
        <v>#N/A</v>
      </c>
      <c r="AF29" s="49" t="e">
        <f ca="1">SUM(66.5+(13.75*$AL28)+(5.003*Weight_Calculator!$E$17)-(6.75*Weight_Calculator!$D$4))</f>
        <v>#N/A</v>
      </c>
      <c r="AG29" s="44" t="e">
        <f ca="1">VLOOKUP(Stats_Tables!$D$12,Stats_Tables!$C$13:$F$16,4,0)*AF29</f>
        <v>#N/A</v>
      </c>
      <c r="AH29" s="43" t="e">
        <f t="shared" ca="1" si="8"/>
        <v>#N/A</v>
      </c>
      <c r="AI29" s="44" t="e">
        <f t="shared" ca="1" si="18"/>
        <v>#N/A</v>
      </c>
      <c r="AJ29" s="44" t="e">
        <f t="shared" ca="1" si="9"/>
        <v>#N/A</v>
      </c>
      <c r="AK29" s="46" t="e">
        <f t="shared" ca="1" si="10"/>
        <v>#N/A</v>
      </c>
      <c r="AL29" s="47" t="e">
        <f ca="1">SUM(Weight_Calculator!$E$18,AK29)</f>
        <v>#N/A</v>
      </c>
      <c r="AM29" s="41">
        <f t="shared" si="19"/>
        <v>175</v>
      </c>
      <c r="AN29" s="18">
        <v>25</v>
      </c>
    </row>
    <row r="30" spans="3:40" ht="15">
      <c r="C30" s="25" t="s">
        <v>70</v>
      </c>
      <c r="D30" s="24">
        <v>30</v>
      </c>
      <c r="E30" s="24">
        <v>34.9</v>
      </c>
      <c r="F30" s="61">
        <v>0.59</v>
      </c>
      <c r="G30" s="61">
        <v>0.61</v>
      </c>
      <c r="I30" s="243">
        <f t="shared" si="11"/>
        <v>5</v>
      </c>
      <c r="J30" s="245">
        <f t="shared" si="12"/>
        <v>4.9606299212598373</v>
      </c>
      <c r="K30" s="241">
        <f t="shared" si="13"/>
        <v>5.4133858267716528</v>
      </c>
      <c r="L30" s="241">
        <f>Table1[[#This Row],[cm]]/2.54</f>
        <v>64.960629921259837</v>
      </c>
      <c r="M30" s="54">
        <v>165</v>
      </c>
      <c r="N30" s="3">
        <f t="shared" si="14"/>
        <v>54.45</v>
      </c>
      <c r="O30" s="3">
        <f t="shared" si="0"/>
        <v>68.0625</v>
      </c>
      <c r="P30" s="3">
        <f t="shared" si="15"/>
        <v>81.674999999999997</v>
      </c>
      <c r="Q30" s="7">
        <f t="shared" si="1"/>
        <v>95.287499999999994</v>
      </c>
      <c r="R30" s="3">
        <f t="shared" si="16"/>
        <v>108.9</v>
      </c>
      <c r="S30" s="3">
        <f t="shared" si="2"/>
        <v>122.5125</v>
      </c>
      <c r="T30" s="4">
        <f t="shared" si="3"/>
        <v>272.25</v>
      </c>
      <c r="U30" s="4" t="e">
        <f ca="1">IF($E$22=M30,Weight_Calculator!E$18,"")</f>
        <v>#VALUE!</v>
      </c>
      <c r="V30" s="2"/>
      <c r="W30" s="32">
        <f>SUM(Weight_Calculator!$I$5*Table2[[#This Row],[Days
Per
Week]])</f>
        <v>0</v>
      </c>
      <c r="X30" s="13" t="e">
        <f>SUM(Weight_Calculator!$F$20*$AM30)</f>
        <v>#VALUE!</v>
      </c>
      <c r="Y30" s="35" t="e">
        <f t="shared" si="17"/>
        <v>#VALUE!</v>
      </c>
      <c r="Z30" s="14" t="e">
        <f t="shared" si="4"/>
        <v>#VALUE!</v>
      </c>
      <c r="AA30" s="22" t="e">
        <f ca="1">SUM(Weight_Calculator!$E$18,Table2[[#This Row],[7 Day
Change]])</f>
        <v>#VALUE!</v>
      </c>
      <c r="AB30" s="50" t="e">
        <f t="shared" ca="1" si="5"/>
        <v>#N/A</v>
      </c>
      <c r="AC30" s="51" t="e">
        <f t="shared" ca="1" si="6"/>
        <v>#N/A</v>
      </c>
      <c r="AD30" s="38" t="e">
        <f t="shared" ca="1" si="7"/>
        <v>#N/A</v>
      </c>
      <c r="AE30" s="48" t="e">
        <f ca="1">+$AL30/(Weight_Calculator!$E$17*(Weight_Calculator!$E$17/10000))</f>
        <v>#N/A</v>
      </c>
      <c r="AF30" s="49" t="e">
        <f ca="1">SUM(66.5+(13.75*$AL29)+(5.003*Weight_Calculator!$E$17)-(6.75*Weight_Calculator!$D$4))</f>
        <v>#N/A</v>
      </c>
      <c r="AG30" s="44" t="e">
        <f ca="1">VLOOKUP(Stats_Tables!$D$12,Stats_Tables!$C$13:$F$16,4,0)*AF30</f>
        <v>#N/A</v>
      </c>
      <c r="AH30" s="43" t="e">
        <f t="shared" ca="1" si="8"/>
        <v>#N/A</v>
      </c>
      <c r="AI30" s="44" t="e">
        <f t="shared" ca="1" si="18"/>
        <v>#N/A</v>
      </c>
      <c r="AJ30" s="44" t="e">
        <f t="shared" ca="1" si="9"/>
        <v>#N/A</v>
      </c>
      <c r="AK30" s="46" t="e">
        <f t="shared" ca="1" si="10"/>
        <v>#N/A</v>
      </c>
      <c r="AL30" s="47" t="e">
        <f ca="1">SUM(Weight_Calculator!$E$18,AK30)</f>
        <v>#N/A</v>
      </c>
      <c r="AM30" s="40">
        <f t="shared" si="19"/>
        <v>182</v>
      </c>
      <c r="AN30" s="15">
        <v>26</v>
      </c>
    </row>
    <row r="31" spans="3:40" ht="15">
      <c r="C31" s="25" t="s">
        <v>71</v>
      </c>
      <c r="D31" s="24">
        <v>35</v>
      </c>
      <c r="E31" s="24">
        <v>39.9</v>
      </c>
      <c r="F31" s="79">
        <v>0.62</v>
      </c>
      <c r="G31" s="79">
        <v>0.65</v>
      </c>
      <c r="I31" s="243">
        <f t="shared" si="11"/>
        <v>5</v>
      </c>
      <c r="J31" s="245">
        <f t="shared" si="12"/>
        <v>5.354330708661422</v>
      </c>
      <c r="K31" s="241">
        <f t="shared" si="13"/>
        <v>5.4461942257217855</v>
      </c>
      <c r="L31" s="241">
        <f>Table1[[#This Row],[cm]]/2.54</f>
        <v>65.354330708661422</v>
      </c>
      <c r="M31" s="54">
        <v>166</v>
      </c>
      <c r="N31" s="3">
        <f t="shared" si="14"/>
        <v>55.112000000000002</v>
      </c>
      <c r="O31" s="3">
        <f t="shared" si="0"/>
        <v>68.89</v>
      </c>
      <c r="P31" s="3">
        <f t="shared" si="15"/>
        <v>82.668000000000006</v>
      </c>
      <c r="Q31" s="7">
        <f t="shared" si="1"/>
        <v>96.445999999999998</v>
      </c>
      <c r="R31" s="3">
        <f t="shared" si="16"/>
        <v>110.224</v>
      </c>
      <c r="S31" s="3">
        <f t="shared" si="2"/>
        <v>124.002</v>
      </c>
      <c r="T31" s="4">
        <f t="shared" si="3"/>
        <v>275.56</v>
      </c>
      <c r="U31" s="4" t="e">
        <f ca="1">IF($E$22=M31,Weight_Calculator!E$18,"")</f>
        <v>#VALUE!</v>
      </c>
      <c r="V31" s="2"/>
      <c r="W31" s="32">
        <f>SUM(Weight_Calculator!$I$5*Table2[[#This Row],[Days
Per
Week]])</f>
        <v>0</v>
      </c>
      <c r="X31" s="16" t="e">
        <f>SUM(Weight_Calculator!$F$20*$AM31)</f>
        <v>#VALUE!</v>
      </c>
      <c r="Y31" s="36" t="e">
        <f t="shared" si="17"/>
        <v>#VALUE!</v>
      </c>
      <c r="Z31" s="17" t="e">
        <f t="shared" si="4"/>
        <v>#VALUE!</v>
      </c>
      <c r="AA31" s="22" t="e">
        <f ca="1">SUM(Weight_Calculator!$E$18,Table2[[#This Row],[7 Day
Change]])</f>
        <v>#VALUE!</v>
      </c>
      <c r="AB31" s="50" t="e">
        <f t="shared" ca="1" si="5"/>
        <v>#N/A</v>
      </c>
      <c r="AC31" s="51" t="e">
        <f t="shared" ca="1" si="6"/>
        <v>#N/A</v>
      </c>
      <c r="AD31" s="38" t="e">
        <f t="shared" ca="1" si="7"/>
        <v>#N/A</v>
      </c>
      <c r="AE31" s="48" t="e">
        <f ca="1">+$AL31/(Weight_Calculator!$E$17*(Weight_Calculator!$E$17/10000))</f>
        <v>#N/A</v>
      </c>
      <c r="AF31" s="49" t="e">
        <f ca="1">SUM(66.5+(13.75*$AL30)+(5.003*Weight_Calculator!$E$17)-(6.75*Weight_Calculator!$D$4))</f>
        <v>#N/A</v>
      </c>
      <c r="AG31" s="44" t="e">
        <f ca="1">VLOOKUP(Stats_Tables!$D$12,Stats_Tables!$C$13:$F$16,4,0)*AF31</f>
        <v>#N/A</v>
      </c>
      <c r="AH31" s="43" t="e">
        <f t="shared" ca="1" si="8"/>
        <v>#N/A</v>
      </c>
      <c r="AI31" s="44" t="e">
        <f t="shared" ca="1" si="18"/>
        <v>#N/A</v>
      </c>
      <c r="AJ31" s="44" t="e">
        <f t="shared" ca="1" si="9"/>
        <v>#N/A</v>
      </c>
      <c r="AK31" s="46" t="e">
        <f t="shared" ca="1" si="10"/>
        <v>#N/A</v>
      </c>
      <c r="AL31" s="47" t="e">
        <f ca="1">SUM(Weight_Calculator!$E$18,AK31)</f>
        <v>#N/A</v>
      </c>
      <c r="AM31" s="41">
        <f t="shared" si="19"/>
        <v>189</v>
      </c>
      <c r="AN31" s="18">
        <v>27</v>
      </c>
    </row>
    <row r="32" spans="3:40" ht="15">
      <c r="C32" s="25" t="s">
        <v>72</v>
      </c>
      <c r="D32" s="24">
        <v>40</v>
      </c>
      <c r="E32" s="24">
        <v>500</v>
      </c>
      <c r="F32" s="61">
        <v>0.66</v>
      </c>
      <c r="G32" s="61">
        <v>1</v>
      </c>
      <c r="I32" s="243">
        <f t="shared" si="11"/>
        <v>5</v>
      </c>
      <c r="J32" s="245">
        <f t="shared" si="12"/>
        <v>5.7480314960629926</v>
      </c>
      <c r="K32" s="241">
        <f t="shared" si="13"/>
        <v>5.4790026246719163</v>
      </c>
      <c r="L32" s="241">
        <f>Table1[[#This Row],[cm]]/2.54</f>
        <v>65.748031496062993</v>
      </c>
      <c r="M32" s="54">
        <v>167</v>
      </c>
      <c r="N32" s="3">
        <f t="shared" si="14"/>
        <v>55.777999999999999</v>
      </c>
      <c r="O32" s="3">
        <f t="shared" si="0"/>
        <v>69.722499999999997</v>
      </c>
      <c r="P32" s="3">
        <f t="shared" si="15"/>
        <v>83.667000000000002</v>
      </c>
      <c r="Q32" s="7">
        <f t="shared" si="1"/>
        <v>97.611500000000007</v>
      </c>
      <c r="R32" s="3">
        <f t="shared" si="16"/>
        <v>111.556</v>
      </c>
      <c r="S32" s="3">
        <f t="shared" si="2"/>
        <v>125.5005</v>
      </c>
      <c r="T32" s="4">
        <f t="shared" si="3"/>
        <v>278.89</v>
      </c>
      <c r="U32" s="4" t="e">
        <f ca="1">IF($E$22=M32,Weight_Calculator!E$18,"")</f>
        <v>#VALUE!</v>
      </c>
      <c r="V32" s="2"/>
      <c r="W32" s="32">
        <f>SUM(Weight_Calculator!$I$5*Table2[[#This Row],[Days
Per
Week]])</f>
        <v>0</v>
      </c>
      <c r="X32" s="13" t="e">
        <f>SUM(Weight_Calculator!$F$20*$AM32)</f>
        <v>#VALUE!</v>
      </c>
      <c r="Y32" s="35" t="e">
        <f t="shared" si="17"/>
        <v>#VALUE!</v>
      </c>
      <c r="Z32" s="14" t="e">
        <f t="shared" si="4"/>
        <v>#VALUE!</v>
      </c>
      <c r="AA32" s="22" t="e">
        <f ca="1">SUM(Weight_Calculator!$E$18,Table2[[#This Row],[7 Day
Change]])</f>
        <v>#VALUE!</v>
      </c>
      <c r="AB32" s="50" t="e">
        <f t="shared" ca="1" si="5"/>
        <v>#N/A</v>
      </c>
      <c r="AC32" s="51" t="e">
        <f t="shared" ca="1" si="6"/>
        <v>#N/A</v>
      </c>
      <c r="AD32" s="38" t="e">
        <f t="shared" ca="1" si="7"/>
        <v>#N/A</v>
      </c>
      <c r="AE32" s="48" t="e">
        <f ca="1">+$AL32/(Weight_Calculator!$E$17*(Weight_Calculator!$E$17/10000))</f>
        <v>#N/A</v>
      </c>
      <c r="AF32" s="49" t="e">
        <f ca="1">SUM(66.5+(13.75*$AA32)+(5.003*Weight_Calculator!$E$17)-(6.75*Weight_Calculator!$D$4))</f>
        <v>#VALUE!</v>
      </c>
      <c r="AG32" s="44" t="e">
        <f ca="1">VLOOKUP(Stats_Tables!$D$12,Stats_Tables!$C$13:$F$16,4,0)*AF32</f>
        <v>#N/A</v>
      </c>
      <c r="AH32" s="43" t="e">
        <f t="shared" ca="1" si="8"/>
        <v>#N/A</v>
      </c>
      <c r="AI32" s="44" t="e">
        <f t="shared" ca="1" si="18"/>
        <v>#N/A</v>
      </c>
      <c r="AJ32" s="44" t="e">
        <f t="shared" ca="1" si="9"/>
        <v>#N/A</v>
      </c>
      <c r="AK32" s="46" t="e">
        <f t="shared" ca="1" si="10"/>
        <v>#N/A</v>
      </c>
      <c r="AL32" s="47" t="e">
        <f ca="1">SUM(Weight_Calculator!$E$18,AK32)</f>
        <v>#N/A</v>
      </c>
      <c r="AM32" s="40">
        <f t="shared" si="19"/>
        <v>196</v>
      </c>
      <c r="AN32" s="15">
        <v>28</v>
      </c>
    </row>
    <row r="33" spans="3:40" ht="15">
      <c r="C33" s="58" t="e">
        <f>(Weight_Calculator!E21)</f>
        <v>#VALUE!</v>
      </c>
      <c r="D33" s="58" t="e">
        <f>IF(C33=C27,1,IF(C33=C28,2,IF(C33=C29,3,IF(C33=C30,4,IF(C33=C31,5,IF(C33=C32,6," "))))))</f>
        <v>#VALUE!</v>
      </c>
      <c r="I33" s="243">
        <f t="shared" si="11"/>
        <v>5</v>
      </c>
      <c r="J33" s="245">
        <f t="shared" si="12"/>
        <v>6.1417322834645631</v>
      </c>
      <c r="K33" s="241">
        <f t="shared" si="13"/>
        <v>5.5118110236220472</v>
      </c>
      <c r="L33" s="241">
        <f>Table1[[#This Row],[cm]]/2.54</f>
        <v>66.141732283464563</v>
      </c>
      <c r="M33" s="54">
        <v>168</v>
      </c>
      <c r="N33" s="3">
        <f t="shared" si="14"/>
        <v>56.448</v>
      </c>
      <c r="O33" s="3">
        <f t="shared" si="0"/>
        <v>70.56</v>
      </c>
      <c r="P33" s="3">
        <f t="shared" si="15"/>
        <v>84.671999999999997</v>
      </c>
      <c r="Q33" s="7">
        <f t="shared" si="1"/>
        <v>98.784000000000006</v>
      </c>
      <c r="R33" s="3">
        <f t="shared" si="16"/>
        <v>112.896</v>
      </c>
      <c r="S33" s="3">
        <f t="shared" si="2"/>
        <v>127.008</v>
      </c>
      <c r="T33" s="4">
        <f t="shared" si="3"/>
        <v>282.24</v>
      </c>
      <c r="U33" s="4" t="e">
        <f ca="1">IF($E$22=M33,Weight_Calculator!E$18,"")</f>
        <v>#VALUE!</v>
      </c>
      <c r="V33" s="2"/>
      <c r="W33" s="32">
        <f>SUM(Weight_Calculator!$I$5*Table2[[#This Row],[Days
Per
Week]])</f>
        <v>0</v>
      </c>
      <c r="X33" s="16" t="e">
        <f>SUM(Weight_Calculator!$F$20*$AM33)</f>
        <v>#VALUE!</v>
      </c>
      <c r="Y33" s="36" t="e">
        <f t="shared" si="17"/>
        <v>#VALUE!</v>
      </c>
      <c r="Z33" s="17" t="e">
        <f t="shared" si="4"/>
        <v>#VALUE!</v>
      </c>
      <c r="AA33" s="22" t="e">
        <f ca="1">SUM(Weight_Calculator!$E$18,Table2[[#This Row],[7 Day
Change]])</f>
        <v>#VALUE!</v>
      </c>
      <c r="AB33" s="50" t="e">
        <f t="shared" ca="1" si="5"/>
        <v>#N/A</v>
      </c>
      <c r="AC33" s="51" t="e">
        <f t="shared" ca="1" si="6"/>
        <v>#N/A</v>
      </c>
      <c r="AD33" s="38" t="e">
        <f t="shared" ca="1" si="7"/>
        <v>#N/A</v>
      </c>
      <c r="AE33" s="48" t="e">
        <f ca="1">+$AL33/(Weight_Calculator!$E$17*(Weight_Calculator!$E$17/10000))</f>
        <v>#N/A</v>
      </c>
      <c r="AF33" s="49" t="e">
        <f ca="1">SUM(66.5+(13.75*$AL32)+(5.003*Weight_Calculator!$E$17)-(6.75*Weight_Calculator!$D$4))</f>
        <v>#N/A</v>
      </c>
      <c r="AG33" s="44" t="e">
        <f ca="1">VLOOKUP(Stats_Tables!$D$12,Stats_Tables!$C$13:$F$16,4,0)*AF33</f>
        <v>#N/A</v>
      </c>
      <c r="AH33" s="43" t="e">
        <f t="shared" ca="1" si="8"/>
        <v>#N/A</v>
      </c>
      <c r="AI33" s="44" t="e">
        <f t="shared" ca="1" si="18"/>
        <v>#N/A</v>
      </c>
      <c r="AJ33" s="44" t="e">
        <f t="shared" ca="1" si="9"/>
        <v>#N/A</v>
      </c>
      <c r="AK33" s="46" t="e">
        <f t="shared" ca="1" si="10"/>
        <v>#N/A</v>
      </c>
      <c r="AL33" s="47" t="e">
        <f ca="1">SUM(Weight_Calculator!$E$18,AK33)</f>
        <v>#N/A</v>
      </c>
      <c r="AM33" s="41">
        <f t="shared" si="19"/>
        <v>203</v>
      </c>
      <c r="AN33" s="18">
        <v>29</v>
      </c>
    </row>
    <row r="34" spans="3:40" ht="15">
      <c r="I34" s="243">
        <f t="shared" si="11"/>
        <v>5</v>
      </c>
      <c r="J34" s="245">
        <f t="shared" si="12"/>
        <v>6.5354330708661479</v>
      </c>
      <c r="K34" s="241">
        <f t="shared" si="13"/>
        <v>5.544619422572179</v>
      </c>
      <c r="L34" s="241">
        <f>Table1[[#This Row],[cm]]/2.54</f>
        <v>66.535433070866148</v>
      </c>
      <c r="M34" s="54">
        <v>169</v>
      </c>
      <c r="N34" s="3">
        <f t="shared" si="14"/>
        <v>57.122</v>
      </c>
      <c r="O34" s="3">
        <f t="shared" si="0"/>
        <v>71.402500000000003</v>
      </c>
      <c r="P34" s="3">
        <f t="shared" si="15"/>
        <v>85.683000000000007</v>
      </c>
      <c r="Q34" s="7">
        <f t="shared" si="1"/>
        <v>99.963499999999996</v>
      </c>
      <c r="R34" s="3">
        <f t="shared" si="16"/>
        <v>114.244</v>
      </c>
      <c r="S34" s="3">
        <f t="shared" si="2"/>
        <v>128.52449999999999</v>
      </c>
      <c r="T34" s="4">
        <f t="shared" si="3"/>
        <v>285.61</v>
      </c>
      <c r="U34" s="4" t="e">
        <f ca="1">IF($E$22=M34,Weight_Calculator!E$18,"")</f>
        <v>#VALUE!</v>
      </c>
      <c r="V34" s="2"/>
      <c r="W34" s="32">
        <f>SUM(Weight_Calculator!$I$5*Table2[[#This Row],[Days
Per
Week]])</f>
        <v>0</v>
      </c>
      <c r="X34" s="13" t="e">
        <f>SUM(Weight_Calculator!$F$20*$AM34)</f>
        <v>#VALUE!</v>
      </c>
      <c r="Y34" s="35" t="e">
        <f t="shared" si="17"/>
        <v>#VALUE!</v>
      </c>
      <c r="Z34" s="14" t="e">
        <f t="shared" si="4"/>
        <v>#VALUE!</v>
      </c>
      <c r="AA34" s="22" t="e">
        <f ca="1">SUM(Weight_Calculator!$E$18,Table2[[#This Row],[7 Day
Change]])</f>
        <v>#VALUE!</v>
      </c>
      <c r="AB34" s="50" t="e">
        <f t="shared" ca="1" si="5"/>
        <v>#N/A</v>
      </c>
      <c r="AC34" s="51" t="e">
        <f t="shared" ca="1" si="6"/>
        <v>#N/A</v>
      </c>
      <c r="AD34" s="38" t="e">
        <f t="shared" ca="1" si="7"/>
        <v>#N/A</v>
      </c>
      <c r="AE34" s="48" t="e">
        <f ca="1">+$AL34/(Weight_Calculator!$E$17*(Weight_Calculator!$E$17/10000))</f>
        <v>#N/A</v>
      </c>
      <c r="AF34" s="49" t="e">
        <f ca="1">SUM(66.5+(13.75*$AL33)+(5.003*Weight_Calculator!$E$17)-(6.75*Weight_Calculator!$D$4))</f>
        <v>#N/A</v>
      </c>
      <c r="AG34" s="44" t="e">
        <f ca="1">VLOOKUP(Stats_Tables!$D$12,Stats_Tables!$C$13:$F$16,4,0)*AF34</f>
        <v>#N/A</v>
      </c>
      <c r="AH34" s="43" t="e">
        <f t="shared" ca="1" si="8"/>
        <v>#N/A</v>
      </c>
      <c r="AI34" s="44" t="e">
        <f t="shared" ca="1" si="18"/>
        <v>#N/A</v>
      </c>
      <c r="AJ34" s="44" t="e">
        <f t="shared" ca="1" si="9"/>
        <v>#N/A</v>
      </c>
      <c r="AK34" s="46" t="e">
        <f t="shared" ca="1" si="10"/>
        <v>#N/A</v>
      </c>
      <c r="AL34" s="47" t="e">
        <f ca="1">SUM(Weight_Calculator!$E$18,AK34)</f>
        <v>#N/A</v>
      </c>
      <c r="AM34" s="40">
        <f t="shared" si="19"/>
        <v>210</v>
      </c>
      <c r="AN34" s="15">
        <v>30</v>
      </c>
    </row>
    <row r="35" spans="3:40" ht="15">
      <c r="E35">
        <v>40</v>
      </c>
      <c r="I35" s="243">
        <f t="shared" si="11"/>
        <v>5</v>
      </c>
      <c r="J35" s="245">
        <f t="shared" si="12"/>
        <v>6.9291338582677184</v>
      </c>
      <c r="K35" s="241">
        <f t="shared" si="13"/>
        <v>5.5774278215223099</v>
      </c>
      <c r="L35" s="241">
        <f>Table1[[#This Row],[cm]]/2.54</f>
        <v>66.929133858267718</v>
      </c>
      <c r="M35" s="54">
        <v>170</v>
      </c>
      <c r="N35" s="3">
        <f t="shared" si="14"/>
        <v>57.8</v>
      </c>
      <c r="O35" s="3">
        <f t="shared" si="0"/>
        <v>72.25</v>
      </c>
      <c r="P35" s="3">
        <f t="shared" si="15"/>
        <v>86.7</v>
      </c>
      <c r="Q35" s="7">
        <f t="shared" si="1"/>
        <v>101.15</v>
      </c>
      <c r="R35" s="3">
        <f t="shared" si="16"/>
        <v>115.6</v>
      </c>
      <c r="S35" s="3">
        <f t="shared" si="2"/>
        <v>130.05000000000001</v>
      </c>
      <c r="T35" s="4">
        <f t="shared" si="3"/>
        <v>289</v>
      </c>
      <c r="U35" s="4" t="e">
        <f ca="1">IF($E$22=M35,Weight_Calculator!E$18,"")</f>
        <v>#VALUE!</v>
      </c>
      <c r="V35" s="2"/>
      <c r="W35" s="32">
        <f>SUM(Weight_Calculator!$I$5*Table2[[#This Row],[Days
Per
Week]])</f>
        <v>0</v>
      </c>
      <c r="X35" s="16" t="e">
        <f>SUM(Weight_Calculator!$F$20*$AM35)</f>
        <v>#VALUE!</v>
      </c>
      <c r="Y35" s="36" t="e">
        <f t="shared" si="17"/>
        <v>#VALUE!</v>
      </c>
      <c r="Z35" s="17" t="e">
        <f t="shared" si="4"/>
        <v>#VALUE!</v>
      </c>
      <c r="AA35" s="22" t="e">
        <f ca="1">SUM(Weight_Calculator!$E$18,Table2[[#This Row],[7 Day
Change]])</f>
        <v>#VALUE!</v>
      </c>
      <c r="AB35" s="50" t="e">
        <f t="shared" ca="1" si="5"/>
        <v>#N/A</v>
      </c>
      <c r="AC35" s="51" t="e">
        <f t="shared" ca="1" si="6"/>
        <v>#N/A</v>
      </c>
      <c r="AD35" s="38" t="e">
        <f t="shared" ca="1" si="7"/>
        <v>#N/A</v>
      </c>
      <c r="AE35" s="48" t="e">
        <f ca="1">+$AL35/(Weight_Calculator!$E$17*(Weight_Calculator!$E$17/10000))</f>
        <v>#N/A</v>
      </c>
      <c r="AF35" s="49" t="e">
        <f ca="1">SUM(66.5+(13.75*$AL34)+(5.003*Weight_Calculator!$E$17)-(6.75*Weight_Calculator!$D$4))</f>
        <v>#N/A</v>
      </c>
      <c r="AG35" s="44" t="e">
        <f ca="1">VLOOKUP(Stats_Tables!$D$12,Stats_Tables!$C$13:$F$16,4,0)*AF35</f>
        <v>#N/A</v>
      </c>
      <c r="AH35" s="43" t="e">
        <f t="shared" ca="1" si="8"/>
        <v>#N/A</v>
      </c>
      <c r="AI35" s="44" t="e">
        <f t="shared" ca="1" si="18"/>
        <v>#N/A</v>
      </c>
      <c r="AJ35" s="44" t="e">
        <f t="shared" ca="1" si="9"/>
        <v>#N/A</v>
      </c>
      <c r="AK35" s="46" t="e">
        <f t="shared" ca="1" si="10"/>
        <v>#N/A</v>
      </c>
      <c r="AL35" s="47" t="e">
        <f ca="1">SUM(Weight_Calculator!$E$18,AK35)</f>
        <v>#N/A</v>
      </c>
      <c r="AM35" s="41">
        <f t="shared" si="19"/>
        <v>217</v>
      </c>
      <c r="AN35" s="18">
        <v>31</v>
      </c>
    </row>
    <row r="36" spans="3:40" ht="15">
      <c r="E36">
        <v>50</v>
      </c>
      <c r="I36" s="243">
        <f t="shared" si="11"/>
        <v>5</v>
      </c>
      <c r="J36" s="245">
        <f>L36-(12*(K36-MOD(K36,1)))</f>
        <v>7.322834645669289</v>
      </c>
      <c r="K36" s="241">
        <f t="shared" si="13"/>
        <v>5.6102362204724407</v>
      </c>
      <c r="L36" s="241">
        <f>Table1[[#This Row],[cm]]/2.54</f>
        <v>67.322834645669289</v>
      </c>
      <c r="M36" s="54">
        <v>171</v>
      </c>
      <c r="N36" s="3">
        <f t="shared" si="14"/>
        <v>58.481999999999999</v>
      </c>
      <c r="O36" s="3">
        <f t="shared" si="0"/>
        <v>73.102500000000006</v>
      </c>
      <c r="P36" s="3">
        <f t="shared" si="15"/>
        <v>87.722999999999999</v>
      </c>
      <c r="Q36" s="7">
        <f t="shared" si="1"/>
        <v>102.34350000000001</v>
      </c>
      <c r="R36" s="3">
        <f t="shared" si="16"/>
        <v>116.964</v>
      </c>
      <c r="S36" s="3">
        <f t="shared" si="2"/>
        <v>131.58449999999999</v>
      </c>
      <c r="T36" s="4">
        <f t="shared" si="3"/>
        <v>292.41000000000003</v>
      </c>
      <c r="U36" s="4" t="e">
        <f ca="1">IF($E$22=M36,Weight_Calculator!E$18,"")</f>
        <v>#VALUE!</v>
      </c>
      <c r="V36" s="2"/>
      <c r="W36" s="32">
        <f>SUM(Weight_Calculator!$I$5*Table2[[#This Row],[Days
Per
Week]])</f>
        <v>0</v>
      </c>
      <c r="X36" s="13" t="e">
        <f>SUM(Weight_Calculator!$F$20*$AM36)</f>
        <v>#VALUE!</v>
      </c>
      <c r="Y36" s="35" t="e">
        <f t="shared" si="17"/>
        <v>#VALUE!</v>
      </c>
      <c r="Z36" s="14" t="e">
        <f t="shared" si="4"/>
        <v>#VALUE!</v>
      </c>
      <c r="AA36" s="22" t="e">
        <f ca="1">SUM(Weight_Calculator!$E$18,Table2[[#This Row],[7 Day
Change]])</f>
        <v>#VALUE!</v>
      </c>
      <c r="AB36" s="50" t="e">
        <f t="shared" ca="1" si="5"/>
        <v>#N/A</v>
      </c>
      <c r="AC36" s="51" t="e">
        <f t="shared" ca="1" si="6"/>
        <v>#N/A</v>
      </c>
      <c r="AD36" s="38" t="e">
        <f t="shared" ca="1" si="7"/>
        <v>#N/A</v>
      </c>
      <c r="AE36" s="48" t="e">
        <f ca="1">+$AL36/(Weight_Calculator!$E$17*(Weight_Calculator!$E$17/10000))</f>
        <v>#N/A</v>
      </c>
      <c r="AF36" s="49" t="e">
        <f ca="1">SUM(66.5+(13.75*$AL35)+(5.003*Weight_Calculator!$E$17)-(6.75*Weight_Calculator!$D$4))</f>
        <v>#N/A</v>
      </c>
      <c r="AG36" s="44" t="e">
        <f ca="1">VLOOKUP(Stats_Tables!$D$12,Stats_Tables!$C$13:$F$16,4,0)*AF36</f>
        <v>#N/A</v>
      </c>
      <c r="AH36" s="43" t="e">
        <f t="shared" ca="1" si="8"/>
        <v>#N/A</v>
      </c>
      <c r="AI36" s="44" t="e">
        <f t="shared" ca="1" si="18"/>
        <v>#N/A</v>
      </c>
      <c r="AJ36" s="44" t="e">
        <f t="shared" ca="1" si="9"/>
        <v>#N/A</v>
      </c>
      <c r="AK36" s="46" t="e">
        <f t="shared" ca="1" si="10"/>
        <v>#N/A</v>
      </c>
      <c r="AL36" s="47" t="e">
        <f ca="1">SUM(Weight_Calculator!$E$18,AK36)</f>
        <v>#N/A</v>
      </c>
      <c r="AM36" s="40">
        <f t="shared" si="19"/>
        <v>224</v>
      </c>
      <c r="AN36" s="15">
        <v>32</v>
      </c>
    </row>
    <row r="37" spans="3:40" ht="15">
      <c r="E37">
        <v>60</v>
      </c>
      <c r="I37" s="243">
        <f t="shared" si="11"/>
        <v>5</v>
      </c>
      <c r="J37" s="245">
        <f t="shared" si="12"/>
        <v>7.7165354330708595</v>
      </c>
      <c r="K37" s="241">
        <f t="shared" si="13"/>
        <v>5.6430446194225716</v>
      </c>
      <c r="L37" s="241">
        <f>Table1[[#This Row],[cm]]/2.54</f>
        <v>67.71653543307086</v>
      </c>
      <c r="M37" s="54">
        <v>172</v>
      </c>
      <c r="N37" s="3">
        <f t="shared" ref="N37:N68" si="20">$N$4*M37^2/10000</f>
        <v>59.167999999999999</v>
      </c>
      <c r="O37" s="3">
        <f t="shared" ref="O37:O70" si="21">$O$4*M37^2/10000</f>
        <v>73.959999999999994</v>
      </c>
      <c r="P37" s="3">
        <f t="shared" ref="P37:P70" si="22">$P$4*M37^2/10000</f>
        <v>88.751999999999995</v>
      </c>
      <c r="Q37" s="7">
        <f t="shared" ref="Q37:Q70" si="23">$Q$4*M37^2/10000</f>
        <v>103.544</v>
      </c>
      <c r="R37" s="3">
        <f t="shared" si="16"/>
        <v>118.336</v>
      </c>
      <c r="S37" s="3">
        <f t="shared" ref="S37:S70" si="24">$S$4*M37^2/10000</f>
        <v>133.12799999999999</v>
      </c>
      <c r="T37" s="4">
        <f t="shared" ref="T37:T70" si="25">$T$4*$M37^2/10000</f>
        <v>295.83999999999997</v>
      </c>
      <c r="U37" s="4" t="e">
        <f ca="1">IF($E$22=M37,Weight_Calculator!E$18,"")</f>
        <v>#VALUE!</v>
      </c>
      <c r="V37" s="2"/>
      <c r="W37" s="32">
        <f>SUM(Weight_Calculator!$I$5*Table2[[#This Row],[Days
Per
Week]])</f>
        <v>0</v>
      </c>
      <c r="X37" s="16" t="e">
        <f>SUM(Weight_Calculator!$F$20*$AM37)</f>
        <v>#VALUE!</v>
      </c>
      <c r="Y37" s="36" t="e">
        <f t="shared" si="17"/>
        <v>#VALUE!</v>
      </c>
      <c r="Z37" s="17" t="e">
        <f t="shared" ref="Z37:Z58" si="26">SUM(Y37/7700)</f>
        <v>#VALUE!</v>
      </c>
      <c r="AA37" s="22" t="e">
        <f ca="1">SUM(Weight_Calculator!$E$18,Table2[[#This Row],[7 Day
Change]])</f>
        <v>#VALUE!</v>
      </c>
      <c r="AB37" s="50" t="e">
        <f t="shared" ref="AB37:AB58" ca="1" si="27">CONCATENATE(ROUND(CONVERT($AL37,"kg","lbm"),0),"lbs")</f>
        <v>#N/A</v>
      </c>
      <c r="AC37" s="51" t="e">
        <f t="shared" ref="AC37:AC58" ca="1" si="28">CONCATENATE(ROUNDDOWN($AD37/14,0),"st ",TEXT(MOD($AD37,14),"#0"),"lbs")</f>
        <v>#N/A</v>
      </c>
      <c r="AD37" s="38" t="e">
        <f t="shared" ref="AD37:AD58" ca="1" si="29">CONVERT($AL37,"kg","lbm")</f>
        <v>#N/A</v>
      </c>
      <c r="AE37" s="48" t="e">
        <f ca="1">+$AL37/(Weight_Calculator!$E$17*(Weight_Calculator!$E$17/10000))</f>
        <v>#N/A</v>
      </c>
      <c r="AF37" s="49" t="e">
        <f ca="1">SUM(66.5+(13.75*$AL36)+(5.003*Weight_Calculator!$E$17)-(6.75*Weight_Calculator!$D$4))</f>
        <v>#N/A</v>
      </c>
      <c r="AG37" s="44" t="e">
        <f ca="1">VLOOKUP(Stats_Tables!$D$12,Stats_Tables!$C$13:$F$16,4,0)*AF37</f>
        <v>#N/A</v>
      </c>
      <c r="AH37" s="43" t="e">
        <f t="shared" ref="AH37:AH58" ca="1" si="30">AG37*7</f>
        <v>#N/A</v>
      </c>
      <c r="AI37" s="44" t="e">
        <f t="shared" ca="1" si="18"/>
        <v>#N/A</v>
      </c>
      <c r="AJ37" s="44" t="e">
        <f t="shared" ref="AJ37:AJ58" ca="1" si="31">SUM($W37-$AI37)</f>
        <v>#N/A</v>
      </c>
      <c r="AK37" s="46" t="e">
        <f t="shared" ref="AK37:AK58" ca="1" si="32">SUM(AJ37/7700)</f>
        <v>#N/A</v>
      </c>
      <c r="AL37" s="47" t="e">
        <f ca="1">SUM(Weight_Calculator!$E$18,AK37)</f>
        <v>#N/A</v>
      </c>
      <c r="AM37" s="41">
        <f t="shared" si="19"/>
        <v>231</v>
      </c>
      <c r="AN37" s="18">
        <v>33</v>
      </c>
    </row>
    <row r="38" spans="3:40" ht="14.25" customHeight="1">
      <c r="E38">
        <v>70</v>
      </c>
      <c r="I38" s="243">
        <f t="shared" si="11"/>
        <v>5</v>
      </c>
      <c r="J38" s="245">
        <f t="shared" si="12"/>
        <v>8.1102362204724443</v>
      </c>
      <c r="K38" s="241">
        <f t="shared" si="13"/>
        <v>5.6758530183727034</v>
      </c>
      <c r="L38" s="241">
        <f>Table1[[#This Row],[cm]]/2.54</f>
        <v>68.110236220472444</v>
      </c>
      <c r="M38" s="54">
        <v>173</v>
      </c>
      <c r="N38" s="3">
        <f t="shared" si="20"/>
        <v>59.857999999999997</v>
      </c>
      <c r="O38" s="3">
        <f t="shared" si="21"/>
        <v>74.822500000000005</v>
      </c>
      <c r="P38" s="3">
        <f t="shared" si="22"/>
        <v>89.787000000000006</v>
      </c>
      <c r="Q38" s="7">
        <f t="shared" si="23"/>
        <v>104.75149999999999</v>
      </c>
      <c r="R38" s="3">
        <f t="shared" si="16"/>
        <v>119.71599999999999</v>
      </c>
      <c r="S38" s="3">
        <f t="shared" si="24"/>
        <v>134.68049999999999</v>
      </c>
      <c r="T38" s="4">
        <f t="shared" si="25"/>
        <v>299.29000000000002</v>
      </c>
      <c r="U38" s="4" t="e">
        <f ca="1">IF($E$22=M38,Weight_Calculator!E$18,"")</f>
        <v>#VALUE!</v>
      </c>
      <c r="V38" s="2"/>
      <c r="W38" s="32">
        <f>SUM(Weight_Calculator!$I$5*Table2[[#This Row],[Days
Per
Week]])</f>
        <v>0</v>
      </c>
      <c r="X38" s="13" t="e">
        <f>SUM(Weight_Calculator!$F$20*$AM38)</f>
        <v>#VALUE!</v>
      </c>
      <c r="Y38" s="35" t="e">
        <f t="shared" ref="Y38:Y58" si="33">SUM(W38-X38)</f>
        <v>#VALUE!</v>
      </c>
      <c r="Z38" s="14" t="e">
        <f t="shared" si="26"/>
        <v>#VALUE!</v>
      </c>
      <c r="AA38" s="22" t="e">
        <f ca="1">SUM(Weight_Calculator!$E$18,Table2[[#This Row],[7 Day
Change]])</f>
        <v>#VALUE!</v>
      </c>
      <c r="AB38" s="50" t="e">
        <f t="shared" ca="1" si="27"/>
        <v>#N/A</v>
      </c>
      <c r="AC38" s="51" t="e">
        <f t="shared" ca="1" si="28"/>
        <v>#N/A</v>
      </c>
      <c r="AD38" s="38" t="e">
        <f t="shared" ca="1" si="29"/>
        <v>#N/A</v>
      </c>
      <c r="AE38" s="48" t="e">
        <f ca="1">+$AL38/(Weight_Calculator!$E$17*(Weight_Calculator!$E$17/10000))</f>
        <v>#N/A</v>
      </c>
      <c r="AF38" s="49" t="e">
        <f ca="1">SUM(66.5+(13.75*$AL37)+(5.003*Weight_Calculator!$E$17)-(6.75*Weight_Calculator!$D$4))</f>
        <v>#N/A</v>
      </c>
      <c r="AG38" s="44" t="e">
        <f ca="1">VLOOKUP(Stats_Tables!$D$12,Stats_Tables!$C$13:$F$16,4,0)*AF38</f>
        <v>#N/A</v>
      </c>
      <c r="AH38" s="43" t="e">
        <f t="shared" ca="1" si="30"/>
        <v>#N/A</v>
      </c>
      <c r="AI38" s="44" t="e">
        <f t="shared" ca="1" si="18"/>
        <v>#N/A</v>
      </c>
      <c r="AJ38" s="44" t="e">
        <f t="shared" ca="1" si="31"/>
        <v>#N/A</v>
      </c>
      <c r="AK38" s="46" t="e">
        <f t="shared" ca="1" si="32"/>
        <v>#N/A</v>
      </c>
      <c r="AL38" s="47" t="e">
        <f ca="1">SUM(Weight_Calculator!$E$18,AK38)</f>
        <v>#N/A</v>
      </c>
      <c r="AM38" s="40">
        <f t="shared" si="19"/>
        <v>238</v>
      </c>
      <c r="AN38" s="15">
        <v>34</v>
      </c>
    </row>
    <row r="39" spans="3:40" ht="15">
      <c r="E39">
        <v>80</v>
      </c>
      <c r="I39" s="243">
        <f t="shared" si="11"/>
        <v>5</v>
      </c>
      <c r="J39" s="245">
        <f t="shared" si="12"/>
        <v>8.5039370078740149</v>
      </c>
      <c r="K39" s="241">
        <f t="shared" si="13"/>
        <v>5.7086614173228343</v>
      </c>
      <c r="L39" s="241">
        <f>Table1[[#This Row],[cm]]/2.54</f>
        <v>68.503937007874015</v>
      </c>
      <c r="M39" s="54">
        <v>174</v>
      </c>
      <c r="N39" s="3">
        <f t="shared" si="20"/>
        <v>60.552</v>
      </c>
      <c r="O39" s="3">
        <f t="shared" si="21"/>
        <v>75.69</v>
      </c>
      <c r="P39" s="3">
        <f t="shared" si="22"/>
        <v>90.828000000000003</v>
      </c>
      <c r="Q39" s="7">
        <f t="shared" si="23"/>
        <v>105.96599999999999</v>
      </c>
      <c r="R39" s="3">
        <f t="shared" si="16"/>
        <v>121.104</v>
      </c>
      <c r="S39" s="3">
        <f t="shared" si="24"/>
        <v>136.24199999999999</v>
      </c>
      <c r="T39" s="4">
        <f t="shared" si="25"/>
        <v>302.76</v>
      </c>
      <c r="U39" s="4" t="e">
        <f ca="1">IF($E$22=M39,Weight_Calculator!E$18,"")</f>
        <v>#VALUE!</v>
      </c>
      <c r="V39" s="2"/>
      <c r="W39" s="32">
        <f>SUM(Weight_Calculator!$I$5*Table2[[#This Row],[Days
Per
Week]])</f>
        <v>0</v>
      </c>
      <c r="X39" s="16" t="e">
        <f>SUM(Weight_Calculator!$F$20*$AM39)</f>
        <v>#VALUE!</v>
      </c>
      <c r="Y39" s="36" t="e">
        <f t="shared" si="33"/>
        <v>#VALUE!</v>
      </c>
      <c r="Z39" s="17" t="e">
        <f t="shared" si="26"/>
        <v>#VALUE!</v>
      </c>
      <c r="AA39" s="22" t="e">
        <f ca="1">SUM(Weight_Calculator!$E$18,Table2[[#This Row],[7 Day
Change]])</f>
        <v>#VALUE!</v>
      </c>
      <c r="AB39" s="50" t="e">
        <f t="shared" ca="1" si="27"/>
        <v>#N/A</v>
      </c>
      <c r="AC39" s="51" t="e">
        <f t="shared" ca="1" si="28"/>
        <v>#N/A</v>
      </c>
      <c r="AD39" s="38" t="e">
        <f t="shared" ca="1" si="29"/>
        <v>#N/A</v>
      </c>
      <c r="AE39" s="48" t="e">
        <f ca="1">+$AL39/(Weight_Calculator!$E$17*(Weight_Calculator!$E$17/10000))</f>
        <v>#N/A</v>
      </c>
      <c r="AF39" s="49" t="e">
        <f ca="1">SUM(66.5+(13.75*$AL38)+(5.003*Weight_Calculator!$E$17)-(6.75*Weight_Calculator!$D$4))</f>
        <v>#N/A</v>
      </c>
      <c r="AG39" s="44" t="e">
        <f ca="1">VLOOKUP(Stats_Tables!$D$12,Stats_Tables!$C$13:$F$16,4,0)*AF39</f>
        <v>#N/A</v>
      </c>
      <c r="AH39" s="43" t="e">
        <f t="shared" ca="1" si="30"/>
        <v>#N/A</v>
      </c>
      <c r="AI39" s="44" t="e">
        <f t="shared" ca="1" si="18"/>
        <v>#N/A</v>
      </c>
      <c r="AJ39" s="44" t="e">
        <f t="shared" ca="1" si="31"/>
        <v>#N/A</v>
      </c>
      <c r="AK39" s="46" t="e">
        <f t="shared" ca="1" si="32"/>
        <v>#N/A</v>
      </c>
      <c r="AL39" s="47" t="e">
        <f ca="1">SUM(Weight_Calculator!$E$18,AK39)</f>
        <v>#N/A</v>
      </c>
      <c r="AM39" s="41">
        <f t="shared" si="19"/>
        <v>245</v>
      </c>
      <c r="AN39" s="18">
        <v>35</v>
      </c>
    </row>
    <row r="40" spans="3:40" ht="15">
      <c r="E40">
        <v>90</v>
      </c>
      <c r="I40" s="243">
        <f>K40-MOD(K40,1)</f>
        <v>5</v>
      </c>
      <c r="J40" s="245">
        <f t="shared" si="12"/>
        <v>8.8976377952755854</v>
      </c>
      <c r="K40" s="241">
        <f t="shared" si="13"/>
        <v>5.7414698162729652</v>
      </c>
      <c r="L40" s="241">
        <f>Table1[[#This Row],[cm]]/2.54</f>
        <v>68.897637795275585</v>
      </c>
      <c r="M40" s="54">
        <v>175</v>
      </c>
      <c r="N40" s="3">
        <f t="shared" si="20"/>
        <v>61.25</v>
      </c>
      <c r="O40" s="3">
        <f t="shared" si="21"/>
        <v>76.5625</v>
      </c>
      <c r="P40" s="3">
        <f t="shared" si="22"/>
        <v>91.875</v>
      </c>
      <c r="Q40" s="7">
        <f t="shared" si="23"/>
        <v>107.1875</v>
      </c>
      <c r="R40" s="3">
        <f t="shared" si="16"/>
        <v>122.5</v>
      </c>
      <c r="S40" s="3">
        <f t="shared" si="24"/>
        <v>137.8125</v>
      </c>
      <c r="T40" s="4">
        <f t="shared" si="25"/>
        <v>306.25</v>
      </c>
      <c r="U40" s="4" t="e">
        <f ca="1">IF($E$22=M40,Weight_Calculator!E$18,"")</f>
        <v>#VALUE!</v>
      </c>
      <c r="V40" s="2"/>
      <c r="W40" s="32">
        <f>SUM(Weight_Calculator!$I$5*Table2[[#This Row],[Days
Per
Week]])</f>
        <v>0</v>
      </c>
      <c r="X40" s="13" t="e">
        <f>SUM(Weight_Calculator!$F$20*$AM40)</f>
        <v>#VALUE!</v>
      </c>
      <c r="Y40" s="35" t="e">
        <f t="shared" si="33"/>
        <v>#VALUE!</v>
      </c>
      <c r="Z40" s="14" t="e">
        <f t="shared" si="26"/>
        <v>#VALUE!</v>
      </c>
      <c r="AA40" s="22" t="e">
        <f ca="1">SUM(Weight_Calculator!$E$18,Table2[[#This Row],[7 Day
Change]])</f>
        <v>#VALUE!</v>
      </c>
      <c r="AB40" s="50" t="e">
        <f t="shared" ca="1" si="27"/>
        <v>#N/A</v>
      </c>
      <c r="AC40" s="51" t="e">
        <f t="shared" ca="1" si="28"/>
        <v>#N/A</v>
      </c>
      <c r="AD40" s="38" t="e">
        <f t="shared" ca="1" si="29"/>
        <v>#N/A</v>
      </c>
      <c r="AE40" s="48" t="e">
        <f ca="1">+$AL40/(Weight_Calculator!$E$17*(Weight_Calculator!$E$17/10000))</f>
        <v>#N/A</v>
      </c>
      <c r="AF40" s="49" t="e">
        <f ca="1">SUM(66.5+(13.75*$AL39)+(5.003*Weight_Calculator!$E$17)-(6.75*Weight_Calculator!$D$4))</f>
        <v>#N/A</v>
      </c>
      <c r="AG40" s="44" t="e">
        <f ca="1">VLOOKUP(Stats_Tables!$D$12,Stats_Tables!$C$13:$F$16,4,0)*AF40</f>
        <v>#N/A</v>
      </c>
      <c r="AH40" s="43" t="e">
        <f t="shared" ca="1" si="30"/>
        <v>#N/A</v>
      </c>
      <c r="AI40" s="44" t="e">
        <f t="shared" ca="1" si="18"/>
        <v>#N/A</v>
      </c>
      <c r="AJ40" s="44" t="e">
        <f t="shared" ca="1" si="31"/>
        <v>#N/A</v>
      </c>
      <c r="AK40" s="46" t="e">
        <f t="shared" ca="1" si="32"/>
        <v>#N/A</v>
      </c>
      <c r="AL40" s="47" t="e">
        <f ca="1">SUM(Weight_Calculator!$E$18,AK40)</f>
        <v>#N/A</v>
      </c>
      <c r="AM40" s="40">
        <f t="shared" si="19"/>
        <v>252</v>
      </c>
      <c r="AN40" s="15">
        <v>36</v>
      </c>
    </row>
    <row r="41" spans="3:40" ht="15">
      <c r="E41">
        <v>100</v>
      </c>
      <c r="I41" s="243">
        <f t="shared" si="11"/>
        <v>5</v>
      </c>
      <c r="J41" s="245">
        <f t="shared" si="12"/>
        <v>9.2913385826771702</v>
      </c>
      <c r="K41" s="241">
        <f t="shared" si="13"/>
        <v>5.7742782152230978</v>
      </c>
      <c r="L41" s="241">
        <f>Table1[[#This Row],[cm]]/2.54</f>
        <v>69.29133858267717</v>
      </c>
      <c r="M41" s="54">
        <v>176</v>
      </c>
      <c r="N41" s="3">
        <f t="shared" si="20"/>
        <v>61.951999999999998</v>
      </c>
      <c r="O41" s="3">
        <f t="shared" si="21"/>
        <v>77.44</v>
      </c>
      <c r="P41" s="3">
        <f t="shared" si="22"/>
        <v>92.927999999999997</v>
      </c>
      <c r="Q41" s="7">
        <f t="shared" si="23"/>
        <v>108.416</v>
      </c>
      <c r="R41" s="3">
        <f t="shared" si="16"/>
        <v>123.904</v>
      </c>
      <c r="S41" s="3">
        <f t="shared" si="24"/>
        <v>139.392</v>
      </c>
      <c r="T41" s="4">
        <f t="shared" si="25"/>
        <v>309.76</v>
      </c>
      <c r="U41" s="4" t="e">
        <f ca="1">IF($E$22=M41,Weight_Calculator!E$18,"")</f>
        <v>#VALUE!</v>
      </c>
      <c r="V41" s="2"/>
      <c r="W41" s="32">
        <f>SUM(Weight_Calculator!$I$5*Table2[[#This Row],[Days
Per
Week]])</f>
        <v>0</v>
      </c>
      <c r="X41" s="16" t="e">
        <f>SUM(Weight_Calculator!$F$20*$AM41)</f>
        <v>#VALUE!</v>
      </c>
      <c r="Y41" s="36" t="e">
        <f t="shared" si="33"/>
        <v>#VALUE!</v>
      </c>
      <c r="Z41" s="17" t="e">
        <f t="shared" si="26"/>
        <v>#VALUE!</v>
      </c>
      <c r="AA41" s="22" t="e">
        <f ca="1">SUM(Weight_Calculator!$E$18,Table2[[#This Row],[7 Day
Change]])</f>
        <v>#VALUE!</v>
      </c>
      <c r="AB41" s="50" t="e">
        <f t="shared" ca="1" si="27"/>
        <v>#N/A</v>
      </c>
      <c r="AC41" s="51" t="e">
        <f t="shared" ca="1" si="28"/>
        <v>#N/A</v>
      </c>
      <c r="AD41" s="38" t="e">
        <f t="shared" ca="1" si="29"/>
        <v>#N/A</v>
      </c>
      <c r="AE41" s="48" t="e">
        <f ca="1">+$AL41/(Weight_Calculator!$E$17*(Weight_Calculator!$E$17/10000))</f>
        <v>#N/A</v>
      </c>
      <c r="AF41" s="49" t="e">
        <f ca="1">SUM(66.5+(13.75*$AA41)+(5.003*Weight_Calculator!$E$17)-(6.75*Weight_Calculator!$D$4))</f>
        <v>#VALUE!</v>
      </c>
      <c r="AG41" s="44" t="e">
        <f ca="1">VLOOKUP(Stats_Tables!$D$12,Stats_Tables!$C$13:$F$16,4,0)*AF41</f>
        <v>#N/A</v>
      </c>
      <c r="AH41" s="43" t="e">
        <f t="shared" ca="1" si="30"/>
        <v>#N/A</v>
      </c>
      <c r="AI41" s="44" t="e">
        <f t="shared" ca="1" si="18"/>
        <v>#N/A</v>
      </c>
      <c r="AJ41" s="44" t="e">
        <f t="shared" ca="1" si="31"/>
        <v>#N/A</v>
      </c>
      <c r="AK41" s="46" t="e">
        <f t="shared" ca="1" si="32"/>
        <v>#N/A</v>
      </c>
      <c r="AL41" s="47" t="e">
        <f ca="1">SUM(Weight_Calculator!$E$18,AK41)</f>
        <v>#N/A</v>
      </c>
      <c r="AM41" s="41">
        <f t="shared" si="19"/>
        <v>259</v>
      </c>
      <c r="AN41" s="18">
        <v>37</v>
      </c>
    </row>
    <row r="42" spans="3:40" ht="15">
      <c r="E42">
        <v>110</v>
      </c>
      <c r="I42" s="243">
        <f t="shared" si="11"/>
        <v>5</v>
      </c>
      <c r="J42" s="245">
        <f t="shared" si="12"/>
        <v>9.6850393700787407</v>
      </c>
      <c r="K42" s="241">
        <f t="shared" si="13"/>
        <v>5.8070866141732287</v>
      </c>
      <c r="L42" s="241">
        <f>Table1[[#This Row],[cm]]/2.54</f>
        <v>69.685039370078741</v>
      </c>
      <c r="M42" s="54">
        <v>177</v>
      </c>
      <c r="N42" s="3">
        <f t="shared" si="20"/>
        <v>62.658000000000001</v>
      </c>
      <c r="O42" s="3">
        <f t="shared" si="21"/>
        <v>78.322500000000005</v>
      </c>
      <c r="P42" s="3">
        <f t="shared" si="22"/>
        <v>93.986999999999995</v>
      </c>
      <c r="Q42" s="7">
        <f t="shared" si="23"/>
        <v>109.6515</v>
      </c>
      <c r="R42" s="3">
        <f t="shared" si="16"/>
        <v>125.316</v>
      </c>
      <c r="S42" s="3">
        <f t="shared" si="24"/>
        <v>140.98050000000001</v>
      </c>
      <c r="T42" s="4">
        <f t="shared" si="25"/>
        <v>313.29000000000002</v>
      </c>
      <c r="U42" s="4" t="e">
        <f ca="1">IF($E$22=M42,Weight_Calculator!E$18,"")</f>
        <v>#VALUE!</v>
      </c>
      <c r="V42" s="2"/>
      <c r="W42" s="32">
        <f>SUM(Weight_Calculator!$I$5*Table2[[#This Row],[Days
Per
Week]])</f>
        <v>0</v>
      </c>
      <c r="X42" s="13" t="e">
        <f>SUM(Weight_Calculator!$F$20*$AM42)</f>
        <v>#VALUE!</v>
      </c>
      <c r="Y42" s="35" t="e">
        <f t="shared" si="33"/>
        <v>#VALUE!</v>
      </c>
      <c r="Z42" s="14" t="e">
        <f t="shared" si="26"/>
        <v>#VALUE!</v>
      </c>
      <c r="AA42" s="22" t="e">
        <f ca="1">SUM(Weight_Calculator!$E$18,Table2[[#This Row],[7 Day
Change]])</f>
        <v>#VALUE!</v>
      </c>
      <c r="AB42" s="50" t="e">
        <f t="shared" ca="1" si="27"/>
        <v>#N/A</v>
      </c>
      <c r="AC42" s="51" t="e">
        <f t="shared" ca="1" si="28"/>
        <v>#N/A</v>
      </c>
      <c r="AD42" s="38" t="e">
        <f t="shared" ca="1" si="29"/>
        <v>#N/A</v>
      </c>
      <c r="AE42" s="48" t="e">
        <f ca="1">+$AL42/(Weight_Calculator!$E$17*(Weight_Calculator!$E$17/10000))</f>
        <v>#N/A</v>
      </c>
      <c r="AF42" s="49" t="e">
        <f ca="1">SUM(66.5+(13.75*$AL41)+(5.003*Weight_Calculator!$E$17)-(6.75*Weight_Calculator!$D$4))</f>
        <v>#N/A</v>
      </c>
      <c r="AG42" s="44" t="e">
        <f ca="1">VLOOKUP(Stats_Tables!$D$12,Stats_Tables!$C$13:$F$16,4,0)*AF42</f>
        <v>#N/A</v>
      </c>
      <c r="AH42" s="43" t="e">
        <f t="shared" ca="1" si="30"/>
        <v>#N/A</v>
      </c>
      <c r="AI42" s="44" t="e">
        <f t="shared" ca="1" si="18"/>
        <v>#N/A</v>
      </c>
      <c r="AJ42" s="44" t="e">
        <f t="shared" ca="1" si="31"/>
        <v>#N/A</v>
      </c>
      <c r="AK42" s="46" t="e">
        <f t="shared" ca="1" si="32"/>
        <v>#N/A</v>
      </c>
      <c r="AL42" s="47" t="e">
        <f ca="1">SUM(Weight_Calculator!$E$18,AK42)</f>
        <v>#N/A</v>
      </c>
      <c r="AM42" s="40">
        <f t="shared" si="19"/>
        <v>266</v>
      </c>
      <c r="AN42" s="15">
        <v>38</v>
      </c>
    </row>
    <row r="43" spans="3:40" ht="15">
      <c r="E43">
        <v>120</v>
      </c>
      <c r="I43" s="243">
        <f t="shared" si="11"/>
        <v>5</v>
      </c>
      <c r="J43" s="245">
        <f t="shared" si="12"/>
        <v>10.078740157480311</v>
      </c>
      <c r="K43" s="241">
        <f t="shared" si="13"/>
        <v>5.8398950131233596</v>
      </c>
      <c r="L43" s="241">
        <f>Table1[[#This Row],[cm]]/2.54</f>
        <v>70.078740157480311</v>
      </c>
      <c r="M43" s="54">
        <v>178</v>
      </c>
      <c r="N43" s="3">
        <f t="shared" si="20"/>
        <v>63.368000000000002</v>
      </c>
      <c r="O43" s="3">
        <f t="shared" si="21"/>
        <v>79.209999999999994</v>
      </c>
      <c r="P43" s="3">
        <f t="shared" si="22"/>
        <v>95.052000000000007</v>
      </c>
      <c r="Q43" s="7">
        <f t="shared" si="23"/>
        <v>110.89400000000001</v>
      </c>
      <c r="R43" s="3">
        <f t="shared" si="16"/>
        <v>126.736</v>
      </c>
      <c r="S43" s="3">
        <f t="shared" si="24"/>
        <v>142.578</v>
      </c>
      <c r="T43" s="4">
        <f t="shared" si="25"/>
        <v>316.83999999999997</v>
      </c>
      <c r="U43" s="4" t="e">
        <f ca="1">IF($E$22=M43,Weight_Calculator!E$18,"")</f>
        <v>#VALUE!</v>
      </c>
      <c r="V43" s="2"/>
      <c r="W43" s="32">
        <f>SUM(Weight_Calculator!$I$5*Table2[[#This Row],[Days
Per
Week]])</f>
        <v>0</v>
      </c>
      <c r="X43" s="16" t="e">
        <f>SUM(Weight_Calculator!$F$20*$AM43)</f>
        <v>#VALUE!</v>
      </c>
      <c r="Y43" s="36" t="e">
        <f t="shared" si="33"/>
        <v>#VALUE!</v>
      </c>
      <c r="Z43" s="17" t="e">
        <f t="shared" si="26"/>
        <v>#VALUE!</v>
      </c>
      <c r="AA43" s="22" t="e">
        <f ca="1">SUM(Weight_Calculator!$E$18,Table2[[#This Row],[7 Day
Change]])</f>
        <v>#VALUE!</v>
      </c>
      <c r="AB43" s="50" t="e">
        <f t="shared" ca="1" si="27"/>
        <v>#N/A</v>
      </c>
      <c r="AC43" s="51" t="e">
        <f t="shared" ca="1" si="28"/>
        <v>#N/A</v>
      </c>
      <c r="AD43" s="38" t="e">
        <f t="shared" ca="1" si="29"/>
        <v>#N/A</v>
      </c>
      <c r="AE43" s="48" t="e">
        <f ca="1">+$AL43/(Weight_Calculator!$E$17*(Weight_Calculator!$E$17/10000))</f>
        <v>#N/A</v>
      </c>
      <c r="AF43" s="49" t="e">
        <f ca="1">SUM(66.5+(13.75*$AL42)+(5.003*Weight_Calculator!$E$17)-(6.75*Weight_Calculator!$D$4))</f>
        <v>#N/A</v>
      </c>
      <c r="AG43" s="44" t="e">
        <f ca="1">VLOOKUP(Stats_Tables!$D$12,Stats_Tables!$C$13:$F$16,4,0)*AF43</f>
        <v>#N/A</v>
      </c>
      <c r="AH43" s="43" t="e">
        <f t="shared" ca="1" si="30"/>
        <v>#N/A</v>
      </c>
      <c r="AI43" s="44" t="e">
        <f t="shared" ca="1" si="18"/>
        <v>#N/A</v>
      </c>
      <c r="AJ43" s="44" t="e">
        <f t="shared" ca="1" si="31"/>
        <v>#N/A</v>
      </c>
      <c r="AK43" s="46" t="e">
        <f t="shared" ca="1" si="32"/>
        <v>#N/A</v>
      </c>
      <c r="AL43" s="47" t="e">
        <f ca="1">SUM(Weight_Calculator!$E$18,AK43)</f>
        <v>#N/A</v>
      </c>
      <c r="AM43" s="41">
        <f t="shared" si="19"/>
        <v>273</v>
      </c>
      <c r="AN43" s="18">
        <v>39</v>
      </c>
    </row>
    <row r="44" spans="3:40" ht="15">
      <c r="E44">
        <v>130</v>
      </c>
      <c r="I44" s="243">
        <f t="shared" si="11"/>
        <v>5</v>
      </c>
      <c r="J44" s="245">
        <f t="shared" si="12"/>
        <v>10.472440944881882</v>
      </c>
      <c r="K44" s="241">
        <f t="shared" si="13"/>
        <v>5.8727034120734904</v>
      </c>
      <c r="L44" s="241">
        <f>Table1[[#This Row],[cm]]/2.54</f>
        <v>70.472440944881882</v>
      </c>
      <c r="M44" s="54">
        <v>179</v>
      </c>
      <c r="N44" s="3">
        <f t="shared" si="20"/>
        <v>64.081999999999994</v>
      </c>
      <c r="O44" s="3">
        <f t="shared" si="21"/>
        <v>80.102500000000006</v>
      </c>
      <c r="P44" s="3">
        <f t="shared" si="22"/>
        <v>96.123000000000005</v>
      </c>
      <c r="Q44" s="7">
        <f t="shared" si="23"/>
        <v>112.1435</v>
      </c>
      <c r="R44" s="3">
        <f t="shared" si="16"/>
        <v>128.16399999999999</v>
      </c>
      <c r="S44" s="3">
        <f t="shared" si="24"/>
        <v>144.18450000000001</v>
      </c>
      <c r="T44" s="4">
        <f t="shared" si="25"/>
        <v>320.41000000000003</v>
      </c>
      <c r="U44" s="4" t="e">
        <f ca="1">IF($E$22=M44,Weight_Calculator!E$18,"")</f>
        <v>#VALUE!</v>
      </c>
      <c r="V44" s="2"/>
      <c r="W44" s="32">
        <f>SUM(Weight_Calculator!$I$5*Table2[[#This Row],[Days
Per
Week]])</f>
        <v>0</v>
      </c>
      <c r="X44" s="13" t="e">
        <f>SUM(Weight_Calculator!$F$20*$AM44)</f>
        <v>#VALUE!</v>
      </c>
      <c r="Y44" s="35" t="e">
        <f t="shared" si="33"/>
        <v>#VALUE!</v>
      </c>
      <c r="Z44" s="14" t="e">
        <f t="shared" si="26"/>
        <v>#VALUE!</v>
      </c>
      <c r="AA44" s="22" t="e">
        <f ca="1">SUM(Weight_Calculator!$E$18,Table2[[#This Row],[7 Day
Change]])</f>
        <v>#VALUE!</v>
      </c>
      <c r="AB44" s="50" t="e">
        <f t="shared" ca="1" si="27"/>
        <v>#N/A</v>
      </c>
      <c r="AC44" s="51" t="e">
        <f t="shared" ca="1" si="28"/>
        <v>#N/A</v>
      </c>
      <c r="AD44" s="38" t="e">
        <f t="shared" ca="1" si="29"/>
        <v>#N/A</v>
      </c>
      <c r="AE44" s="48" t="e">
        <f ca="1">+$AL44/(Weight_Calculator!$E$17*(Weight_Calculator!$E$17/10000))</f>
        <v>#N/A</v>
      </c>
      <c r="AF44" s="49" t="e">
        <f ca="1">SUM(66.5+(13.75*$AL43)+(5.003*Weight_Calculator!$E$17)-(6.75*Weight_Calculator!$D$4))</f>
        <v>#N/A</v>
      </c>
      <c r="AG44" s="44" t="e">
        <f ca="1">VLOOKUP(Stats_Tables!$D$12,Stats_Tables!$C$13:$F$16,4,0)*AF44</f>
        <v>#N/A</v>
      </c>
      <c r="AH44" s="43" t="e">
        <f t="shared" ca="1" si="30"/>
        <v>#N/A</v>
      </c>
      <c r="AI44" s="44" t="e">
        <f t="shared" ca="1" si="18"/>
        <v>#N/A</v>
      </c>
      <c r="AJ44" s="44" t="e">
        <f t="shared" ca="1" si="31"/>
        <v>#N/A</v>
      </c>
      <c r="AK44" s="46" t="e">
        <f t="shared" ca="1" si="32"/>
        <v>#N/A</v>
      </c>
      <c r="AL44" s="47" t="e">
        <f ca="1">SUM(Weight_Calculator!$E$18,AK44)</f>
        <v>#N/A</v>
      </c>
      <c r="AM44" s="40">
        <f t="shared" si="19"/>
        <v>280</v>
      </c>
      <c r="AN44" s="15">
        <v>40</v>
      </c>
    </row>
    <row r="45" spans="3:40" ht="15">
      <c r="E45">
        <v>140</v>
      </c>
      <c r="I45" s="243">
        <f t="shared" si="11"/>
        <v>5</v>
      </c>
      <c r="J45" s="245">
        <f t="shared" si="12"/>
        <v>10.866141732283467</v>
      </c>
      <c r="K45" s="241">
        <f t="shared" si="13"/>
        <v>5.9055118110236222</v>
      </c>
      <c r="L45" s="241">
        <f>Table1[[#This Row],[cm]]/2.54</f>
        <v>70.866141732283467</v>
      </c>
      <c r="M45" s="54">
        <v>180</v>
      </c>
      <c r="N45" s="3">
        <f t="shared" si="20"/>
        <v>64.8</v>
      </c>
      <c r="O45" s="3">
        <f t="shared" si="21"/>
        <v>81</v>
      </c>
      <c r="P45" s="3">
        <f t="shared" si="22"/>
        <v>97.2</v>
      </c>
      <c r="Q45" s="7">
        <f t="shared" si="23"/>
        <v>113.4</v>
      </c>
      <c r="R45" s="3">
        <f t="shared" si="16"/>
        <v>129.6</v>
      </c>
      <c r="S45" s="3">
        <f t="shared" si="24"/>
        <v>145.80000000000001</v>
      </c>
      <c r="T45" s="4">
        <f t="shared" si="25"/>
        <v>324</v>
      </c>
      <c r="U45" s="4" t="e">
        <f ca="1">IF($E$22=M45,Weight_Calculator!E$18,"")</f>
        <v>#VALUE!</v>
      </c>
      <c r="V45" s="2"/>
      <c r="W45" s="32">
        <f>SUM(Weight_Calculator!$I$5*Table2[[#This Row],[Days
Per
Week]])</f>
        <v>0</v>
      </c>
      <c r="X45" s="16" t="e">
        <f>SUM(Weight_Calculator!$F$20*$AM45)</f>
        <v>#VALUE!</v>
      </c>
      <c r="Y45" s="36" t="e">
        <f t="shared" si="33"/>
        <v>#VALUE!</v>
      </c>
      <c r="Z45" s="17" t="e">
        <f t="shared" si="26"/>
        <v>#VALUE!</v>
      </c>
      <c r="AA45" s="22" t="e">
        <f ca="1">SUM(Weight_Calculator!$E$18,Table2[[#This Row],[7 Day
Change]])</f>
        <v>#VALUE!</v>
      </c>
      <c r="AB45" s="50" t="e">
        <f t="shared" ca="1" si="27"/>
        <v>#N/A</v>
      </c>
      <c r="AC45" s="51" t="e">
        <f t="shared" ca="1" si="28"/>
        <v>#N/A</v>
      </c>
      <c r="AD45" s="38" t="e">
        <f t="shared" ca="1" si="29"/>
        <v>#N/A</v>
      </c>
      <c r="AE45" s="48" t="e">
        <f ca="1">+$AL45/(Weight_Calculator!$E$17*(Weight_Calculator!$E$17/10000))</f>
        <v>#N/A</v>
      </c>
      <c r="AF45" s="49" t="e">
        <f ca="1">SUM(66.5+(13.75*$AL44)+(5.003*Weight_Calculator!$E$17)-(6.75*Weight_Calculator!$D$4))</f>
        <v>#N/A</v>
      </c>
      <c r="AG45" s="44" t="e">
        <f ca="1">VLOOKUP(Stats_Tables!$D$12,Stats_Tables!$C$13:$F$16,4,0)*AF45</f>
        <v>#N/A</v>
      </c>
      <c r="AH45" s="43" t="e">
        <f t="shared" ca="1" si="30"/>
        <v>#N/A</v>
      </c>
      <c r="AI45" s="44" t="e">
        <f t="shared" ca="1" si="18"/>
        <v>#N/A</v>
      </c>
      <c r="AJ45" s="44" t="e">
        <f t="shared" ca="1" si="31"/>
        <v>#N/A</v>
      </c>
      <c r="AK45" s="46" t="e">
        <f t="shared" ca="1" si="32"/>
        <v>#N/A</v>
      </c>
      <c r="AL45" s="47" t="e">
        <f ca="1">SUM(Weight_Calculator!$E$18,AK45)</f>
        <v>#N/A</v>
      </c>
      <c r="AM45" s="41">
        <f t="shared" si="19"/>
        <v>287</v>
      </c>
      <c r="AN45" s="18">
        <v>41</v>
      </c>
    </row>
    <row r="46" spans="3:40" ht="15">
      <c r="E46">
        <v>150</v>
      </c>
      <c r="I46" s="243">
        <f t="shared" si="11"/>
        <v>5</v>
      </c>
      <c r="J46" s="245">
        <f t="shared" si="12"/>
        <v>11.259842519685037</v>
      </c>
      <c r="K46" s="241">
        <f t="shared" si="13"/>
        <v>5.9383202099737531</v>
      </c>
      <c r="L46" s="241">
        <f>Table1[[#This Row],[cm]]/2.54</f>
        <v>71.259842519685037</v>
      </c>
      <c r="M46" s="54">
        <v>181</v>
      </c>
      <c r="N46" s="3">
        <f t="shared" si="20"/>
        <v>65.522000000000006</v>
      </c>
      <c r="O46" s="3">
        <f t="shared" si="21"/>
        <v>81.902500000000003</v>
      </c>
      <c r="P46" s="3">
        <f t="shared" si="22"/>
        <v>98.283000000000001</v>
      </c>
      <c r="Q46" s="7">
        <f t="shared" si="23"/>
        <v>114.6635</v>
      </c>
      <c r="R46" s="3">
        <f t="shared" si="16"/>
        <v>131.04400000000001</v>
      </c>
      <c r="S46" s="3">
        <f t="shared" si="24"/>
        <v>147.42449999999999</v>
      </c>
      <c r="T46" s="4">
        <f t="shared" si="25"/>
        <v>327.61</v>
      </c>
      <c r="U46" s="4" t="e">
        <f ca="1">IF($E$22=M46,Weight_Calculator!E$18,"")</f>
        <v>#VALUE!</v>
      </c>
      <c r="V46" s="2"/>
      <c r="W46" s="32">
        <f>SUM(Weight_Calculator!$I$5*Table2[[#This Row],[Days
Per
Week]])</f>
        <v>0</v>
      </c>
      <c r="X46" s="13" t="e">
        <f>SUM(Weight_Calculator!$F$20*$AM46)</f>
        <v>#VALUE!</v>
      </c>
      <c r="Y46" s="35" t="e">
        <f t="shared" si="33"/>
        <v>#VALUE!</v>
      </c>
      <c r="Z46" s="14" t="e">
        <f t="shared" si="26"/>
        <v>#VALUE!</v>
      </c>
      <c r="AA46" s="22" t="e">
        <f ca="1">SUM(Weight_Calculator!$E$18,Table2[[#This Row],[7 Day
Change]])</f>
        <v>#VALUE!</v>
      </c>
      <c r="AB46" s="50" t="e">
        <f t="shared" ca="1" si="27"/>
        <v>#N/A</v>
      </c>
      <c r="AC46" s="51" t="e">
        <f t="shared" ca="1" si="28"/>
        <v>#N/A</v>
      </c>
      <c r="AD46" s="38" t="e">
        <f t="shared" ca="1" si="29"/>
        <v>#N/A</v>
      </c>
      <c r="AE46" s="48" t="e">
        <f ca="1">+$AL46/(Weight_Calculator!$E$17*(Weight_Calculator!$E$17/10000))</f>
        <v>#N/A</v>
      </c>
      <c r="AF46" s="49" t="e">
        <f ca="1">SUM(66.5+(13.75*$AL45)+(5.003*Weight_Calculator!$E$17)-(6.75*Weight_Calculator!$D$4))</f>
        <v>#N/A</v>
      </c>
      <c r="AG46" s="44" t="e">
        <f ca="1">VLOOKUP(Stats_Tables!$D$12,Stats_Tables!$C$13:$F$16,4,0)*AF46</f>
        <v>#N/A</v>
      </c>
      <c r="AH46" s="43" t="e">
        <f t="shared" ca="1" si="30"/>
        <v>#N/A</v>
      </c>
      <c r="AI46" s="44" t="e">
        <f t="shared" ca="1" si="18"/>
        <v>#N/A</v>
      </c>
      <c r="AJ46" s="44" t="e">
        <f t="shared" ca="1" si="31"/>
        <v>#N/A</v>
      </c>
      <c r="AK46" s="46" t="e">
        <f t="shared" ca="1" si="32"/>
        <v>#N/A</v>
      </c>
      <c r="AL46" s="47" t="e">
        <f ca="1">SUM(Weight_Calculator!$E$18,AK46)</f>
        <v>#N/A</v>
      </c>
      <c r="AM46" s="40">
        <f t="shared" si="19"/>
        <v>294</v>
      </c>
      <c r="AN46" s="15">
        <v>42</v>
      </c>
    </row>
    <row r="47" spans="3:40" ht="15">
      <c r="E47">
        <v>160</v>
      </c>
      <c r="I47" s="243">
        <f t="shared" si="11"/>
        <v>5</v>
      </c>
      <c r="J47" s="245">
        <f t="shared" si="12"/>
        <v>11.653543307086608</v>
      </c>
      <c r="K47" s="241">
        <f t="shared" si="13"/>
        <v>5.971128608923884</v>
      </c>
      <c r="L47" s="241">
        <f>Table1[[#This Row],[cm]]/2.54</f>
        <v>71.653543307086608</v>
      </c>
      <c r="M47" s="54">
        <v>182</v>
      </c>
      <c r="N47" s="3">
        <f t="shared" si="20"/>
        <v>66.248000000000005</v>
      </c>
      <c r="O47" s="3">
        <f t="shared" si="21"/>
        <v>82.81</v>
      </c>
      <c r="P47" s="3">
        <f t="shared" si="22"/>
        <v>99.372</v>
      </c>
      <c r="Q47" s="7">
        <f t="shared" si="23"/>
        <v>115.934</v>
      </c>
      <c r="R47" s="3">
        <f t="shared" si="16"/>
        <v>132.49600000000001</v>
      </c>
      <c r="S47" s="3">
        <f t="shared" si="24"/>
        <v>149.05799999999999</v>
      </c>
      <c r="T47" s="4">
        <f t="shared" si="25"/>
        <v>331.24</v>
      </c>
      <c r="U47" s="4" t="e">
        <f ca="1">IF($E$22=M47,Weight_Calculator!E$18,"")</f>
        <v>#VALUE!</v>
      </c>
      <c r="V47" s="2"/>
      <c r="W47" s="32">
        <f>SUM(Weight_Calculator!$I$5*Table2[[#This Row],[Days
Per
Week]])</f>
        <v>0</v>
      </c>
      <c r="X47" s="16" t="e">
        <f>SUM(Weight_Calculator!$F$20*$AM47)</f>
        <v>#VALUE!</v>
      </c>
      <c r="Y47" s="36" t="e">
        <f t="shared" si="33"/>
        <v>#VALUE!</v>
      </c>
      <c r="Z47" s="17" t="e">
        <f t="shared" si="26"/>
        <v>#VALUE!</v>
      </c>
      <c r="AA47" s="22" t="e">
        <f ca="1">SUM(Weight_Calculator!$E$18,Table2[[#This Row],[7 Day
Change]])</f>
        <v>#VALUE!</v>
      </c>
      <c r="AB47" s="50" t="e">
        <f t="shared" ca="1" si="27"/>
        <v>#N/A</v>
      </c>
      <c r="AC47" s="51" t="e">
        <f t="shared" ca="1" si="28"/>
        <v>#N/A</v>
      </c>
      <c r="AD47" s="38" t="e">
        <f t="shared" ca="1" si="29"/>
        <v>#N/A</v>
      </c>
      <c r="AE47" s="48" t="e">
        <f ca="1">+$AL47/(Weight_Calculator!$E$17*(Weight_Calculator!$E$17/10000))</f>
        <v>#N/A</v>
      </c>
      <c r="AF47" s="49" t="e">
        <f ca="1">SUM(66.5+(13.75*$AL46)+(5.003*Weight_Calculator!$E$17)-(6.75*Weight_Calculator!$D$4))</f>
        <v>#N/A</v>
      </c>
      <c r="AG47" s="44" t="e">
        <f ca="1">VLOOKUP(Stats_Tables!$D$12,Stats_Tables!$C$13:$F$16,4,0)*AF47</f>
        <v>#N/A</v>
      </c>
      <c r="AH47" s="43" t="e">
        <f t="shared" ca="1" si="30"/>
        <v>#N/A</v>
      </c>
      <c r="AI47" s="44" t="e">
        <f t="shared" ca="1" si="18"/>
        <v>#N/A</v>
      </c>
      <c r="AJ47" s="44" t="e">
        <f t="shared" ca="1" si="31"/>
        <v>#N/A</v>
      </c>
      <c r="AK47" s="46" t="e">
        <f t="shared" ca="1" si="32"/>
        <v>#N/A</v>
      </c>
      <c r="AL47" s="47" t="e">
        <f ca="1">SUM(Weight_Calculator!$E$18,AK47)</f>
        <v>#N/A</v>
      </c>
      <c r="AM47" s="41">
        <f t="shared" si="19"/>
        <v>301</v>
      </c>
      <c r="AN47" s="18">
        <v>43</v>
      </c>
    </row>
    <row r="48" spans="3:40" ht="15">
      <c r="E48">
        <v>170</v>
      </c>
      <c r="I48" s="243">
        <f t="shared" si="11"/>
        <v>6</v>
      </c>
      <c r="J48" s="245">
        <f t="shared" si="12"/>
        <v>4.7244094488192445E-2</v>
      </c>
      <c r="K48" s="241">
        <f t="shared" si="13"/>
        <v>6.0039370078740157</v>
      </c>
      <c r="L48" s="241">
        <f>Table1[[#This Row],[cm]]/2.54</f>
        <v>72.047244094488192</v>
      </c>
      <c r="M48" s="54">
        <v>183</v>
      </c>
      <c r="N48" s="3">
        <f t="shared" si="20"/>
        <v>66.977999999999994</v>
      </c>
      <c r="O48" s="3">
        <f t="shared" si="21"/>
        <v>83.722499999999997</v>
      </c>
      <c r="P48" s="3">
        <f t="shared" si="22"/>
        <v>100.467</v>
      </c>
      <c r="Q48" s="7">
        <f t="shared" si="23"/>
        <v>117.2115</v>
      </c>
      <c r="R48" s="3">
        <f t="shared" si="16"/>
        <v>133.95599999999999</v>
      </c>
      <c r="S48" s="3">
        <f t="shared" si="24"/>
        <v>150.70050000000001</v>
      </c>
      <c r="T48" s="4">
        <f t="shared" si="25"/>
        <v>334.89</v>
      </c>
      <c r="U48" s="4" t="e">
        <f ca="1">IF($E$22=M48,Weight_Calculator!E$18,"")</f>
        <v>#VALUE!</v>
      </c>
      <c r="V48" s="2"/>
      <c r="W48" s="32">
        <f>SUM(Weight_Calculator!$I$5*Table2[[#This Row],[Days
Per
Week]])</f>
        <v>0</v>
      </c>
      <c r="X48" s="13" t="e">
        <f>SUM(Weight_Calculator!$F$20*$AM48)</f>
        <v>#VALUE!</v>
      </c>
      <c r="Y48" s="35" t="e">
        <f t="shared" si="33"/>
        <v>#VALUE!</v>
      </c>
      <c r="Z48" s="14" t="e">
        <f t="shared" si="26"/>
        <v>#VALUE!</v>
      </c>
      <c r="AA48" s="22" t="e">
        <f ca="1">SUM(Weight_Calculator!$E$18,Table2[[#This Row],[7 Day
Change]])</f>
        <v>#VALUE!</v>
      </c>
      <c r="AB48" s="50" t="e">
        <f t="shared" ca="1" si="27"/>
        <v>#N/A</v>
      </c>
      <c r="AC48" s="51" t="e">
        <f t="shared" ca="1" si="28"/>
        <v>#N/A</v>
      </c>
      <c r="AD48" s="38" t="e">
        <f t="shared" ca="1" si="29"/>
        <v>#N/A</v>
      </c>
      <c r="AE48" s="48" t="e">
        <f ca="1">+$AL48/(Weight_Calculator!$E$17*(Weight_Calculator!$E$17/10000))</f>
        <v>#N/A</v>
      </c>
      <c r="AF48" s="49" t="e">
        <f ca="1">SUM(66.5+(13.75*$AL47)+(5.003*Weight_Calculator!$E$17)-(6.75*Weight_Calculator!$D$4))</f>
        <v>#N/A</v>
      </c>
      <c r="AG48" s="44" t="e">
        <f ca="1">VLOOKUP(Stats_Tables!$D$12,Stats_Tables!$C$13:$F$16,4,0)*AF48</f>
        <v>#N/A</v>
      </c>
      <c r="AH48" s="43" t="e">
        <f t="shared" ca="1" si="30"/>
        <v>#N/A</v>
      </c>
      <c r="AI48" s="44" t="e">
        <f t="shared" ca="1" si="18"/>
        <v>#N/A</v>
      </c>
      <c r="AJ48" s="44" t="e">
        <f t="shared" ca="1" si="31"/>
        <v>#N/A</v>
      </c>
      <c r="AK48" s="46" t="e">
        <f t="shared" ca="1" si="32"/>
        <v>#N/A</v>
      </c>
      <c r="AL48" s="47" t="e">
        <f ca="1">SUM(Weight_Calculator!$E$18,AK48)</f>
        <v>#N/A</v>
      </c>
      <c r="AM48" s="40">
        <f t="shared" si="19"/>
        <v>308</v>
      </c>
      <c r="AN48" s="15">
        <v>44</v>
      </c>
    </row>
    <row r="49" spans="5:40" ht="15">
      <c r="E49">
        <v>180</v>
      </c>
      <c r="I49" s="243">
        <f t="shared" si="11"/>
        <v>6</v>
      </c>
      <c r="J49" s="245">
        <f t="shared" si="12"/>
        <v>0.440944881889763</v>
      </c>
      <c r="K49" s="241">
        <f t="shared" si="13"/>
        <v>6.0367454068241466</v>
      </c>
      <c r="L49" s="241">
        <f>Table1[[#This Row],[cm]]/2.54</f>
        <v>72.440944881889763</v>
      </c>
      <c r="M49" s="54">
        <v>184</v>
      </c>
      <c r="N49" s="3">
        <f t="shared" si="20"/>
        <v>67.712000000000003</v>
      </c>
      <c r="O49" s="3">
        <f t="shared" si="21"/>
        <v>84.64</v>
      </c>
      <c r="P49" s="3">
        <f t="shared" si="22"/>
        <v>101.568</v>
      </c>
      <c r="Q49" s="7">
        <f t="shared" si="23"/>
        <v>118.496</v>
      </c>
      <c r="R49" s="3">
        <f t="shared" si="16"/>
        <v>135.42400000000001</v>
      </c>
      <c r="S49" s="3">
        <f t="shared" si="24"/>
        <v>152.352</v>
      </c>
      <c r="T49" s="4">
        <f t="shared" si="25"/>
        <v>338.56</v>
      </c>
      <c r="U49" s="4" t="e">
        <f ca="1">IF($E$22=M49,Weight_Calculator!E$18,"")</f>
        <v>#VALUE!</v>
      </c>
      <c r="V49" s="2"/>
      <c r="W49" s="32">
        <f>SUM(Weight_Calculator!$I$5*Table2[[#This Row],[Days
Per
Week]])</f>
        <v>0</v>
      </c>
      <c r="X49" s="16" t="e">
        <f>SUM(Weight_Calculator!$F$20*$AM49)</f>
        <v>#VALUE!</v>
      </c>
      <c r="Y49" s="36" t="e">
        <f t="shared" si="33"/>
        <v>#VALUE!</v>
      </c>
      <c r="Z49" s="17" t="e">
        <f t="shared" si="26"/>
        <v>#VALUE!</v>
      </c>
      <c r="AA49" s="22" t="e">
        <f ca="1">SUM(Weight_Calculator!$E$18,Table2[[#This Row],[7 Day
Change]])</f>
        <v>#VALUE!</v>
      </c>
      <c r="AB49" s="50" t="e">
        <f t="shared" ca="1" si="27"/>
        <v>#N/A</v>
      </c>
      <c r="AC49" s="51" t="e">
        <f t="shared" ca="1" si="28"/>
        <v>#N/A</v>
      </c>
      <c r="AD49" s="38" t="e">
        <f t="shared" ca="1" si="29"/>
        <v>#N/A</v>
      </c>
      <c r="AE49" s="48" t="e">
        <f ca="1">+$AL49/(Weight_Calculator!$E$17*(Weight_Calculator!$E$17/10000))</f>
        <v>#N/A</v>
      </c>
      <c r="AF49" s="49" t="e">
        <f ca="1">SUM(66.5+(13.75*$AL48)+(5.003*Weight_Calculator!$E$17)-(6.75*Weight_Calculator!$D$4))</f>
        <v>#N/A</v>
      </c>
      <c r="AG49" s="44" t="e">
        <f ca="1">VLOOKUP(Stats_Tables!$D$12,Stats_Tables!$C$13:$F$16,4,0)*AF49</f>
        <v>#N/A</v>
      </c>
      <c r="AH49" s="43" t="e">
        <f t="shared" ca="1" si="30"/>
        <v>#N/A</v>
      </c>
      <c r="AI49" s="44" t="e">
        <f t="shared" ca="1" si="18"/>
        <v>#N/A</v>
      </c>
      <c r="AJ49" s="44" t="e">
        <f t="shared" ca="1" si="31"/>
        <v>#N/A</v>
      </c>
      <c r="AK49" s="46" t="e">
        <f t="shared" ca="1" si="32"/>
        <v>#N/A</v>
      </c>
      <c r="AL49" s="47" t="e">
        <f ca="1">SUM(Weight_Calculator!$E$18,AK49)</f>
        <v>#N/A</v>
      </c>
      <c r="AM49" s="41">
        <f t="shared" si="19"/>
        <v>315</v>
      </c>
      <c r="AN49" s="18">
        <v>45</v>
      </c>
    </row>
    <row r="50" spans="5:40" ht="15">
      <c r="E50">
        <v>190</v>
      </c>
      <c r="I50" s="243">
        <f t="shared" si="11"/>
        <v>6</v>
      </c>
      <c r="J50" s="245">
        <f t="shared" si="12"/>
        <v>0.83464566929133355</v>
      </c>
      <c r="K50" s="241">
        <f t="shared" si="13"/>
        <v>6.0695538057742775</v>
      </c>
      <c r="L50" s="241">
        <f>Table1[[#This Row],[cm]]/2.54</f>
        <v>72.834645669291334</v>
      </c>
      <c r="M50" s="54">
        <v>185</v>
      </c>
      <c r="N50" s="3">
        <f t="shared" si="20"/>
        <v>68.45</v>
      </c>
      <c r="O50" s="3">
        <f t="shared" si="21"/>
        <v>85.5625</v>
      </c>
      <c r="P50" s="3">
        <f t="shared" si="22"/>
        <v>102.675</v>
      </c>
      <c r="Q50" s="7">
        <f t="shared" si="23"/>
        <v>119.78749999999999</v>
      </c>
      <c r="R50" s="3">
        <f t="shared" si="16"/>
        <v>136.9</v>
      </c>
      <c r="S50" s="3">
        <f t="shared" si="24"/>
        <v>154.01249999999999</v>
      </c>
      <c r="T50" s="4">
        <f t="shared" si="25"/>
        <v>342.25</v>
      </c>
      <c r="U50" s="4" t="e">
        <f ca="1">IF($E$22=M50,Weight_Calculator!E$18,"")</f>
        <v>#VALUE!</v>
      </c>
      <c r="V50" s="2"/>
      <c r="W50" s="32">
        <f>SUM(Weight_Calculator!$I$5*Table2[[#This Row],[Days
Per
Week]])</f>
        <v>0</v>
      </c>
      <c r="X50" s="13" t="e">
        <f>SUM(Weight_Calculator!$F$20*$AM50)</f>
        <v>#VALUE!</v>
      </c>
      <c r="Y50" s="35" t="e">
        <f t="shared" si="33"/>
        <v>#VALUE!</v>
      </c>
      <c r="Z50" s="14" t="e">
        <f t="shared" si="26"/>
        <v>#VALUE!</v>
      </c>
      <c r="AA50" s="22" t="e">
        <f ca="1">SUM(Weight_Calculator!$E$18,Table2[[#This Row],[7 Day
Change]])</f>
        <v>#VALUE!</v>
      </c>
      <c r="AB50" s="50" t="e">
        <f t="shared" ca="1" si="27"/>
        <v>#N/A</v>
      </c>
      <c r="AC50" s="51" t="e">
        <f t="shared" ca="1" si="28"/>
        <v>#N/A</v>
      </c>
      <c r="AD50" s="38" t="e">
        <f t="shared" ca="1" si="29"/>
        <v>#N/A</v>
      </c>
      <c r="AE50" s="48" t="e">
        <f ca="1">+$AL50/(Weight_Calculator!$E$17*(Weight_Calculator!$E$17/10000))</f>
        <v>#N/A</v>
      </c>
      <c r="AF50" s="49" t="e">
        <f ca="1">SUM(66.5+(13.75*$AA50)+(5.003*Weight_Calculator!$E$17)-(6.75*Weight_Calculator!$D$4))</f>
        <v>#VALUE!</v>
      </c>
      <c r="AG50" s="44" t="e">
        <f ca="1">VLOOKUP(Stats_Tables!$D$12,Stats_Tables!$C$13:$F$16,4,0)*AF50</f>
        <v>#N/A</v>
      </c>
      <c r="AH50" s="43" t="e">
        <f t="shared" ca="1" si="30"/>
        <v>#N/A</v>
      </c>
      <c r="AI50" s="44" t="e">
        <f t="shared" ca="1" si="18"/>
        <v>#N/A</v>
      </c>
      <c r="AJ50" s="44" t="e">
        <f t="shared" ca="1" si="31"/>
        <v>#N/A</v>
      </c>
      <c r="AK50" s="46" t="e">
        <f t="shared" ca="1" si="32"/>
        <v>#N/A</v>
      </c>
      <c r="AL50" s="47" t="e">
        <f ca="1">SUM(Weight_Calculator!$E$18,AK50)</f>
        <v>#N/A</v>
      </c>
      <c r="AM50" s="40">
        <f t="shared" si="19"/>
        <v>322</v>
      </c>
      <c r="AN50" s="15">
        <v>46</v>
      </c>
    </row>
    <row r="51" spans="5:40" ht="15">
      <c r="E51">
        <v>200</v>
      </c>
      <c r="I51" s="243">
        <f t="shared" si="11"/>
        <v>6</v>
      </c>
      <c r="J51" s="245">
        <f>L51-(12*(K51-MOD(K51,1)))</f>
        <v>1.2283464566929183</v>
      </c>
      <c r="K51" s="241">
        <f t="shared" si="13"/>
        <v>6.1023622047244102</v>
      </c>
      <c r="L51" s="241">
        <f>Table1[[#This Row],[cm]]/2.54</f>
        <v>73.228346456692918</v>
      </c>
      <c r="M51" s="54">
        <v>186</v>
      </c>
      <c r="N51" s="3">
        <f t="shared" si="20"/>
        <v>69.191999999999993</v>
      </c>
      <c r="O51" s="3">
        <f t="shared" si="21"/>
        <v>86.49</v>
      </c>
      <c r="P51" s="3">
        <f t="shared" si="22"/>
        <v>103.788</v>
      </c>
      <c r="Q51" s="7">
        <f t="shared" si="23"/>
        <v>121.086</v>
      </c>
      <c r="R51" s="3">
        <f t="shared" si="16"/>
        <v>138.38399999999999</v>
      </c>
      <c r="S51" s="3">
        <f t="shared" si="24"/>
        <v>155.68199999999999</v>
      </c>
      <c r="T51" s="4">
        <f t="shared" si="25"/>
        <v>345.96</v>
      </c>
      <c r="U51" s="4" t="e">
        <f ca="1">IF($E$22=M51,Weight_Calculator!E$18,"")</f>
        <v>#VALUE!</v>
      </c>
      <c r="V51" s="2"/>
      <c r="W51" s="32">
        <f>SUM(Weight_Calculator!$I$5*Table2[[#This Row],[Days
Per
Week]])</f>
        <v>0</v>
      </c>
      <c r="X51" s="16" t="e">
        <f>SUM(Weight_Calculator!$F$20*$AM51)</f>
        <v>#VALUE!</v>
      </c>
      <c r="Y51" s="36" t="e">
        <f t="shared" si="33"/>
        <v>#VALUE!</v>
      </c>
      <c r="Z51" s="17" t="e">
        <f t="shared" si="26"/>
        <v>#VALUE!</v>
      </c>
      <c r="AA51" s="22" t="e">
        <f ca="1">SUM(Weight_Calculator!$E$18,Table2[[#This Row],[7 Day
Change]])</f>
        <v>#VALUE!</v>
      </c>
      <c r="AB51" s="50" t="e">
        <f t="shared" ca="1" si="27"/>
        <v>#N/A</v>
      </c>
      <c r="AC51" s="51" t="e">
        <f t="shared" ca="1" si="28"/>
        <v>#N/A</v>
      </c>
      <c r="AD51" s="38" t="e">
        <f t="shared" ca="1" si="29"/>
        <v>#N/A</v>
      </c>
      <c r="AE51" s="48" t="e">
        <f ca="1">+$AL51/(Weight_Calculator!$E$17*(Weight_Calculator!$E$17/10000))</f>
        <v>#N/A</v>
      </c>
      <c r="AF51" s="49" t="e">
        <f ca="1">SUM(66.5+(13.75*$AL50)+(5.003*Weight_Calculator!$E$17)-(6.75*Weight_Calculator!$D$4))</f>
        <v>#N/A</v>
      </c>
      <c r="AG51" s="44" t="e">
        <f ca="1">VLOOKUP(Stats_Tables!$D$12,Stats_Tables!$C$13:$F$16,4,0)*AF51</f>
        <v>#N/A</v>
      </c>
      <c r="AH51" s="43" t="e">
        <f t="shared" ca="1" si="30"/>
        <v>#N/A</v>
      </c>
      <c r="AI51" s="44" t="e">
        <f t="shared" ca="1" si="18"/>
        <v>#N/A</v>
      </c>
      <c r="AJ51" s="44" t="e">
        <f t="shared" ca="1" si="31"/>
        <v>#N/A</v>
      </c>
      <c r="AK51" s="46" t="e">
        <f t="shared" ca="1" si="32"/>
        <v>#N/A</v>
      </c>
      <c r="AL51" s="47" t="e">
        <f ca="1">SUM(Weight_Calculator!$E$18,AK51)</f>
        <v>#N/A</v>
      </c>
      <c r="AM51" s="41">
        <f t="shared" si="19"/>
        <v>329</v>
      </c>
      <c r="AN51" s="18">
        <v>47</v>
      </c>
    </row>
    <row r="52" spans="5:40" ht="15">
      <c r="E52">
        <v>210</v>
      </c>
      <c r="I52" s="243">
        <f t="shared" si="11"/>
        <v>6</v>
      </c>
      <c r="J52" s="245">
        <f t="shared" si="12"/>
        <v>1.6220472440944889</v>
      </c>
      <c r="K52" s="241">
        <f t="shared" si="13"/>
        <v>6.135170603674541</v>
      </c>
      <c r="L52" s="241">
        <f>Table1[[#This Row],[cm]]/2.54</f>
        <v>73.622047244094489</v>
      </c>
      <c r="M52" s="54">
        <v>187</v>
      </c>
      <c r="N52" s="3">
        <f t="shared" si="20"/>
        <v>69.938000000000002</v>
      </c>
      <c r="O52" s="3">
        <f t="shared" si="21"/>
        <v>87.422499999999999</v>
      </c>
      <c r="P52" s="3">
        <f t="shared" si="22"/>
        <v>104.907</v>
      </c>
      <c r="Q52" s="7">
        <f t="shared" si="23"/>
        <v>122.39149999999999</v>
      </c>
      <c r="R52" s="3">
        <f t="shared" si="16"/>
        <v>139.876</v>
      </c>
      <c r="S52" s="3">
        <f t="shared" si="24"/>
        <v>157.3605</v>
      </c>
      <c r="T52" s="4">
        <f t="shared" si="25"/>
        <v>349.69</v>
      </c>
      <c r="U52" s="4" t="e">
        <f ca="1">IF($E$22=M52,Weight_Calculator!E$18,"")</f>
        <v>#VALUE!</v>
      </c>
      <c r="V52" s="2"/>
      <c r="W52" s="32">
        <f>SUM(Weight_Calculator!$I$5*Table2[[#This Row],[Days
Per
Week]])</f>
        <v>0</v>
      </c>
      <c r="X52" s="13" t="e">
        <f>SUM(Weight_Calculator!$F$20*$AM52)</f>
        <v>#VALUE!</v>
      </c>
      <c r="Y52" s="35" t="e">
        <f t="shared" si="33"/>
        <v>#VALUE!</v>
      </c>
      <c r="Z52" s="14" t="e">
        <f t="shared" si="26"/>
        <v>#VALUE!</v>
      </c>
      <c r="AA52" s="22" t="e">
        <f ca="1">SUM(Weight_Calculator!$E$18,Table2[[#This Row],[7 Day
Change]])</f>
        <v>#VALUE!</v>
      </c>
      <c r="AB52" s="50" t="e">
        <f t="shared" ca="1" si="27"/>
        <v>#N/A</v>
      </c>
      <c r="AC52" s="51" t="e">
        <f t="shared" ca="1" si="28"/>
        <v>#N/A</v>
      </c>
      <c r="AD52" s="38" t="e">
        <f t="shared" ca="1" si="29"/>
        <v>#N/A</v>
      </c>
      <c r="AE52" s="48" t="e">
        <f ca="1">+$AL52/(Weight_Calculator!$E$17*(Weight_Calculator!$E$17/10000))</f>
        <v>#N/A</v>
      </c>
      <c r="AF52" s="49" t="e">
        <f ca="1">SUM(66.5+(13.75*$AL51)+(5.003*Weight_Calculator!$E$17)-(6.75*Weight_Calculator!$D$4))</f>
        <v>#N/A</v>
      </c>
      <c r="AG52" s="44" t="e">
        <f ca="1">VLOOKUP(Stats_Tables!$D$12,Stats_Tables!$C$13:$F$16,4,0)*AF52</f>
        <v>#N/A</v>
      </c>
      <c r="AH52" s="43" t="e">
        <f t="shared" ca="1" si="30"/>
        <v>#N/A</v>
      </c>
      <c r="AI52" s="44" t="e">
        <f t="shared" ca="1" si="18"/>
        <v>#N/A</v>
      </c>
      <c r="AJ52" s="44" t="e">
        <f t="shared" ca="1" si="31"/>
        <v>#N/A</v>
      </c>
      <c r="AK52" s="46" t="e">
        <f t="shared" ca="1" si="32"/>
        <v>#N/A</v>
      </c>
      <c r="AL52" s="47" t="e">
        <f ca="1">SUM(Weight_Calculator!$E$18,AK52)</f>
        <v>#N/A</v>
      </c>
      <c r="AM52" s="40">
        <f t="shared" si="19"/>
        <v>336</v>
      </c>
      <c r="AN52" s="15">
        <v>48</v>
      </c>
    </row>
    <row r="53" spans="5:40" ht="15">
      <c r="E53">
        <v>220</v>
      </c>
      <c r="I53" s="243">
        <f t="shared" si="11"/>
        <v>6</v>
      </c>
      <c r="J53" s="245">
        <f t="shared" si="12"/>
        <v>2.0157480314960594</v>
      </c>
      <c r="K53" s="241">
        <f t="shared" si="13"/>
        <v>6.1679790026246719</v>
      </c>
      <c r="L53" s="241">
        <f>Table1[[#This Row],[cm]]/2.54</f>
        <v>74.015748031496059</v>
      </c>
      <c r="M53" s="54">
        <v>188</v>
      </c>
      <c r="N53" s="3">
        <f t="shared" si="20"/>
        <v>70.688000000000002</v>
      </c>
      <c r="O53" s="3">
        <f t="shared" si="21"/>
        <v>88.36</v>
      </c>
      <c r="P53" s="3">
        <f t="shared" si="22"/>
        <v>106.032</v>
      </c>
      <c r="Q53" s="7">
        <f t="shared" si="23"/>
        <v>123.70399999999999</v>
      </c>
      <c r="R53" s="3">
        <f t="shared" si="16"/>
        <v>141.376</v>
      </c>
      <c r="S53" s="3">
        <f t="shared" si="24"/>
        <v>159.048</v>
      </c>
      <c r="T53" s="4">
        <f t="shared" si="25"/>
        <v>353.44</v>
      </c>
      <c r="U53" s="4" t="e">
        <f ca="1">IF($E$22=M53,Weight_Calculator!E$18,"")</f>
        <v>#VALUE!</v>
      </c>
      <c r="V53" s="2"/>
      <c r="W53" s="32">
        <f>SUM(Weight_Calculator!$I$5*Table2[[#This Row],[Days
Per
Week]])</f>
        <v>0</v>
      </c>
      <c r="X53" s="16" t="e">
        <f>SUM(Weight_Calculator!$F$20*$AM53)</f>
        <v>#VALUE!</v>
      </c>
      <c r="Y53" s="36" t="e">
        <f t="shared" si="33"/>
        <v>#VALUE!</v>
      </c>
      <c r="Z53" s="17" t="e">
        <f t="shared" si="26"/>
        <v>#VALUE!</v>
      </c>
      <c r="AA53" s="22" t="e">
        <f ca="1">SUM(Weight_Calculator!$E$18,Table2[[#This Row],[7 Day
Change]])</f>
        <v>#VALUE!</v>
      </c>
      <c r="AB53" s="50" t="e">
        <f t="shared" ca="1" si="27"/>
        <v>#N/A</v>
      </c>
      <c r="AC53" s="51" t="e">
        <f t="shared" ca="1" si="28"/>
        <v>#N/A</v>
      </c>
      <c r="AD53" s="38" t="e">
        <f t="shared" ca="1" si="29"/>
        <v>#N/A</v>
      </c>
      <c r="AE53" s="48" t="e">
        <f ca="1">+$AL53/(Weight_Calculator!$E$17*(Weight_Calculator!$E$17/10000))</f>
        <v>#N/A</v>
      </c>
      <c r="AF53" s="49" t="e">
        <f ca="1">SUM(66.5+(13.75*$AL52)+(5.003*Weight_Calculator!$E$17)-(6.75*Weight_Calculator!$D$4))</f>
        <v>#N/A</v>
      </c>
      <c r="AG53" s="44" t="e">
        <f ca="1">VLOOKUP(Stats_Tables!$D$12,Stats_Tables!$C$13:$F$16,4,0)*AF53</f>
        <v>#N/A</v>
      </c>
      <c r="AH53" s="43" t="e">
        <f t="shared" ca="1" si="30"/>
        <v>#N/A</v>
      </c>
      <c r="AI53" s="44" t="e">
        <f t="shared" ca="1" si="18"/>
        <v>#N/A</v>
      </c>
      <c r="AJ53" s="44" t="e">
        <f t="shared" ca="1" si="31"/>
        <v>#N/A</v>
      </c>
      <c r="AK53" s="46" t="e">
        <f t="shared" ca="1" si="32"/>
        <v>#N/A</v>
      </c>
      <c r="AL53" s="47" t="e">
        <f ca="1">SUM(Weight_Calculator!$E$18,AK53)</f>
        <v>#N/A</v>
      </c>
      <c r="AM53" s="41">
        <f t="shared" si="19"/>
        <v>343</v>
      </c>
      <c r="AN53" s="18">
        <v>49</v>
      </c>
    </row>
    <row r="54" spans="5:40" ht="15">
      <c r="E54">
        <v>230</v>
      </c>
      <c r="I54" s="243">
        <f t="shared" si="11"/>
        <v>6</v>
      </c>
      <c r="J54" s="245">
        <f t="shared" si="12"/>
        <v>2.40944881889763</v>
      </c>
      <c r="K54" s="241">
        <f t="shared" si="13"/>
        <v>6.2007874015748028</v>
      </c>
      <c r="L54" s="241">
        <f>Table1[[#This Row],[cm]]/2.54</f>
        <v>74.40944881889763</v>
      </c>
      <c r="M54" s="54">
        <v>189</v>
      </c>
      <c r="N54" s="3">
        <f t="shared" si="20"/>
        <v>71.441999999999993</v>
      </c>
      <c r="O54" s="3">
        <f t="shared" si="21"/>
        <v>89.302499999999995</v>
      </c>
      <c r="P54" s="3">
        <f t="shared" si="22"/>
        <v>107.163</v>
      </c>
      <c r="Q54" s="7">
        <f t="shared" si="23"/>
        <v>125.0235</v>
      </c>
      <c r="R54" s="3">
        <f t="shared" si="16"/>
        <v>142.88399999999999</v>
      </c>
      <c r="S54" s="3">
        <f t="shared" si="24"/>
        <v>160.74449999999999</v>
      </c>
      <c r="T54" s="4">
        <f t="shared" si="25"/>
        <v>357.21</v>
      </c>
      <c r="U54" s="4" t="e">
        <f ca="1">IF($E$22=M54,Weight_Calculator!E$18,"")</f>
        <v>#VALUE!</v>
      </c>
      <c r="V54" s="2"/>
      <c r="W54" s="32">
        <f>SUM(Weight_Calculator!$I$5*Table2[[#This Row],[Days
Per
Week]])</f>
        <v>0</v>
      </c>
      <c r="X54" s="13" t="e">
        <f>SUM(Weight_Calculator!$F$20*$AM54)</f>
        <v>#VALUE!</v>
      </c>
      <c r="Y54" s="35" t="e">
        <f t="shared" si="33"/>
        <v>#VALUE!</v>
      </c>
      <c r="Z54" s="14" t="e">
        <f t="shared" si="26"/>
        <v>#VALUE!</v>
      </c>
      <c r="AA54" s="22" t="e">
        <f ca="1">SUM(Weight_Calculator!$E$18,Table2[[#This Row],[7 Day
Change]])</f>
        <v>#VALUE!</v>
      </c>
      <c r="AB54" s="50" t="e">
        <f t="shared" ca="1" si="27"/>
        <v>#N/A</v>
      </c>
      <c r="AC54" s="51" t="e">
        <f t="shared" ca="1" si="28"/>
        <v>#N/A</v>
      </c>
      <c r="AD54" s="38" t="e">
        <f t="shared" ca="1" si="29"/>
        <v>#N/A</v>
      </c>
      <c r="AE54" s="48" t="e">
        <f ca="1">+$AL54/(Weight_Calculator!$E$17*(Weight_Calculator!$E$17/10000))</f>
        <v>#N/A</v>
      </c>
      <c r="AF54" s="49" t="e">
        <f ca="1">SUM(66.5+(13.75*$AL53)+(5.003*Weight_Calculator!$E$17)-(6.75*Weight_Calculator!$D$4))</f>
        <v>#N/A</v>
      </c>
      <c r="AG54" s="44" t="e">
        <f ca="1">VLOOKUP(Stats_Tables!$D$12,Stats_Tables!$C$13:$F$16,4,0)*AF54</f>
        <v>#N/A</v>
      </c>
      <c r="AH54" s="43" t="e">
        <f t="shared" ca="1" si="30"/>
        <v>#N/A</v>
      </c>
      <c r="AI54" s="44" t="e">
        <f t="shared" ca="1" si="18"/>
        <v>#N/A</v>
      </c>
      <c r="AJ54" s="44" t="e">
        <f t="shared" ca="1" si="31"/>
        <v>#N/A</v>
      </c>
      <c r="AK54" s="46" t="e">
        <f t="shared" ca="1" si="32"/>
        <v>#N/A</v>
      </c>
      <c r="AL54" s="47" t="e">
        <f ca="1">SUM(Weight_Calculator!$E$18,AK54)</f>
        <v>#N/A</v>
      </c>
      <c r="AM54" s="40">
        <f t="shared" si="19"/>
        <v>350</v>
      </c>
      <c r="AN54" s="15">
        <v>50</v>
      </c>
    </row>
    <row r="55" spans="5:40" ht="15">
      <c r="E55">
        <v>240</v>
      </c>
      <c r="I55" s="243">
        <f t="shared" si="11"/>
        <v>6</v>
      </c>
      <c r="J55" s="245">
        <f t="shared" si="12"/>
        <v>2.8031496062992147</v>
      </c>
      <c r="K55" s="241">
        <f t="shared" si="13"/>
        <v>6.2335958005249346</v>
      </c>
      <c r="L55" s="241">
        <f>Table1[[#This Row],[cm]]/2.54</f>
        <v>74.803149606299215</v>
      </c>
      <c r="M55" s="54">
        <v>190</v>
      </c>
      <c r="N55" s="3">
        <f t="shared" si="20"/>
        <v>72.2</v>
      </c>
      <c r="O55" s="3">
        <f t="shared" si="21"/>
        <v>90.25</v>
      </c>
      <c r="P55" s="3">
        <f t="shared" si="22"/>
        <v>108.3</v>
      </c>
      <c r="Q55" s="7">
        <f t="shared" si="23"/>
        <v>126.35</v>
      </c>
      <c r="R55" s="3">
        <f t="shared" si="16"/>
        <v>144.4</v>
      </c>
      <c r="S55" s="3">
        <f t="shared" si="24"/>
        <v>162.44999999999999</v>
      </c>
      <c r="T55" s="4">
        <f t="shared" si="25"/>
        <v>361</v>
      </c>
      <c r="U55" s="4" t="e">
        <f ca="1">IF($E$22=M55,Weight_Calculator!E$18,"")</f>
        <v>#VALUE!</v>
      </c>
      <c r="V55" s="2"/>
      <c r="W55" s="32">
        <f>SUM(Weight_Calculator!$I$5*Table2[[#This Row],[Days
Per
Week]])</f>
        <v>0</v>
      </c>
      <c r="X55" s="16" t="e">
        <f>SUM(Weight_Calculator!$F$20*$AM55)</f>
        <v>#VALUE!</v>
      </c>
      <c r="Y55" s="36" t="e">
        <f t="shared" si="33"/>
        <v>#VALUE!</v>
      </c>
      <c r="Z55" s="17" t="e">
        <f t="shared" si="26"/>
        <v>#VALUE!</v>
      </c>
      <c r="AA55" s="22" t="e">
        <f ca="1">SUM(Weight_Calculator!$E$18,Table2[[#This Row],[7 Day
Change]])</f>
        <v>#VALUE!</v>
      </c>
      <c r="AB55" s="50" t="e">
        <f t="shared" ca="1" si="27"/>
        <v>#N/A</v>
      </c>
      <c r="AC55" s="51" t="e">
        <f t="shared" ca="1" si="28"/>
        <v>#N/A</v>
      </c>
      <c r="AD55" s="38" t="e">
        <f t="shared" ca="1" si="29"/>
        <v>#N/A</v>
      </c>
      <c r="AE55" s="48" t="e">
        <f ca="1">+$AL55/(Weight_Calculator!$E$17*(Weight_Calculator!$E$17/10000))</f>
        <v>#N/A</v>
      </c>
      <c r="AF55" s="49" t="e">
        <f ca="1">SUM(66.5+(13.75*$AL54)+(5.003*Weight_Calculator!$E$17)-(6.75*Weight_Calculator!$D$4))</f>
        <v>#N/A</v>
      </c>
      <c r="AG55" s="44" t="e">
        <f ca="1">VLOOKUP(Stats_Tables!$D$12,Stats_Tables!$C$13:$F$16,4,0)*AF55</f>
        <v>#N/A</v>
      </c>
      <c r="AH55" s="43" t="e">
        <f t="shared" ca="1" si="30"/>
        <v>#N/A</v>
      </c>
      <c r="AI55" s="44" t="e">
        <f t="shared" ca="1" si="18"/>
        <v>#N/A</v>
      </c>
      <c r="AJ55" s="44" t="e">
        <f t="shared" ca="1" si="31"/>
        <v>#N/A</v>
      </c>
      <c r="AK55" s="46" t="e">
        <f t="shared" ca="1" si="32"/>
        <v>#N/A</v>
      </c>
      <c r="AL55" s="47" t="e">
        <f ca="1">SUM(Weight_Calculator!$E$18,AK55)</f>
        <v>#N/A</v>
      </c>
      <c r="AM55" s="41">
        <f t="shared" si="19"/>
        <v>357</v>
      </c>
      <c r="AN55" s="18">
        <v>51</v>
      </c>
    </row>
    <row r="56" spans="5:40" ht="15">
      <c r="E56">
        <v>250</v>
      </c>
      <c r="I56" s="243">
        <f t="shared" si="11"/>
        <v>6</v>
      </c>
      <c r="J56" s="245">
        <f t="shared" si="12"/>
        <v>3.1968503937007853</v>
      </c>
      <c r="K56" s="241">
        <f t="shared" si="13"/>
        <v>6.2664041994750654</v>
      </c>
      <c r="L56" s="241">
        <f>Table1[[#This Row],[cm]]/2.54</f>
        <v>75.196850393700785</v>
      </c>
      <c r="M56" s="54">
        <v>191</v>
      </c>
      <c r="N56" s="3">
        <f t="shared" si="20"/>
        <v>72.962000000000003</v>
      </c>
      <c r="O56" s="3">
        <f t="shared" si="21"/>
        <v>91.202500000000001</v>
      </c>
      <c r="P56" s="3">
        <f t="shared" si="22"/>
        <v>109.443</v>
      </c>
      <c r="Q56" s="7">
        <f t="shared" si="23"/>
        <v>127.6835</v>
      </c>
      <c r="R56" s="3">
        <f t="shared" si="16"/>
        <v>145.92400000000001</v>
      </c>
      <c r="S56" s="3">
        <f t="shared" si="24"/>
        <v>164.1645</v>
      </c>
      <c r="T56" s="4">
        <f t="shared" si="25"/>
        <v>364.81</v>
      </c>
      <c r="U56" s="4" t="e">
        <f ca="1">IF($E$22=M56,Weight_Calculator!E$18,"")</f>
        <v>#VALUE!</v>
      </c>
      <c r="V56" s="2"/>
      <c r="W56" s="32">
        <f>SUM(Weight_Calculator!$I$5*Table2[[#This Row],[Days
Per
Week]])</f>
        <v>0</v>
      </c>
      <c r="X56" s="13" t="e">
        <f>SUM(Weight_Calculator!$F$20*$AM56)</f>
        <v>#VALUE!</v>
      </c>
      <c r="Y56" s="35" t="e">
        <f t="shared" si="33"/>
        <v>#VALUE!</v>
      </c>
      <c r="Z56" s="14" t="e">
        <f t="shared" si="26"/>
        <v>#VALUE!</v>
      </c>
      <c r="AA56" s="22" t="e">
        <f ca="1">SUM(Weight_Calculator!$E$18,Table2[[#This Row],[7 Day
Change]])</f>
        <v>#VALUE!</v>
      </c>
      <c r="AB56" s="50" t="e">
        <f t="shared" ca="1" si="27"/>
        <v>#N/A</v>
      </c>
      <c r="AC56" s="51" t="e">
        <f t="shared" ca="1" si="28"/>
        <v>#N/A</v>
      </c>
      <c r="AD56" s="38" t="e">
        <f t="shared" ca="1" si="29"/>
        <v>#N/A</v>
      </c>
      <c r="AE56" s="48" t="e">
        <f ca="1">+$AL56/(Weight_Calculator!$E$17*(Weight_Calculator!$E$17/10000))</f>
        <v>#N/A</v>
      </c>
      <c r="AF56" s="49" t="e">
        <f ca="1">SUM(66.5+(13.75*$AL55)+(5.003*Weight_Calculator!$E$17)-(6.75*Weight_Calculator!$D$4))</f>
        <v>#N/A</v>
      </c>
      <c r="AG56" s="44" t="e">
        <f ca="1">VLOOKUP(Stats_Tables!$D$12,Stats_Tables!$C$13:$F$16,4,0)*AF56</f>
        <v>#N/A</v>
      </c>
      <c r="AH56" s="43" t="e">
        <f t="shared" ca="1" si="30"/>
        <v>#N/A</v>
      </c>
      <c r="AI56" s="44" t="e">
        <f t="shared" ca="1" si="18"/>
        <v>#N/A</v>
      </c>
      <c r="AJ56" s="44" t="e">
        <f t="shared" ca="1" si="31"/>
        <v>#N/A</v>
      </c>
      <c r="AK56" s="46" t="e">
        <f t="shared" ca="1" si="32"/>
        <v>#N/A</v>
      </c>
      <c r="AL56" s="47" t="e">
        <f ca="1">SUM(Weight_Calculator!$E$18,AK56)</f>
        <v>#N/A</v>
      </c>
      <c r="AM56" s="40">
        <f t="shared" si="19"/>
        <v>364</v>
      </c>
      <c r="AN56" s="15">
        <v>52</v>
      </c>
    </row>
    <row r="57" spans="5:40" ht="15">
      <c r="E57">
        <v>260</v>
      </c>
      <c r="I57" s="243">
        <f t="shared" si="11"/>
        <v>6</v>
      </c>
      <c r="J57" s="245">
        <f t="shared" si="12"/>
        <v>3.5905511811023558</v>
      </c>
      <c r="K57" s="241">
        <f t="shared" si="13"/>
        <v>6.2992125984251963</v>
      </c>
      <c r="L57" s="241">
        <f>Table1[[#This Row],[cm]]/2.54</f>
        <v>75.590551181102356</v>
      </c>
      <c r="M57" s="54">
        <v>192</v>
      </c>
      <c r="N57" s="3">
        <f t="shared" si="20"/>
        <v>73.727999999999994</v>
      </c>
      <c r="O57" s="3">
        <f t="shared" si="21"/>
        <v>92.16</v>
      </c>
      <c r="P57" s="3">
        <f t="shared" si="22"/>
        <v>110.592</v>
      </c>
      <c r="Q57" s="7">
        <f t="shared" si="23"/>
        <v>129.024</v>
      </c>
      <c r="R57" s="3">
        <f t="shared" si="16"/>
        <v>147.45599999999999</v>
      </c>
      <c r="S57" s="3">
        <f t="shared" si="24"/>
        <v>165.88800000000001</v>
      </c>
      <c r="T57" s="4">
        <f t="shared" si="25"/>
        <v>368.64</v>
      </c>
      <c r="U57" s="4" t="e">
        <f ca="1">IF($E$22=M57,Weight_Calculator!E$18,"")</f>
        <v>#VALUE!</v>
      </c>
      <c r="V57" s="2"/>
      <c r="W57" s="32">
        <f>SUM(Weight_Calculator!$I$5*Table2[[#This Row],[Days
Per
Week]])</f>
        <v>0</v>
      </c>
      <c r="X57" s="16" t="e">
        <f>SUM(Weight_Calculator!$F$20*$AM57)</f>
        <v>#VALUE!</v>
      </c>
      <c r="Y57" s="36" t="e">
        <f t="shared" si="33"/>
        <v>#VALUE!</v>
      </c>
      <c r="Z57" s="17" t="e">
        <f t="shared" si="26"/>
        <v>#VALUE!</v>
      </c>
      <c r="AA57" s="22" t="e">
        <f ca="1">SUM(Weight_Calculator!$E$18,Table2[[#This Row],[7 Day
Change]])</f>
        <v>#VALUE!</v>
      </c>
      <c r="AB57" s="50" t="e">
        <f t="shared" ca="1" si="27"/>
        <v>#N/A</v>
      </c>
      <c r="AC57" s="51" t="e">
        <f t="shared" ca="1" si="28"/>
        <v>#N/A</v>
      </c>
      <c r="AD57" s="38" t="e">
        <f t="shared" ca="1" si="29"/>
        <v>#N/A</v>
      </c>
      <c r="AE57" s="48" t="e">
        <f ca="1">+$AL57/(Weight_Calculator!$E$17*(Weight_Calculator!$E$17/10000))</f>
        <v>#N/A</v>
      </c>
      <c r="AF57" s="49" t="e">
        <f ca="1">SUM(66.5+(13.75*$AL56)+(5.003*Weight_Calculator!$E$17)-(6.75*Weight_Calculator!$D$4))</f>
        <v>#N/A</v>
      </c>
      <c r="AG57" s="44" t="e">
        <f ca="1">VLOOKUP(Stats_Tables!$D$12,Stats_Tables!$C$13:$F$16,4,0)*AF57</f>
        <v>#N/A</v>
      </c>
      <c r="AH57" s="43" t="e">
        <f t="shared" ca="1" si="30"/>
        <v>#N/A</v>
      </c>
      <c r="AI57" s="44" t="e">
        <f t="shared" ca="1" si="18"/>
        <v>#N/A</v>
      </c>
      <c r="AJ57" s="44" t="e">
        <f t="shared" ca="1" si="31"/>
        <v>#N/A</v>
      </c>
      <c r="AK57" s="46" t="e">
        <f t="shared" ca="1" si="32"/>
        <v>#N/A</v>
      </c>
      <c r="AL57" s="47" t="e">
        <f ca="1">SUM(Weight_Calculator!$E$18,AK57)</f>
        <v>#N/A</v>
      </c>
      <c r="AM57" s="41">
        <f t="shared" si="19"/>
        <v>371</v>
      </c>
      <c r="AN57" s="18">
        <v>53</v>
      </c>
    </row>
    <row r="58" spans="5:40" ht="16" thickBot="1">
      <c r="E58">
        <v>270</v>
      </c>
      <c r="I58" s="243">
        <f t="shared" si="11"/>
        <v>6</v>
      </c>
      <c r="J58" s="245">
        <f t="shared" si="12"/>
        <v>3.9842519685039406</v>
      </c>
      <c r="K58" s="241">
        <f t="shared" si="13"/>
        <v>6.3320209973753281</v>
      </c>
      <c r="L58" s="241">
        <f>Table1[[#This Row],[cm]]/2.54</f>
        <v>75.984251968503941</v>
      </c>
      <c r="M58" s="54">
        <v>193</v>
      </c>
      <c r="N58" s="3">
        <f t="shared" si="20"/>
        <v>74.498000000000005</v>
      </c>
      <c r="O58" s="3">
        <f t="shared" si="21"/>
        <v>93.122500000000002</v>
      </c>
      <c r="P58" s="3">
        <f t="shared" si="22"/>
        <v>111.747</v>
      </c>
      <c r="Q58" s="7">
        <f t="shared" si="23"/>
        <v>130.3715</v>
      </c>
      <c r="R58" s="3">
        <f t="shared" si="16"/>
        <v>148.99600000000001</v>
      </c>
      <c r="S58" s="3">
        <f t="shared" si="24"/>
        <v>167.62049999999999</v>
      </c>
      <c r="T58" s="4">
        <f t="shared" si="25"/>
        <v>372.49</v>
      </c>
      <c r="U58" s="4" t="e">
        <f ca="1">IF($E$22=M58,Weight_Calculator!E$18,"")</f>
        <v>#VALUE!</v>
      </c>
      <c r="V58" s="2"/>
      <c r="W58" s="33">
        <f>SUM(Weight_Calculator!$I$5*Table2[[#This Row],[Days
Per
Week]])</f>
        <v>0</v>
      </c>
      <c r="X58" s="19" t="e">
        <f>SUM(Weight_Calculator!$F$20*$AM58)</f>
        <v>#VALUE!</v>
      </c>
      <c r="Y58" s="37" t="e">
        <f t="shared" si="33"/>
        <v>#VALUE!</v>
      </c>
      <c r="Z58" s="20" t="e">
        <f t="shared" si="26"/>
        <v>#VALUE!</v>
      </c>
      <c r="AA58" s="22" t="e">
        <f ca="1">SUM(Weight_Calculator!$E$18,Table2[[#This Row],[7 Day
Change]])</f>
        <v>#VALUE!</v>
      </c>
      <c r="AB58" s="50" t="e">
        <f t="shared" ca="1" si="27"/>
        <v>#N/A</v>
      </c>
      <c r="AC58" s="51" t="e">
        <f t="shared" ca="1" si="28"/>
        <v>#N/A</v>
      </c>
      <c r="AD58" s="38" t="e">
        <f t="shared" ca="1" si="29"/>
        <v>#N/A</v>
      </c>
      <c r="AE58" s="48" t="e">
        <f ca="1">+$AL58/(Weight_Calculator!$E$17*(Weight_Calculator!$E$17/10000))</f>
        <v>#N/A</v>
      </c>
      <c r="AF58" s="49" t="e">
        <f ca="1">SUM(66.5+(13.75*$AL57)+(5.003*Weight_Calculator!$E$17)-(6.75*Weight_Calculator!$D$4))</f>
        <v>#N/A</v>
      </c>
      <c r="AG58" s="44" t="e">
        <f ca="1">VLOOKUP(Stats_Tables!$D$12,Stats_Tables!$C$13:$F$16,4,0)*AF58</f>
        <v>#N/A</v>
      </c>
      <c r="AH58" s="43" t="e">
        <f t="shared" ca="1" si="30"/>
        <v>#N/A</v>
      </c>
      <c r="AI58" s="44" t="e">
        <f t="shared" ca="1" si="18"/>
        <v>#N/A</v>
      </c>
      <c r="AJ58" s="44" t="e">
        <f t="shared" ca="1" si="31"/>
        <v>#N/A</v>
      </c>
      <c r="AK58" s="46" t="e">
        <f t="shared" ca="1" si="32"/>
        <v>#N/A</v>
      </c>
      <c r="AL58" s="47" t="e">
        <f ca="1">SUM(Weight_Calculator!$E$18,AK58)</f>
        <v>#N/A</v>
      </c>
      <c r="AM58" s="42">
        <f t="shared" si="19"/>
        <v>378</v>
      </c>
      <c r="AN58" s="21">
        <v>54</v>
      </c>
    </row>
    <row r="59" spans="5:40" ht="16" thickTop="1">
      <c r="E59">
        <v>280</v>
      </c>
      <c r="I59" s="243">
        <f t="shared" si="11"/>
        <v>6</v>
      </c>
      <c r="J59" s="245">
        <f t="shared" si="12"/>
        <v>4.3779527559055111</v>
      </c>
      <c r="K59" s="241">
        <f t="shared" si="13"/>
        <v>6.364829396325459</v>
      </c>
      <c r="L59" s="241">
        <f>Table1[[#This Row],[cm]]/2.54</f>
        <v>76.377952755905511</v>
      </c>
      <c r="M59" s="54">
        <v>194</v>
      </c>
      <c r="N59" s="3">
        <f t="shared" si="20"/>
        <v>75.272000000000006</v>
      </c>
      <c r="O59" s="3">
        <f t="shared" si="21"/>
        <v>94.09</v>
      </c>
      <c r="P59" s="3">
        <f t="shared" si="22"/>
        <v>112.908</v>
      </c>
      <c r="Q59" s="7">
        <f t="shared" si="23"/>
        <v>131.726</v>
      </c>
      <c r="R59" s="3">
        <f t="shared" si="16"/>
        <v>150.54400000000001</v>
      </c>
      <c r="S59" s="3">
        <f t="shared" si="24"/>
        <v>169.36199999999999</v>
      </c>
      <c r="T59" s="4">
        <f t="shared" si="25"/>
        <v>376.36</v>
      </c>
      <c r="U59" s="4" t="e">
        <f ca="1">IF($E$22=M59,Weight_Calculator!E$18,"")</f>
        <v>#VALUE!</v>
      </c>
      <c r="V59" s="2"/>
      <c r="X59" s="2"/>
    </row>
    <row r="60" spans="5:40" ht="15">
      <c r="E60">
        <v>290</v>
      </c>
      <c r="I60" s="243">
        <f>K60-MOD(K60,1)</f>
        <v>6</v>
      </c>
      <c r="J60" s="245">
        <f t="shared" si="12"/>
        <v>4.7716535433070817</v>
      </c>
      <c r="K60" s="241">
        <f t="shared" si="13"/>
        <v>6.3976377952755898</v>
      </c>
      <c r="L60" s="241">
        <f>Table1[[#This Row],[cm]]/2.54</f>
        <v>76.771653543307082</v>
      </c>
      <c r="M60" s="54">
        <v>195</v>
      </c>
      <c r="N60" s="3">
        <f t="shared" si="20"/>
        <v>76.05</v>
      </c>
      <c r="O60" s="3">
        <f t="shared" si="21"/>
        <v>95.0625</v>
      </c>
      <c r="P60" s="3">
        <f t="shared" si="22"/>
        <v>114.075</v>
      </c>
      <c r="Q60" s="7">
        <f t="shared" si="23"/>
        <v>133.08750000000001</v>
      </c>
      <c r="R60" s="3">
        <f t="shared" si="16"/>
        <v>152.1</v>
      </c>
      <c r="S60" s="3">
        <f t="shared" si="24"/>
        <v>171.11250000000001</v>
      </c>
      <c r="T60" s="4">
        <f t="shared" si="25"/>
        <v>380.25</v>
      </c>
      <c r="U60" s="4" t="e">
        <f ca="1">IF($E$22=M60,Weight_Calculator!E$18,"")</f>
        <v>#VALUE!</v>
      </c>
      <c r="V60" s="2"/>
      <c r="X60" s="2"/>
    </row>
    <row r="61" spans="5:40" ht="15">
      <c r="E61">
        <v>300</v>
      </c>
      <c r="I61" s="243">
        <f t="shared" si="11"/>
        <v>6</v>
      </c>
      <c r="J61" s="245">
        <f t="shared" si="12"/>
        <v>5.1653543307086665</v>
      </c>
      <c r="K61" s="241">
        <f t="shared" si="13"/>
        <v>6.4304461942257225</v>
      </c>
      <c r="L61" s="241">
        <f>Table1[[#This Row],[cm]]/2.54</f>
        <v>77.165354330708666</v>
      </c>
      <c r="M61" s="54">
        <v>196</v>
      </c>
      <c r="N61" s="3">
        <f t="shared" si="20"/>
        <v>76.831999999999994</v>
      </c>
      <c r="O61" s="3">
        <f t="shared" si="21"/>
        <v>96.04</v>
      </c>
      <c r="P61" s="3">
        <f t="shared" si="22"/>
        <v>115.248</v>
      </c>
      <c r="Q61" s="7">
        <f t="shared" si="23"/>
        <v>134.45599999999999</v>
      </c>
      <c r="R61" s="3">
        <f t="shared" si="16"/>
        <v>153.66399999999999</v>
      </c>
      <c r="S61" s="3">
        <f t="shared" si="24"/>
        <v>172.87200000000001</v>
      </c>
      <c r="T61" s="4">
        <f t="shared" si="25"/>
        <v>384.16</v>
      </c>
      <c r="U61" s="4" t="e">
        <f ca="1">IF($E$22=M61,Weight_Calculator!E$18,"")</f>
        <v>#VALUE!</v>
      </c>
      <c r="V61" s="2"/>
      <c r="X61" s="2"/>
    </row>
    <row r="62" spans="5:40" ht="15">
      <c r="I62" s="243">
        <f t="shared" si="11"/>
        <v>6</v>
      </c>
      <c r="J62" s="245">
        <f t="shared" si="12"/>
        <v>5.559055118110237</v>
      </c>
      <c r="K62" s="241">
        <f t="shared" si="13"/>
        <v>6.4632545931758534</v>
      </c>
      <c r="L62" s="241">
        <f>Table1[[#This Row],[cm]]/2.54</f>
        <v>77.559055118110237</v>
      </c>
      <c r="M62" s="54">
        <v>197</v>
      </c>
      <c r="N62" s="3">
        <f t="shared" si="20"/>
        <v>77.617999999999995</v>
      </c>
      <c r="O62" s="3">
        <f t="shared" si="21"/>
        <v>97.022499999999994</v>
      </c>
      <c r="P62" s="3">
        <f t="shared" si="22"/>
        <v>116.42700000000001</v>
      </c>
      <c r="Q62" s="7">
        <f t="shared" si="23"/>
        <v>135.83150000000001</v>
      </c>
      <c r="R62" s="3">
        <f t="shared" si="16"/>
        <v>155.23599999999999</v>
      </c>
      <c r="S62" s="3">
        <f t="shared" si="24"/>
        <v>174.6405</v>
      </c>
      <c r="T62" s="4">
        <f t="shared" si="25"/>
        <v>388.09</v>
      </c>
      <c r="U62" s="4" t="e">
        <f ca="1">IF($E$22=M62,Weight_Calculator!E$18,"")</f>
        <v>#VALUE!</v>
      </c>
      <c r="V62" s="2"/>
      <c r="X62" s="2"/>
    </row>
    <row r="63" spans="5:40" ht="15">
      <c r="I63" s="243">
        <f t="shared" si="11"/>
        <v>6</v>
      </c>
      <c r="J63" s="245">
        <f t="shared" si="12"/>
        <v>5.9527559055118076</v>
      </c>
      <c r="K63" s="241">
        <f t="shared" si="13"/>
        <v>6.4960629921259843</v>
      </c>
      <c r="L63" s="241">
        <f>Table1[[#This Row],[cm]]/2.54</f>
        <v>77.952755905511808</v>
      </c>
      <c r="M63" s="54">
        <v>198</v>
      </c>
      <c r="N63" s="3">
        <f t="shared" si="20"/>
        <v>78.408000000000001</v>
      </c>
      <c r="O63" s="3">
        <f t="shared" si="21"/>
        <v>98.01</v>
      </c>
      <c r="P63" s="3">
        <f t="shared" si="22"/>
        <v>117.61199999999999</v>
      </c>
      <c r="Q63" s="7">
        <f t="shared" si="23"/>
        <v>137.214</v>
      </c>
      <c r="R63" s="3">
        <f t="shared" si="16"/>
        <v>156.816</v>
      </c>
      <c r="S63" s="3">
        <f t="shared" si="24"/>
        <v>176.41800000000001</v>
      </c>
      <c r="T63" s="4">
        <f t="shared" si="25"/>
        <v>392.04</v>
      </c>
      <c r="U63" s="4" t="e">
        <f ca="1">IF($E$22=M63,Weight_Calculator!E$18,"")</f>
        <v>#VALUE!</v>
      </c>
      <c r="V63" s="2"/>
      <c r="W63" s="56"/>
      <c r="X63" s="2"/>
    </row>
    <row r="64" spans="5:40" ht="15">
      <c r="I64" s="243">
        <f t="shared" si="11"/>
        <v>6</v>
      </c>
      <c r="J64" s="245">
        <f t="shared" si="12"/>
        <v>6.3464566929133781</v>
      </c>
      <c r="K64" s="241">
        <f t="shared" si="13"/>
        <v>6.5288713910761151</v>
      </c>
      <c r="L64" s="241">
        <f>Table1[[#This Row],[cm]]/2.54</f>
        <v>78.346456692913378</v>
      </c>
      <c r="M64" s="54">
        <v>199</v>
      </c>
      <c r="N64" s="3">
        <f t="shared" si="20"/>
        <v>79.201999999999998</v>
      </c>
      <c r="O64" s="3">
        <f t="shared" si="21"/>
        <v>99.002499999999998</v>
      </c>
      <c r="P64" s="3">
        <f t="shared" si="22"/>
        <v>118.803</v>
      </c>
      <c r="Q64" s="7">
        <f t="shared" si="23"/>
        <v>138.6035</v>
      </c>
      <c r="R64" s="3">
        <f t="shared" si="16"/>
        <v>158.404</v>
      </c>
      <c r="S64" s="3">
        <f t="shared" si="24"/>
        <v>178.2045</v>
      </c>
      <c r="T64" s="4">
        <f t="shared" si="25"/>
        <v>396.01</v>
      </c>
      <c r="U64" s="4" t="e">
        <f ca="1">IF($E$22=M64,Weight_Calculator!E$18,"")</f>
        <v>#VALUE!</v>
      </c>
      <c r="V64" s="2"/>
      <c r="X64" s="2"/>
    </row>
    <row r="65" spans="9:24" ht="15">
      <c r="I65" s="243">
        <f t="shared" si="11"/>
        <v>6</v>
      </c>
      <c r="J65" s="245">
        <f t="shared" si="12"/>
        <v>6.7401574803149629</v>
      </c>
      <c r="K65" s="241">
        <f t="shared" si="13"/>
        <v>6.5616797900262469</v>
      </c>
      <c r="L65" s="241">
        <f>Table1[[#This Row],[cm]]/2.54</f>
        <v>78.740157480314963</v>
      </c>
      <c r="M65" s="54">
        <v>200</v>
      </c>
      <c r="N65" s="3">
        <f t="shared" si="20"/>
        <v>80</v>
      </c>
      <c r="O65" s="3">
        <f t="shared" si="21"/>
        <v>100</v>
      </c>
      <c r="P65" s="3">
        <f t="shared" si="22"/>
        <v>120</v>
      </c>
      <c r="Q65" s="7">
        <f t="shared" si="23"/>
        <v>140</v>
      </c>
      <c r="R65" s="3">
        <f t="shared" si="16"/>
        <v>160</v>
      </c>
      <c r="S65" s="3">
        <f t="shared" si="24"/>
        <v>180</v>
      </c>
      <c r="T65" s="4">
        <f t="shared" si="25"/>
        <v>400</v>
      </c>
      <c r="U65" s="4" t="e">
        <f ca="1">IF($E$22=M65,Weight_Calculator!E$18,"")</f>
        <v>#VALUE!</v>
      </c>
      <c r="V65" s="2"/>
    </row>
    <row r="66" spans="9:24" ht="15">
      <c r="I66" s="243">
        <f t="shared" si="11"/>
        <v>6</v>
      </c>
      <c r="J66" s="245">
        <f t="shared" si="12"/>
        <v>7.1338582677165334</v>
      </c>
      <c r="K66" s="241">
        <f t="shared" si="13"/>
        <v>6.5944881889763778</v>
      </c>
      <c r="L66" s="241">
        <f>Table1[[#This Row],[cm]]/2.54</f>
        <v>79.133858267716533</v>
      </c>
      <c r="M66" s="54">
        <v>201</v>
      </c>
      <c r="N66" s="3">
        <f t="shared" si="20"/>
        <v>80.802000000000007</v>
      </c>
      <c r="O66" s="3">
        <f t="shared" si="21"/>
        <v>101.0025</v>
      </c>
      <c r="P66" s="3">
        <f t="shared" si="22"/>
        <v>121.203</v>
      </c>
      <c r="Q66" s="7">
        <f t="shared" si="23"/>
        <v>141.40350000000001</v>
      </c>
      <c r="R66" s="3">
        <f t="shared" si="16"/>
        <v>161.60400000000001</v>
      </c>
      <c r="S66" s="3">
        <f t="shared" si="24"/>
        <v>181.80449999999999</v>
      </c>
      <c r="T66" s="4">
        <f t="shared" si="25"/>
        <v>404.01</v>
      </c>
      <c r="U66" s="4" t="e">
        <f ca="1">IF($E$22=M66,Weight_Calculator!E$18,"")</f>
        <v>#VALUE!</v>
      </c>
      <c r="V66" s="2"/>
      <c r="X66" s="2"/>
    </row>
    <row r="67" spans="9:24" ht="15">
      <c r="I67" s="243">
        <f t="shared" si="11"/>
        <v>6</v>
      </c>
      <c r="J67" s="245">
        <f t="shared" si="12"/>
        <v>7.527559055118104</v>
      </c>
      <c r="K67" s="241">
        <f t="shared" si="13"/>
        <v>6.6272965879265087</v>
      </c>
      <c r="L67" s="241">
        <f>Table1[[#This Row],[cm]]/2.54</f>
        <v>79.527559055118104</v>
      </c>
      <c r="M67" s="54">
        <v>202</v>
      </c>
      <c r="N67" s="3">
        <f t="shared" si="20"/>
        <v>81.608000000000004</v>
      </c>
      <c r="O67" s="3">
        <f t="shared" si="21"/>
        <v>102.01</v>
      </c>
      <c r="P67" s="3">
        <f t="shared" si="22"/>
        <v>122.41200000000001</v>
      </c>
      <c r="Q67" s="7">
        <f t="shared" si="23"/>
        <v>142.81399999999999</v>
      </c>
      <c r="R67" s="3">
        <f t="shared" si="16"/>
        <v>163.21600000000001</v>
      </c>
      <c r="S67" s="3">
        <f t="shared" si="24"/>
        <v>183.61799999999999</v>
      </c>
      <c r="T67" s="4">
        <f t="shared" si="25"/>
        <v>408.04</v>
      </c>
      <c r="U67" s="4" t="e">
        <f ca="1">IF($E$22=M67,Weight_Calculator!E$18,"")</f>
        <v>#VALUE!</v>
      </c>
      <c r="V67" s="2"/>
      <c r="X67" s="2"/>
    </row>
    <row r="68" spans="9:24" ht="15">
      <c r="I68" s="243">
        <f t="shared" si="11"/>
        <v>6</v>
      </c>
      <c r="J68" s="245">
        <f t="shared" si="12"/>
        <v>7.9212598425196887</v>
      </c>
      <c r="K68" s="241">
        <f t="shared" si="13"/>
        <v>6.6601049868766404</v>
      </c>
      <c r="L68" s="241">
        <f>Table1[[#This Row],[cm]]/2.54</f>
        <v>79.921259842519689</v>
      </c>
      <c r="M68" s="54">
        <v>203</v>
      </c>
      <c r="N68" s="3">
        <f t="shared" si="20"/>
        <v>82.418000000000006</v>
      </c>
      <c r="O68" s="3">
        <f t="shared" si="21"/>
        <v>103.02249999999999</v>
      </c>
      <c r="P68" s="3">
        <f t="shared" si="22"/>
        <v>123.627</v>
      </c>
      <c r="Q68" s="7">
        <f t="shared" si="23"/>
        <v>144.23150000000001</v>
      </c>
      <c r="R68" s="3">
        <f t="shared" si="16"/>
        <v>164.83600000000001</v>
      </c>
      <c r="S68" s="3">
        <f t="shared" si="24"/>
        <v>185.44049999999999</v>
      </c>
      <c r="T68" s="4">
        <f t="shared" si="25"/>
        <v>412.09</v>
      </c>
      <c r="U68" s="4" t="e">
        <f ca="1">IF($E$22=M68,Weight_Calculator!E$18,"")</f>
        <v>#VALUE!</v>
      </c>
      <c r="V68" s="2"/>
    </row>
    <row r="69" spans="9:24" ht="15">
      <c r="I69" s="243">
        <f t="shared" si="11"/>
        <v>6</v>
      </c>
      <c r="J69" s="245">
        <f t="shared" si="12"/>
        <v>8.3149606299212593</v>
      </c>
      <c r="K69" s="241">
        <f t="shared" si="13"/>
        <v>6.6929133858267713</v>
      </c>
      <c r="L69" s="241">
        <f>Table1[[#This Row],[cm]]/2.54</f>
        <v>80.314960629921259</v>
      </c>
      <c r="M69" s="54">
        <v>204</v>
      </c>
      <c r="N69" s="3">
        <f t="shared" ref="N69:N70" si="34">$N$4*M69^2/10000</f>
        <v>83.231999999999999</v>
      </c>
      <c r="O69" s="3">
        <f t="shared" si="21"/>
        <v>104.04</v>
      </c>
      <c r="P69" s="3">
        <f t="shared" si="22"/>
        <v>124.848</v>
      </c>
      <c r="Q69" s="7">
        <f t="shared" si="23"/>
        <v>145.65600000000001</v>
      </c>
      <c r="R69" s="3">
        <f t="shared" si="16"/>
        <v>166.464</v>
      </c>
      <c r="S69" s="3">
        <f t="shared" si="24"/>
        <v>187.27199999999999</v>
      </c>
      <c r="T69" s="4">
        <f t="shared" si="25"/>
        <v>416.16</v>
      </c>
      <c r="U69" s="4" t="e">
        <f ca="1">IF($E$22=M69,Weight_Calculator!E$18,"")</f>
        <v>#VALUE!</v>
      </c>
      <c r="V69" s="2"/>
      <c r="X69" s="2"/>
    </row>
    <row r="70" spans="9:24" ht="15">
      <c r="I70" s="243">
        <f t="shared" ref="I70" si="35">K70-MOD(K70,1)</f>
        <v>6</v>
      </c>
      <c r="J70" s="245">
        <f t="shared" ref="J70" si="36">L70-(12*(K70-MOD(K70,1)))</f>
        <v>8.7086614173228298</v>
      </c>
      <c r="K70" s="241">
        <f t="shared" ref="K70" si="37">L70/12</f>
        <v>6.7257217847769022</v>
      </c>
      <c r="L70" s="241">
        <f>Table1[[#This Row],[cm]]/2.54</f>
        <v>80.70866141732283</v>
      </c>
      <c r="M70" s="55">
        <v>205</v>
      </c>
      <c r="N70" s="5">
        <f t="shared" si="34"/>
        <v>84.05</v>
      </c>
      <c r="O70" s="5">
        <f t="shared" si="21"/>
        <v>105.0625</v>
      </c>
      <c r="P70" s="5">
        <f t="shared" si="22"/>
        <v>126.075</v>
      </c>
      <c r="Q70" s="8">
        <f t="shared" si="23"/>
        <v>147.08750000000001</v>
      </c>
      <c r="R70" s="5">
        <f t="shared" ref="R70" si="38">$R$4*M70^2/10000</f>
        <v>168.1</v>
      </c>
      <c r="S70" s="5">
        <f t="shared" si="24"/>
        <v>189.11250000000001</v>
      </c>
      <c r="T70" s="6">
        <f t="shared" si="25"/>
        <v>420.25</v>
      </c>
      <c r="U70" s="6" t="e">
        <f ca="1">IF($E$22=M70,Weight_Calculator!E$18,"")</f>
        <v>#VALUE!</v>
      </c>
      <c r="V70" s="2"/>
      <c r="X70" s="2"/>
    </row>
  </sheetData>
  <mergeCells count="3">
    <mergeCell ref="N3:U3"/>
    <mergeCell ref="I4:J4"/>
    <mergeCell ref="I3:M3"/>
  </mergeCells>
  <phoneticPr fontId="4" type="noConversion"/>
  <pageMargins left="0.7" right="0.7" top="0.75" bottom="0.75" header="0.3" footer="0.3"/>
  <pageSetup paperSize="9" orientation="portrait" r:id="rId1"/>
  <legacy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C538-8094-48B3-90A9-D65E835A28F2}">
  <dimension ref="A1:M379"/>
  <sheetViews>
    <sheetView showGridLines="0" zoomScale="130" zoomScaleNormal="130" workbookViewId="0">
      <selection activeCell="J5" sqref="J5"/>
    </sheetView>
  </sheetViews>
  <sheetFormatPr baseColWidth="10" defaultColWidth="8.83203125" defaultRowHeight="14"/>
  <cols>
    <col min="2" max="2" width="6.1640625" customWidth="1"/>
    <col min="3" max="3" width="6.6640625" customWidth="1"/>
    <col min="4" max="4" width="4.6640625" customWidth="1"/>
    <col min="5" max="5" width="4.6640625" style="70" customWidth="1"/>
    <col min="7" max="7" width="9.6640625" style="69" customWidth="1"/>
    <col min="8" max="8" width="9.5" style="69" customWidth="1"/>
    <col min="9" max="9" width="9.6640625" style="69" customWidth="1"/>
    <col min="10" max="10" width="4.6640625" customWidth="1"/>
    <col min="11" max="11" width="7.5" bestFit="1" customWidth="1"/>
    <col min="12" max="12" width="5.5" style="73" customWidth="1"/>
    <col min="15" max="16" width="7.1640625"/>
  </cols>
  <sheetData>
    <row r="1" spans="1:13" ht="15">
      <c r="A1" t="s">
        <v>73</v>
      </c>
      <c r="B1" s="62" t="s">
        <v>3</v>
      </c>
      <c r="C1" s="63" t="s">
        <v>74</v>
      </c>
      <c r="D1" s="64" t="s">
        <v>75</v>
      </c>
      <c r="E1" s="65"/>
      <c r="F1" t="s">
        <v>73</v>
      </c>
      <c r="G1" s="238" t="s">
        <v>76</v>
      </c>
      <c r="H1" s="238" t="s">
        <v>77</v>
      </c>
      <c r="I1" s="238" t="s">
        <v>78</v>
      </c>
      <c r="J1" s="240" t="s">
        <v>5</v>
      </c>
      <c r="K1" t="s">
        <v>73</v>
      </c>
      <c r="L1" s="66" t="s">
        <v>8</v>
      </c>
      <c r="M1" s="67" t="s">
        <v>79</v>
      </c>
    </row>
    <row r="2" spans="1:13">
      <c r="B2" s="68">
        <v>138</v>
      </c>
      <c r="C2" s="69">
        <v>53</v>
      </c>
      <c r="D2" t="s">
        <v>80</v>
      </c>
      <c r="G2" s="71">
        <v>40</v>
      </c>
      <c r="H2" s="71">
        <v>70</v>
      </c>
      <c r="I2" s="71" t="s">
        <v>81</v>
      </c>
      <c r="J2" s="72" t="s">
        <v>82</v>
      </c>
      <c r="K2" s="83"/>
      <c r="L2" s="73">
        <v>60.96</v>
      </c>
      <c r="M2">
        <v>24</v>
      </c>
    </row>
    <row r="3" spans="1:13">
      <c r="B3" s="68">
        <v>139</v>
      </c>
      <c r="C3" s="69">
        <v>54</v>
      </c>
      <c r="D3" t="s">
        <v>83</v>
      </c>
      <c r="F3" t="s">
        <v>84</v>
      </c>
      <c r="G3" s="74">
        <v>41</v>
      </c>
      <c r="H3" s="71">
        <v>71</v>
      </c>
      <c r="I3" s="74" t="s">
        <v>85</v>
      </c>
      <c r="J3" s="72" t="s">
        <v>86</v>
      </c>
      <c r="K3" s="83"/>
      <c r="L3" s="73">
        <v>63.5</v>
      </c>
      <c r="M3">
        <v>25</v>
      </c>
    </row>
    <row r="4" spans="1:13">
      <c r="B4" s="68">
        <v>140</v>
      </c>
      <c r="C4" s="69">
        <v>55</v>
      </c>
      <c r="D4" t="s">
        <v>87</v>
      </c>
      <c r="G4" s="71">
        <v>42</v>
      </c>
      <c r="H4" s="71">
        <v>72</v>
      </c>
      <c r="I4" s="71" t="s">
        <v>88</v>
      </c>
      <c r="J4" s="72" t="s">
        <v>89</v>
      </c>
      <c r="K4" s="83"/>
      <c r="L4" s="73">
        <v>66.039999999999992</v>
      </c>
      <c r="M4">
        <v>26</v>
      </c>
    </row>
    <row r="5" spans="1:13">
      <c r="B5" s="68">
        <v>141</v>
      </c>
      <c r="C5" s="69">
        <v>56</v>
      </c>
      <c r="D5" t="s">
        <v>90</v>
      </c>
      <c r="G5" s="74">
        <v>43</v>
      </c>
      <c r="H5" s="71">
        <v>73</v>
      </c>
      <c r="I5" s="74" t="s">
        <v>6</v>
      </c>
      <c r="J5" s="72" t="s">
        <v>91</v>
      </c>
      <c r="K5" s="83"/>
      <c r="L5" s="73">
        <v>68.58</v>
      </c>
      <c r="M5">
        <v>27</v>
      </c>
    </row>
    <row r="6" spans="1:13">
      <c r="B6" s="68">
        <v>142</v>
      </c>
      <c r="C6" s="69">
        <v>57</v>
      </c>
      <c r="D6" t="s">
        <v>92</v>
      </c>
      <c r="G6" s="71">
        <v>44</v>
      </c>
      <c r="H6" s="71">
        <v>74</v>
      </c>
      <c r="I6" s="71" t="s">
        <v>93</v>
      </c>
      <c r="J6" s="72"/>
      <c r="K6" s="83"/>
      <c r="L6" s="73">
        <v>71.12</v>
      </c>
      <c r="M6">
        <v>28</v>
      </c>
    </row>
    <row r="7" spans="1:13">
      <c r="B7" s="68">
        <v>143</v>
      </c>
      <c r="C7" s="69">
        <v>58</v>
      </c>
      <c r="D7" t="s">
        <v>94</v>
      </c>
      <c r="G7" s="74">
        <v>45</v>
      </c>
      <c r="H7" s="71">
        <v>75</v>
      </c>
      <c r="I7" s="74" t="s">
        <v>95</v>
      </c>
      <c r="J7" s="72"/>
      <c r="K7" s="83"/>
      <c r="L7" s="73">
        <v>73.66</v>
      </c>
      <c r="M7">
        <v>29</v>
      </c>
    </row>
    <row r="8" spans="1:13">
      <c r="B8" s="68">
        <v>144</v>
      </c>
      <c r="C8" s="69">
        <v>59</v>
      </c>
      <c r="D8" t="s">
        <v>96</v>
      </c>
      <c r="G8" s="71">
        <v>46</v>
      </c>
      <c r="H8" s="71">
        <v>76</v>
      </c>
      <c r="I8" s="71" t="s">
        <v>97</v>
      </c>
      <c r="J8" s="72"/>
      <c r="K8" s="83"/>
      <c r="L8" s="73">
        <v>76.2</v>
      </c>
      <c r="M8">
        <v>30</v>
      </c>
    </row>
    <row r="9" spans="1:13">
      <c r="B9" s="68">
        <v>145</v>
      </c>
      <c r="C9" s="69">
        <v>60</v>
      </c>
      <c r="D9" t="s">
        <v>98</v>
      </c>
      <c r="G9" s="74">
        <v>47</v>
      </c>
      <c r="H9" s="71">
        <v>77</v>
      </c>
      <c r="I9" s="74" t="s">
        <v>99</v>
      </c>
      <c r="J9" s="72"/>
      <c r="K9" s="83"/>
      <c r="L9" s="73">
        <v>78.739999999999995</v>
      </c>
      <c r="M9">
        <v>31</v>
      </c>
    </row>
    <row r="10" spans="1:13">
      <c r="B10" s="68">
        <v>146</v>
      </c>
      <c r="C10" s="69">
        <v>61</v>
      </c>
      <c r="D10" t="s">
        <v>100</v>
      </c>
      <c r="G10" s="71">
        <v>48</v>
      </c>
      <c r="H10" s="71">
        <v>78</v>
      </c>
      <c r="I10" s="71" t="s">
        <v>101</v>
      </c>
      <c r="J10" s="72"/>
      <c r="K10" s="83"/>
      <c r="L10" s="73">
        <v>81.28</v>
      </c>
      <c r="M10">
        <v>32</v>
      </c>
    </row>
    <row r="11" spans="1:13">
      <c r="B11" s="68">
        <v>147</v>
      </c>
      <c r="C11" s="69">
        <v>62</v>
      </c>
      <c r="D11" t="s">
        <v>102</v>
      </c>
      <c r="G11" s="74">
        <v>49</v>
      </c>
      <c r="H11" s="71">
        <v>79</v>
      </c>
      <c r="I11" s="74" t="s">
        <v>103</v>
      </c>
      <c r="J11" s="72"/>
      <c r="K11" s="83"/>
      <c r="L11" s="73">
        <v>83.82</v>
      </c>
      <c r="M11">
        <v>33</v>
      </c>
    </row>
    <row r="12" spans="1:13">
      <c r="B12" s="68">
        <v>148</v>
      </c>
      <c r="C12" s="69">
        <v>63</v>
      </c>
      <c r="D12" t="s">
        <v>104</v>
      </c>
      <c r="G12" s="71">
        <v>50</v>
      </c>
      <c r="H12" s="71">
        <v>80</v>
      </c>
      <c r="I12" s="71" t="s">
        <v>105</v>
      </c>
      <c r="J12" s="72"/>
      <c r="K12" s="83"/>
      <c r="L12" s="73">
        <v>86.36</v>
      </c>
      <c r="M12">
        <v>34</v>
      </c>
    </row>
    <row r="13" spans="1:13">
      <c r="B13" s="68">
        <v>149</v>
      </c>
      <c r="C13" s="69">
        <v>64</v>
      </c>
      <c r="D13" t="s">
        <v>106</v>
      </c>
      <c r="G13" s="74">
        <v>51</v>
      </c>
      <c r="H13" s="71">
        <v>81</v>
      </c>
      <c r="I13" s="74" t="s">
        <v>107</v>
      </c>
      <c r="J13" s="72"/>
      <c r="K13" s="83"/>
      <c r="L13" s="73">
        <v>88.9</v>
      </c>
      <c r="M13">
        <v>35</v>
      </c>
    </row>
    <row r="14" spans="1:13">
      <c r="B14" s="68">
        <v>150</v>
      </c>
      <c r="C14" s="69">
        <v>65</v>
      </c>
      <c r="D14" t="s">
        <v>108</v>
      </c>
      <c r="G14" s="71">
        <v>52</v>
      </c>
      <c r="H14" s="71">
        <v>82</v>
      </c>
      <c r="I14" s="71" t="s">
        <v>109</v>
      </c>
      <c r="J14" s="72"/>
      <c r="K14" s="83"/>
      <c r="L14" s="73">
        <v>91.44</v>
      </c>
      <c r="M14">
        <v>36</v>
      </c>
    </row>
    <row r="15" spans="1:13">
      <c r="B15" s="68">
        <v>151</v>
      </c>
      <c r="C15" s="69">
        <v>66</v>
      </c>
      <c r="D15" t="s">
        <v>110</v>
      </c>
      <c r="G15" s="74">
        <v>53</v>
      </c>
      <c r="H15" s="71">
        <v>83</v>
      </c>
      <c r="I15" s="74" t="s">
        <v>111</v>
      </c>
      <c r="J15" s="72"/>
      <c r="K15" s="83"/>
      <c r="L15" s="73">
        <v>93.97999999999999</v>
      </c>
      <c r="M15">
        <v>37</v>
      </c>
    </row>
    <row r="16" spans="1:13">
      <c r="B16" s="68">
        <v>152</v>
      </c>
      <c r="C16" s="69">
        <v>67</v>
      </c>
      <c r="D16" t="s">
        <v>112</v>
      </c>
      <c r="G16" s="71">
        <v>54</v>
      </c>
      <c r="H16" s="71">
        <v>84</v>
      </c>
      <c r="I16" s="71" t="s">
        <v>113</v>
      </c>
      <c r="J16" s="72"/>
      <c r="K16" s="83"/>
      <c r="L16" s="73">
        <v>96.52</v>
      </c>
      <c r="M16">
        <v>38</v>
      </c>
    </row>
    <row r="17" spans="2:13">
      <c r="B17" s="68">
        <v>153</v>
      </c>
      <c r="C17" s="69">
        <v>68</v>
      </c>
      <c r="D17" t="s">
        <v>114</v>
      </c>
      <c r="G17" s="74">
        <v>55</v>
      </c>
      <c r="H17" s="71">
        <v>85</v>
      </c>
      <c r="I17" s="74" t="s">
        <v>115</v>
      </c>
      <c r="J17" s="72"/>
      <c r="K17" s="83"/>
      <c r="L17" s="73">
        <v>99.06</v>
      </c>
      <c r="M17">
        <v>39</v>
      </c>
    </row>
    <row r="18" spans="2:13">
      <c r="B18" s="68">
        <v>154</v>
      </c>
      <c r="C18" s="69">
        <v>69</v>
      </c>
      <c r="D18" t="s">
        <v>116</v>
      </c>
      <c r="G18" s="71">
        <v>56</v>
      </c>
      <c r="H18" s="71">
        <v>86</v>
      </c>
      <c r="I18" s="71" t="s">
        <v>117</v>
      </c>
      <c r="J18" s="72"/>
      <c r="K18" s="83"/>
      <c r="L18" s="73">
        <v>101.6</v>
      </c>
      <c r="M18">
        <v>40</v>
      </c>
    </row>
    <row r="19" spans="2:13">
      <c r="B19" s="68">
        <v>155</v>
      </c>
      <c r="C19" s="69">
        <v>70</v>
      </c>
      <c r="D19" t="s">
        <v>118</v>
      </c>
      <c r="G19" s="74">
        <v>57</v>
      </c>
      <c r="H19" s="71">
        <v>87</v>
      </c>
      <c r="I19" s="74" t="s">
        <v>119</v>
      </c>
      <c r="J19" s="72"/>
      <c r="K19" s="83"/>
      <c r="L19" s="73">
        <v>104.14000000000001</v>
      </c>
      <c r="M19">
        <v>41</v>
      </c>
    </row>
    <row r="20" spans="2:13">
      <c r="B20" s="68">
        <v>156</v>
      </c>
      <c r="C20" s="69">
        <v>71</v>
      </c>
      <c r="D20" t="s">
        <v>120</v>
      </c>
      <c r="G20" s="71">
        <v>58</v>
      </c>
      <c r="H20" s="71">
        <v>88</v>
      </c>
      <c r="I20" s="71" t="s">
        <v>121</v>
      </c>
      <c r="J20" s="72"/>
      <c r="K20" s="83"/>
      <c r="L20" s="73">
        <v>106.67999999999999</v>
      </c>
      <c r="M20">
        <v>42</v>
      </c>
    </row>
    <row r="21" spans="2:13">
      <c r="B21" s="68">
        <v>157</v>
      </c>
      <c r="C21" s="69">
        <v>72</v>
      </c>
      <c r="D21" t="s">
        <v>122</v>
      </c>
      <c r="G21" s="74">
        <v>59</v>
      </c>
      <c r="H21" s="71">
        <v>89</v>
      </c>
      <c r="I21" s="74" t="s">
        <v>123</v>
      </c>
      <c r="J21" s="72"/>
      <c r="K21" s="83"/>
      <c r="L21" s="73">
        <v>109.22</v>
      </c>
      <c r="M21">
        <v>43</v>
      </c>
    </row>
    <row r="22" spans="2:13">
      <c r="B22" s="68">
        <v>158</v>
      </c>
      <c r="C22" s="69">
        <v>73</v>
      </c>
      <c r="D22" t="s">
        <v>124</v>
      </c>
      <c r="G22" s="71">
        <v>60</v>
      </c>
      <c r="H22" s="71">
        <v>90</v>
      </c>
      <c r="I22" s="71" t="s">
        <v>125</v>
      </c>
      <c r="J22" s="72"/>
      <c r="K22" s="83"/>
      <c r="L22" s="73">
        <v>111.75999999999999</v>
      </c>
      <c r="M22">
        <v>44</v>
      </c>
    </row>
    <row r="23" spans="2:13">
      <c r="B23" s="68">
        <v>159</v>
      </c>
      <c r="C23" s="69">
        <v>74</v>
      </c>
      <c r="D23" t="s">
        <v>126</v>
      </c>
      <c r="G23" s="74">
        <v>61</v>
      </c>
      <c r="H23" s="71">
        <v>91</v>
      </c>
      <c r="I23" s="74" t="s">
        <v>127</v>
      </c>
      <c r="J23" s="72"/>
      <c r="K23" s="83"/>
      <c r="L23" s="73">
        <v>114.3</v>
      </c>
      <c r="M23">
        <v>45</v>
      </c>
    </row>
    <row r="24" spans="2:13">
      <c r="B24" s="68">
        <v>160</v>
      </c>
      <c r="C24" s="69">
        <v>75</v>
      </c>
      <c r="D24" t="s">
        <v>128</v>
      </c>
      <c r="G24" s="71">
        <v>62</v>
      </c>
      <c r="H24" s="71">
        <v>92</v>
      </c>
      <c r="I24" s="71" t="s">
        <v>129</v>
      </c>
      <c r="J24" s="72"/>
      <c r="K24" s="83"/>
      <c r="L24" s="73">
        <v>116.84</v>
      </c>
      <c r="M24">
        <v>46</v>
      </c>
    </row>
    <row r="25" spans="2:13">
      <c r="B25" s="68">
        <v>161</v>
      </c>
      <c r="C25" s="69">
        <v>76</v>
      </c>
      <c r="D25" t="s">
        <v>130</v>
      </c>
      <c r="G25" s="74">
        <v>63</v>
      </c>
      <c r="H25" s="71">
        <v>93</v>
      </c>
      <c r="I25" s="74" t="s">
        <v>131</v>
      </c>
      <c r="J25" s="72"/>
      <c r="K25" s="83"/>
      <c r="L25" s="73">
        <v>119.38</v>
      </c>
      <c r="M25">
        <v>47</v>
      </c>
    </row>
    <row r="26" spans="2:13">
      <c r="B26" s="68">
        <v>162</v>
      </c>
      <c r="C26" s="69">
        <v>77</v>
      </c>
      <c r="D26" t="s">
        <v>132</v>
      </c>
      <c r="G26" s="71">
        <v>64</v>
      </c>
      <c r="H26" s="71">
        <v>94</v>
      </c>
      <c r="I26" s="71" t="s">
        <v>133</v>
      </c>
      <c r="J26" s="72"/>
      <c r="K26" s="83"/>
      <c r="L26" s="73">
        <v>121.92</v>
      </c>
      <c r="M26">
        <v>48</v>
      </c>
    </row>
    <row r="27" spans="2:13">
      <c r="B27" s="68">
        <v>163</v>
      </c>
      <c r="C27" s="69">
        <v>78</v>
      </c>
      <c r="D27" t="s">
        <v>134</v>
      </c>
      <c r="G27" s="74">
        <v>65</v>
      </c>
      <c r="H27" s="71">
        <v>95</v>
      </c>
      <c r="I27" s="74" t="s">
        <v>135</v>
      </c>
      <c r="J27" s="72"/>
      <c r="K27" s="83"/>
      <c r="L27" s="73">
        <v>124.46</v>
      </c>
      <c r="M27">
        <v>49</v>
      </c>
    </row>
    <row r="28" spans="2:13">
      <c r="B28" s="68">
        <v>164</v>
      </c>
      <c r="C28" s="69">
        <v>79</v>
      </c>
      <c r="D28" t="s">
        <v>136</v>
      </c>
      <c r="G28" s="71">
        <v>66</v>
      </c>
      <c r="H28" s="71">
        <v>96</v>
      </c>
      <c r="I28" s="71" t="s">
        <v>137</v>
      </c>
      <c r="J28" s="72"/>
      <c r="K28" s="83"/>
      <c r="L28" s="73">
        <v>127</v>
      </c>
      <c r="M28">
        <v>50</v>
      </c>
    </row>
    <row r="29" spans="2:13">
      <c r="B29" s="68">
        <v>165</v>
      </c>
      <c r="C29" s="69">
        <v>80</v>
      </c>
      <c r="D29" t="s">
        <v>138</v>
      </c>
      <c r="G29" s="74">
        <v>67</v>
      </c>
      <c r="H29" s="71">
        <v>97</v>
      </c>
      <c r="I29" s="74" t="s">
        <v>139</v>
      </c>
      <c r="J29" s="72"/>
      <c r="K29" s="83"/>
      <c r="L29" s="73">
        <v>129.54000000000002</v>
      </c>
      <c r="M29">
        <v>51</v>
      </c>
    </row>
    <row r="30" spans="2:13">
      <c r="B30" s="68">
        <v>166</v>
      </c>
      <c r="C30" s="69">
        <v>81</v>
      </c>
      <c r="D30" t="s">
        <v>140</v>
      </c>
      <c r="G30" s="71">
        <v>68</v>
      </c>
      <c r="H30" s="71">
        <v>98</v>
      </c>
      <c r="I30" s="71" t="s">
        <v>141</v>
      </c>
      <c r="J30" s="72"/>
      <c r="K30" s="83"/>
      <c r="L30" s="73">
        <v>132.07999999999998</v>
      </c>
      <c r="M30">
        <v>52</v>
      </c>
    </row>
    <row r="31" spans="2:13">
      <c r="B31" s="68">
        <v>167</v>
      </c>
      <c r="C31" s="69">
        <v>82</v>
      </c>
      <c r="D31" t="s">
        <v>142</v>
      </c>
      <c r="G31" s="74">
        <v>69</v>
      </c>
      <c r="H31" s="71">
        <v>99</v>
      </c>
      <c r="I31" s="74" t="s">
        <v>143</v>
      </c>
      <c r="J31" s="72"/>
      <c r="K31" s="83"/>
      <c r="L31" s="73">
        <v>134.62</v>
      </c>
      <c r="M31">
        <v>53</v>
      </c>
    </row>
    <row r="32" spans="2:13">
      <c r="B32" s="68">
        <v>168</v>
      </c>
      <c r="C32" s="69">
        <v>83</v>
      </c>
      <c r="D32" t="s">
        <v>144</v>
      </c>
      <c r="G32" s="71">
        <v>70</v>
      </c>
      <c r="H32" s="71">
        <v>100</v>
      </c>
      <c r="I32" s="71" t="s">
        <v>145</v>
      </c>
      <c r="J32" s="72"/>
      <c r="K32" s="83"/>
      <c r="L32" s="73">
        <v>137.16</v>
      </c>
      <c r="M32">
        <v>54</v>
      </c>
    </row>
    <row r="33" spans="2:13">
      <c r="B33" s="68">
        <v>169</v>
      </c>
      <c r="C33" s="69">
        <v>84</v>
      </c>
      <c r="D33" t="s">
        <v>146</v>
      </c>
      <c r="G33" s="74">
        <v>71</v>
      </c>
      <c r="H33" s="71">
        <v>101</v>
      </c>
      <c r="I33" s="74" t="s">
        <v>147</v>
      </c>
      <c r="J33" s="72"/>
      <c r="K33" s="83"/>
      <c r="L33" s="73">
        <v>139.69999999999999</v>
      </c>
      <c r="M33">
        <v>55</v>
      </c>
    </row>
    <row r="34" spans="2:13">
      <c r="B34" s="68">
        <v>170</v>
      </c>
      <c r="C34" s="69">
        <v>85</v>
      </c>
      <c r="D34" t="s">
        <v>148</v>
      </c>
      <c r="G34" s="71">
        <v>72</v>
      </c>
      <c r="H34" s="71">
        <v>102</v>
      </c>
      <c r="I34" s="71" t="s">
        <v>149</v>
      </c>
      <c r="J34" s="72"/>
      <c r="K34" s="83"/>
      <c r="L34" s="73">
        <v>142.24</v>
      </c>
      <c r="M34">
        <v>56</v>
      </c>
    </row>
    <row r="35" spans="2:13">
      <c r="B35" s="68">
        <v>171</v>
      </c>
      <c r="C35" s="69">
        <v>86</v>
      </c>
      <c r="D35" t="s">
        <v>150</v>
      </c>
      <c r="G35" s="74">
        <v>73</v>
      </c>
      <c r="H35" s="71">
        <v>103</v>
      </c>
      <c r="I35" s="74" t="s">
        <v>151</v>
      </c>
      <c r="J35" s="72"/>
      <c r="K35" s="83"/>
      <c r="L35" s="73">
        <v>144.78</v>
      </c>
      <c r="M35">
        <v>57</v>
      </c>
    </row>
    <row r="36" spans="2:13">
      <c r="B36" s="68">
        <v>172</v>
      </c>
      <c r="C36" s="69">
        <v>87</v>
      </c>
      <c r="D36" t="s">
        <v>152</v>
      </c>
      <c r="G36" s="71">
        <v>74</v>
      </c>
      <c r="H36" s="71">
        <v>104</v>
      </c>
      <c r="I36" s="71" t="s">
        <v>153</v>
      </c>
      <c r="J36" s="72"/>
      <c r="K36" s="83"/>
      <c r="L36" s="73">
        <v>147.32</v>
      </c>
      <c r="M36">
        <v>58</v>
      </c>
    </row>
    <row r="37" spans="2:13">
      <c r="B37" s="68">
        <v>173</v>
      </c>
      <c r="C37" s="69">
        <v>88</v>
      </c>
      <c r="D37" t="s">
        <v>154</v>
      </c>
      <c r="G37" s="74">
        <v>75</v>
      </c>
      <c r="H37" s="71">
        <v>105</v>
      </c>
      <c r="I37" s="74" t="s">
        <v>155</v>
      </c>
      <c r="J37" s="72"/>
      <c r="K37" s="83"/>
      <c r="L37" s="73">
        <v>149.85999999999999</v>
      </c>
      <c r="M37">
        <v>59</v>
      </c>
    </row>
    <row r="38" spans="2:13">
      <c r="B38" s="68">
        <v>174</v>
      </c>
      <c r="C38" s="69">
        <v>89</v>
      </c>
      <c r="D38" t="s">
        <v>156</v>
      </c>
      <c r="G38" s="71">
        <v>76</v>
      </c>
      <c r="H38" s="71">
        <v>106</v>
      </c>
      <c r="I38" s="71" t="s">
        <v>157</v>
      </c>
      <c r="J38" s="72"/>
      <c r="K38" s="83"/>
      <c r="L38" s="73">
        <v>152.4</v>
      </c>
      <c r="M38">
        <v>60</v>
      </c>
    </row>
    <row r="39" spans="2:13">
      <c r="B39" s="68">
        <v>175</v>
      </c>
      <c r="C39" s="69">
        <v>90</v>
      </c>
      <c r="D39" t="s">
        <v>158</v>
      </c>
      <c r="G39" s="74">
        <v>77</v>
      </c>
      <c r="H39" s="71">
        <v>107</v>
      </c>
      <c r="I39" s="74" t="s">
        <v>159</v>
      </c>
      <c r="J39" s="72"/>
      <c r="K39" s="83"/>
      <c r="L39" s="73">
        <v>154.94</v>
      </c>
      <c r="M39">
        <v>61</v>
      </c>
    </row>
    <row r="40" spans="2:13">
      <c r="B40" s="68">
        <v>176</v>
      </c>
      <c r="C40" s="69">
        <v>91</v>
      </c>
      <c r="D40" t="s">
        <v>160</v>
      </c>
      <c r="G40" s="71">
        <v>78</v>
      </c>
      <c r="H40" s="71">
        <v>108</v>
      </c>
      <c r="I40" s="71" t="s">
        <v>161</v>
      </c>
      <c r="J40" s="72"/>
      <c r="K40" s="83"/>
      <c r="L40" s="73">
        <v>157.47999999999999</v>
      </c>
      <c r="M40">
        <v>62</v>
      </c>
    </row>
    <row r="41" spans="2:13">
      <c r="B41" s="68">
        <v>177</v>
      </c>
      <c r="C41" s="69">
        <v>92</v>
      </c>
      <c r="D41" t="s">
        <v>162</v>
      </c>
      <c r="G41" s="74">
        <v>79</v>
      </c>
      <c r="H41" s="71">
        <v>109</v>
      </c>
      <c r="I41" s="74" t="s">
        <v>163</v>
      </c>
      <c r="J41" s="72"/>
      <c r="K41" s="83"/>
      <c r="L41" s="73">
        <v>160.02000000000001</v>
      </c>
      <c r="M41">
        <v>63</v>
      </c>
    </row>
    <row r="42" spans="2:13">
      <c r="B42" s="68">
        <v>178</v>
      </c>
      <c r="C42" s="69">
        <v>93</v>
      </c>
      <c r="D42" t="s">
        <v>164</v>
      </c>
      <c r="G42" s="71">
        <v>80</v>
      </c>
      <c r="H42" s="71">
        <v>110</v>
      </c>
      <c r="I42" s="71" t="s">
        <v>165</v>
      </c>
      <c r="J42" s="72"/>
      <c r="K42" s="83"/>
      <c r="L42" s="73">
        <v>162.56</v>
      </c>
      <c r="M42">
        <v>64</v>
      </c>
    </row>
    <row r="43" spans="2:13">
      <c r="B43" s="68">
        <v>179</v>
      </c>
      <c r="C43" s="69">
        <v>94</v>
      </c>
      <c r="D43" t="s">
        <v>166</v>
      </c>
      <c r="G43" s="74">
        <v>81</v>
      </c>
      <c r="H43" s="71">
        <v>111</v>
      </c>
      <c r="I43" s="74" t="s">
        <v>167</v>
      </c>
      <c r="J43" s="72"/>
      <c r="K43" s="83"/>
      <c r="L43" s="73">
        <v>165.1</v>
      </c>
      <c r="M43">
        <v>65</v>
      </c>
    </row>
    <row r="44" spans="2:13">
      <c r="B44" s="68">
        <v>180</v>
      </c>
      <c r="C44" s="69">
        <v>95</v>
      </c>
      <c r="D44" t="s">
        <v>168</v>
      </c>
      <c r="G44" s="71">
        <v>82</v>
      </c>
      <c r="H44" s="71">
        <v>112</v>
      </c>
      <c r="I44" s="71" t="s">
        <v>169</v>
      </c>
      <c r="J44" s="72"/>
      <c r="K44" s="83"/>
      <c r="L44" s="73">
        <v>167.64</v>
      </c>
      <c r="M44">
        <v>66</v>
      </c>
    </row>
    <row r="45" spans="2:13">
      <c r="B45" s="68">
        <v>181</v>
      </c>
      <c r="C45" s="69">
        <v>96</v>
      </c>
      <c r="G45" s="74">
        <v>83</v>
      </c>
      <c r="H45" s="71">
        <v>113</v>
      </c>
      <c r="I45" s="74" t="s">
        <v>170</v>
      </c>
      <c r="J45" s="72"/>
      <c r="K45" s="83"/>
      <c r="L45" s="73">
        <v>170.18</v>
      </c>
      <c r="M45">
        <v>67</v>
      </c>
    </row>
    <row r="46" spans="2:13">
      <c r="B46" s="68">
        <v>182</v>
      </c>
      <c r="C46" s="69">
        <v>97</v>
      </c>
      <c r="G46" s="71">
        <v>84</v>
      </c>
      <c r="H46" s="71">
        <v>114</v>
      </c>
      <c r="I46" s="71" t="s">
        <v>171</v>
      </c>
      <c r="J46" s="72"/>
      <c r="K46" s="83"/>
      <c r="L46" s="73">
        <v>172.72</v>
      </c>
      <c r="M46">
        <v>68</v>
      </c>
    </row>
    <row r="47" spans="2:13">
      <c r="B47" s="68">
        <v>183</v>
      </c>
      <c r="G47" s="74">
        <v>85</v>
      </c>
      <c r="H47" s="71">
        <v>115</v>
      </c>
      <c r="I47" s="74" t="s">
        <v>172</v>
      </c>
      <c r="J47" s="72"/>
      <c r="K47" s="83"/>
      <c r="L47" s="73">
        <v>175.26</v>
      </c>
      <c r="M47">
        <v>69</v>
      </c>
    </row>
    <row r="48" spans="2:13">
      <c r="B48" s="68">
        <v>184</v>
      </c>
      <c r="G48" s="71">
        <v>86</v>
      </c>
      <c r="H48" s="71">
        <v>116</v>
      </c>
      <c r="I48" s="71" t="s">
        <v>173</v>
      </c>
      <c r="J48" s="72"/>
      <c r="K48" s="83"/>
      <c r="L48" s="73">
        <v>177.8</v>
      </c>
      <c r="M48">
        <v>70</v>
      </c>
    </row>
    <row r="49" spans="2:13">
      <c r="B49" s="68">
        <v>185</v>
      </c>
      <c r="G49" s="74">
        <v>87</v>
      </c>
      <c r="H49" s="71">
        <v>117</v>
      </c>
      <c r="I49" s="74" t="s">
        <v>174</v>
      </c>
      <c r="J49" s="72"/>
      <c r="K49" s="83"/>
      <c r="L49" s="73">
        <v>180.33999999999997</v>
      </c>
      <c r="M49">
        <v>71</v>
      </c>
    </row>
    <row r="50" spans="2:13">
      <c r="B50" s="68">
        <v>186</v>
      </c>
      <c r="G50" s="71">
        <v>88</v>
      </c>
      <c r="H50" s="71">
        <v>118</v>
      </c>
      <c r="I50" s="71" t="s">
        <v>175</v>
      </c>
      <c r="J50" s="72"/>
      <c r="K50" s="83"/>
      <c r="L50" s="73">
        <v>182.88</v>
      </c>
      <c r="M50">
        <v>72</v>
      </c>
    </row>
    <row r="51" spans="2:13">
      <c r="B51" s="68">
        <v>187</v>
      </c>
      <c r="G51" s="74">
        <v>89</v>
      </c>
      <c r="H51" s="71">
        <v>119</v>
      </c>
      <c r="I51" s="74" t="s">
        <v>176</v>
      </c>
      <c r="J51" s="72"/>
      <c r="K51" s="83"/>
      <c r="L51" s="73">
        <v>185.42000000000002</v>
      </c>
      <c r="M51">
        <v>73</v>
      </c>
    </row>
    <row r="52" spans="2:13">
      <c r="B52" s="68">
        <v>188</v>
      </c>
      <c r="G52" s="71">
        <v>90</v>
      </c>
      <c r="H52" s="71">
        <v>120</v>
      </c>
      <c r="I52" s="71" t="s">
        <v>177</v>
      </c>
      <c r="J52" s="72"/>
      <c r="K52" s="83"/>
      <c r="L52" s="73">
        <v>187.95999999999998</v>
      </c>
      <c r="M52">
        <v>74</v>
      </c>
    </row>
    <row r="53" spans="2:13">
      <c r="B53" s="68">
        <v>189</v>
      </c>
      <c r="G53" s="74">
        <v>91</v>
      </c>
      <c r="H53" s="71">
        <v>121</v>
      </c>
      <c r="I53" s="74" t="s">
        <v>178</v>
      </c>
      <c r="J53" s="72"/>
      <c r="K53" s="83"/>
      <c r="L53" s="73">
        <v>190.5</v>
      </c>
      <c r="M53">
        <v>75</v>
      </c>
    </row>
    <row r="54" spans="2:13">
      <c r="B54" s="68">
        <v>190</v>
      </c>
      <c r="G54" s="71">
        <v>92</v>
      </c>
      <c r="H54" s="71">
        <v>122</v>
      </c>
      <c r="I54" s="71" t="s">
        <v>179</v>
      </c>
      <c r="J54" s="72"/>
      <c r="K54" s="83"/>
      <c r="L54" s="73">
        <v>193.04</v>
      </c>
      <c r="M54">
        <v>76</v>
      </c>
    </row>
    <row r="55" spans="2:13">
      <c r="B55" s="68">
        <v>191</v>
      </c>
      <c r="G55" s="74">
        <v>93</v>
      </c>
      <c r="H55" s="71">
        <v>123</v>
      </c>
      <c r="I55" s="74" t="s">
        <v>180</v>
      </c>
      <c r="J55" s="72"/>
      <c r="K55" s="83"/>
      <c r="L55" s="73">
        <v>195.57999999999998</v>
      </c>
      <c r="M55">
        <v>77</v>
      </c>
    </row>
    <row r="56" spans="2:13">
      <c r="B56" s="68">
        <v>192</v>
      </c>
      <c r="G56" s="71">
        <v>94</v>
      </c>
      <c r="H56" s="71">
        <v>124</v>
      </c>
      <c r="I56" s="71" t="s">
        <v>181</v>
      </c>
      <c r="J56" s="72"/>
      <c r="K56" s="83"/>
      <c r="L56" s="73">
        <v>198.12</v>
      </c>
      <c r="M56">
        <v>78</v>
      </c>
    </row>
    <row r="57" spans="2:13">
      <c r="B57" s="68">
        <v>193</v>
      </c>
      <c r="G57" s="74">
        <v>95</v>
      </c>
      <c r="H57" s="71">
        <v>125</v>
      </c>
      <c r="I57" s="74" t="s">
        <v>182</v>
      </c>
      <c r="J57" s="72"/>
      <c r="K57" s="83"/>
      <c r="L57" s="73">
        <v>200.66000000000003</v>
      </c>
      <c r="M57">
        <v>79</v>
      </c>
    </row>
    <row r="58" spans="2:13">
      <c r="B58" s="68">
        <v>194</v>
      </c>
      <c r="G58" s="71">
        <v>96</v>
      </c>
      <c r="H58" s="71">
        <v>126</v>
      </c>
      <c r="I58" s="71" t="s">
        <v>183</v>
      </c>
      <c r="J58" s="72"/>
      <c r="K58" s="83"/>
      <c r="L58" s="73">
        <v>203.2</v>
      </c>
      <c r="M58">
        <v>80</v>
      </c>
    </row>
    <row r="59" spans="2:13">
      <c r="B59" s="68">
        <v>195</v>
      </c>
      <c r="G59" s="74">
        <v>97</v>
      </c>
      <c r="H59" s="71">
        <v>127</v>
      </c>
      <c r="I59" s="74" t="s">
        <v>184</v>
      </c>
      <c r="J59" s="72"/>
      <c r="K59" s="83"/>
      <c r="L59" s="73">
        <v>205.73999999999998</v>
      </c>
      <c r="M59">
        <v>81</v>
      </c>
    </row>
    <row r="60" spans="2:13">
      <c r="B60" s="68">
        <v>196</v>
      </c>
      <c r="G60" s="71">
        <v>98</v>
      </c>
      <c r="H60" s="71">
        <v>128</v>
      </c>
      <c r="I60" s="71" t="s">
        <v>185</v>
      </c>
      <c r="J60" s="72"/>
      <c r="K60" s="83"/>
      <c r="L60" s="73">
        <v>208.28000000000003</v>
      </c>
      <c r="M60">
        <v>82</v>
      </c>
    </row>
    <row r="61" spans="2:13">
      <c r="B61" s="68">
        <v>197</v>
      </c>
      <c r="G61" s="74">
        <v>99</v>
      </c>
      <c r="H61" s="71">
        <v>129</v>
      </c>
      <c r="I61" s="74" t="s">
        <v>186</v>
      </c>
      <c r="J61" s="72"/>
      <c r="K61" s="83"/>
    </row>
    <row r="62" spans="2:13">
      <c r="B62" s="68">
        <v>198</v>
      </c>
      <c r="G62" s="71">
        <v>100</v>
      </c>
      <c r="H62" s="71">
        <v>130</v>
      </c>
      <c r="I62" s="71" t="s">
        <v>187</v>
      </c>
      <c r="J62" s="72"/>
      <c r="K62" s="83"/>
    </row>
    <row r="63" spans="2:13">
      <c r="B63" s="68">
        <v>199</v>
      </c>
      <c r="G63" s="74">
        <v>101</v>
      </c>
      <c r="H63" s="71">
        <v>131</v>
      </c>
      <c r="I63" s="74" t="s">
        <v>188</v>
      </c>
      <c r="J63" s="72"/>
      <c r="K63" s="83"/>
    </row>
    <row r="64" spans="2:13">
      <c r="B64" s="68">
        <v>200</v>
      </c>
      <c r="G64" s="71">
        <v>102</v>
      </c>
      <c r="H64" s="71">
        <v>132</v>
      </c>
      <c r="I64" s="71" t="s">
        <v>189</v>
      </c>
      <c r="J64" s="72"/>
      <c r="K64" s="83"/>
    </row>
    <row r="65" spans="2:11">
      <c r="B65" s="68">
        <v>201</v>
      </c>
      <c r="G65" s="74">
        <v>103</v>
      </c>
      <c r="H65" s="71">
        <v>133</v>
      </c>
      <c r="I65" s="74" t="s">
        <v>190</v>
      </c>
      <c r="J65" s="72"/>
      <c r="K65" s="83"/>
    </row>
    <row r="66" spans="2:11">
      <c r="B66" s="68">
        <v>202</v>
      </c>
      <c r="G66" s="71">
        <v>104</v>
      </c>
      <c r="H66" s="71">
        <v>134</v>
      </c>
      <c r="I66" s="71" t="s">
        <v>191</v>
      </c>
      <c r="J66" s="72"/>
      <c r="K66" s="83"/>
    </row>
    <row r="67" spans="2:11">
      <c r="B67" s="68">
        <v>203</v>
      </c>
      <c r="G67" s="74">
        <v>105</v>
      </c>
      <c r="H67" s="71">
        <v>135</v>
      </c>
      <c r="I67" s="74" t="s">
        <v>192</v>
      </c>
      <c r="J67" s="72"/>
      <c r="K67" s="83"/>
    </row>
    <row r="68" spans="2:11">
      <c r="B68" s="68">
        <v>204</v>
      </c>
      <c r="G68" s="71">
        <v>106</v>
      </c>
      <c r="H68" s="71">
        <v>136</v>
      </c>
      <c r="I68" s="71" t="s">
        <v>193</v>
      </c>
      <c r="J68" s="72"/>
      <c r="K68" s="83"/>
    </row>
    <row r="69" spans="2:11">
      <c r="B69" s="68">
        <v>205</v>
      </c>
      <c r="G69" s="74">
        <v>107</v>
      </c>
      <c r="H69" s="71">
        <v>137</v>
      </c>
      <c r="I69" s="74" t="s">
        <v>194</v>
      </c>
      <c r="J69" s="72"/>
      <c r="K69" s="83"/>
    </row>
    <row r="70" spans="2:11">
      <c r="B70" s="68">
        <v>206</v>
      </c>
      <c r="G70" s="71">
        <v>108</v>
      </c>
      <c r="H70" s="71">
        <v>138</v>
      </c>
      <c r="I70" s="71" t="s">
        <v>195</v>
      </c>
      <c r="J70" s="72"/>
      <c r="K70" s="83"/>
    </row>
    <row r="71" spans="2:11">
      <c r="B71" s="68">
        <v>207</v>
      </c>
      <c r="G71" s="74">
        <v>109</v>
      </c>
      <c r="H71" s="71">
        <v>139</v>
      </c>
      <c r="I71" s="74" t="s">
        <v>196</v>
      </c>
      <c r="J71" s="72"/>
      <c r="K71" s="83"/>
    </row>
    <row r="72" spans="2:11">
      <c r="B72" s="68">
        <v>208</v>
      </c>
      <c r="G72" s="71">
        <v>110</v>
      </c>
      <c r="H72" s="71">
        <v>140</v>
      </c>
      <c r="I72" s="71" t="s">
        <v>197</v>
      </c>
      <c r="J72" s="72"/>
      <c r="K72" s="83"/>
    </row>
    <row r="73" spans="2:11">
      <c r="B73" s="68">
        <v>209</v>
      </c>
      <c r="G73" s="74">
        <v>111</v>
      </c>
      <c r="H73" s="71">
        <v>141</v>
      </c>
      <c r="I73" s="74" t="s">
        <v>198</v>
      </c>
      <c r="J73" s="72"/>
      <c r="K73" s="83"/>
    </row>
    <row r="74" spans="2:11">
      <c r="B74" s="68">
        <v>210</v>
      </c>
      <c r="G74" s="71">
        <v>112</v>
      </c>
      <c r="H74" s="71">
        <v>142</v>
      </c>
      <c r="I74" s="71" t="s">
        <v>199</v>
      </c>
      <c r="J74" s="72"/>
      <c r="K74" s="83"/>
    </row>
    <row r="75" spans="2:11">
      <c r="B75" s="68">
        <v>211</v>
      </c>
      <c r="G75" s="74">
        <v>113</v>
      </c>
      <c r="H75" s="71">
        <v>143</v>
      </c>
      <c r="I75" s="74" t="s">
        <v>200</v>
      </c>
      <c r="J75" s="72"/>
      <c r="K75" s="83"/>
    </row>
    <row r="76" spans="2:11">
      <c r="B76" s="68">
        <v>212</v>
      </c>
      <c r="G76" s="71">
        <v>114</v>
      </c>
      <c r="H76" s="71">
        <v>144</v>
      </c>
      <c r="I76" s="71" t="s">
        <v>201</v>
      </c>
      <c r="J76" s="72"/>
      <c r="K76" s="83"/>
    </row>
    <row r="77" spans="2:11">
      <c r="B77" s="68">
        <v>213</v>
      </c>
      <c r="G77" s="74">
        <v>115</v>
      </c>
      <c r="H77" s="71">
        <v>145</v>
      </c>
      <c r="I77" s="74" t="s">
        <v>202</v>
      </c>
      <c r="J77" s="72"/>
      <c r="K77" s="83"/>
    </row>
    <row r="78" spans="2:11">
      <c r="B78" s="68">
        <v>214</v>
      </c>
      <c r="G78" s="71">
        <v>116</v>
      </c>
      <c r="H78" s="71">
        <v>146</v>
      </c>
      <c r="I78" s="71" t="s">
        <v>203</v>
      </c>
      <c r="J78" s="72"/>
      <c r="K78" s="83"/>
    </row>
    <row r="79" spans="2:11">
      <c r="B79" s="68">
        <v>215</v>
      </c>
      <c r="G79" s="74">
        <v>117</v>
      </c>
      <c r="H79" s="71">
        <v>147</v>
      </c>
      <c r="I79" s="74" t="s">
        <v>204</v>
      </c>
      <c r="J79" s="72"/>
      <c r="K79" s="83"/>
    </row>
    <row r="80" spans="2:11">
      <c r="B80" s="68">
        <v>216</v>
      </c>
      <c r="G80" s="71">
        <v>118</v>
      </c>
      <c r="H80" s="71">
        <v>148</v>
      </c>
      <c r="I80" s="71" t="s">
        <v>205</v>
      </c>
      <c r="J80" s="72"/>
      <c r="K80" s="83"/>
    </row>
    <row r="81" spans="2:11">
      <c r="B81" s="68">
        <v>217</v>
      </c>
      <c r="G81" s="74">
        <v>119</v>
      </c>
      <c r="H81" s="71">
        <v>149</v>
      </c>
      <c r="I81" s="74" t="s">
        <v>206</v>
      </c>
      <c r="J81" s="72"/>
      <c r="K81" s="83"/>
    </row>
    <row r="82" spans="2:11">
      <c r="B82" s="68">
        <v>218</v>
      </c>
      <c r="G82" s="71">
        <v>120</v>
      </c>
      <c r="H82" s="71">
        <v>150</v>
      </c>
      <c r="I82" s="71" t="s">
        <v>207</v>
      </c>
      <c r="J82" s="72"/>
      <c r="K82" s="83"/>
    </row>
    <row r="83" spans="2:11">
      <c r="B83" s="68">
        <v>219</v>
      </c>
      <c r="G83" s="74">
        <v>121</v>
      </c>
      <c r="H83" s="71">
        <v>151</v>
      </c>
      <c r="I83" s="74" t="s">
        <v>208</v>
      </c>
      <c r="J83" s="72"/>
      <c r="K83" s="83"/>
    </row>
    <row r="84" spans="2:11">
      <c r="B84" s="68">
        <v>220</v>
      </c>
      <c r="G84" s="71">
        <v>122</v>
      </c>
      <c r="H84" s="71">
        <v>152</v>
      </c>
      <c r="I84" s="71" t="s">
        <v>209</v>
      </c>
      <c r="J84" s="72"/>
      <c r="K84" s="83"/>
    </row>
    <row r="85" spans="2:11">
      <c r="B85" s="68">
        <v>221</v>
      </c>
      <c r="G85" s="74">
        <v>123</v>
      </c>
      <c r="H85" s="71">
        <v>153</v>
      </c>
      <c r="I85" s="74" t="s">
        <v>210</v>
      </c>
      <c r="J85" s="72"/>
      <c r="K85" s="83"/>
    </row>
    <row r="86" spans="2:11">
      <c r="B86" s="68">
        <v>222</v>
      </c>
      <c r="G86" s="71">
        <v>124</v>
      </c>
      <c r="H86" s="71">
        <v>154</v>
      </c>
      <c r="I86" s="71" t="s">
        <v>211</v>
      </c>
      <c r="J86" s="72"/>
      <c r="K86" s="83"/>
    </row>
    <row r="87" spans="2:11">
      <c r="B87" s="68">
        <v>223</v>
      </c>
      <c r="G87" s="74">
        <v>125</v>
      </c>
      <c r="H87" s="71">
        <v>155</v>
      </c>
      <c r="I87" s="74" t="s">
        <v>212</v>
      </c>
      <c r="J87" s="72"/>
      <c r="K87" s="83"/>
    </row>
    <row r="88" spans="2:11">
      <c r="B88" s="68">
        <v>224</v>
      </c>
      <c r="G88" s="71">
        <v>126</v>
      </c>
      <c r="H88" s="71">
        <v>156</v>
      </c>
      <c r="I88" s="71" t="s">
        <v>213</v>
      </c>
      <c r="J88" s="72"/>
      <c r="K88" s="83"/>
    </row>
    <row r="89" spans="2:11">
      <c r="B89" s="68">
        <v>225</v>
      </c>
      <c r="G89" s="74">
        <v>127</v>
      </c>
      <c r="H89" s="71">
        <v>157</v>
      </c>
      <c r="I89" s="74" t="s">
        <v>214</v>
      </c>
      <c r="J89" s="72"/>
      <c r="K89" s="83"/>
    </row>
    <row r="90" spans="2:11">
      <c r="B90" s="68">
        <v>226</v>
      </c>
      <c r="G90" s="71">
        <v>128</v>
      </c>
      <c r="H90" s="71">
        <v>158</v>
      </c>
      <c r="I90" s="71" t="s">
        <v>215</v>
      </c>
      <c r="J90" s="72"/>
      <c r="K90" s="83"/>
    </row>
    <row r="91" spans="2:11">
      <c r="B91" s="68">
        <v>227</v>
      </c>
      <c r="G91" s="74">
        <v>129</v>
      </c>
      <c r="H91" s="71">
        <v>159</v>
      </c>
      <c r="I91" s="74" t="s">
        <v>216</v>
      </c>
      <c r="J91" s="72"/>
      <c r="K91" s="83"/>
    </row>
    <row r="92" spans="2:11">
      <c r="B92" s="68">
        <v>228</v>
      </c>
      <c r="G92" s="71">
        <v>130</v>
      </c>
      <c r="H92" s="71">
        <v>160</v>
      </c>
      <c r="I92" s="71" t="s">
        <v>217</v>
      </c>
      <c r="J92" s="72"/>
      <c r="K92" s="83"/>
    </row>
    <row r="93" spans="2:11">
      <c r="B93" s="68">
        <v>229</v>
      </c>
      <c r="G93" s="74">
        <v>131</v>
      </c>
      <c r="H93" s="71">
        <v>161</v>
      </c>
      <c r="I93" s="74" t="s">
        <v>218</v>
      </c>
      <c r="J93" s="72"/>
      <c r="K93" s="83"/>
    </row>
    <row r="94" spans="2:11">
      <c r="B94" s="68">
        <v>230</v>
      </c>
      <c r="G94" s="71">
        <v>132</v>
      </c>
      <c r="H94" s="71">
        <v>162</v>
      </c>
      <c r="I94" s="71" t="s">
        <v>219</v>
      </c>
      <c r="J94" s="72"/>
      <c r="K94" s="83"/>
    </row>
    <row r="95" spans="2:11">
      <c r="B95" s="68">
        <v>231</v>
      </c>
      <c r="G95" s="74">
        <v>133</v>
      </c>
      <c r="H95" s="71">
        <v>163</v>
      </c>
      <c r="I95" s="74" t="s">
        <v>220</v>
      </c>
      <c r="J95" s="72"/>
      <c r="K95" s="83"/>
    </row>
    <row r="96" spans="2:11">
      <c r="B96" s="68">
        <v>232</v>
      </c>
      <c r="G96" s="71">
        <v>134</v>
      </c>
      <c r="H96" s="71">
        <v>164</v>
      </c>
      <c r="I96" s="71" t="s">
        <v>221</v>
      </c>
      <c r="J96" s="72"/>
      <c r="K96" s="83"/>
    </row>
    <row r="97" spans="7:11">
      <c r="G97" s="74">
        <v>135</v>
      </c>
      <c r="H97" s="71">
        <v>165</v>
      </c>
      <c r="I97" s="74" t="s">
        <v>222</v>
      </c>
      <c r="J97" s="72"/>
      <c r="K97" s="83"/>
    </row>
    <row r="98" spans="7:11">
      <c r="G98" s="71">
        <v>136</v>
      </c>
      <c r="H98" s="71">
        <v>166</v>
      </c>
      <c r="I98" s="71" t="s">
        <v>223</v>
      </c>
      <c r="J98" s="72"/>
      <c r="K98" s="83"/>
    </row>
    <row r="99" spans="7:11">
      <c r="G99" s="74">
        <v>137</v>
      </c>
      <c r="H99" s="71">
        <v>167</v>
      </c>
      <c r="I99" s="74" t="s">
        <v>224</v>
      </c>
      <c r="J99" s="72"/>
      <c r="K99" s="83"/>
    </row>
    <row r="100" spans="7:11">
      <c r="G100" s="71">
        <v>138</v>
      </c>
      <c r="H100" s="71">
        <v>168</v>
      </c>
      <c r="I100" s="71" t="s">
        <v>225</v>
      </c>
      <c r="J100" s="72"/>
      <c r="K100" s="83"/>
    </row>
    <row r="101" spans="7:11">
      <c r="G101" s="74">
        <v>139</v>
      </c>
      <c r="H101" s="71">
        <v>169</v>
      </c>
      <c r="I101" s="74" t="s">
        <v>226</v>
      </c>
      <c r="J101" s="72"/>
      <c r="K101" s="83"/>
    </row>
    <row r="102" spans="7:11">
      <c r="G102" s="71">
        <v>140</v>
      </c>
      <c r="H102" s="71">
        <v>170</v>
      </c>
      <c r="I102" s="71" t="s">
        <v>227</v>
      </c>
      <c r="J102" s="72"/>
      <c r="K102" s="83"/>
    </row>
    <row r="103" spans="7:11">
      <c r="G103" s="74">
        <v>141</v>
      </c>
      <c r="H103" s="71">
        <v>171</v>
      </c>
      <c r="I103" s="74" t="s">
        <v>228</v>
      </c>
      <c r="J103" s="72"/>
      <c r="K103" s="83"/>
    </row>
    <row r="104" spans="7:11">
      <c r="G104" s="71">
        <v>142</v>
      </c>
      <c r="H104" s="71">
        <v>172</v>
      </c>
      <c r="I104" s="71" t="s">
        <v>229</v>
      </c>
      <c r="J104" s="72"/>
      <c r="K104" s="83"/>
    </row>
    <row r="105" spans="7:11">
      <c r="G105" s="74">
        <v>143</v>
      </c>
      <c r="H105" s="71">
        <v>173</v>
      </c>
      <c r="I105" s="74" t="s">
        <v>230</v>
      </c>
      <c r="J105" s="72"/>
      <c r="K105" s="83"/>
    </row>
    <row r="106" spans="7:11">
      <c r="G106" s="71">
        <v>144</v>
      </c>
      <c r="H106" s="71">
        <v>174</v>
      </c>
      <c r="I106" s="71" t="s">
        <v>231</v>
      </c>
      <c r="J106" s="72"/>
      <c r="K106" s="83"/>
    </row>
    <row r="107" spans="7:11">
      <c r="G107" s="74">
        <v>145</v>
      </c>
      <c r="H107" s="71">
        <v>175</v>
      </c>
      <c r="I107" s="74" t="s">
        <v>232</v>
      </c>
      <c r="J107" s="72"/>
      <c r="K107" s="83"/>
    </row>
    <row r="108" spans="7:11">
      <c r="G108" s="71">
        <v>146</v>
      </c>
      <c r="H108" s="71">
        <v>176</v>
      </c>
      <c r="I108" s="71" t="s">
        <v>233</v>
      </c>
      <c r="J108" s="72"/>
      <c r="K108" s="83"/>
    </row>
    <row r="109" spans="7:11">
      <c r="G109" s="74">
        <v>147</v>
      </c>
      <c r="H109" s="71">
        <v>177</v>
      </c>
      <c r="I109" s="74" t="s">
        <v>234</v>
      </c>
      <c r="J109" s="72"/>
      <c r="K109" s="83"/>
    </row>
    <row r="110" spans="7:11">
      <c r="G110" s="71">
        <v>148</v>
      </c>
      <c r="H110" s="71">
        <v>178</v>
      </c>
      <c r="I110" s="71" t="s">
        <v>235</v>
      </c>
      <c r="J110" s="72"/>
      <c r="K110" s="83"/>
    </row>
    <row r="111" spans="7:11">
      <c r="G111" s="74">
        <v>149</v>
      </c>
      <c r="H111" s="71">
        <v>179</v>
      </c>
      <c r="I111" s="74" t="s">
        <v>236</v>
      </c>
      <c r="J111" s="72"/>
      <c r="K111" s="83"/>
    </row>
    <row r="112" spans="7:11">
      <c r="G112" s="71">
        <v>150</v>
      </c>
      <c r="H112" s="71">
        <v>180</v>
      </c>
      <c r="I112" s="71" t="s">
        <v>237</v>
      </c>
      <c r="J112" s="72"/>
      <c r="K112" s="83"/>
    </row>
    <row r="113" spans="7:11">
      <c r="G113" s="74">
        <v>151</v>
      </c>
      <c r="H113" s="71">
        <v>181</v>
      </c>
      <c r="I113" s="74" t="s">
        <v>238</v>
      </c>
      <c r="J113" s="72"/>
      <c r="K113" s="83"/>
    </row>
    <row r="114" spans="7:11">
      <c r="G114" s="71">
        <v>152</v>
      </c>
      <c r="H114" s="71">
        <v>182</v>
      </c>
      <c r="I114" s="71" t="s">
        <v>239</v>
      </c>
      <c r="J114" s="72"/>
      <c r="K114" s="83"/>
    </row>
    <row r="115" spans="7:11">
      <c r="G115" s="74">
        <v>153</v>
      </c>
      <c r="H115" s="71">
        <v>183</v>
      </c>
      <c r="I115" s="74" t="s">
        <v>240</v>
      </c>
      <c r="J115" s="72"/>
      <c r="K115" s="83"/>
    </row>
    <row r="116" spans="7:11">
      <c r="G116" s="71">
        <v>154</v>
      </c>
      <c r="H116" s="71">
        <v>184</v>
      </c>
      <c r="I116" s="71" t="s">
        <v>241</v>
      </c>
      <c r="J116" s="72"/>
      <c r="K116" s="83"/>
    </row>
    <row r="117" spans="7:11">
      <c r="G117" s="74">
        <v>155</v>
      </c>
      <c r="H117" s="71">
        <v>185</v>
      </c>
      <c r="I117" s="74" t="s">
        <v>242</v>
      </c>
      <c r="J117" s="72"/>
      <c r="K117" s="83"/>
    </row>
    <row r="118" spans="7:11">
      <c r="G118" s="71">
        <v>156</v>
      </c>
      <c r="H118" s="71">
        <v>186</v>
      </c>
      <c r="I118" s="71" t="s">
        <v>243</v>
      </c>
      <c r="J118" s="72"/>
      <c r="K118" s="83"/>
    </row>
    <row r="119" spans="7:11">
      <c r="G119" s="74">
        <v>157</v>
      </c>
      <c r="H119" s="71">
        <v>187</v>
      </c>
      <c r="I119" s="74" t="s">
        <v>244</v>
      </c>
      <c r="J119" s="72"/>
      <c r="K119" s="83"/>
    </row>
    <row r="120" spans="7:11">
      <c r="G120" s="71">
        <v>158</v>
      </c>
      <c r="H120" s="71">
        <v>188</v>
      </c>
      <c r="I120" s="71" t="s">
        <v>245</v>
      </c>
      <c r="J120" s="72"/>
      <c r="K120" s="83"/>
    </row>
    <row r="121" spans="7:11">
      <c r="G121" s="74">
        <v>159</v>
      </c>
      <c r="H121" s="71">
        <v>189</v>
      </c>
      <c r="I121" s="74" t="s">
        <v>246</v>
      </c>
      <c r="J121" s="72"/>
      <c r="K121" s="83"/>
    </row>
    <row r="122" spans="7:11">
      <c r="G122" s="71">
        <v>160</v>
      </c>
      <c r="H122" s="71">
        <v>190</v>
      </c>
      <c r="I122" s="71" t="s">
        <v>247</v>
      </c>
      <c r="J122" s="72"/>
      <c r="K122" s="83"/>
    </row>
    <row r="123" spans="7:11">
      <c r="G123" s="74">
        <v>161</v>
      </c>
      <c r="H123" s="71">
        <v>191</v>
      </c>
      <c r="I123" s="74" t="s">
        <v>248</v>
      </c>
      <c r="J123" s="72"/>
      <c r="K123" s="83"/>
    </row>
    <row r="124" spans="7:11">
      <c r="G124" s="71">
        <v>162</v>
      </c>
      <c r="H124" s="71">
        <v>192</v>
      </c>
      <c r="I124" s="71" t="s">
        <v>249</v>
      </c>
      <c r="J124" s="72"/>
      <c r="K124" s="83"/>
    </row>
    <row r="125" spans="7:11">
      <c r="G125" s="74">
        <v>163</v>
      </c>
      <c r="H125" s="71">
        <v>193</v>
      </c>
      <c r="I125" s="74" t="s">
        <v>250</v>
      </c>
      <c r="J125" s="72"/>
      <c r="K125" s="83"/>
    </row>
    <row r="126" spans="7:11">
      <c r="G126" s="71">
        <v>164</v>
      </c>
      <c r="H126" s="71">
        <v>194</v>
      </c>
      <c r="I126" s="71" t="s">
        <v>251</v>
      </c>
      <c r="J126" s="72"/>
      <c r="K126" s="83"/>
    </row>
    <row r="127" spans="7:11">
      <c r="G127" s="74">
        <v>165</v>
      </c>
      <c r="H127" s="71">
        <v>195</v>
      </c>
      <c r="I127" s="74" t="s">
        <v>252</v>
      </c>
      <c r="J127" s="72"/>
      <c r="K127" s="83"/>
    </row>
    <row r="128" spans="7:11">
      <c r="G128" s="71">
        <v>166</v>
      </c>
      <c r="H128" s="71">
        <v>196</v>
      </c>
      <c r="I128" s="71" t="s">
        <v>253</v>
      </c>
      <c r="J128" s="72"/>
      <c r="K128" s="83"/>
    </row>
    <row r="129" spans="7:11">
      <c r="G129" s="74">
        <v>167</v>
      </c>
      <c r="H129" s="71">
        <v>197</v>
      </c>
      <c r="I129" s="74" t="s">
        <v>254</v>
      </c>
      <c r="J129" s="72"/>
      <c r="K129" s="83"/>
    </row>
    <row r="130" spans="7:11">
      <c r="G130" s="71">
        <v>168</v>
      </c>
      <c r="H130" s="71">
        <v>198</v>
      </c>
      <c r="I130" s="71" t="s">
        <v>255</v>
      </c>
      <c r="J130" s="72"/>
      <c r="K130" s="83"/>
    </row>
    <row r="131" spans="7:11">
      <c r="G131" s="74">
        <v>169</v>
      </c>
      <c r="H131" s="71">
        <v>199</v>
      </c>
      <c r="I131" s="74" t="s">
        <v>256</v>
      </c>
      <c r="J131" s="72"/>
      <c r="K131" s="83"/>
    </row>
    <row r="132" spans="7:11">
      <c r="G132" s="71">
        <v>170</v>
      </c>
      <c r="H132" s="71">
        <v>200</v>
      </c>
      <c r="I132" s="71" t="s">
        <v>257</v>
      </c>
      <c r="J132" s="72"/>
      <c r="K132" s="83"/>
    </row>
    <row r="133" spans="7:11">
      <c r="G133" s="74">
        <v>171</v>
      </c>
      <c r="H133" s="71">
        <v>201</v>
      </c>
      <c r="I133" s="74" t="s">
        <v>258</v>
      </c>
      <c r="J133" s="72"/>
      <c r="K133" s="83"/>
    </row>
    <row r="134" spans="7:11">
      <c r="G134" s="71">
        <v>172</v>
      </c>
      <c r="H134" s="71">
        <v>202</v>
      </c>
      <c r="I134" s="71" t="s">
        <v>259</v>
      </c>
      <c r="J134" s="72"/>
      <c r="K134" s="83"/>
    </row>
    <row r="135" spans="7:11">
      <c r="G135" s="74">
        <v>173</v>
      </c>
      <c r="H135" s="71">
        <v>203</v>
      </c>
      <c r="I135" s="74" t="s">
        <v>260</v>
      </c>
      <c r="J135" s="72"/>
      <c r="K135" s="83"/>
    </row>
    <row r="136" spans="7:11">
      <c r="G136" s="71">
        <v>174</v>
      </c>
      <c r="H136" s="71">
        <v>204</v>
      </c>
      <c r="I136" s="71" t="s">
        <v>261</v>
      </c>
      <c r="J136" s="72"/>
      <c r="K136" s="83"/>
    </row>
    <row r="137" spans="7:11">
      <c r="G137" s="74">
        <v>175</v>
      </c>
      <c r="H137" s="71">
        <v>205</v>
      </c>
      <c r="I137" s="74" t="s">
        <v>262</v>
      </c>
      <c r="J137" s="72"/>
      <c r="K137" s="83"/>
    </row>
    <row r="138" spans="7:11">
      <c r="G138" s="71">
        <v>176</v>
      </c>
      <c r="H138" s="71">
        <v>206</v>
      </c>
      <c r="I138" s="71" t="s">
        <v>263</v>
      </c>
      <c r="J138" s="72"/>
      <c r="K138" s="83"/>
    </row>
    <row r="139" spans="7:11">
      <c r="G139" s="74">
        <v>177</v>
      </c>
      <c r="H139" s="71">
        <v>207</v>
      </c>
      <c r="I139" s="74" t="s">
        <v>264</v>
      </c>
      <c r="J139" s="72"/>
      <c r="K139" s="83"/>
    </row>
    <row r="140" spans="7:11">
      <c r="G140" s="71">
        <v>178</v>
      </c>
      <c r="H140" s="71">
        <v>208</v>
      </c>
      <c r="I140" s="71" t="s">
        <v>265</v>
      </c>
      <c r="J140" s="72"/>
      <c r="K140" s="83"/>
    </row>
    <row r="141" spans="7:11">
      <c r="G141" s="74">
        <v>179</v>
      </c>
      <c r="H141" s="71">
        <v>209</v>
      </c>
      <c r="I141" s="74" t="s">
        <v>266</v>
      </c>
      <c r="J141" s="72"/>
      <c r="K141" s="83"/>
    </row>
    <row r="142" spans="7:11">
      <c r="G142" s="71">
        <v>180</v>
      </c>
      <c r="H142" s="71">
        <v>210</v>
      </c>
      <c r="I142" s="71" t="s">
        <v>267</v>
      </c>
      <c r="J142" s="72"/>
      <c r="K142" s="83"/>
    </row>
    <row r="143" spans="7:11">
      <c r="G143" s="74">
        <v>181</v>
      </c>
      <c r="H143" s="71">
        <v>211</v>
      </c>
      <c r="I143" s="74" t="s">
        <v>268</v>
      </c>
      <c r="J143" s="72"/>
      <c r="K143" s="83"/>
    </row>
    <row r="144" spans="7:11">
      <c r="G144" s="71">
        <v>182</v>
      </c>
      <c r="H144" s="71">
        <v>212</v>
      </c>
      <c r="I144" s="71" t="s">
        <v>269</v>
      </c>
      <c r="J144" s="72"/>
      <c r="K144" s="83"/>
    </row>
    <row r="145" spans="7:11">
      <c r="G145" s="74">
        <v>183</v>
      </c>
      <c r="H145" s="71">
        <v>213</v>
      </c>
      <c r="I145" s="74" t="s">
        <v>270</v>
      </c>
      <c r="J145" s="72"/>
      <c r="K145" s="83"/>
    </row>
    <row r="146" spans="7:11">
      <c r="G146" s="71">
        <v>184</v>
      </c>
      <c r="H146" s="71">
        <v>214</v>
      </c>
      <c r="I146" s="71" t="s">
        <v>271</v>
      </c>
      <c r="J146" s="72"/>
      <c r="K146" s="83"/>
    </row>
    <row r="147" spans="7:11">
      <c r="G147" s="74">
        <v>185</v>
      </c>
      <c r="H147" s="71">
        <v>215</v>
      </c>
      <c r="I147" s="74" t="s">
        <v>272</v>
      </c>
      <c r="J147" s="72"/>
      <c r="K147" s="83"/>
    </row>
    <row r="148" spans="7:11">
      <c r="G148" s="71">
        <v>186</v>
      </c>
      <c r="H148" s="71">
        <v>216</v>
      </c>
      <c r="I148" s="71" t="s">
        <v>273</v>
      </c>
      <c r="J148" s="72"/>
      <c r="K148" s="83"/>
    </row>
    <row r="149" spans="7:11">
      <c r="G149" s="74">
        <v>187</v>
      </c>
      <c r="H149" s="71">
        <v>217</v>
      </c>
      <c r="I149" s="74" t="s">
        <v>274</v>
      </c>
      <c r="J149" s="72"/>
      <c r="K149" s="83"/>
    </row>
    <row r="150" spans="7:11">
      <c r="G150" s="71">
        <v>188</v>
      </c>
      <c r="H150" s="71">
        <v>218</v>
      </c>
      <c r="I150" s="71" t="s">
        <v>275</v>
      </c>
      <c r="J150" s="72"/>
      <c r="K150" s="83"/>
    </row>
    <row r="151" spans="7:11">
      <c r="G151" s="74">
        <v>189</v>
      </c>
      <c r="H151" s="71">
        <v>219</v>
      </c>
      <c r="I151" s="74" t="s">
        <v>276</v>
      </c>
      <c r="J151" s="72"/>
      <c r="K151" s="83"/>
    </row>
    <row r="152" spans="7:11">
      <c r="G152" s="71">
        <v>190</v>
      </c>
      <c r="H152" s="71">
        <v>220</v>
      </c>
      <c r="I152" s="71" t="s">
        <v>277</v>
      </c>
      <c r="J152" s="72"/>
      <c r="K152" s="83"/>
    </row>
    <row r="153" spans="7:11">
      <c r="G153" s="74">
        <v>191</v>
      </c>
      <c r="H153" s="71">
        <v>221</v>
      </c>
      <c r="I153" s="74" t="s">
        <v>278</v>
      </c>
      <c r="J153" s="72"/>
      <c r="K153" s="83"/>
    </row>
    <row r="154" spans="7:11">
      <c r="G154" s="71">
        <v>192</v>
      </c>
      <c r="H154" s="71">
        <v>222</v>
      </c>
      <c r="I154" s="71" t="s">
        <v>279</v>
      </c>
      <c r="J154" s="72"/>
      <c r="K154" s="83"/>
    </row>
    <row r="155" spans="7:11">
      <c r="G155" s="74">
        <v>193</v>
      </c>
      <c r="H155" s="71">
        <v>223</v>
      </c>
      <c r="I155" s="74" t="s">
        <v>280</v>
      </c>
      <c r="J155" s="72"/>
      <c r="K155" s="83"/>
    </row>
    <row r="156" spans="7:11">
      <c r="G156" s="71">
        <v>194</v>
      </c>
      <c r="H156" s="71">
        <v>224</v>
      </c>
      <c r="I156" s="71" t="s">
        <v>281</v>
      </c>
      <c r="J156" s="72"/>
      <c r="K156" s="83"/>
    </row>
    <row r="157" spans="7:11">
      <c r="G157" s="74">
        <v>195</v>
      </c>
      <c r="H157" s="71">
        <v>225</v>
      </c>
      <c r="I157" s="74" t="s">
        <v>282</v>
      </c>
      <c r="J157" s="72"/>
      <c r="K157" s="83"/>
    </row>
    <row r="158" spans="7:11">
      <c r="G158" s="71">
        <v>196</v>
      </c>
      <c r="H158" s="71">
        <v>226</v>
      </c>
      <c r="I158" s="71" t="s">
        <v>283</v>
      </c>
      <c r="J158" s="72"/>
      <c r="K158" s="83"/>
    </row>
    <row r="159" spans="7:11">
      <c r="G159" s="74">
        <v>197</v>
      </c>
      <c r="H159" s="71">
        <v>227</v>
      </c>
      <c r="I159" s="74" t="s">
        <v>284</v>
      </c>
      <c r="J159" s="72"/>
      <c r="K159" s="83"/>
    </row>
    <row r="160" spans="7:11">
      <c r="G160" s="71">
        <v>198</v>
      </c>
      <c r="H160" s="71">
        <v>228</v>
      </c>
      <c r="I160" s="71" t="s">
        <v>285</v>
      </c>
      <c r="J160" s="72"/>
      <c r="K160" s="83"/>
    </row>
    <row r="161" spans="7:11">
      <c r="G161" s="74">
        <v>199</v>
      </c>
      <c r="H161" s="71">
        <v>229</v>
      </c>
      <c r="I161" s="74" t="s">
        <v>286</v>
      </c>
      <c r="J161" s="72"/>
      <c r="K161" s="83"/>
    </row>
    <row r="162" spans="7:11">
      <c r="G162" s="71">
        <v>200</v>
      </c>
      <c r="H162" s="71">
        <v>230</v>
      </c>
      <c r="I162" s="71" t="s">
        <v>287</v>
      </c>
      <c r="J162" s="72"/>
      <c r="K162" s="83"/>
    </row>
    <row r="163" spans="7:11">
      <c r="G163" s="74">
        <v>201</v>
      </c>
      <c r="H163" s="71">
        <v>231</v>
      </c>
      <c r="I163" s="74" t="s">
        <v>288</v>
      </c>
      <c r="J163" s="72"/>
      <c r="K163" s="83"/>
    </row>
    <row r="164" spans="7:11">
      <c r="G164" s="71">
        <v>202</v>
      </c>
      <c r="H164" s="71">
        <v>232</v>
      </c>
      <c r="I164" s="71" t="s">
        <v>289</v>
      </c>
      <c r="J164" s="72"/>
      <c r="K164" s="83"/>
    </row>
    <row r="165" spans="7:11">
      <c r="G165" s="74">
        <v>203</v>
      </c>
      <c r="H165" s="71">
        <v>233</v>
      </c>
      <c r="I165" s="74" t="s">
        <v>290</v>
      </c>
      <c r="J165" s="72"/>
      <c r="K165" s="83"/>
    </row>
    <row r="166" spans="7:11">
      <c r="G166" s="71">
        <v>204</v>
      </c>
      <c r="H166" s="71">
        <v>234</v>
      </c>
      <c r="I166" s="71" t="s">
        <v>291</v>
      </c>
      <c r="J166" s="72"/>
      <c r="K166" s="83"/>
    </row>
    <row r="167" spans="7:11">
      <c r="G167" s="74">
        <v>205</v>
      </c>
      <c r="H167" s="71">
        <v>235</v>
      </c>
      <c r="I167" s="74" t="s">
        <v>292</v>
      </c>
      <c r="J167" s="72"/>
      <c r="K167" s="83"/>
    </row>
    <row r="168" spans="7:11">
      <c r="G168" s="71">
        <v>206</v>
      </c>
      <c r="H168" s="71">
        <v>236</v>
      </c>
      <c r="I168" s="71" t="s">
        <v>293</v>
      </c>
      <c r="J168" s="72"/>
      <c r="K168" s="83"/>
    </row>
    <row r="169" spans="7:11">
      <c r="G169" s="74">
        <v>207</v>
      </c>
      <c r="H169" s="71">
        <v>237</v>
      </c>
      <c r="I169" s="74" t="s">
        <v>294</v>
      </c>
      <c r="J169" s="72"/>
      <c r="K169" s="83"/>
    </row>
    <row r="170" spans="7:11">
      <c r="G170" s="71">
        <v>208</v>
      </c>
      <c r="H170" s="71">
        <v>238</v>
      </c>
      <c r="I170" s="71" t="s">
        <v>295</v>
      </c>
      <c r="J170" s="72"/>
      <c r="K170" s="83"/>
    </row>
    <row r="171" spans="7:11">
      <c r="G171" s="74">
        <v>209</v>
      </c>
      <c r="H171" s="71">
        <v>239</v>
      </c>
      <c r="I171" s="74" t="s">
        <v>296</v>
      </c>
      <c r="J171" s="72"/>
      <c r="K171" s="83"/>
    </row>
    <row r="172" spans="7:11">
      <c r="G172" s="71">
        <v>210</v>
      </c>
      <c r="H172" s="71">
        <v>240</v>
      </c>
      <c r="I172" s="71" t="s">
        <v>297</v>
      </c>
      <c r="J172" s="72"/>
      <c r="K172" s="83"/>
    </row>
    <row r="173" spans="7:11">
      <c r="G173" s="74">
        <v>211</v>
      </c>
      <c r="H173" s="71">
        <v>241</v>
      </c>
      <c r="I173" s="74" t="s">
        <v>298</v>
      </c>
      <c r="J173" s="72"/>
      <c r="K173" s="83"/>
    </row>
    <row r="174" spans="7:11">
      <c r="G174" s="71">
        <v>212</v>
      </c>
      <c r="H174" s="71">
        <v>242</v>
      </c>
      <c r="I174" s="71" t="s">
        <v>299</v>
      </c>
      <c r="J174" s="72"/>
      <c r="K174" s="83"/>
    </row>
    <row r="175" spans="7:11">
      <c r="G175" s="74">
        <v>213</v>
      </c>
      <c r="H175" s="71">
        <v>243</v>
      </c>
      <c r="I175" s="74" t="s">
        <v>300</v>
      </c>
      <c r="J175" s="72"/>
      <c r="K175" s="83"/>
    </row>
    <row r="176" spans="7:11">
      <c r="G176" s="71">
        <v>214</v>
      </c>
      <c r="H176" s="71">
        <v>244</v>
      </c>
      <c r="I176" s="71" t="s">
        <v>301</v>
      </c>
      <c r="J176" s="72"/>
      <c r="K176" s="83"/>
    </row>
    <row r="177" spans="7:11">
      <c r="G177" s="74">
        <v>215</v>
      </c>
      <c r="H177" s="71">
        <v>245</v>
      </c>
      <c r="I177" s="74" t="s">
        <v>302</v>
      </c>
      <c r="J177" s="72"/>
      <c r="K177" s="83"/>
    </row>
    <row r="178" spans="7:11">
      <c r="G178" s="71">
        <v>216</v>
      </c>
      <c r="H178" s="71">
        <v>246</v>
      </c>
      <c r="I178" s="71" t="s">
        <v>303</v>
      </c>
      <c r="J178" s="72"/>
      <c r="K178" s="83"/>
    </row>
    <row r="179" spans="7:11">
      <c r="G179" s="74">
        <v>217</v>
      </c>
      <c r="H179" s="71">
        <v>247</v>
      </c>
      <c r="I179" s="74" t="s">
        <v>304</v>
      </c>
      <c r="J179" s="72"/>
      <c r="K179" s="83"/>
    </row>
    <row r="180" spans="7:11">
      <c r="G180" s="71">
        <v>218</v>
      </c>
      <c r="H180" s="71">
        <v>248</v>
      </c>
      <c r="I180" s="71" t="s">
        <v>305</v>
      </c>
      <c r="J180" s="72"/>
      <c r="K180" s="83"/>
    </row>
    <row r="181" spans="7:11">
      <c r="G181" s="74">
        <v>219</v>
      </c>
      <c r="H181" s="71">
        <v>249</v>
      </c>
      <c r="I181" s="74" t="s">
        <v>306</v>
      </c>
      <c r="J181" s="72"/>
      <c r="K181" s="83"/>
    </row>
    <row r="182" spans="7:11">
      <c r="G182" s="71">
        <v>220</v>
      </c>
      <c r="H182" s="71">
        <v>250</v>
      </c>
      <c r="I182" s="71" t="s">
        <v>307</v>
      </c>
      <c r="J182" s="72"/>
      <c r="K182" s="83"/>
    </row>
    <row r="183" spans="7:11">
      <c r="G183" s="74">
        <v>221</v>
      </c>
      <c r="H183" s="71">
        <v>251</v>
      </c>
      <c r="I183" s="74" t="s">
        <v>308</v>
      </c>
      <c r="J183" s="72"/>
      <c r="K183" s="83"/>
    </row>
    <row r="184" spans="7:11">
      <c r="G184" s="71">
        <v>222</v>
      </c>
      <c r="H184" s="71">
        <v>252</v>
      </c>
      <c r="I184" s="71" t="s">
        <v>309</v>
      </c>
      <c r="J184" s="72"/>
      <c r="K184" s="83"/>
    </row>
    <row r="185" spans="7:11">
      <c r="G185" s="74">
        <v>223</v>
      </c>
      <c r="H185" s="71">
        <v>253</v>
      </c>
      <c r="I185" s="74" t="s">
        <v>310</v>
      </c>
      <c r="J185" s="72"/>
      <c r="K185" s="83"/>
    </row>
    <row r="186" spans="7:11">
      <c r="G186" s="71">
        <v>224</v>
      </c>
      <c r="H186" s="71">
        <v>254</v>
      </c>
      <c r="I186" s="71" t="s">
        <v>311</v>
      </c>
      <c r="J186" s="72"/>
      <c r="K186" s="83"/>
    </row>
    <row r="187" spans="7:11">
      <c r="G187" s="74">
        <v>225</v>
      </c>
      <c r="H187" s="71">
        <v>255</v>
      </c>
      <c r="I187" s="74" t="s">
        <v>312</v>
      </c>
      <c r="J187" s="72"/>
      <c r="K187" s="83"/>
    </row>
    <row r="188" spans="7:11">
      <c r="G188" s="71">
        <v>226</v>
      </c>
      <c r="H188" s="71">
        <v>256</v>
      </c>
      <c r="I188" s="71" t="s">
        <v>313</v>
      </c>
      <c r="J188" s="72"/>
      <c r="K188" s="83"/>
    </row>
    <row r="189" spans="7:11">
      <c r="G189" s="74">
        <v>227</v>
      </c>
      <c r="H189" s="71">
        <v>257</v>
      </c>
      <c r="I189" s="74" t="s">
        <v>314</v>
      </c>
      <c r="J189" s="72"/>
      <c r="K189" s="83"/>
    </row>
    <row r="190" spans="7:11">
      <c r="G190" s="71">
        <v>228</v>
      </c>
      <c r="H190" s="71">
        <v>258</v>
      </c>
      <c r="I190" s="71" t="s">
        <v>315</v>
      </c>
      <c r="J190" s="72"/>
      <c r="K190" s="83"/>
    </row>
    <row r="191" spans="7:11">
      <c r="G191" s="74">
        <v>229</v>
      </c>
      <c r="H191" s="71">
        <v>259</v>
      </c>
      <c r="I191" s="74" t="s">
        <v>316</v>
      </c>
      <c r="J191" s="72"/>
      <c r="K191" s="83"/>
    </row>
    <row r="192" spans="7:11">
      <c r="G192" s="71">
        <v>230</v>
      </c>
      <c r="H192" s="71">
        <v>260</v>
      </c>
      <c r="I192" s="71" t="s">
        <v>317</v>
      </c>
      <c r="J192" s="72"/>
      <c r="K192" s="83"/>
    </row>
    <row r="193" spans="7:11">
      <c r="G193" s="74">
        <v>231</v>
      </c>
      <c r="H193" s="71">
        <v>261</v>
      </c>
      <c r="I193" s="74" t="s">
        <v>318</v>
      </c>
      <c r="J193" s="72"/>
      <c r="K193" s="83"/>
    </row>
    <row r="194" spans="7:11">
      <c r="G194" s="71">
        <v>232</v>
      </c>
      <c r="H194" s="71">
        <v>262</v>
      </c>
      <c r="I194" s="71" t="s">
        <v>319</v>
      </c>
      <c r="J194" s="72"/>
      <c r="K194" s="83"/>
    </row>
    <row r="195" spans="7:11">
      <c r="G195" s="74">
        <v>233</v>
      </c>
      <c r="H195" s="71">
        <v>263</v>
      </c>
      <c r="I195" s="74" t="s">
        <v>320</v>
      </c>
      <c r="J195" s="72"/>
      <c r="K195" s="83"/>
    </row>
    <row r="196" spans="7:11">
      <c r="G196" s="71">
        <v>234</v>
      </c>
      <c r="H196" s="71">
        <v>264</v>
      </c>
      <c r="I196" s="71" t="s">
        <v>321</v>
      </c>
      <c r="J196" s="72"/>
      <c r="K196" s="83"/>
    </row>
    <row r="197" spans="7:11">
      <c r="G197" s="74">
        <v>235</v>
      </c>
      <c r="H197" s="71">
        <v>265</v>
      </c>
      <c r="I197" s="74" t="s">
        <v>322</v>
      </c>
      <c r="J197" s="72"/>
      <c r="K197" s="83"/>
    </row>
    <row r="198" spans="7:11">
      <c r="G198" s="71">
        <v>236</v>
      </c>
      <c r="H198" s="71">
        <v>266</v>
      </c>
      <c r="I198" s="71" t="s">
        <v>323</v>
      </c>
      <c r="J198" s="72"/>
      <c r="K198" s="83"/>
    </row>
    <row r="199" spans="7:11">
      <c r="G199" s="74">
        <v>237</v>
      </c>
      <c r="H199" s="71">
        <v>267</v>
      </c>
      <c r="I199" s="74" t="s">
        <v>324</v>
      </c>
      <c r="J199" s="72"/>
      <c r="K199" s="83"/>
    </row>
    <row r="200" spans="7:11">
      <c r="G200" s="71">
        <v>238</v>
      </c>
      <c r="H200" s="71">
        <v>268</v>
      </c>
      <c r="I200" s="71" t="s">
        <v>325</v>
      </c>
      <c r="J200" s="72"/>
      <c r="K200" s="83"/>
    </row>
    <row r="201" spans="7:11">
      <c r="G201" s="74">
        <v>239</v>
      </c>
      <c r="H201" s="71">
        <v>269</v>
      </c>
      <c r="I201" s="74" t="s">
        <v>326</v>
      </c>
      <c r="J201" s="72"/>
      <c r="K201" s="83"/>
    </row>
    <row r="202" spans="7:11">
      <c r="G202" s="71">
        <v>240</v>
      </c>
      <c r="H202" s="71">
        <v>270</v>
      </c>
      <c r="I202" s="71" t="s">
        <v>327</v>
      </c>
      <c r="J202" s="72"/>
      <c r="K202" s="83"/>
    </row>
    <row r="203" spans="7:11">
      <c r="G203" s="74">
        <v>241</v>
      </c>
      <c r="H203" s="71">
        <v>271</v>
      </c>
      <c r="I203" s="74" t="s">
        <v>328</v>
      </c>
      <c r="J203" s="72"/>
      <c r="K203" s="83"/>
    </row>
    <row r="204" spans="7:11">
      <c r="G204" s="71">
        <v>242</v>
      </c>
      <c r="H204" s="71">
        <v>272</v>
      </c>
      <c r="I204" s="71" t="s">
        <v>329</v>
      </c>
      <c r="J204" s="72"/>
      <c r="K204" s="83"/>
    </row>
    <row r="205" spans="7:11">
      <c r="G205" s="74">
        <v>243</v>
      </c>
      <c r="H205" s="71">
        <v>273</v>
      </c>
      <c r="I205" s="74" t="s">
        <v>330</v>
      </c>
      <c r="J205" s="72"/>
      <c r="K205" s="83"/>
    </row>
    <row r="206" spans="7:11">
      <c r="G206" s="71">
        <v>244</v>
      </c>
      <c r="H206" s="71">
        <v>274</v>
      </c>
      <c r="I206" s="71" t="s">
        <v>331</v>
      </c>
      <c r="J206" s="72"/>
      <c r="K206" s="83"/>
    </row>
    <row r="207" spans="7:11">
      <c r="G207" s="74">
        <v>245</v>
      </c>
      <c r="H207" s="71">
        <v>275</v>
      </c>
      <c r="I207" s="74" t="s">
        <v>332</v>
      </c>
      <c r="J207" s="72"/>
      <c r="K207" s="83"/>
    </row>
    <row r="208" spans="7:11">
      <c r="G208" s="71">
        <v>246</v>
      </c>
      <c r="H208" s="71">
        <v>276</v>
      </c>
      <c r="I208" s="71" t="s">
        <v>333</v>
      </c>
      <c r="J208" s="72"/>
      <c r="K208" s="83"/>
    </row>
    <row r="209" spans="7:11">
      <c r="G209" s="74">
        <v>247</v>
      </c>
      <c r="H209" s="71">
        <v>277</v>
      </c>
      <c r="I209" s="74" t="s">
        <v>334</v>
      </c>
      <c r="J209" s="72"/>
      <c r="K209" s="83"/>
    </row>
    <row r="210" spans="7:11">
      <c r="G210" s="71">
        <v>248</v>
      </c>
      <c r="H210" s="71">
        <v>278</v>
      </c>
      <c r="I210" s="71" t="s">
        <v>335</v>
      </c>
      <c r="J210" s="72"/>
      <c r="K210" s="83"/>
    </row>
    <row r="211" spans="7:11">
      <c r="G211" s="74">
        <v>249</v>
      </c>
      <c r="H211" s="71">
        <v>279</v>
      </c>
      <c r="I211" s="74" t="s">
        <v>336</v>
      </c>
      <c r="J211" s="72"/>
      <c r="K211" s="83"/>
    </row>
    <row r="212" spans="7:11">
      <c r="G212" s="71">
        <v>250</v>
      </c>
      <c r="H212" s="71">
        <v>280</v>
      </c>
      <c r="I212" s="71" t="s">
        <v>337</v>
      </c>
      <c r="J212" s="72"/>
      <c r="K212" s="83"/>
    </row>
    <row r="213" spans="7:11">
      <c r="G213" s="74">
        <v>251</v>
      </c>
      <c r="H213" s="71">
        <v>281</v>
      </c>
      <c r="I213" s="74" t="s">
        <v>338</v>
      </c>
      <c r="J213" s="72"/>
      <c r="K213" s="83"/>
    </row>
    <row r="214" spans="7:11">
      <c r="G214" s="71">
        <v>252</v>
      </c>
      <c r="H214" s="71">
        <v>282</v>
      </c>
      <c r="I214" s="71" t="s">
        <v>339</v>
      </c>
      <c r="J214" s="72"/>
      <c r="K214" s="83"/>
    </row>
    <row r="215" spans="7:11">
      <c r="G215" s="74">
        <v>253</v>
      </c>
      <c r="H215" s="71">
        <v>283</v>
      </c>
      <c r="I215" s="74" t="s">
        <v>340</v>
      </c>
      <c r="J215" s="72"/>
      <c r="K215" s="83"/>
    </row>
    <row r="216" spans="7:11">
      <c r="G216" s="71">
        <v>254</v>
      </c>
      <c r="H216" s="71">
        <v>284</v>
      </c>
      <c r="I216" s="71" t="s">
        <v>341</v>
      </c>
      <c r="J216" s="72"/>
      <c r="K216" s="83"/>
    </row>
    <row r="217" spans="7:11">
      <c r="G217" s="74">
        <v>255</v>
      </c>
      <c r="H217" s="71">
        <v>285</v>
      </c>
      <c r="I217" s="74" t="s">
        <v>342</v>
      </c>
      <c r="J217" s="72"/>
      <c r="K217" s="83"/>
    </row>
    <row r="218" spans="7:11">
      <c r="G218" s="71">
        <v>256</v>
      </c>
      <c r="H218" s="71">
        <v>286</v>
      </c>
      <c r="I218" s="71" t="s">
        <v>343</v>
      </c>
      <c r="J218" s="72"/>
      <c r="K218" s="83"/>
    </row>
    <row r="219" spans="7:11">
      <c r="G219" s="74">
        <v>257</v>
      </c>
      <c r="H219" s="71">
        <v>287</v>
      </c>
      <c r="I219" s="74" t="s">
        <v>344</v>
      </c>
      <c r="J219" s="72"/>
      <c r="K219" s="83"/>
    </row>
    <row r="220" spans="7:11">
      <c r="G220" s="71">
        <v>258</v>
      </c>
      <c r="H220" s="71">
        <v>288</v>
      </c>
      <c r="I220" s="71" t="s">
        <v>345</v>
      </c>
      <c r="J220" s="72"/>
      <c r="K220" s="83"/>
    </row>
    <row r="221" spans="7:11">
      <c r="G221" s="74">
        <v>259</v>
      </c>
      <c r="H221" s="71">
        <v>289</v>
      </c>
      <c r="I221" s="74" t="s">
        <v>346</v>
      </c>
      <c r="J221" s="72"/>
      <c r="K221" s="83"/>
    </row>
    <row r="222" spans="7:11">
      <c r="G222" s="71">
        <v>260</v>
      </c>
      <c r="H222" s="71">
        <v>290</v>
      </c>
      <c r="I222" s="71" t="s">
        <v>347</v>
      </c>
      <c r="J222" s="72"/>
      <c r="K222" s="83"/>
    </row>
    <row r="223" spans="7:11">
      <c r="G223" s="74">
        <v>261</v>
      </c>
      <c r="H223" s="71">
        <v>291</v>
      </c>
      <c r="I223" s="74" t="s">
        <v>348</v>
      </c>
      <c r="J223" s="72"/>
      <c r="K223" s="83"/>
    </row>
    <row r="224" spans="7:11">
      <c r="G224" s="71">
        <v>262</v>
      </c>
      <c r="H224" s="71">
        <v>292</v>
      </c>
      <c r="I224" s="71" t="s">
        <v>349</v>
      </c>
      <c r="J224" s="72"/>
      <c r="K224" s="83"/>
    </row>
    <row r="225" spans="7:11">
      <c r="G225" s="74">
        <v>263</v>
      </c>
      <c r="H225" s="71">
        <v>293</v>
      </c>
      <c r="I225" s="74" t="s">
        <v>350</v>
      </c>
      <c r="J225" s="72"/>
      <c r="K225" s="83"/>
    </row>
    <row r="226" spans="7:11">
      <c r="G226" s="71">
        <v>264</v>
      </c>
      <c r="H226" s="71">
        <v>294</v>
      </c>
      <c r="I226" s="71" t="s">
        <v>351</v>
      </c>
      <c r="J226" s="72"/>
      <c r="K226" s="83"/>
    </row>
    <row r="227" spans="7:11">
      <c r="G227" s="74">
        <v>265</v>
      </c>
      <c r="H227" s="71">
        <v>295</v>
      </c>
      <c r="I227" s="74" t="s">
        <v>352</v>
      </c>
      <c r="J227" s="72"/>
      <c r="K227" s="83"/>
    </row>
    <row r="228" spans="7:11">
      <c r="G228" s="71">
        <v>266</v>
      </c>
      <c r="H228" s="71">
        <v>296</v>
      </c>
      <c r="I228" s="71" t="s">
        <v>353</v>
      </c>
      <c r="J228" s="72"/>
      <c r="K228" s="83"/>
    </row>
    <row r="229" spans="7:11">
      <c r="G229" s="74">
        <v>267</v>
      </c>
      <c r="H229" s="71">
        <v>297</v>
      </c>
      <c r="I229" s="74" t="s">
        <v>354</v>
      </c>
      <c r="J229" s="72"/>
      <c r="K229" s="83"/>
    </row>
    <row r="230" spans="7:11">
      <c r="G230" s="71">
        <v>268</v>
      </c>
      <c r="H230" s="71">
        <v>298</v>
      </c>
      <c r="I230" s="71" t="s">
        <v>355</v>
      </c>
      <c r="J230" s="72"/>
      <c r="K230" s="83"/>
    </row>
    <row r="231" spans="7:11">
      <c r="G231" s="74">
        <v>269</v>
      </c>
      <c r="H231" s="71">
        <v>299</v>
      </c>
      <c r="I231" s="74" t="s">
        <v>356</v>
      </c>
      <c r="J231" s="72"/>
      <c r="K231" s="83"/>
    </row>
    <row r="232" spans="7:11">
      <c r="G232" s="71">
        <v>270</v>
      </c>
      <c r="H232" s="71">
        <v>300</v>
      </c>
      <c r="I232" s="71" t="s">
        <v>357</v>
      </c>
      <c r="J232" s="72"/>
      <c r="K232" s="83"/>
    </row>
    <row r="233" spans="7:11">
      <c r="G233" s="74">
        <v>271</v>
      </c>
      <c r="H233" s="71">
        <v>301</v>
      </c>
      <c r="I233" s="74" t="s">
        <v>358</v>
      </c>
      <c r="J233" s="72"/>
      <c r="K233" s="83"/>
    </row>
    <row r="234" spans="7:11">
      <c r="G234" s="71">
        <v>272</v>
      </c>
      <c r="H234" s="71">
        <v>302</v>
      </c>
      <c r="I234" s="71" t="s">
        <v>359</v>
      </c>
      <c r="J234" s="72"/>
      <c r="K234" s="83"/>
    </row>
    <row r="235" spans="7:11">
      <c r="G235" s="74">
        <v>273</v>
      </c>
      <c r="H235" s="71">
        <v>303</v>
      </c>
      <c r="I235" s="74" t="s">
        <v>360</v>
      </c>
      <c r="J235" s="72"/>
      <c r="K235" s="83"/>
    </row>
    <row r="236" spans="7:11">
      <c r="G236" s="71">
        <v>274</v>
      </c>
      <c r="H236" s="71">
        <v>304</v>
      </c>
      <c r="I236" s="71" t="s">
        <v>361</v>
      </c>
      <c r="J236" s="72"/>
      <c r="K236" s="83"/>
    </row>
    <row r="237" spans="7:11">
      <c r="G237" s="74">
        <v>275</v>
      </c>
      <c r="H237" s="71">
        <v>305</v>
      </c>
      <c r="I237" s="74" t="s">
        <v>362</v>
      </c>
      <c r="J237" s="72"/>
      <c r="K237" s="83"/>
    </row>
    <row r="238" spans="7:11">
      <c r="G238" s="71">
        <v>276</v>
      </c>
      <c r="H238" s="71">
        <v>306</v>
      </c>
      <c r="I238" s="71" t="s">
        <v>363</v>
      </c>
      <c r="J238" s="72"/>
      <c r="K238" s="83"/>
    </row>
    <row r="239" spans="7:11">
      <c r="G239" s="74">
        <v>277</v>
      </c>
      <c r="H239" s="71">
        <v>307</v>
      </c>
      <c r="I239" s="74" t="s">
        <v>364</v>
      </c>
      <c r="J239" s="72"/>
      <c r="K239" s="83"/>
    </row>
    <row r="240" spans="7:11">
      <c r="G240" s="71">
        <v>278</v>
      </c>
      <c r="H240" s="71">
        <v>308</v>
      </c>
      <c r="I240" s="71" t="s">
        <v>365</v>
      </c>
      <c r="J240" s="72"/>
      <c r="K240" s="83"/>
    </row>
    <row r="241" spans="7:11">
      <c r="G241" s="74">
        <v>279</v>
      </c>
      <c r="H241" s="71">
        <v>309</v>
      </c>
      <c r="I241" s="74" t="s">
        <v>366</v>
      </c>
      <c r="J241" s="72"/>
      <c r="K241" s="83"/>
    </row>
    <row r="242" spans="7:11">
      <c r="G242" s="71">
        <v>280</v>
      </c>
      <c r="H242" s="71">
        <v>310</v>
      </c>
      <c r="I242" s="71" t="s">
        <v>367</v>
      </c>
      <c r="J242" s="72"/>
      <c r="K242" s="83"/>
    </row>
    <row r="243" spans="7:11">
      <c r="G243" s="74">
        <v>281</v>
      </c>
      <c r="H243" s="71">
        <v>311</v>
      </c>
      <c r="I243" s="74" t="s">
        <v>368</v>
      </c>
      <c r="J243" s="72"/>
      <c r="K243" s="83"/>
    </row>
    <row r="244" spans="7:11">
      <c r="G244" s="71">
        <v>282</v>
      </c>
      <c r="H244" s="71">
        <v>312</v>
      </c>
      <c r="I244" s="71" t="s">
        <v>369</v>
      </c>
      <c r="J244" s="72"/>
      <c r="K244" s="83"/>
    </row>
    <row r="245" spans="7:11">
      <c r="G245" s="74">
        <v>283</v>
      </c>
      <c r="H245" s="71">
        <v>313</v>
      </c>
      <c r="I245" s="74" t="s">
        <v>370</v>
      </c>
      <c r="J245" s="72"/>
      <c r="K245" s="83"/>
    </row>
    <row r="246" spans="7:11">
      <c r="G246" s="71">
        <v>284</v>
      </c>
      <c r="H246" s="71">
        <v>314</v>
      </c>
      <c r="I246" s="71" t="s">
        <v>371</v>
      </c>
      <c r="J246" s="72"/>
      <c r="K246" s="83"/>
    </row>
    <row r="247" spans="7:11">
      <c r="G247" s="74">
        <v>285</v>
      </c>
      <c r="H247" s="71">
        <v>315</v>
      </c>
      <c r="I247" s="74" t="s">
        <v>372</v>
      </c>
      <c r="J247" s="72"/>
      <c r="K247" s="83"/>
    </row>
    <row r="248" spans="7:11">
      <c r="G248" s="71">
        <v>286</v>
      </c>
      <c r="H248" s="71">
        <v>316</v>
      </c>
      <c r="I248" s="71" t="s">
        <v>373</v>
      </c>
      <c r="J248" s="72"/>
      <c r="K248" s="83"/>
    </row>
    <row r="249" spans="7:11">
      <c r="G249" s="74">
        <v>287</v>
      </c>
      <c r="H249" s="71">
        <v>317</v>
      </c>
      <c r="I249" s="74" t="s">
        <v>374</v>
      </c>
      <c r="J249" s="72"/>
      <c r="K249" s="83"/>
    </row>
    <row r="250" spans="7:11">
      <c r="G250" s="71">
        <v>288</v>
      </c>
      <c r="H250" s="71">
        <v>318</v>
      </c>
      <c r="I250" s="71" t="s">
        <v>375</v>
      </c>
      <c r="J250" s="72"/>
      <c r="K250" s="83"/>
    </row>
    <row r="251" spans="7:11">
      <c r="G251" s="74">
        <v>289</v>
      </c>
      <c r="H251" s="71">
        <v>319</v>
      </c>
      <c r="I251" s="74" t="s">
        <v>376</v>
      </c>
      <c r="J251" s="72"/>
      <c r="K251" s="83"/>
    </row>
    <row r="252" spans="7:11">
      <c r="G252" s="71">
        <v>290</v>
      </c>
      <c r="H252" s="71">
        <v>320</v>
      </c>
      <c r="I252" s="71" t="s">
        <v>377</v>
      </c>
      <c r="J252" s="72"/>
      <c r="K252" s="83"/>
    </row>
    <row r="253" spans="7:11">
      <c r="G253" s="74">
        <v>291</v>
      </c>
      <c r="H253" s="71">
        <v>321</v>
      </c>
      <c r="I253" s="74" t="s">
        <v>378</v>
      </c>
      <c r="J253" s="72"/>
      <c r="K253" s="83"/>
    </row>
    <row r="254" spans="7:11">
      <c r="G254" s="71">
        <v>292</v>
      </c>
      <c r="H254" s="71">
        <v>322</v>
      </c>
      <c r="I254" s="71" t="s">
        <v>379</v>
      </c>
      <c r="J254" s="72"/>
      <c r="K254" s="83"/>
    </row>
    <row r="255" spans="7:11">
      <c r="G255" s="74">
        <v>293</v>
      </c>
      <c r="H255" s="71">
        <v>323</v>
      </c>
      <c r="I255" s="74" t="s">
        <v>380</v>
      </c>
      <c r="J255" s="72"/>
      <c r="K255" s="83"/>
    </row>
    <row r="256" spans="7:11">
      <c r="G256" s="71">
        <v>294</v>
      </c>
      <c r="H256" s="71">
        <v>324</v>
      </c>
      <c r="I256" s="71" t="s">
        <v>381</v>
      </c>
      <c r="J256" s="72"/>
      <c r="K256" s="83"/>
    </row>
    <row r="257" spans="7:11">
      <c r="G257" s="74">
        <v>295</v>
      </c>
      <c r="H257" s="71">
        <v>325</v>
      </c>
      <c r="I257" s="74" t="s">
        <v>382</v>
      </c>
      <c r="J257" s="72"/>
      <c r="K257" s="83"/>
    </row>
    <row r="258" spans="7:11">
      <c r="G258" s="71">
        <v>296</v>
      </c>
      <c r="H258" s="71">
        <v>326</v>
      </c>
      <c r="I258" s="71" t="s">
        <v>383</v>
      </c>
      <c r="J258" s="72"/>
      <c r="K258" s="83"/>
    </row>
    <row r="259" spans="7:11">
      <c r="G259" s="74">
        <v>297</v>
      </c>
      <c r="H259" s="71">
        <v>327</v>
      </c>
      <c r="I259" s="74" t="s">
        <v>384</v>
      </c>
      <c r="J259" s="72"/>
      <c r="K259" s="83"/>
    </row>
    <row r="260" spans="7:11">
      <c r="G260" s="71">
        <v>298</v>
      </c>
      <c r="H260" s="71">
        <v>328</v>
      </c>
      <c r="I260" s="71" t="s">
        <v>385</v>
      </c>
      <c r="J260" s="72"/>
      <c r="K260" s="83"/>
    </row>
    <row r="261" spans="7:11">
      <c r="G261" s="74">
        <v>299</v>
      </c>
      <c r="H261" s="71">
        <v>329</v>
      </c>
      <c r="I261" s="74" t="s">
        <v>386</v>
      </c>
      <c r="J261" s="72"/>
      <c r="K261" s="83"/>
    </row>
    <row r="262" spans="7:11">
      <c r="G262" s="71">
        <v>300</v>
      </c>
      <c r="H262" s="71">
        <v>330</v>
      </c>
      <c r="I262" s="71" t="s">
        <v>387</v>
      </c>
      <c r="J262" s="72"/>
      <c r="K262" s="83"/>
    </row>
    <row r="263" spans="7:11">
      <c r="G263" s="74">
        <v>301</v>
      </c>
      <c r="H263" s="71">
        <v>331</v>
      </c>
      <c r="I263" s="74" t="s">
        <v>388</v>
      </c>
      <c r="J263" s="72"/>
      <c r="K263" s="83"/>
    </row>
    <row r="264" spans="7:11">
      <c r="G264" s="71">
        <v>302</v>
      </c>
      <c r="H264" s="71">
        <v>332</v>
      </c>
      <c r="I264" s="71" t="s">
        <v>389</v>
      </c>
      <c r="J264" s="72"/>
      <c r="K264" s="83"/>
    </row>
    <row r="265" spans="7:11">
      <c r="G265" s="74">
        <v>303</v>
      </c>
      <c r="H265" s="71">
        <v>333</v>
      </c>
      <c r="I265" s="74" t="s">
        <v>390</v>
      </c>
      <c r="J265" s="72"/>
      <c r="K265" s="83"/>
    </row>
    <row r="266" spans="7:11">
      <c r="G266" s="71">
        <v>304</v>
      </c>
      <c r="H266" s="71">
        <v>334</v>
      </c>
      <c r="I266" s="71" t="s">
        <v>391</v>
      </c>
      <c r="J266" s="72"/>
      <c r="K266" s="83"/>
    </row>
    <row r="267" spans="7:11">
      <c r="G267" s="74">
        <v>305</v>
      </c>
      <c r="H267" s="71">
        <v>335</v>
      </c>
      <c r="I267" s="74" t="s">
        <v>392</v>
      </c>
      <c r="J267" s="72"/>
      <c r="K267" s="83"/>
    </row>
    <row r="268" spans="7:11">
      <c r="G268" s="71">
        <v>306</v>
      </c>
      <c r="H268" s="71">
        <v>336</v>
      </c>
      <c r="I268" s="71" t="s">
        <v>393</v>
      </c>
      <c r="J268" s="72"/>
      <c r="K268" s="83"/>
    </row>
    <row r="269" spans="7:11">
      <c r="G269" s="74">
        <v>307</v>
      </c>
      <c r="H269" s="71">
        <v>337</v>
      </c>
      <c r="I269" s="74" t="s">
        <v>394</v>
      </c>
      <c r="J269" s="72"/>
      <c r="K269" s="83"/>
    </row>
    <row r="270" spans="7:11">
      <c r="G270" s="71">
        <v>308</v>
      </c>
      <c r="H270" s="71">
        <v>338</v>
      </c>
      <c r="I270" s="71" t="s">
        <v>395</v>
      </c>
      <c r="J270" s="72"/>
      <c r="K270" s="83"/>
    </row>
    <row r="271" spans="7:11">
      <c r="G271" s="74">
        <v>309</v>
      </c>
      <c r="H271" s="71">
        <v>339</v>
      </c>
      <c r="I271" s="74" t="s">
        <v>396</v>
      </c>
      <c r="J271" s="72"/>
      <c r="K271" s="83"/>
    </row>
    <row r="272" spans="7:11">
      <c r="G272" s="71">
        <v>310</v>
      </c>
      <c r="H272" s="71">
        <v>340</v>
      </c>
      <c r="I272" s="71" t="s">
        <v>397</v>
      </c>
      <c r="J272" s="72"/>
      <c r="K272" s="83"/>
    </row>
    <row r="273" spans="7:11">
      <c r="G273" s="74">
        <v>311</v>
      </c>
      <c r="H273" s="71">
        <v>341</v>
      </c>
      <c r="I273" s="74" t="s">
        <v>398</v>
      </c>
      <c r="J273" s="72"/>
      <c r="K273" s="83"/>
    </row>
    <row r="274" spans="7:11">
      <c r="G274" s="71">
        <v>312</v>
      </c>
      <c r="H274" s="71">
        <v>342</v>
      </c>
      <c r="I274" s="71" t="s">
        <v>399</v>
      </c>
      <c r="J274" s="72"/>
      <c r="K274" s="83"/>
    </row>
    <row r="275" spans="7:11">
      <c r="G275" s="74">
        <v>313</v>
      </c>
      <c r="H275" s="71">
        <v>343</v>
      </c>
      <c r="I275" s="74" t="s">
        <v>400</v>
      </c>
      <c r="J275" s="72"/>
      <c r="K275" s="83"/>
    </row>
    <row r="276" spans="7:11">
      <c r="G276" s="71">
        <v>314</v>
      </c>
      <c r="H276" s="71">
        <v>344</v>
      </c>
      <c r="I276" s="71" t="s">
        <v>401</v>
      </c>
      <c r="J276" s="72"/>
      <c r="K276" s="83"/>
    </row>
    <row r="277" spans="7:11">
      <c r="G277" s="74">
        <v>315</v>
      </c>
      <c r="H277" s="71">
        <v>345</v>
      </c>
      <c r="I277" s="74" t="s">
        <v>402</v>
      </c>
      <c r="J277" s="72"/>
      <c r="K277" s="83"/>
    </row>
    <row r="278" spans="7:11">
      <c r="G278" s="71">
        <v>316</v>
      </c>
      <c r="H278" s="71">
        <v>346</v>
      </c>
      <c r="I278" s="71" t="s">
        <v>403</v>
      </c>
      <c r="J278" s="72"/>
      <c r="K278" s="83"/>
    </row>
    <row r="279" spans="7:11">
      <c r="G279" s="74">
        <v>317</v>
      </c>
      <c r="H279" s="71">
        <v>347</v>
      </c>
      <c r="I279" s="74" t="s">
        <v>404</v>
      </c>
      <c r="J279" s="72"/>
      <c r="K279" s="83"/>
    </row>
    <row r="280" spans="7:11">
      <c r="G280" s="71">
        <v>318</v>
      </c>
      <c r="H280" s="71">
        <v>348</v>
      </c>
      <c r="I280" s="71" t="s">
        <v>405</v>
      </c>
      <c r="J280" s="72"/>
      <c r="K280" s="83"/>
    </row>
    <row r="281" spans="7:11">
      <c r="G281" s="74">
        <v>319</v>
      </c>
      <c r="H281" s="71">
        <v>349</v>
      </c>
      <c r="I281" s="74" t="s">
        <v>406</v>
      </c>
      <c r="J281" s="72"/>
      <c r="K281" s="83"/>
    </row>
    <row r="282" spans="7:11">
      <c r="G282" s="71">
        <v>320</v>
      </c>
      <c r="H282" s="71">
        <v>350</v>
      </c>
      <c r="I282" s="71" t="s">
        <v>407</v>
      </c>
      <c r="J282" s="72"/>
      <c r="K282" s="83"/>
    </row>
    <row r="283" spans="7:11">
      <c r="G283" s="74">
        <v>321</v>
      </c>
      <c r="H283" s="71">
        <v>351</v>
      </c>
      <c r="I283" s="74" t="s">
        <v>408</v>
      </c>
      <c r="J283" s="72"/>
      <c r="K283" s="83"/>
    </row>
    <row r="284" spans="7:11">
      <c r="G284" s="71">
        <v>322</v>
      </c>
      <c r="H284" s="71">
        <v>352</v>
      </c>
      <c r="I284" s="71" t="s">
        <v>409</v>
      </c>
      <c r="J284" s="72"/>
      <c r="K284" s="83"/>
    </row>
    <row r="285" spans="7:11">
      <c r="G285" s="74">
        <v>323</v>
      </c>
      <c r="H285" s="71">
        <v>353</v>
      </c>
      <c r="I285" s="74" t="s">
        <v>410</v>
      </c>
      <c r="J285" s="72"/>
      <c r="K285" s="83"/>
    </row>
    <row r="286" spans="7:11">
      <c r="G286" s="71">
        <v>324</v>
      </c>
      <c r="H286" s="71">
        <v>354</v>
      </c>
      <c r="I286" s="71" t="s">
        <v>411</v>
      </c>
      <c r="J286" s="72"/>
      <c r="K286" s="83"/>
    </row>
    <row r="287" spans="7:11">
      <c r="G287" s="74">
        <v>325</v>
      </c>
      <c r="H287" s="71">
        <v>355</v>
      </c>
      <c r="I287" s="74" t="s">
        <v>412</v>
      </c>
      <c r="J287" s="72"/>
      <c r="K287" s="83"/>
    </row>
    <row r="288" spans="7:11">
      <c r="G288" s="71">
        <v>326</v>
      </c>
      <c r="H288" s="71">
        <v>356</v>
      </c>
      <c r="I288" s="71" t="s">
        <v>413</v>
      </c>
      <c r="J288" s="72"/>
      <c r="K288" s="83"/>
    </row>
    <row r="289" spans="7:11">
      <c r="G289" s="74">
        <v>327</v>
      </c>
      <c r="H289" s="71">
        <v>357</v>
      </c>
      <c r="I289" s="74" t="s">
        <v>414</v>
      </c>
      <c r="J289" s="72"/>
      <c r="K289" s="83"/>
    </row>
    <row r="290" spans="7:11">
      <c r="G290" s="71">
        <v>328</v>
      </c>
      <c r="H290" s="71">
        <v>358</v>
      </c>
      <c r="I290" s="71" t="s">
        <v>415</v>
      </c>
      <c r="J290" s="72"/>
      <c r="K290" s="83"/>
    </row>
    <row r="291" spans="7:11">
      <c r="G291" s="74">
        <v>329</v>
      </c>
      <c r="H291" s="71">
        <v>359</v>
      </c>
      <c r="I291" s="74" t="s">
        <v>416</v>
      </c>
      <c r="J291" s="72"/>
      <c r="K291" s="83"/>
    </row>
    <row r="292" spans="7:11">
      <c r="G292" s="71">
        <v>330</v>
      </c>
      <c r="H292" s="71">
        <v>360</v>
      </c>
      <c r="I292" s="71" t="s">
        <v>417</v>
      </c>
      <c r="J292" s="72"/>
      <c r="K292" s="83"/>
    </row>
    <row r="293" spans="7:11">
      <c r="G293" s="74">
        <v>331</v>
      </c>
      <c r="H293" s="71">
        <v>361</v>
      </c>
      <c r="I293" s="74" t="s">
        <v>418</v>
      </c>
      <c r="J293" s="72"/>
      <c r="K293" s="83"/>
    </row>
    <row r="294" spans="7:11">
      <c r="G294" s="71">
        <v>332</v>
      </c>
      <c r="H294" s="71">
        <v>362</v>
      </c>
      <c r="I294" s="71" t="s">
        <v>419</v>
      </c>
      <c r="J294" s="72"/>
      <c r="K294" s="83"/>
    </row>
    <row r="295" spans="7:11">
      <c r="G295" s="74">
        <v>333</v>
      </c>
      <c r="H295" s="71">
        <v>363</v>
      </c>
      <c r="I295" s="74" t="s">
        <v>420</v>
      </c>
      <c r="J295" s="72"/>
      <c r="K295" s="83"/>
    </row>
    <row r="296" spans="7:11">
      <c r="G296" s="71">
        <v>334</v>
      </c>
      <c r="H296" s="71">
        <v>364</v>
      </c>
      <c r="I296" s="71" t="s">
        <v>421</v>
      </c>
      <c r="J296" s="72"/>
      <c r="K296" s="83"/>
    </row>
    <row r="297" spans="7:11">
      <c r="G297" s="74">
        <v>335</v>
      </c>
      <c r="H297" s="71">
        <v>365</v>
      </c>
      <c r="I297" s="74" t="s">
        <v>422</v>
      </c>
      <c r="J297" s="72"/>
      <c r="K297" s="83"/>
    </row>
    <row r="298" spans="7:11">
      <c r="G298" s="71">
        <v>336</v>
      </c>
      <c r="H298" s="71">
        <v>366</v>
      </c>
      <c r="I298" s="71" t="s">
        <v>423</v>
      </c>
      <c r="J298" s="72"/>
      <c r="K298" s="83"/>
    </row>
    <row r="299" spans="7:11">
      <c r="G299" s="74">
        <v>337</v>
      </c>
      <c r="H299" s="71">
        <v>367</v>
      </c>
      <c r="I299" s="74" t="s">
        <v>424</v>
      </c>
      <c r="J299" s="72"/>
      <c r="K299" s="83"/>
    </row>
    <row r="300" spans="7:11">
      <c r="G300" s="71">
        <v>338</v>
      </c>
      <c r="H300" s="71">
        <v>368</v>
      </c>
      <c r="I300" s="71" t="s">
        <v>425</v>
      </c>
      <c r="J300" s="72"/>
      <c r="K300" s="83"/>
    </row>
    <row r="301" spans="7:11">
      <c r="G301" s="74">
        <v>339</v>
      </c>
      <c r="H301" s="71">
        <v>369</v>
      </c>
      <c r="I301" s="74" t="s">
        <v>426</v>
      </c>
      <c r="J301" s="72"/>
      <c r="K301" s="83"/>
    </row>
    <row r="302" spans="7:11">
      <c r="G302" s="71">
        <v>340</v>
      </c>
      <c r="H302" s="71">
        <v>370</v>
      </c>
      <c r="I302" s="71" t="s">
        <v>427</v>
      </c>
      <c r="J302" s="72"/>
      <c r="K302" s="83"/>
    </row>
    <row r="303" spans="7:11">
      <c r="G303" s="74">
        <v>341</v>
      </c>
      <c r="H303" s="71">
        <v>371</v>
      </c>
      <c r="I303" s="74" t="s">
        <v>428</v>
      </c>
      <c r="J303" s="72"/>
      <c r="K303" s="83"/>
    </row>
    <row r="304" spans="7:11">
      <c r="G304" s="71">
        <v>342</v>
      </c>
      <c r="H304" s="71">
        <v>372</v>
      </c>
      <c r="I304" s="71" t="s">
        <v>429</v>
      </c>
      <c r="J304" s="72"/>
      <c r="K304" s="83"/>
    </row>
    <row r="305" spans="7:11">
      <c r="G305" s="74">
        <v>343</v>
      </c>
      <c r="H305" s="71">
        <v>373</v>
      </c>
      <c r="I305" s="74" t="s">
        <v>430</v>
      </c>
      <c r="J305" s="72"/>
      <c r="K305" s="83"/>
    </row>
    <row r="306" spans="7:11">
      <c r="G306" s="71">
        <v>344</v>
      </c>
      <c r="H306" s="71">
        <v>374</v>
      </c>
      <c r="I306" s="71" t="s">
        <v>431</v>
      </c>
      <c r="J306" s="72"/>
      <c r="K306" s="83"/>
    </row>
    <row r="307" spans="7:11">
      <c r="G307" s="74">
        <v>345</v>
      </c>
      <c r="H307" s="71">
        <v>375</v>
      </c>
      <c r="I307" s="74" t="s">
        <v>432</v>
      </c>
      <c r="J307" s="72"/>
      <c r="K307" s="83"/>
    </row>
    <row r="308" spans="7:11">
      <c r="G308" s="71">
        <v>346</v>
      </c>
      <c r="H308" s="71">
        <v>376</v>
      </c>
      <c r="I308" s="71" t="s">
        <v>433</v>
      </c>
      <c r="J308" s="72"/>
      <c r="K308" s="83"/>
    </row>
    <row r="309" spans="7:11">
      <c r="G309" s="74">
        <v>347</v>
      </c>
      <c r="H309" s="71">
        <v>377</v>
      </c>
      <c r="I309" s="74" t="s">
        <v>434</v>
      </c>
      <c r="J309" s="72"/>
      <c r="K309" s="83"/>
    </row>
    <row r="310" spans="7:11">
      <c r="G310" s="71">
        <v>348</v>
      </c>
      <c r="H310" s="71">
        <v>378</v>
      </c>
      <c r="I310" s="71" t="s">
        <v>435</v>
      </c>
      <c r="J310" s="72"/>
      <c r="K310" s="83"/>
    </row>
    <row r="311" spans="7:11">
      <c r="G311" s="74">
        <v>349</v>
      </c>
      <c r="H311" s="71">
        <v>379</v>
      </c>
      <c r="I311" s="74" t="s">
        <v>436</v>
      </c>
      <c r="J311" s="72"/>
      <c r="K311" s="83"/>
    </row>
    <row r="312" spans="7:11">
      <c r="G312" s="71">
        <v>350</v>
      </c>
      <c r="H312" s="71">
        <v>380</v>
      </c>
      <c r="I312" s="71" t="s">
        <v>437</v>
      </c>
      <c r="J312" s="72"/>
      <c r="K312" s="83"/>
    </row>
    <row r="313" spans="7:11">
      <c r="G313" s="74"/>
      <c r="H313" s="71">
        <v>381</v>
      </c>
      <c r="I313" s="74" t="s">
        <v>438</v>
      </c>
      <c r="J313" s="72"/>
      <c r="K313" s="83"/>
    </row>
    <row r="314" spans="7:11">
      <c r="G314" s="71"/>
      <c r="H314" s="71">
        <v>382</v>
      </c>
      <c r="I314" s="71" t="s">
        <v>439</v>
      </c>
      <c r="J314" s="72"/>
      <c r="K314" s="83"/>
    </row>
    <row r="315" spans="7:11">
      <c r="G315" s="74"/>
      <c r="H315" s="71">
        <v>383</v>
      </c>
      <c r="I315" s="74" t="s">
        <v>440</v>
      </c>
      <c r="J315" s="72"/>
      <c r="K315" s="83"/>
    </row>
    <row r="316" spans="7:11">
      <c r="G316" s="71"/>
      <c r="H316" s="71">
        <v>384</v>
      </c>
      <c r="I316" s="71" t="s">
        <v>441</v>
      </c>
      <c r="J316" s="72"/>
      <c r="K316" s="83"/>
    </row>
    <row r="317" spans="7:11">
      <c r="G317" s="74"/>
      <c r="H317" s="71">
        <v>385</v>
      </c>
      <c r="I317" s="74" t="s">
        <v>442</v>
      </c>
      <c r="J317" s="72"/>
      <c r="K317" s="83"/>
    </row>
    <row r="318" spans="7:11">
      <c r="G318" s="71"/>
      <c r="H318" s="71">
        <v>386</v>
      </c>
      <c r="I318" s="71" t="s">
        <v>443</v>
      </c>
      <c r="J318" s="72"/>
      <c r="K318" s="83"/>
    </row>
    <row r="319" spans="7:11">
      <c r="G319" s="74"/>
      <c r="H319" s="71">
        <v>387</v>
      </c>
      <c r="I319" s="74" t="s">
        <v>444</v>
      </c>
      <c r="J319" s="72"/>
      <c r="K319" s="83"/>
    </row>
    <row r="320" spans="7:11">
      <c r="G320" s="71"/>
      <c r="H320" s="71">
        <v>388</v>
      </c>
      <c r="I320" s="71" t="s">
        <v>445</v>
      </c>
      <c r="J320" s="72"/>
      <c r="K320" s="83"/>
    </row>
    <row r="321" spans="7:11">
      <c r="G321" s="74"/>
      <c r="H321" s="71">
        <v>389</v>
      </c>
      <c r="I321" s="74" t="s">
        <v>446</v>
      </c>
      <c r="J321" s="72"/>
      <c r="K321" s="83"/>
    </row>
    <row r="322" spans="7:11">
      <c r="G322" s="71"/>
      <c r="H322" s="71">
        <v>390</v>
      </c>
      <c r="I322" s="71" t="s">
        <v>447</v>
      </c>
      <c r="J322" s="72"/>
      <c r="K322" s="83"/>
    </row>
    <row r="323" spans="7:11">
      <c r="G323" s="74"/>
      <c r="H323" s="71">
        <v>391</v>
      </c>
      <c r="I323" s="74" t="s">
        <v>448</v>
      </c>
      <c r="J323" s="72"/>
      <c r="K323" s="83"/>
    </row>
    <row r="324" spans="7:11">
      <c r="G324" s="71"/>
      <c r="H324" s="71">
        <v>392</v>
      </c>
      <c r="I324" s="71" t="s">
        <v>449</v>
      </c>
      <c r="J324" s="72"/>
      <c r="K324" s="83"/>
    </row>
    <row r="325" spans="7:11">
      <c r="G325" s="74"/>
      <c r="H325" s="71">
        <v>393</v>
      </c>
      <c r="I325" s="74" t="s">
        <v>450</v>
      </c>
      <c r="J325" s="72"/>
      <c r="K325" s="83"/>
    </row>
    <row r="326" spans="7:11">
      <c r="G326" s="71"/>
      <c r="H326" s="71">
        <v>394</v>
      </c>
      <c r="I326" s="71" t="s">
        <v>451</v>
      </c>
      <c r="J326" s="72"/>
      <c r="K326" s="83"/>
    </row>
    <row r="327" spans="7:11">
      <c r="G327" s="74"/>
      <c r="H327" s="71">
        <v>395</v>
      </c>
      <c r="I327" s="74" t="s">
        <v>452</v>
      </c>
      <c r="J327" s="72"/>
      <c r="K327" s="83"/>
    </row>
    <row r="328" spans="7:11">
      <c r="G328" s="71"/>
      <c r="H328" s="71">
        <v>396</v>
      </c>
      <c r="I328" s="71" t="s">
        <v>453</v>
      </c>
      <c r="J328" s="72"/>
      <c r="K328" s="83"/>
    </row>
    <row r="329" spans="7:11">
      <c r="G329" s="74"/>
      <c r="H329" s="71">
        <v>397</v>
      </c>
      <c r="I329" s="74" t="s">
        <v>454</v>
      </c>
      <c r="J329" s="72"/>
      <c r="K329" s="83"/>
    </row>
    <row r="330" spans="7:11">
      <c r="G330" s="71"/>
      <c r="H330" s="71">
        <v>398</v>
      </c>
      <c r="I330" s="71" t="s">
        <v>455</v>
      </c>
      <c r="J330" s="72"/>
      <c r="K330" s="83"/>
    </row>
    <row r="331" spans="7:11">
      <c r="G331" s="74"/>
      <c r="H331" s="71">
        <v>399</v>
      </c>
      <c r="I331" s="74" t="s">
        <v>456</v>
      </c>
      <c r="J331" s="72"/>
      <c r="K331" s="83"/>
    </row>
    <row r="332" spans="7:11">
      <c r="G332" s="71"/>
      <c r="H332" s="71">
        <v>400</v>
      </c>
      <c r="I332" s="71" t="s">
        <v>457</v>
      </c>
      <c r="J332" s="72"/>
      <c r="K332" s="83"/>
    </row>
    <row r="333" spans="7:11">
      <c r="G333" s="74"/>
      <c r="H333" s="71">
        <v>401</v>
      </c>
      <c r="I333" s="74" t="s">
        <v>458</v>
      </c>
      <c r="J333" s="72"/>
      <c r="K333" s="83"/>
    </row>
    <row r="334" spans="7:11">
      <c r="G334" s="71"/>
      <c r="H334" s="71">
        <v>402</v>
      </c>
      <c r="I334" s="71" t="s">
        <v>459</v>
      </c>
      <c r="J334" s="72"/>
      <c r="K334" s="83"/>
    </row>
    <row r="335" spans="7:11">
      <c r="G335" s="74"/>
      <c r="H335" s="71">
        <v>403</v>
      </c>
      <c r="I335" s="74" t="s">
        <v>460</v>
      </c>
      <c r="J335" s="72"/>
      <c r="K335" s="83"/>
    </row>
    <row r="336" spans="7:11">
      <c r="G336" s="71"/>
      <c r="H336" s="71">
        <v>404</v>
      </c>
      <c r="I336" s="71" t="s">
        <v>461</v>
      </c>
      <c r="J336" s="72"/>
      <c r="K336" s="83"/>
    </row>
    <row r="337" spans="7:11">
      <c r="G337" s="74"/>
      <c r="H337" s="71">
        <v>405</v>
      </c>
      <c r="I337" s="74" t="s">
        <v>462</v>
      </c>
      <c r="J337" s="72"/>
      <c r="K337" s="83"/>
    </row>
    <row r="338" spans="7:11">
      <c r="G338" s="71"/>
      <c r="H338" s="71">
        <v>406</v>
      </c>
      <c r="I338" s="71" t="s">
        <v>463</v>
      </c>
      <c r="J338" s="72"/>
      <c r="K338" s="83"/>
    </row>
    <row r="339" spans="7:11">
      <c r="G339" s="74"/>
      <c r="H339" s="71">
        <v>407</v>
      </c>
      <c r="I339" s="74" t="s">
        <v>464</v>
      </c>
      <c r="J339" s="72"/>
      <c r="K339" s="83"/>
    </row>
    <row r="340" spans="7:11">
      <c r="G340" s="71"/>
      <c r="H340" s="71">
        <v>408</v>
      </c>
      <c r="I340" s="71" t="s">
        <v>465</v>
      </c>
      <c r="J340" s="72"/>
      <c r="K340" s="83"/>
    </row>
    <row r="341" spans="7:11">
      <c r="G341" s="74"/>
      <c r="H341" s="71">
        <v>409</v>
      </c>
      <c r="I341" s="74" t="s">
        <v>466</v>
      </c>
      <c r="J341" s="72"/>
      <c r="K341" s="83"/>
    </row>
    <row r="342" spans="7:11">
      <c r="G342" s="71"/>
      <c r="H342" s="71">
        <v>410</v>
      </c>
      <c r="I342" s="71" t="s">
        <v>467</v>
      </c>
      <c r="J342" s="72"/>
      <c r="K342" s="83"/>
    </row>
    <row r="343" spans="7:11">
      <c r="G343" s="74"/>
      <c r="H343" s="71">
        <v>411</v>
      </c>
      <c r="I343" s="74" t="s">
        <v>468</v>
      </c>
      <c r="J343" s="72"/>
      <c r="K343" s="83"/>
    </row>
    <row r="344" spans="7:11">
      <c r="G344" s="71"/>
      <c r="H344" s="71">
        <v>412</v>
      </c>
      <c r="I344" s="71" t="s">
        <v>469</v>
      </c>
      <c r="J344" s="72"/>
      <c r="K344" s="83"/>
    </row>
    <row r="345" spans="7:11">
      <c r="G345" s="74"/>
      <c r="H345" s="71">
        <v>413</v>
      </c>
      <c r="I345" s="74" t="s">
        <v>470</v>
      </c>
      <c r="J345" s="72"/>
      <c r="K345" s="83"/>
    </row>
    <row r="346" spans="7:11">
      <c r="G346" s="71"/>
      <c r="H346" s="71">
        <v>414</v>
      </c>
      <c r="I346" s="71" t="s">
        <v>471</v>
      </c>
      <c r="J346" s="72"/>
      <c r="K346" s="83"/>
    </row>
    <row r="347" spans="7:11">
      <c r="G347" s="74"/>
      <c r="H347" s="71">
        <v>415</v>
      </c>
      <c r="I347" s="74" t="s">
        <v>472</v>
      </c>
      <c r="J347" s="72"/>
      <c r="K347" s="83"/>
    </row>
    <row r="348" spans="7:11">
      <c r="G348" s="71"/>
      <c r="H348" s="71">
        <v>416</v>
      </c>
      <c r="I348" s="71" t="s">
        <v>473</v>
      </c>
      <c r="J348" s="72"/>
      <c r="K348" s="83"/>
    </row>
    <row r="349" spans="7:11">
      <c r="G349" s="74"/>
      <c r="H349" s="71">
        <v>417</v>
      </c>
      <c r="I349" s="74" t="s">
        <v>474</v>
      </c>
      <c r="J349" s="72"/>
      <c r="K349" s="83"/>
    </row>
    <row r="350" spans="7:11">
      <c r="G350" s="71"/>
      <c r="H350" s="71">
        <v>418</v>
      </c>
      <c r="I350" s="71" t="s">
        <v>475</v>
      </c>
      <c r="J350" s="72"/>
      <c r="K350" s="83"/>
    </row>
    <row r="351" spans="7:11">
      <c r="G351" s="74"/>
      <c r="H351" s="71">
        <v>419</v>
      </c>
      <c r="I351" s="74" t="s">
        <v>476</v>
      </c>
      <c r="J351" s="72"/>
      <c r="K351" s="83"/>
    </row>
    <row r="352" spans="7:11">
      <c r="G352" s="71"/>
      <c r="H352" s="71">
        <v>420</v>
      </c>
      <c r="I352" s="71" t="s">
        <v>477</v>
      </c>
      <c r="J352" s="72"/>
      <c r="K352" s="83"/>
    </row>
    <row r="353" spans="7:11">
      <c r="G353" s="74"/>
      <c r="H353" s="71">
        <v>421</v>
      </c>
      <c r="I353" s="74" t="s">
        <v>478</v>
      </c>
      <c r="J353" s="72"/>
      <c r="K353" s="83"/>
    </row>
    <row r="354" spans="7:11">
      <c r="G354" s="71"/>
      <c r="H354" s="71">
        <v>422</v>
      </c>
      <c r="I354" s="71" t="s">
        <v>479</v>
      </c>
      <c r="J354" s="72"/>
      <c r="K354" s="83"/>
    </row>
    <row r="355" spans="7:11">
      <c r="G355" s="74"/>
      <c r="H355" s="71">
        <v>423</v>
      </c>
      <c r="I355" s="75" t="s">
        <v>480</v>
      </c>
      <c r="J355" s="72"/>
      <c r="K355" s="83"/>
    </row>
    <row r="356" spans="7:11">
      <c r="G356" s="71"/>
      <c r="J356" s="72"/>
      <c r="K356" s="83"/>
    </row>
    <row r="357" spans="7:11">
      <c r="G357" s="74"/>
      <c r="J357" s="72"/>
      <c r="K357" s="83"/>
    </row>
    <row r="358" spans="7:11">
      <c r="G358" s="71"/>
      <c r="J358" s="72"/>
      <c r="K358" s="83"/>
    </row>
    <row r="359" spans="7:11">
      <c r="G359" s="74"/>
      <c r="J359" s="72"/>
      <c r="K359" s="83"/>
    </row>
    <row r="360" spans="7:11">
      <c r="G360" s="71"/>
      <c r="J360" s="72"/>
      <c r="K360" s="83"/>
    </row>
    <row r="361" spans="7:11">
      <c r="G361" s="74"/>
      <c r="J361" s="72"/>
      <c r="K361" s="83"/>
    </row>
    <row r="362" spans="7:11">
      <c r="G362" s="71"/>
      <c r="J362" s="72"/>
      <c r="K362" s="83"/>
    </row>
    <row r="363" spans="7:11">
      <c r="G363" s="74"/>
      <c r="J363" s="72"/>
      <c r="K363" s="83"/>
    </row>
    <row r="364" spans="7:11">
      <c r="G364" s="71"/>
      <c r="J364" s="72"/>
      <c r="K364" s="83"/>
    </row>
    <row r="365" spans="7:11">
      <c r="G365" s="74"/>
      <c r="J365" s="72"/>
      <c r="K365" s="83"/>
    </row>
    <row r="366" spans="7:11">
      <c r="G366" s="71"/>
      <c r="J366" s="72"/>
      <c r="K366" s="83"/>
    </row>
    <row r="367" spans="7:11">
      <c r="G367" s="74"/>
      <c r="J367" s="72"/>
      <c r="K367" s="83"/>
    </row>
    <row r="368" spans="7:11">
      <c r="G368" s="71"/>
      <c r="J368" s="72"/>
      <c r="K368" s="83"/>
    </row>
    <row r="369" spans="7:11">
      <c r="G369" s="76"/>
      <c r="J369" s="72"/>
      <c r="K369" s="83"/>
    </row>
    <row r="370" spans="7:11">
      <c r="J370" s="72"/>
      <c r="K370" s="83"/>
    </row>
    <row r="371" spans="7:11">
      <c r="J371" s="72"/>
      <c r="K371" s="83"/>
    </row>
    <row r="372" spans="7:11">
      <c r="J372" s="72"/>
      <c r="K372" s="83"/>
    </row>
    <row r="373" spans="7:11">
      <c r="J373" s="72"/>
      <c r="K373" s="83"/>
    </row>
    <row r="374" spans="7:11">
      <c r="J374" s="72"/>
      <c r="K374" s="83"/>
    </row>
    <row r="375" spans="7:11">
      <c r="J375" s="72"/>
      <c r="K375" s="83"/>
    </row>
    <row r="376" spans="7:11">
      <c r="J376" s="72"/>
      <c r="K376" s="83"/>
    </row>
    <row r="377" spans="7:11">
      <c r="J377" s="72"/>
      <c r="K377" s="83"/>
    </row>
    <row r="378" spans="7:11">
      <c r="J378" s="72"/>
      <c r="K378" s="83"/>
    </row>
    <row r="379" spans="7:11">
      <c r="J379" s="77"/>
      <c r="K379" s="83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C81D-425E-4F92-8A69-41C885D51494}">
  <dimension ref="A1:L9"/>
  <sheetViews>
    <sheetView topLeftCell="A3" zoomScale="66" zoomScaleNormal="66" workbookViewId="0">
      <selection activeCell="L4" sqref="L4"/>
    </sheetView>
  </sheetViews>
  <sheetFormatPr baseColWidth="10" defaultColWidth="8.83203125" defaultRowHeight="14"/>
  <cols>
    <col min="1" max="1" width="8.1640625" customWidth="1"/>
    <col min="2" max="2" width="18.1640625" customWidth="1"/>
    <col min="3" max="3" width="3.6640625" customWidth="1"/>
    <col min="4" max="4" width="17.6640625" customWidth="1"/>
    <col min="5" max="5" width="3.1640625" customWidth="1"/>
    <col min="6" max="6" width="18.1640625" customWidth="1"/>
    <col min="7" max="7" width="2.1640625" customWidth="1"/>
    <col min="8" max="8" width="17.1640625" customWidth="1"/>
    <col min="9" max="9" width="1.6640625" customWidth="1"/>
    <col min="10" max="10" width="16.6640625" customWidth="1"/>
    <col min="11" max="11" width="1.6640625" customWidth="1"/>
    <col min="12" max="12" width="19.1640625" customWidth="1"/>
    <col min="13" max="13" width="14.1640625" customWidth="1"/>
  </cols>
  <sheetData>
    <row r="1" spans="1:12">
      <c r="A1" t="e">
        <f>IF(G1=1,"apple",IF(G1=2,"pear",IF(G1=3,"orange",IF(G1=4,"banana",IF(G1=5,"tomatoe",IF(G1=6,"carrot"," "))))))</f>
        <v>#VALUE!</v>
      </c>
      <c r="G1" t="e">
        <f>(Stats_Tables!D33)</f>
        <v>#VALUE!</v>
      </c>
    </row>
    <row r="2" spans="1:12">
      <c r="G2" s="57"/>
    </row>
    <row r="3" spans="1:12" ht="240" customHeight="1">
      <c r="F3" s="59"/>
    </row>
    <row r="4" spans="1:12" ht="237.75" customHeight="1">
      <c r="B4" s="84" t="e" vm="1">
        <v>#VALUE!</v>
      </c>
      <c r="D4" t="e" vm="2">
        <v>#VALUE!</v>
      </c>
      <c r="F4" t="e" vm="3">
        <v>#VALUE!</v>
      </c>
      <c r="H4" s="86" t="e" vm="4">
        <v>#VALUE!</v>
      </c>
      <c r="J4" t="e" vm="5">
        <v>#VALUE!</v>
      </c>
      <c r="L4" s="85" t="e" vm="6">
        <v>#VALUE!</v>
      </c>
    </row>
    <row r="9" spans="1:12" ht="231.75" customHeight="1">
      <c r="D9" s="57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15</vt:i4>
      </vt:variant>
    </vt:vector>
  </HeadingPairs>
  <TitlesOfParts>
    <vt:vector size="20" baseType="lpstr">
      <vt:lpstr>Sheet1</vt:lpstr>
      <vt:lpstr>Weight_Calculator</vt:lpstr>
      <vt:lpstr>Stats_Tables</vt:lpstr>
      <vt:lpstr>Dependent Drop Down</vt:lpstr>
      <vt:lpstr>Pictograph</vt:lpstr>
      <vt:lpstr>apple</vt:lpstr>
      <vt:lpstr>banana</vt:lpstr>
      <vt:lpstr>carrot</vt:lpstr>
      <vt:lpstr>Centimeter</vt:lpstr>
      <vt:lpstr>CM</vt:lpstr>
      <vt:lpstr>Feet</vt:lpstr>
      <vt:lpstr>in</vt:lpstr>
      <vt:lpstr>Inches</vt:lpstr>
      <vt:lpstr>Kilograms</vt:lpstr>
      <vt:lpstr>Weight_Calculator!limitations</vt:lpstr>
      <vt:lpstr>Weight_Calculator!OLE_LINK1</vt:lpstr>
      <vt:lpstr>orange</vt:lpstr>
      <vt:lpstr>pear</vt:lpstr>
      <vt:lpstr>Stone</vt:lpstr>
      <vt:lpstr>tomatoe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Projected Weight BMI BM</dc:title>
  <dc:subject/>
  <dc:creator>Ben Baerwolf-Goddard</dc:creator>
  <cp:keywords>Weight Gain, Belly, Weight Loss,</cp:keywords>
  <dc:description/>
  <cp:lastModifiedBy>Nathan John</cp:lastModifiedBy>
  <cp:revision/>
  <dcterms:created xsi:type="dcterms:W3CDTF">2019-02-20T14:11:41Z</dcterms:created>
  <dcterms:modified xsi:type="dcterms:W3CDTF">2024-07-08T06:58:47Z</dcterms:modified>
  <cp:category/>
  <cp:contentStatus/>
</cp:coreProperties>
</file>